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ck urlich\Desktop\"/>
    </mc:Choice>
  </mc:AlternateContent>
  <bookViews>
    <workbookView xWindow="480" yWindow="90" windowWidth="16335" windowHeight="10830" activeTab="2"/>
  </bookViews>
  <sheets>
    <sheet name="Report Data" sheetId="1" r:id="rId1"/>
    <sheet name="Sheet1" sheetId="2" r:id="rId2"/>
    <sheet name="Sheet2" sheetId="3" r:id="rId3"/>
    <sheet name="Sheet3" sheetId="4" r:id="rId4"/>
  </sheets>
  <definedNames>
    <definedName name="_xlnm._FilterDatabase" localSheetId="0" hidden="1">'Report Data'!$A$1:$EI$1726</definedName>
    <definedName name="_xlnm._FilterDatabase" localSheetId="2" hidden="1">Sheet2!$A$1:$EJ$27</definedName>
  </definedNames>
  <calcPr calcId="152511"/>
</workbook>
</file>

<file path=xl/calcChain.xml><?xml version="1.0" encoding="utf-8"?>
<calcChain xmlns="http://schemas.openxmlformats.org/spreadsheetml/2006/main">
  <c r="A60" i="1" l="1"/>
  <c r="A172" i="1"/>
  <c r="A228" i="1"/>
  <c r="A364" i="1"/>
  <c r="A444" i="1"/>
  <c r="A508" i="1"/>
  <c r="A572" i="1"/>
  <c r="A1205" i="1"/>
  <c r="A968" i="1"/>
  <c r="A1096" i="1"/>
  <c r="B3" i="1"/>
  <c r="A3" i="1" s="1"/>
  <c r="B4" i="1"/>
  <c r="A4" i="1" s="1"/>
  <c r="B5" i="1"/>
  <c r="A5" i="1" s="1"/>
  <c r="B6" i="1"/>
  <c r="A6" i="1" s="1"/>
  <c r="B7" i="1"/>
  <c r="A7" i="1" s="1"/>
  <c r="B8" i="1"/>
  <c r="A8" i="1" s="1"/>
  <c r="B9" i="1"/>
  <c r="A9" i="1" s="1"/>
  <c r="B10" i="1"/>
  <c r="A10" i="1" s="1"/>
  <c r="B11" i="1"/>
  <c r="A11" i="1" s="1"/>
  <c r="B12" i="1"/>
  <c r="A12" i="1" s="1"/>
  <c r="B13" i="1"/>
  <c r="A13" i="1" s="1"/>
  <c r="B14" i="1"/>
  <c r="A14" i="1" s="1"/>
  <c r="B15" i="1"/>
  <c r="A15" i="1" s="1"/>
  <c r="B16" i="1"/>
  <c r="A16" i="1" s="1"/>
  <c r="B17" i="1"/>
  <c r="A17" i="1" s="1"/>
  <c r="B18" i="1"/>
  <c r="A18" i="1" s="1"/>
  <c r="B19" i="1"/>
  <c r="A19" i="1" s="1"/>
  <c r="B20" i="1"/>
  <c r="A20" i="1" s="1"/>
  <c r="B21" i="1"/>
  <c r="A21" i="1" s="1"/>
  <c r="B22" i="1"/>
  <c r="A22" i="1" s="1"/>
  <c r="B23" i="1"/>
  <c r="A23" i="1" s="1"/>
  <c r="B24" i="1"/>
  <c r="A24" i="1" s="1"/>
  <c r="B25" i="1"/>
  <c r="A25" i="1" s="1"/>
  <c r="B26" i="1"/>
  <c r="A26" i="1" s="1"/>
  <c r="B27" i="1"/>
  <c r="A27" i="1" s="1"/>
  <c r="B28" i="1"/>
  <c r="A28" i="1" s="1"/>
  <c r="B29" i="1"/>
  <c r="A29" i="1" s="1"/>
  <c r="B30" i="1"/>
  <c r="A30" i="1" s="1"/>
  <c r="B31" i="1"/>
  <c r="A31" i="1" s="1"/>
  <c r="B32" i="1"/>
  <c r="A32" i="1" s="1"/>
  <c r="B33" i="1"/>
  <c r="A33" i="1" s="1"/>
  <c r="B34" i="1"/>
  <c r="A34" i="1" s="1"/>
  <c r="B35" i="1"/>
  <c r="A35" i="1" s="1"/>
  <c r="B36" i="1"/>
  <c r="A36" i="1" s="1"/>
  <c r="B37" i="1"/>
  <c r="A37" i="1" s="1"/>
  <c r="B38" i="1"/>
  <c r="A38" i="1" s="1"/>
  <c r="B39" i="1"/>
  <c r="A39" i="1" s="1"/>
  <c r="B40" i="1"/>
  <c r="A40" i="1" s="1"/>
  <c r="B41" i="1"/>
  <c r="A41" i="1" s="1"/>
  <c r="B42" i="1"/>
  <c r="A42" i="1" s="1"/>
  <c r="B43" i="1"/>
  <c r="A43" i="1" s="1"/>
  <c r="B44" i="1"/>
  <c r="A44" i="1" s="1"/>
  <c r="B45" i="1"/>
  <c r="A45" i="1" s="1"/>
  <c r="B46" i="1"/>
  <c r="A46" i="1" s="1"/>
  <c r="B47" i="1"/>
  <c r="A47" i="1" s="1"/>
  <c r="B48" i="1"/>
  <c r="A48" i="1" s="1"/>
  <c r="B49" i="1"/>
  <c r="A49" i="1" s="1"/>
  <c r="B50" i="1"/>
  <c r="A50" i="1" s="1"/>
  <c r="B51" i="1"/>
  <c r="A51" i="1" s="1"/>
  <c r="B52" i="1"/>
  <c r="A52" i="1" s="1"/>
  <c r="B53" i="1"/>
  <c r="A53" i="1" s="1"/>
  <c r="B54" i="1"/>
  <c r="A54" i="1" s="1"/>
  <c r="B55" i="1"/>
  <c r="A55" i="1" s="1"/>
  <c r="B56" i="1"/>
  <c r="A56" i="1" s="1"/>
  <c r="B57" i="1"/>
  <c r="A57" i="1" s="1"/>
  <c r="B58" i="1"/>
  <c r="A58" i="1" s="1"/>
  <c r="B59" i="1"/>
  <c r="A59" i="1" s="1"/>
  <c r="B60" i="1"/>
  <c r="B61" i="1"/>
  <c r="A61" i="1" s="1"/>
  <c r="B62" i="1"/>
  <c r="A62" i="1" s="1"/>
  <c r="B63" i="1"/>
  <c r="A63" i="1" s="1"/>
  <c r="B64" i="1"/>
  <c r="A64" i="1" s="1"/>
  <c r="B65" i="1"/>
  <c r="A65" i="1" s="1"/>
  <c r="B66" i="1"/>
  <c r="A66" i="1" s="1"/>
  <c r="B67" i="1"/>
  <c r="A67" i="1" s="1"/>
  <c r="B68" i="1"/>
  <c r="A68" i="1" s="1"/>
  <c r="B69" i="1"/>
  <c r="A69" i="1" s="1"/>
  <c r="B70" i="1"/>
  <c r="A70" i="1" s="1"/>
  <c r="B71" i="1"/>
  <c r="A71" i="1" s="1"/>
  <c r="B72" i="1"/>
  <c r="A72" i="1" s="1"/>
  <c r="B73" i="1"/>
  <c r="A73" i="1" s="1"/>
  <c r="B74" i="1"/>
  <c r="A74" i="1" s="1"/>
  <c r="B75" i="1"/>
  <c r="A75" i="1" s="1"/>
  <c r="B76" i="1"/>
  <c r="A76" i="1" s="1"/>
  <c r="B77" i="1"/>
  <c r="A77" i="1" s="1"/>
  <c r="B78" i="1"/>
  <c r="A78" i="1" s="1"/>
  <c r="B79" i="1"/>
  <c r="A79" i="1" s="1"/>
  <c r="B80" i="1"/>
  <c r="A80" i="1" s="1"/>
  <c r="B81" i="1"/>
  <c r="A81" i="1" s="1"/>
  <c r="B82" i="1"/>
  <c r="A82" i="1" s="1"/>
  <c r="B83" i="1"/>
  <c r="A83" i="1" s="1"/>
  <c r="B84" i="1"/>
  <c r="A84" i="1" s="1"/>
  <c r="B85" i="1"/>
  <c r="A85" i="1" s="1"/>
  <c r="B86" i="1"/>
  <c r="A86" i="1" s="1"/>
  <c r="B87" i="1"/>
  <c r="A87" i="1" s="1"/>
  <c r="B88" i="1"/>
  <c r="A88" i="1" s="1"/>
  <c r="B89" i="1"/>
  <c r="A89" i="1" s="1"/>
  <c r="B90" i="1"/>
  <c r="A90" i="1" s="1"/>
  <c r="B91" i="1"/>
  <c r="A91" i="1" s="1"/>
  <c r="B92" i="1"/>
  <c r="A92" i="1" s="1"/>
  <c r="B93" i="1"/>
  <c r="A93" i="1" s="1"/>
  <c r="B94" i="1"/>
  <c r="A94" i="1" s="1"/>
  <c r="B95" i="1"/>
  <c r="A95" i="1" s="1"/>
  <c r="B96" i="1"/>
  <c r="A96" i="1" s="1"/>
  <c r="B97" i="1"/>
  <c r="A97" i="1" s="1"/>
  <c r="B98" i="1"/>
  <c r="A98" i="1" s="1"/>
  <c r="B99" i="1"/>
  <c r="A99" i="1" s="1"/>
  <c r="B100" i="1"/>
  <c r="A100" i="1" s="1"/>
  <c r="B101" i="1"/>
  <c r="A101" i="1" s="1"/>
  <c r="B102" i="1"/>
  <c r="A102" i="1" s="1"/>
  <c r="B103" i="1"/>
  <c r="A103" i="1" s="1"/>
  <c r="B104" i="1"/>
  <c r="A104" i="1" s="1"/>
  <c r="B105" i="1"/>
  <c r="A105" i="1" s="1"/>
  <c r="B106" i="1"/>
  <c r="A106" i="1" s="1"/>
  <c r="B107" i="1"/>
  <c r="A107" i="1" s="1"/>
  <c r="B108" i="1"/>
  <c r="A108" i="1" s="1"/>
  <c r="B109" i="1"/>
  <c r="A109" i="1" s="1"/>
  <c r="B110" i="1"/>
  <c r="A110" i="1" s="1"/>
  <c r="B111" i="1"/>
  <c r="A111" i="1" s="1"/>
  <c r="B112" i="1"/>
  <c r="A112" i="1" s="1"/>
  <c r="B113" i="1"/>
  <c r="A113" i="1" s="1"/>
  <c r="B114" i="1"/>
  <c r="A114" i="1" s="1"/>
  <c r="B115" i="1"/>
  <c r="A115" i="1" s="1"/>
  <c r="B116" i="1"/>
  <c r="A116" i="1" s="1"/>
  <c r="B117" i="1"/>
  <c r="A117" i="1" s="1"/>
  <c r="B118" i="1"/>
  <c r="A118" i="1" s="1"/>
  <c r="B119" i="1"/>
  <c r="A119" i="1" s="1"/>
  <c r="B120" i="1"/>
  <c r="A120" i="1" s="1"/>
  <c r="B121" i="1"/>
  <c r="A121" i="1" s="1"/>
  <c r="B122" i="1"/>
  <c r="A122" i="1" s="1"/>
  <c r="B123" i="1"/>
  <c r="A123" i="1" s="1"/>
  <c r="B124" i="1"/>
  <c r="A124" i="1" s="1"/>
  <c r="B125" i="1"/>
  <c r="A125" i="1" s="1"/>
  <c r="B126" i="1"/>
  <c r="A126" i="1" s="1"/>
  <c r="B127" i="1"/>
  <c r="A127" i="1" s="1"/>
  <c r="B128" i="1"/>
  <c r="A128" i="1" s="1"/>
  <c r="B129" i="1"/>
  <c r="A129" i="1" s="1"/>
  <c r="B130" i="1"/>
  <c r="A130" i="1" s="1"/>
  <c r="B131" i="1"/>
  <c r="A131" i="1" s="1"/>
  <c r="B132" i="1"/>
  <c r="A132" i="1" s="1"/>
  <c r="B133" i="1"/>
  <c r="A133" i="1" s="1"/>
  <c r="B134" i="1"/>
  <c r="A134" i="1" s="1"/>
  <c r="B135" i="1"/>
  <c r="A135" i="1" s="1"/>
  <c r="B136" i="1"/>
  <c r="A136" i="1" s="1"/>
  <c r="B137" i="1"/>
  <c r="A137" i="1" s="1"/>
  <c r="B138" i="1"/>
  <c r="A138" i="1" s="1"/>
  <c r="B139" i="1"/>
  <c r="A139" i="1" s="1"/>
  <c r="B140" i="1"/>
  <c r="A140" i="1" s="1"/>
  <c r="B141" i="1"/>
  <c r="A141" i="1" s="1"/>
  <c r="B142" i="1"/>
  <c r="A142" i="1" s="1"/>
  <c r="B143" i="1"/>
  <c r="A143" i="1" s="1"/>
  <c r="B144" i="1"/>
  <c r="A144" i="1" s="1"/>
  <c r="B145" i="1"/>
  <c r="A145" i="1" s="1"/>
  <c r="B146" i="1"/>
  <c r="A146" i="1" s="1"/>
  <c r="B147" i="1"/>
  <c r="A147" i="1" s="1"/>
  <c r="B148" i="1"/>
  <c r="A148" i="1" s="1"/>
  <c r="B149" i="1"/>
  <c r="A149" i="1" s="1"/>
  <c r="B150" i="1"/>
  <c r="A150" i="1" s="1"/>
  <c r="B151" i="1"/>
  <c r="A151" i="1" s="1"/>
  <c r="B152" i="1"/>
  <c r="A152" i="1" s="1"/>
  <c r="B153" i="1"/>
  <c r="A153" i="1" s="1"/>
  <c r="B154" i="1"/>
  <c r="A154" i="1" s="1"/>
  <c r="B155" i="1"/>
  <c r="A155" i="1" s="1"/>
  <c r="B156" i="1"/>
  <c r="A156" i="1" s="1"/>
  <c r="B157" i="1"/>
  <c r="A157" i="1" s="1"/>
  <c r="B158" i="1"/>
  <c r="A158" i="1" s="1"/>
  <c r="B159" i="1"/>
  <c r="A159" i="1" s="1"/>
  <c r="B160" i="1"/>
  <c r="A160" i="1" s="1"/>
  <c r="B161" i="1"/>
  <c r="A161" i="1" s="1"/>
  <c r="B162" i="1"/>
  <c r="A162" i="1" s="1"/>
  <c r="B163" i="1"/>
  <c r="A163" i="1" s="1"/>
  <c r="B164" i="1"/>
  <c r="A164" i="1" s="1"/>
  <c r="B165" i="1"/>
  <c r="A165" i="1" s="1"/>
  <c r="B166" i="1"/>
  <c r="A166" i="1" s="1"/>
  <c r="B167" i="1"/>
  <c r="A167" i="1" s="1"/>
  <c r="B168" i="1"/>
  <c r="A168" i="1" s="1"/>
  <c r="B169" i="1"/>
  <c r="A169" i="1" s="1"/>
  <c r="B170" i="1"/>
  <c r="A170" i="1" s="1"/>
  <c r="B171" i="1"/>
  <c r="A171" i="1" s="1"/>
  <c r="B172" i="1"/>
  <c r="B173" i="1"/>
  <c r="A173" i="1" s="1"/>
  <c r="B174" i="1"/>
  <c r="A174" i="1" s="1"/>
  <c r="B175" i="1"/>
  <c r="A175" i="1" s="1"/>
  <c r="B176" i="1"/>
  <c r="A176" i="1" s="1"/>
  <c r="B177" i="1"/>
  <c r="A177" i="1" s="1"/>
  <c r="B178" i="1"/>
  <c r="A178" i="1" s="1"/>
  <c r="B179" i="1"/>
  <c r="A179" i="1" s="1"/>
  <c r="B180" i="1"/>
  <c r="A180" i="1" s="1"/>
  <c r="B181" i="1"/>
  <c r="A181" i="1" s="1"/>
  <c r="B182" i="1"/>
  <c r="A182" i="1" s="1"/>
  <c r="B183" i="1"/>
  <c r="A183" i="1" s="1"/>
  <c r="B184" i="1"/>
  <c r="A184" i="1" s="1"/>
  <c r="B185" i="1"/>
  <c r="A185" i="1" s="1"/>
  <c r="B186" i="1"/>
  <c r="A186" i="1" s="1"/>
  <c r="B187" i="1"/>
  <c r="A187" i="1" s="1"/>
  <c r="B188" i="1"/>
  <c r="A188" i="1" s="1"/>
  <c r="B189" i="1"/>
  <c r="A189" i="1" s="1"/>
  <c r="B190" i="1"/>
  <c r="A190" i="1" s="1"/>
  <c r="B191" i="1"/>
  <c r="A191" i="1" s="1"/>
  <c r="B192" i="1"/>
  <c r="A192" i="1" s="1"/>
  <c r="B193" i="1"/>
  <c r="A193" i="1" s="1"/>
  <c r="B194" i="1"/>
  <c r="A194" i="1" s="1"/>
  <c r="B195" i="1"/>
  <c r="A195" i="1" s="1"/>
  <c r="B196" i="1"/>
  <c r="A196" i="1" s="1"/>
  <c r="B197" i="1"/>
  <c r="A197" i="1" s="1"/>
  <c r="B198" i="1"/>
  <c r="A198" i="1" s="1"/>
  <c r="B199" i="1"/>
  <c r="A199" i="1" s="1"/>
  <c r="B200" i="1"/>
  <c r="A200" i="1" s="1"/>
  <c r="B201" i="1"/>
  <c r="A201" i="1" s="1"/>
  <c r="B202" i="1"/>
  <c r="A202" i="1" s="1"/>
  <c r="B203" i="1"/>
  <c r="A203" i="1" s="1"/>
  <c r="B204" i="1"/>
  <c r="A204" i="1" s="1"/>
  <c r="B205" i="1"/>
  <c r="A205" i="1" s="1"/>
  <c r="B206" i="1"/>
  <c r="A206" i="1" s="1"/>
  <c r="B207" i="1"/>
  <c r="A207" i="1" s="1"/>
  <c r="B208" i="1"/>
  <c r="A208" i="1" s="1"/>
  <c r="B209" i="1"/>
  <c r="A209" i="1" s="1"/>
  <c r="B210" i="1"/>
  <c r="A210" i="1" s="1"/>
  <c r="B211" i="1"/>
  <c r="A211" i="1" s="1"/>
  <c r="B212" i="1"/>
  <c r="A212" i="1" s="1"/>
  <c r="B213" i="1"/>
  <c r="A213" i="1" s="1"/>
  <c r="B214" i="1"/>
  <c r="A214" i="1" s="1"/>
  <c r="B215" i="1"/>
  <c r="A215" i="1" s="1"/>
  <c r="B216" i="1"/>
  <c r="A216" i="1" s="1"/>
  <c r="B217" i="1"/>
  <c r="A217" i="1" s="1"/>
  <c r="B218" i="1"/>
  <c r="A218" i="1" s="1"/>
  <c r="B219" i="1"/>
  <c r="A219" i="1" s="1"/>
  <c r="B220" i="1"/>
  <c r="A220" i="1" s="1"/>
  <c r="B221" i="1"/>
  <c r="A221" i="1" s="1"/>
  <c r="B222" i="1"/>
  <c r="A222" i="1" s="1"/>
  <c r="B223" i="1"/>
  <c r="A223" i="1" s="1"/>
  <c r="B224" i="1"/>
  <c r="A224" i="1" s="1"/>
  <c r="B225" i="1"/>
  <c r="A225" i="1" s="1"/>
  <c r="B226" i="1"/>
  <c r="A226" i="1" s="1"/>
  <c r="B227" i="1"/>
  <c r="A227" i="1" s="1"/>
  <c r="B228" i="1"/>
  <c r="B229" i="1"/>
  <c r="A229" i="1" s="1"/>
  <c r="B230" i="1"/>
  <c r="A230" i="1" s="1"/>
  <c r="B231" i="1"/>
  <c r="A231" i="1" s="1"/>
  <c r="B232" i="1"/>
  <c r="A232" i="1" s="1"/>
  <c r="B233" i="1"/>
  <c r="A233" i="1" s="1"/>
  <c r="B234" i="1"/>
  <c r="A234" i="1" s="1"/>
  <c r="B235" i="1"/>
  <c r="A235" i="1" s="1"/>
  <c r="B236" i="1"/>
  <c r="A236" i="1" s="1"/>
  <c r="B237" i="1"/>
  <c r="A237" i="1" s="1"/>
  <c r="B238" i="1"/>
  <c r="A238" i="1" s="1"/>
  <c r="B239" i="1"/>
  <c r="A239" i="1" s="1"/>
  <c r="B240" i="1"/>
  <c r="A240" i="1" s="1"/>
  <c r="B241" i="1"/>
  <c r="A241" i="1" s="1"/>
  <c r="B242" i="1"/>
  <c r="A242" i="1" s="1"/>
  <c r="B243" i="1"/>
  <c r="A243" i="1" s="1"/>
  <c r="B244" i="1"/>
  <c r="A244" i="1" s="1"/>
  <c r="B245" i="1"/>
  <c r="A245" i="1" s="1"/>
  <c r="B246" i="1"/>
  <c r="A246" i="1" s="1"/>
  <c r="B247" i="1"/>
  <c r="A247" i="1" s="1"/>
  <c r="B248" i="1"/>
  <c r="A248" i="1" s="1"/>
  <c r="B249" i="1"/>
  <c r="A249" i="1" s="1"/>
  <c r="B250" i="1"/>
  <c r="A250" i="1" s="1"/>
  <c r="B251" i="1"/>
  <c r="A251" i="1" s="1"/>
  <c r="B252" i="1"/>
  <c r="A252" i="1" s="1"/>
  <c r="B253" i="1"/>
  <c r="A253" i="1" s="1"/>
  <c r="B254" i="1"/>
  <c r="A254" i="1" s="1"/>
  <c r="B255" i="1"/>
  <c r="A255" i="1" s="1"/>
  <c r="B256" i="1"/>
  <c r="A256" i="1" s="1"/>
  <c r="B257" i="1"/>
  <c r="A257" i="1" s="1"/>
  <c r="B258" i="1"/>
  <c r="A258" i="1" s="1"/>
  <c r="B259" i="1"/>
  <c r="A259" i="1" s="1"/>
  <c r="B260" i="1"/>
  <c r="A260" i="1" s="1"/>
  <c r="B261" i="1"/>
  <c r="A261" i="1" s="1"/>
  <c r="B262" i="1"/>
  <c r="A262" i="1" s="1"/>
  <c r="B263" i="1"/>
  <c r="A263" i="1" s="1"/>
  <c r="B264" i="1"/>
  <c r="A264" i="1" s="1"/>
  <c r="B265" i="1"/>
  <c r="A265" i="1" s="1"/>
  <c r="B266" i="1"/>
  <c r="A266" i="1" s="1"/>
  <c r="B267" i="1"/>
  <c r="A267" i="1" s="1"/>
  <c r="B268" i="1"/>
  <c r="A268" i="1" s="1"/>
  <c r="B269" i="1"/>
  <c r="A269" i="1" s="1"/>
  <c r="B270" i="1"/>
  <c r="A270" i="1" s="1"/>
  <c r="B271" i="1"/>
  <c r="A271" i="1" s="1"/>
  <c r="B272" i="1"/>
  <c r="A272" i="1" s="1"/>
  <c r="B273" i="1"/>
  <c r="A273" i="1" s="1"/>
  <c r="B274" i="1"/>
  <c r="A274" i="1" s="1"/>
  <c r="B275" i="1"/>
  <c r="A275" i="1" s="1"/>
  <c r="B276" i="1"/>
  <c r="A276" i="1" s="1"/>
  <c r="B277" i="1"/>
  <c r="A277" i="1" s="1"/>
  <c r="B278" i="1"/>
  <c r="A278" i="1" s="1"/>
  <c r="B279" i="1"/>
  <c r="A279" i="1" s="1"/>
  <c r="B280" i="1"/>
  <c r="A280" i="1" s="1"/>
  <c r="B281" i="1"/>
  <c r="A281" i="1" s="1"/>
  <c r="B282" i="1"/>
  <c r="A282" i="1" s="1"/>
  <c r="B283" i="1"/>
  <c r="A283" i="1" s="1"/>
  <c r="B284" i="1"/>
  <c r="A284" i="1" s="1"/>
  <c r="B285" i="1"/>
  <c r="A285" i="1" s="1"/>
  <c r="B286" i="1"/>
  <c r="A286" i="1" s="1"/>
  <c r="B287" i="1"/>
  <c r="A287" i="1" s="1"/>
  <c r="B288" i="1"/>
  <c r="A288" i="1" s="1"/>
  <c r="B289" i="1"/>
  <c r="A289" i="1" s="1"/>
  <c r="B290" i="1"/>
  <c r="A290" i="1" s="1"/>
  <c r="B291" i="1"/>
  <c r="A291" i="1" s="1"/>
  <c r="B292" i="1"/>
  <c r="A292" i="1" s="1"/>
  <c r="B293" i="1"/>
  <c r="A293" i="1" s="1"/>
  <c r="B294" i="1"/>
  <c r="A294" i="1" s="1"/>
  <c r="B295" i="1"/>
  <c r="A295" i="1" s="1"/>
  <c r="B296" i="1"/>
  <c r="A296" i="1" s="1"/>
  <c r="B297" i="1"/>
  <c r="A297" i="1" s="1"/>
  <c r="B298" i="1"/>
  <c r="A298" i="1" s="1"/>
  <c r="B299" i="1"/>
  <c r="A299" i="1" s="1"/>
  <c r="B300" i="1"/>
  <c r="A300" i="1" s="1"/>
  <c r="B301" i="1"/>
  <c r="A301" i="1" s="1"/>
  <c r="B302" i="1"/>
  <c r="A302" i="1" s="1"/>
  <c r="B303" i="1"/>
  <c r="A303" i="1" s="1"/>
  <c r="B304" i="1"/>
  <c r="A304" i="1" s="1"/>
  <c r="B305" i="1"/>
  <c r="A305" i="1" s="1"/>
  <c r="B306" i="1"/>
  <c r="A306" i="1" s="1"/>
  <c r="B307" i="1"/>
  <c r="A307" i="1" s="1"/>
  <c r="B308" i="1"/>
  <c r="A308" i="1" s="1"/>
  <c r="B309" i="1"/>
  <c r="A309" i="1" s="1"/>
  <c r="B310" i="1"/>
  <c r="A310" i="1" s="1"/>
  <c r="B311" i="1"/>
  <c r="A311" i="1" s="1"/>
  <c r="B312" i="1"/>
  <c r="A312" i="1" s="1"/>
  <c r="B313" i="1"/>
  <c r="A313" i="1" s="1"/>
  <c r="B314" i="1"/>
  <c r="A314" i="1" s="1"/>
  <c r="B315" i="1"/>
  <c r="A315" i="1" s="1"/>
  <c r="B316" i="1"/>
  <c r="A316" i="1" s="1"/>
  <c r="B317" i="1"/>
  <c r="A317" i="1" s="1"/>
  <c r="B318" i="1"/>
  <c r="A318" i="1" s="1"/>
  <c r="B319" i="1"/>
  <c r="A319" i="1" s="1"/>
  <c r="B320" i="1"/>
  <c r="A320" i="1" s="1"/>
  <c r="B321" i="1"/>
  <c r="A321" i="1" s="1"/>
  <c r="B322" i="1"/>
  <c r="A322" i="1" s="1"/>
  <c r="B323" i="1"/>
  <c r="A323" i="1" s="1"/>
  <c r="B324" i="1"/>
  <c r="A324" i="1" s="1"/>
  <c r="B325" i="1"/>
  <c r="A325" i="1" s="1"/>
  <c r="B326" i="1"/>
  <c r="A326" i="1" s="1"/>
  <c r="B327" i="1"/>
  <c r="A327" i="1" s="1"/>
  <c r="B328" i="1"/>
  <c r="A328" i="1" s="1"/>
  <c r="B329" i="1"/>
  <c r="A329" i="1" s="1"/>
  <c r="B330" i="1"/>
  <c r="A330" i="1" s="1"/>
  <c r="B331" i="1"/>
  <c r="A331" i="1" s="1"/>
  <c r="B332" i="1"/>
  <c r="A332" i="1" s="1"/>
  <c r="B333" i="1"/>
  <c r="A333" i="1" s="1"/>
  <c r="B334" i="1"/>
  <c r="A334" i="1" s="1"/>
  <c r="B335" i="1"/>
  <c r="A335" i="1" s="1"/>
  <c r="B336" i="1"/>
  <c r="A336" i="1" s="1"/>
  <c r="B337" i="1"/>
  <c r="A337" i="1" s="1"/>
  <c r="B338" i="1"/>
  <c r="A338" i="1" s="1"/>
  <c r="B339" i="1"/>
  <c r="A339" i="1" s="1"/>
  <c r="B340" i="1"/>
  <c r="A340" i="1" s="1"/>
  <c r="B341" i="1"/>
  <c r="A341" i="1" s="1"/>
  <c r="B342" i="1"/>
  <c r="A342" i="1" s="1"/>
  <c r="B343" i="1"/>
  <c r="A343" i="1" s="1"/>
  <c r="B344" i="1"/>
  <c r="A344" i="1" s="1"/>
  <c r="B345" i="1"/>
  <c r="A345" i="1" s="1"/>
  <c r="B346" i="1"/>
  <c r="A346" i="1" s="1"/>
  <c r="B347" i="1"/>
  <c r="A347" i="1" s="1"/>
  <c r="B348" i="1"/>
  <c r="A348" i="1" s="1"/>
  <c r="B349" i="1"/>
  <c r="A349" i="1" s="1"/>
  <c r="B350" i="1"/>
  <c r="A350" i="1" s="1"/>
  <c r="B351" i="1"/>
  <c r="A351" i="1" s="1"/>
  <c r="B352" i="1"/>
  <c r="A352" i="1" s="1"/>
  <c r="B353" i="1"/>
  <c r="A353" i="1" s="1"/>
  <c r="B354" i="1"/>
  <c r="A354" i="1" s="1"/>
  <c r="B355" i="1"/>
  <c r="A355" i="1" s="1"/>
  <c r="B356" i="1"/>
  <c r="A356" i="1" s="1"/>
  <c r="B357" i="1"/>
  <c r="A357" i="1" s="1"/>
  <c r="B358" i="1"/>
  <c r="A358" i="1" s="1"/>
  <c r="B359" i="1"/>
  <c r="A359" i="1" s="1"/>
  <c r="B360" i="1"/>
  <c r="A360" i="1" s="1"/>
  <c r="B361" i="1"/>
  <c r="A361" i="1" s="1"/>
  <c r="B362" i="1"/>
  <c r="A362" i="1" s="1"/>
  <c r="B363" i="1"/>
  <c r="A363" i="1" s="1"/>
  <c r="B364" i="1"/>
  <c r="B365" i="1"/>
  <c r="A365" i="1" s="1"/>
  <c r="B366" i="1"/>
  <c r="A366" i="1" s="1"/>
  <c r="B367" i="1"/>
  <c r="A367" i="1" s="1"/>
  <c r="B368" i="1"/>
  <c r="A368" i="1" s="1"/>
  <c r="B369" i="1"/>
  <c r="A369" i="1" s="1"/>
  <c r="B370" i="1"/>
  <c r="A370" i="1" s="1"/>
  <c r="B371" i="1"/>
  <c r="A371" i="1" s="1"/>
  <c r="B372" i="1"/>
  <c r="A372" i="1" s="1"/>
  <c r="B373" i="1"/>
  <c r="A373" i="1" s="1"/>
  <c r="B374" i="1"/>
  <c r="A374" i="1" s="1"/>
  <c r="B375" i="1"/>
  <c r="A375" i="1" s="1"/>
  <c r="B376" i="1"/>
  <c r="A376" i="1" s="1"/>
  <c r="B377" i="1"/>
  <c r="A377" i="1" s="1"/>
  <c r="B378" i="1"/>
  <c r="A378" i="1" s="1"/>
  <c r="B379" i="1"/>
  <c r="A379" i="1" s="1"/>
  <c r="B380" i="1"/>
  <c r="A380" i="1" s="1"/>
  <c r="B381" i="1"/>
  <c r="A381" i="1" s="1"/>
  <c r="B382" i="1"/>
  <c r="A382" i="1" s="1"/>
  <c r="B383" i="1"/>
  <c r="A383" i="1" s="1"/>
  <c r="B384" i="1"/>
  <c r="A384" i="1" s="1"/>
  <c r="B385" i="1"/>
  <c r="A385" i="1" s="1"/>
  <c r="B386" i="1"/>
  <c r="A386" i="1" s="1"/>
  <c r="B387" i="1"/>
  <c r="A387" i="1" s="1"/>
  <c r="B388" i="1"/>
  <c r="A388" i="1" s="1"/>
  <c r="B389" i="1"/>
  <c r="A389" i="1" s="1"/>
  <c r="B390" i="1"/>
  <c r="A390" i="1" s="1"/>
  <c r="B391" i="1"/>
  <c r="A391" i="1" s="1"/>
  <c r="B392" i="1"/>
  <c r="A392" i="1" s="1"/>
  <c r="B393" i="1"/>
  <c r="A393" i="1" s="1"/>
  <c r="B394" i="1"/>
  <c r="A394" i="1" s="1"/>
  <c r="B395" i="1"/>
  <c r="A395" i="1" s="1"/>
  <c r="B396" i="1"/>
  <c r="A396" i="1" s="1"/>
  <c r="B397" i="1"/>
  <c r="A397" i="1" s="1"/>
  <c r="B398" i="1"/>
  <c r="A398" i="1" s="1"/>
  <c r="B399" i="1"/>
  <c r="A399" i="1" s="1"/>
  <c r="B400" i="1"/>
  <c r="A400" i="1" s="1"/>
  <c r="B401" i="1"/>
  <c r="A401" i="1" s="1"/>
  <c r="B402" i="1"/>
  <c r="A402" i="1" s="1"/>
  <c r="B403" i="1"/>
  <c r="A403" i="1" s="1"/>
  <c r="B404" i="1"/>
  <c r="A404" i="1" s="1"/>
  <c r="B405" i="1"/>
  <c r="A405" i="1" s="1"/>
  <c r="B406" i="1"/>
  <c r="A406" i="1" s="1"/>
  <c r="B407" i="1"/>
  <c r="A407" i="1" s="1"/>
  <c r="B408" i="1"/>
  <c r="A408" i="1" s="1"/>
  <c r="B409" i="1"/>
  <c r="A409" i="1" s="1"/>
  <c r="B410" i="1"/>
  <c r="A410" i="1" s="1"/>
  <c r="B411" i="1"/>
  <c r="A411" i="1" s="1"/>
  <c r="B412" i="1"/>
  <c r="A412" i="1" s="1"/>
  <c r="B413" i="1"/>
  <c r="A413" i="1" s="1"/>
  <c r="B414" i="1"/>
  <c r="A414" i="1" s="1"/>
  <c r="B415" i="1"/>
  <c r="A415" i="1" s="1"/>
  <c r="B416" i="1"/>
  <c r="A416" i="1" s="1"/>
  <c r="B417" i="1"/>
  <c r="A417" i="1" s="1"/>
  <c r="B418" i="1"/>
  <c r="A418" i="1" s="1"/>
  <c r="B419" i="1"/>
  <c r="A419" i="1" s="1"/>
  <c r="B420" i="1"/>
  <c r="A420" i="1" s="1"/>
  <c r="B421" i="1"/>
  <c r="A421" i="1" s="1"/>
  <c r="B422" i="1"/>
  <c r="A422" i="1" s="1"/>
  <c r="B423" i="1"/>
  <c r="A423" i="1" s="1"/>
  <c r="B424" i="1"/>
  <c r="A424" i="1" s="1"/>
  <c r="B425" i="1"/>
  <c r="A425" i="1" s="1"/>
  <c r="B426" i="1"/>
  <c r="A426" i="1" s="1"/>
  <c r="B427" i="1"/>
  <c r="A427" i="1" s="1"/>
  <c r="B428" i="1"/>
  <c r="A428" i="1" s="1"/>
  <c r="B429" i="1"/>
  <c r="A429" i="1" s="1"/>
  <c r="B430" i="1"/>
  <c r="A430" i="1" s="1"/>
  <c r="B431" i="1"/>
  <c r="A431" i="1" s="1"/>
  <c r="B432" i="1"/>
  <c r="A432" i="1" s="1"/>
  <c r="B433" i="1"/>
  <c r="A433" i="1" s="1"/>
  <c r="B434" i="1"/>
  <c r="A434" i="1" s="1"/>
  <c r="B435" i="1"/>
  <c r="A435" i="1" s="1"/>
  <c r="B436" i="1"/>
  <c r="A436" i="1" s="1"/>
  <c r="B437" i="1"/>
  <c r="A437" i="1" s="1"/>
  <c r="B438" i="1"/>
  <c r="A438" i="1" s="1"/>
  <c r="B439" i="1"/>
  <c r="A439" i="1" s="1"/>
  <c r="B440" i="1"/>
  <c r="A440" i="1" s="1"/>
  <c r="B441" i="1"/>
  <c r="A441" i="1" s="1"/>
  <c r="B442" i="1"/>
  <c r="A442" i="1" s="1"/>
  <c r="B443" i="1"/>
  <c r="A443" i="1" s="1"/>
  <c r="B444" i="1"/>
  <c r="B445" i="1"/>
  <c r="A445" i="1" s="1"/>
  <c r="B446" i="1"/>
  <c r="A446" i="1" s="1"/>
  <c r="B447" i="1"/>
  <c r="A447" i="1" s="1"/>
  <c r="B448" i="1"/>
  <c r="A448" i="1" s="1"/>
  <c r="B449" i="1"/>
  <c r="A449" i="1" s="1"/>
  <c r="B450" i="1"/>
  <c r="A450" i="1" s="1"/>
  <c r="B451" i="1"/>
  <c r="A451" i="1" s="1"/>
  <c r="B452" i="1"/>
  <c r="A452" i="1" s="1"/>
  <c r="B453" i="1"/>
  <c r="A453" i="1" s="1"/>
  <c r="B454" i="1"/>
  <c r="A454" i="1" s="1"/>
  <c r="B455" i="1"/>
  <c r="A455" i="1" s="1"/>
  <c r="B456" i="1"/>
  <c r="A456" i="1" s="1"/>
  <c r="B457" i="1"/>
  <c r="A457" i="1" s="1"/>
  <c r="B458" i="1"/>
  <c r="A458" i="1" s="1"/>
  <c r="B459" i="1"/>
  <c r="A459" i="1" s="1"/>
  <c r="B460" i="1"/>
  <c r="A460" i="1" s="1"/>
  <c r="B461" i="1"/>
  <c r="A461" i="1" s="1"/>
  <c r="B462" i="1"/>
  <c r="A462" i="1" s="1"/>
  <c r="B463" i="1"/>
  <c r="A463" i="1" s="1"/>
  <c r="B464" i="1"/>
  <c r="A464" i="1" s="1"/>
  <c r="B465" i="1"/>
  <c r="A465" i="1" s="1"/>
  <c r="B466" i="1"/>
  <c r="A466" i="1" s="1"/>
  <c r="B467" i="1"/>
  <c r="A467" i="1" s="1"/>
  <c r="B468" i="1"/>
  <c r="A468" i="1" s="1"/>
  <c r="B469" i="1"/>
  <c r="A469" i="1" s="1"/>
  <c r="B470" i="1"/>
  <c r="A470" i="1" s="1"/>
  <c r="B471" i="1"/>
  <c r="A471" i="1" s="1"/>
  <c r="B472" i="1"/>
  <c r="A472" i="1" s="1"/>
  <c r="B473" i="1"/>
  <c r="A473" i="1" s="1"/>
  <c r="B474" i="1"/>
  <c r="A474" i="1" s="1"/>
  <c r="B475" i="1"/>
  <c r="A475" i="1" s="1"/>
  <c r="B476" i="1"/>
  <c r="A476" i="1" s="1"/>
  <c r="B477" i="1"/>
  <c r="A477" i="1" s="1"/>
  <c r="B478" i="1"/>
  <c r="A478" i="1" s="1"/>
  <c r="B479" i="1"/>
  <c r="A479" i="1" s="1"/>
  <c r="B480" i="1"/>
  <c r="A480" i="1" s="1"/>
  <c r="B481" i="1"/>
  <c r="A481" i="1" s="1"/>
  <c r="B482" i="1"/>
  <c r="A482" i="1" s="1"/>
  <c r="B483" i="1"/>
  <c r="A483" i="1" s="1"/>
  <c r="B484" i="1"/>
  <c r="A484" i="1" s="1"/>
  <c r="B485" i="1"/>
  <c r="A485" i="1" s="1"/>
  <c r="B486" i="1"/>
  <c r="A486" i="1" s="1"/>
  <c r="B487" i="1"/>
  <c r="A487" i="1" s="1"/>
  <c r="B488" i="1"/>
  <c r="A488" i="1" s="1"/>
  <c r="B489" i="1"/>
  <c r="A489" i="1" s="1"/>
  <c r="B490" i="1"/>
  <c r="A490" i="1" s="1"/>
  <c r="B491" i="1"/>
  <c r="A491" i="1" s="1"/>
  <c r="B492" i="1"/>
  <c r="A492" i="1" s="1"/>
  <c r="B493" i="1"/>
  <c r="A493" i="1" s="1"/>
  <c r="B494" i="1"/>
  <c r="A494" i="1" s="1"/>
  <c r="B495" i="1"/>
  <c r="A495" i="1" s="1"/>
  <c r="B496" i="1"/>
  <c r="A496" i="1" s="1"/>
  <c r="B497" i="1"/>
  <c r="A497" i="1" s="1"/>
  <c r="B498" i="1"/>
  <c r="A498" i="1" s="1"/>
  <c r="B499" i="1"/>
  <c r="A499" i="1" s="1"/>
  <c r="B500" i="1"/>
  <c r="A500" i="1" s="1"/>
  <c r="B501" i="1"/>
  <c r="A501" i="1" s="1"/>
  <c r="B502" i="1"/>
  <c r="A502" i="1" s="1"/>
  <c r="B503" i="1"/>
  <c r="A503" i="1" s="1"/>
  <c r="B504" i="1"/>
  <c r="A504" i="1" s="1"/>
  <c r="B505" i="1"/>
  <c r="A505" i="1" s="1"/>
  <c r="B506" i="1"/>
  <c r="A506" i="1" s="1"/>
  <c r="B507" i="1"/>
  <c r="A507" i="1" s="1"/>
  <c r="B508" i="1"/>
  <c r="B509" i="1"/>
  <c r="A509" i="1" s="1"/>
  <c r="B510" i="1"/>
  <c r="A510" i="1" s="1"/>
  <c r="B511" i="1"/>
  <c r="A511" i="1" s="1"/>
  <c r="B512" i="1"/>
  <c r="A512" i="1" s="1"/>
  <c r="B513" i="1"/>
  <c r="A513" i="1" s="1"/>
  <c r="B514" i="1"/>
  <c r="A514" i="1" s="1"/>
  <c r="B515" i="1"/>
  <c r="A515" i="1" s="1"/>
  <c r="B516" i="1"/>
  <c r="A516" i="1" s="1"/>
  <c r="B517" i="1"/>
  <c r="A517" i="1" s="1"/>
  <c r="B518" i="1"/>
  <c r="A518" i="1" s="1"/>
  <c r="B519" i="1"/>
  <c r="A519" i="1" s="1"/>
  <c r="B520" i="1"/>
  <c r="A520" i="1" s="1"/>
  <c r="B521" i="1"/>
  <c r="A521" i="1" s="1"/>
  <c r="B522" i="1"/>
  <c r="A522" i="1" s="1"/>
  <c r="B523" i="1"/>
  <c r="A523" i="1" s="1"/>
  <c r="B524" i="1"/>
  <c r="A524" i="1" s="1"/>
  <c r="B525" i="1"/>
  <c r="A525" i="1" s="1"/>
  <c r="B526" i="1"/>
  <c r="A526" i="1" s="1"/>
  <c r="B527" i="1"/>
  <c r="A527" i="1" s="1"/>
  <c r="B528" i="1"/>
  <c r="A528" i="1" s="1"/>
  <c r="B529" i="1"/>
  <c r="A529" i="1" s="1"/>
  <c r="B530" i="1"/>
  <c r="A530" i="1" s="1"/>
  <c r="B531" i="1"/>
  <c r="A531" i="1" s="1"/>
  <c r="B532" i="1"/>
  <c r="A532" i="1" s="1"/>
  <c r="B533" i="1"/>
  <c r="A533" i="1" s="1"/>
  <c r="B534" i="1"/>
  <c r="A534" i="1" s="1"/>
  <c r="B535" i="1"/>
  <c r="A535" i="1" s="1"/>
  <c r="B536" i="1"/>
  <c r="A536" i="1" s="1"/>
  <c r="B537" i="1"/>
  <c r="A537" i="1" s="1"/>
  <c r="B538" i="1"/>
  <c r="A538" i="1" s="1"/>
  <c r="B539" i="1"/>
  <c r="A539" i="1" s="1"/>
  <c r="B540" i="1"/>
  <c r="A540" i="1" s="1"/>
  <c r="B541" i="1"/>
  <c r="A541" i="1" s="1"/>
  <c r="B542" i="1"/>
  <c r="A542" i="1" s="1"/>
  <c r="B543" i="1"/>
  <c r="A543" i="1" s="1"/>
  <c r="B544" i="1"/>
  <c r="A544" i="1" s="1"/>
  <c r="B545" i="1"/>
  <c r="A545" i="1" s="1"/>
  <c r="B546" i="1"/>
  <c r="A546" i="1" s="1"/>
  <c r="B547" i="1"/>
  <c r="A547" i="1" s="1"/>
  <c r="B548" i="1"/>
  <c r="A548" i="1" s="1"/>
  <c r="B549" i="1"/>
  <c r="A549" i="1" s="1"/>
  <c r="B550" i="1"/>
  <c r="A550" i="1" s="1"/>
  <c r="B551" i="1"/>
  <c r="A551" i="1" s="1"/>
  <c r="B552" i="1"/>
  <c r="A552" i="1" s="1"/>
  <c r="B553" i="1"/>
  <c r="A553" i="1" s="1"/>
  <c r="B554" i="1"/>
  <c r="A554" i="1" s="1"/>
  <c r="B555" i="1"/>
  <c r="A555" i="1" s="1"/>
  <c r="B556" i="1"/>
  <c r="A556" i="1" s="1"/>
  <c r="B557" i="1"/>
  <c r="A557" i="1" s="1"/>
  <c r="B558" i="1"/>
  <c r="A558" i="1" s="1"/>
  <c r="B559" i="1"/>
  <c r="A559" i="1" s="1"/>
  <c r="B560" i="1"/>
  <c r="A560" i="1" s="1"/>
  <c r="B561" i="1"/>
  <c r="A561" i="1" s="1"/>
  <c r="B562" i="1"/>
  <c r="A562" i="1" s="1"/>
  <c r="B563" i="1"/>
  <c r="A563" i="1" s="1"/>
  <c r="B564" i="1"/>
  <c r="A564" i="1" s="1"/>
  <c r="B565" i="1"/>
  <c r="A565" i="1" s="1"/>
  <c r="B566" i="1"/>
  <c r="A566" i="1" s="1"/>
  <c r="B567" i="1"/>
  <c r="A567" i="1" s="1"/>
  <c r="B568" i="1"/>
  <c r="A568" i="1" s="1"/>
  <c r="B569" i="1"/>
  <c r="A569" i="1" s="1"/>
  <c r="B570" i="1"/>
  <c r="A570" i="1" s="1"/>
  <c r="B571" i="1"/>
  <c r="A571" i="1" s="1"/>
  <c r="B572" i="1"/>
  <c r="B573" i="1"/>
  <c r="A573" i="1" s="1"/>
  <c r="B574" i="1"/>
  <c r="A574" i="1" s="1"/>
  <c r="B575" i="1"/>
  <c r="A575" i="1" s="1"/>
  <c r="B576" i="1"/>
  <c r="A576" i="1" s="1"/>
  <c r="B577" i="1"/>
  <c r="A577" i="1" s="1"/>
  <c r="B578" i="1"/>
  <c r="A578" i="1" s="1"/>
  <c r="B579" i="1"/>
  <c r="A579" i="1" s="1"/>
  <c r="B580" i="1"/>
  <c r="A580" i="1" s="1"/>
  <c r="B581" i="1"/>
  <c r="A581" i="1" s="1"/>
  <c r="B582" i="1"/>
  <c r="A582" i="1" s="1"/>
  <c r="B583" i="1"/>
  <c r="A583" i="1" s="1"/>
  <c r="B584" i="1"/>
  <c r="A584" i="1" s="1"/>
  <c r="B585" i="1"/>
  <c r="A585" i="1" s="1"/>
  <c r="B586" i="1"/>
  <c r="A586" i="1" s="1"/>
  <c r="B587" i="1"/>
  <c r="A587" i="1" s="1"/>
  <c r="B588" i="1"/>
  <c r="A588" i="1" s="1"/>
  <c r="B589" i="1"/>
  <c r="A589" i="1" s="1"/>
  <c r="B590" i="1"/>
  <c r="A590" i="1" s="1"/>
  <c r="B591" i="1"/>
  <c r="A591" i="1" s="1"/>
  <c r="B592" i="1"/>
  <c r="A592" i="1" s="1"/>
  <c r="B593" i="1"/>
  <c r="A593" i="1" s="1"/>
  <c r="B594" i="1"/>
  <c r="A594" i="1" s="1"/>
  <c r="B595" i="1"/>
  <c r="A595" i="1" s="1"/>
  <c r="B596" i="1"/>
  <c r="A596" i="1" s="1"/>
  <c r="B597" i="1"/>
  <c r="A597" i="1" s="1"/>
  <c r="B598" i="1"/>
  <c r="A598" i="1" s="1"/>
  <c r="B599" i="1"/>
  <c r="A599" i="1" s="1"/>
  <c r="B600" i="1"/>
  <c r="A600" i="1" s="1"/>
  <c r="B601" i="1"/>
  <c r="A601" i="1" s="1"/>
  <c r="B602" i="1"/>
  <c r="A602" i="1" s="1"/>
  <c r="B603" i="1"/>
  <c r="A603" i="1" s="1"/>
  <c r="B604" i="1"/>
  <c r="A604" i="1" s="1"/>
  <c r="B605" i="1"/>
  <c r="A605" i="1" s="1"/>
  <c r="B606" i="1"/>
  <c r="A606" i="1" s="1"/>
  <c r="B607" i="1"/>
  <c r="A607" i="1" s="1"/>
  <c r="B608" i="1"/>
  <c r="A608" i="1" s="1"/>
  <c r="B609" i="1"/>
  <c r="A609" i="1" s="1"/>
  <c r="B610" i="1"/>
  <c r="A610" i="1" s="1"/>
  <c r="B611" i="1"/>
  <c r="A611" i="1" s="1"/>
  <c r="B612" i="1"/>
  <c r="A612" i="1" s="1"/>
  <c r="B613" i="1"/>
  <c r="A613" i="1" s="1"/>
  <c r="B614" i="1"/>
  <c r="A614" i="1" s="1"/>
  <c r="B615" i="1"/>
  <c r="A615" i="1" s="1"/>
  <c r="B616" i="1"/>
  <c r="A616" i="1" s="1"/>
  <c r="B617" i="1"/>
  <c r="A617" i="1" s="1"/>
  <c r="B618" i="1"/>
  <c r="A618" i="1" s="1"/>
  <c r="B619" i="1"/>
  <c r="A619" i="1" s="1"/>
  <c r="B620" i="1"/>
  <c r="A620" i="1" s="1"/>
  <c r="B621" i="1"/>
  <c r="A621" i="1" s="1"/>
  <c r="B703" i="1"/>
  <c r="A703" i="1" s="1"/>
  <c r="B704" i="1"/>
  <c r="A704" i="1" s="1"/>
  <c r="B1041" i="1"/>
  <c r="A1041" i="1" s="1"/>
  <c r="B1198" i="1"/>
  <c r="A1198" i="1" s="1"/>
  <c r="B693" i="1"/>
  <c r="A693" i="1" s="1"/>
  <c r="B694" i="1"/>
  <c r="A694" i="1" s="1"/>
  <c r="B697" i="1"/>
  <c r="A697" i="1" s="1"/>
  <c r="B1199" i="1"/>
  <c r="A1199" i="1" s="1"/>
  <c r="B1200" i="1"/>
  <c r="A1200" i="1" s="1"/>
  <c r="B1201" i="1"/>
  <c r="A1201" i="1" s="1"/>
  <c r="B1202" i="1"/>
  <c r="A1202" i="1" s="1"/>
  <c r="B1203" i="1"/>
  <c r="A1203" i="1" s="1"/>
  <c r="B698" i="1"/>
  <c r="A698" i="1" s="1"/>
  <c r="B1204" i="1"/>
  <c r="A1204" i="1" s="1"/>
  <c r="B1205" i="1"/>
  <c r="B1206" i="1"/>
  <c r="A1206" i="1" s="1"/>
  <c r="B1024" i="1"/>
  <c r="A1024" i="1" s="1"/>
  <c r="B691" i="1"/>
  <c r="A691" i="1" s="1"/>
  <c r="B1207" i="1"/>
  <c r="A1207" i="1" s="1"/>
  <c r="B695" i="1"/>
  <c r="A695" i="1" s="1"/>
  <c r="B1208" i="1"/>
  <c r="A1208" i="1" s="1"/>
  <c r="B708" i="1"/>
  <c r="A708" i="1" s="1"/>
  <c r="B709" i="1"/>
  <c r="A709" i="1" s="1"/>
  <c r="B682" i="1"/>
  <c r="A682" i="1" s="1"/>
  <c r="B685" i="1"/>
  <c r="A685" i="1" s="1"/>
  <c r="B1209" i="1"/>
  <c r="A1209" i="1" s="1"/>
  <c r="B1210" i="1"/>
  <c r="A1210" i="1" s="1"/>
  <c r="B1211" i="1"/>
  <c r="A1211" i="1" s="1"/>
  <c r="B1212" i="1"/>
  <c r="A1212" i="1" s="1"/>
  <c r="B1002" i="1"/>
  <c r="A1002" i="1" s="1"/>
  <c r="B1027" i="1"/>
  <c r="A1027" i="1" s="1"/>
  <c r="B1025" i="1"/>
  <c r="A1025" i="1" s="1"/>
  <c r="B1213" i="1"/>
  <c r="A1213" i="1" s="1"/>
  <c r="B1214" i="1"/>
  <c r="A1214" i="1" s="1"/>
  <c r="B1215" i="1"/>
  <c r="A1215" i="1" s="1"/>
  <c r="B687" i="1"/>
  <c r="A687" i="1" s="1"/>
  <c r="B688" i="1"/>
  <c r="A688" i="1" s="1"/>
  <c r="B723" i="1"/>
  <c r="A723" i="1" s="1"/>
  <c r="B689" i="1"/>
  <c r="A689" i="1" s="1"/>
  <c r="B683" i="1"/>
  <c r="A683" i="1" s="1"/>
  <c r="B690" i="1"/>
  <c r="A690" i="1" s="1"/>
  <c r="B701" i="1"/>
  <c r="A701" i="1" s="1"/>
  <c r="B1003" i="1"/>
  <c r="A1003" i="1" s="1"/>
  <c r="B1216" i="1"/>
  <c r="A1216" i="1" s="1"/>
  <c r="B993" i="1"/>
  <c r="A993" i="1" s="1"/>
  <c r="B722" i="1"/>
  <c r="A722" i="1" s="1"/>
  <c r="B718" i="1"/>
  <c r="A718" i="1" s="1"/>
  <c r="B663" i="1"/>
  <c r="A663" i="1" s="1"/>
  <c r="B996" i="1"/>
  <c r="A996" i="1" s="1"/>
  <c r="B1217" i="1"/>
  <c r="A1217" i="1" s="1"/>
  <c r="B1018" i="1"/>
  <c r="A1018" i="1" s="1"/>
  <c r="B1218" i="1"/>
  <c r="A1218" i="1" s="1"/>
  <c r="B1029" i="1"/>
  <c r="A1029" i="1" s="1"/>
  <c r="B1219" i="1"/>
  <c r="A1219" i="1" s="1"/>
  <c r="B659" i="1"/>
  <c r="A659" i="1" s="1"/>
  <c r="B1220" i="1"/>
  <c r="A1220" i="1" s="1"/>
  <c r="B664" i="1"/>
  <c r="A664" i="1" s="1"/>
  <c r="B656" i="1"/>
  <c r="A656" i="1" s="1"/>
  <c r="B660" i="1"/>
  <c r="A660" i="1" s="1"/>
  <c r="B699" i="1"/>
  <c r="A699" i="1" s="1"/>
  <c r="B657" i="1"/>
  <c r="A657" i="1" s="1"/>
  <c r="B661" i="1"/>
  <c r="A661" i="1" s="1"/>
  <c r="B1221" i="1"/>
  <c r="A1221" i="1" s="1"/>
  <c r="B710" i="1"/>
  <c r="A710" i="1" s="1"/>
  <c r="B726" i="1"/>
  <c r="A726" i="1" s="1"/>
  <c r="B711" i="1"/>
  <c r="A711" i="1" s="1"/>
  <c r="B705" i="1"/>
  <c r="A705" i="1" s="1"/>
  <c r="B706" i="1"/>
  <c r="A706" i="1" s="1"/>
  <c r="B702" i="1"/>
  <c r="A702" i="1" s="1"/>
  <c r="B712" i="1"/>
  <c r="A712" i="1" s="1"/>
  <c r="B716" i="1"/>
  <c r="A716" i="1" s="1"/>
  <c r="B717" i="1"/>
  <c r="A717" i="1" s="1"/>
  <c r="B719" i="1"/>
  <c r="A719" i="1" s="1"/>
  <c r="B1222" i="1"/>
  <c r="A1222" i="1" s="1"/>
  <c r="B1223" i="1"/>
  <c r="A1223" i="1" s="1"/>
  <c r="B721" i="1"/>
  <c r="A721" i="1" s="1"/>
  <c r="B1224" i="1"/>
  <c r="A1224" i="1" s="1"/>
  <c r="B1225" i="1"/>
  <c r="A1225" i="1" s="1"/>
  <c r="B1038" i="1"/>
  <c r="A1038" i="1" s="1"/>
  <c r="B999" i="1"/>
  <c r="A999" i="1" s="1"/>
  <c r="B1226" i="1"/>
  <c r="A1226" i="1" s="1"/>
  <c r="B1227" i="1"/>
  <c r="A1227" i="1" s="1"/>
  <c r="B1228" i="1"/>
  <c r="A1228" i="1" s="1"/>
  <c r="B1229" i="1"/>
  <c r="A1229" i="1" s="1"/>
  <c r="B1000" i="1"/>
  <c r="A1000" i="1" s="1"/>
  <c r="B1007" i="1"/>
  <c r="A1007" i="1" s="1"/>
  <c r="B1014" i="1"/>
  <c r="A1014" i="1" s="1"/>
  <c r="B1009" i="1"/>
  <c r="A1009" i="1" s="1"/>
  <c r="B1230" i="1"/>
  <c r="A1230" i="1" s="1"/>
  <c r="B1231" i="1"/>
  <c r="A1231" i="1" s="1"/>
  <c r="B1013" i="1"/>
  <c r="A1013" i="1" s="1"/>
  <c r="B1232" i="1"/>
  <c r="A1232" i="1" s="1"/>
  <c r="B1033" i="1"/>
  <c r="A1033" i="1" s="1"/>
  <c r="B1233" i="1"/>
  <c r="A1233" i="1" s="1"/>
  <c r="B1001" i="1"/>
  <c r="A1001" i="1" s="1"/>
  <c r="B1234" i="1"/>
  <c r="A1234" i="1" s="1"/>
  <c r="B1235" i="1"/>
  <c r="A1235" i="1" s="1"/>
  <c r="B1035" i="1"/>
  <c r="A1035" i="1" s="1"/>
  <c r="B724" i="1"/>
  <c r="A724" i="1" s="1"/>
  <c r="B1236" i="1"/>
  <c r="A1236" i="1" s="1"/>
  <c r="B1237" i="1"/>
  <c r="A1237" i="1" s="1"/>
  <c r="B1238" i="1"/>
  <c r="A1238" i="1" s="1"/>
  <c r="B1239" i="1"/>
  <c r="A1239" i="1" s="1"/>
  <c r="B725" i="1"/>
  <c r="A725" i="1" s="1"/>
  <c r="B1240" i="1"/>
  <c r="A1240" i="1" s="1"/>
  <c r="B727" i="1"/>
  <c r="A727" i="1" s="1"/>
  <c r="B728" i="1"/>
  <c r="A728" i="1" s="1"/>
  <c r="B729" i="1"/>
  <c r="A729" i="1" s="1"/>
  <c r="B730" i="1"/>
  <c r="A730" i="1" s="1"/>
  <c r="B731" i="1"/>
  <c r="A731" i="1" s="1"/>
  <c r="B732" i="1"/>
  <c r="A732" i="1" s="1"/>
  <c r="B733" i="1"/>
  <c r="A733" i="1" s="1"/>
  <c r="B734" i="1"/>
  <c r="A734" i="1" s="1"/>
  <c r="B735" i="1"/>
  <c r="A735" i="1" s="1"/>
  <c r="B736" i="1"/>
  <c r="A736" i="1" s="1"/>
  <c r="B737" i="1"/>
  <c r="A737" i="1" s="1"/>
  <c r="B738" i="1"/>
  <c r="A738" i="1" s="1"/>
  <c r="B739" i="1"/>
  <c r="A739" i="1" s="1"/>
  <c r="B740" i="1"/>
  <c r="A740" i="1" s="1"/>
  <c r="B741" i="1"/>
  <c r="A741" i="1" s="1"/>
  <c r="B742" i="1"/>
  <c r="A742" i="1" s="1"/>
  <c r="B743" i="1"/>
  <c r="A743" i="1" s="1"/>
  <c r="B744" i="1"/>
  <c r="A744" i="1" s="1"/>
  <c r="B745" i="1"/>
  <c r="A745" i="1" s="1"/>
  <c r="B746" i="1"/>
  <c r="A746" i="1" s="1"/>
  <c r="B747" i="1"/>
  <c r="A747" i="1" s="1"/>
  <c r="B748" i="1"/>
  <c r="A748" i="1" s="1"/>
  <c r="B749" i="1"/>
  <c r="A749" i="1" s="1"/>
  <c r="B750" i="1"/>
  <c r="A750" i="1" s="1"/>
  <c r="B751" i="1"/>
  <c r="A751" i="1" s="1"/>
  <c r="B752" i="1"/>
  <c r="A752" i="1" s="1"/>
  <c r="B753" i="1"/>
  <c r="A753" i="1" s="1"/>
  <c r="B754" i="1"/>
  <c r="A754" i="1" s="1"/>
  <c r="B755" i="1"/>
  <c r="A755" i="1" s="1"/>
  <c r="B756" i="1"/>
  <c r="A756" i="1" s="1"/>
  <c r="B757" i="1"/>
  <c r="A757" i="1" s="1"/>
  <c r="B758" i="1"/>
  <c r="A758" i="1" s="1"/>
  <c r="B759" i="1"/>
  <c r="A759" i="1" s="1"/>
  <c r="B760" i="1"/>
  <c r="A760" i="1" s="1"/>
  <c r="B761" i="1"/>
  <c r="A761" i="1" s="1"/>
  <c r="B762" i="1"/>
  <c r="A762" i="1" s="1"/>
  <c r="B763" i="1"/>
  <c r="A763" i="1" s="1"/>
  <c r="B764" i="1"/>
  <c r="A764" i="1" s="1"/>
  <c r="B765" i="1"/>
  <c r="A765" i="1" s="1"/>
  <c r="B766" i="1"/>
  <c r="A766" i="1" s="1"/>
  <c r="B767" i="1"/>
  <c r="A767" i="1" s="1"/>
  <c r="B768" i="1"/>
  <c r="A768" i="1" s="1"/>
  <c r="B769" i="1"/>
  <c r="A769" i="1" s="1"/>
  <c r="B770" i="1"/>
  <c r="A770" i="1" s="1"/>
  <c r="B771" i="1"/>
  <c r="A771" i="1" s="1"/>
  <c r="B772" i="1"/>
  <c r="A772" i="1" s="1"/>
  <c r="B773" i="1"/>
  <c r="A773" i="1" s="1"/>
  <c r="B774" i="1"/>
  <c r="A774" i="1" s="1"/>
  <c r="B775" i="1"/>
  <c r="A775" i="1" s="1"/>
  <c r="B776" i="1"/>
  <c r="A776" i="1" s="1"/>
  <c r="B777" i="1"/>
  <c r="A777" i="1" s="1"/>
  <c r="B778" i="1"/>
  <c r="A778" i="1" s="1"/>
  <c r="B779" i="1"/>
  <c r="A779" i="1" s="1"/>
  <c r="B780" i="1"/>
  <c r="A780" i="1" s="1"/>
  <c r="B781" i="1"/>
  <c r="A781" i="1" s="1"/>
  <c r="B782" i="1"/>
  <c r="A782" i="1" s="1"/>
  <c r="B783" i="1"/>
  <c r="A783" i="1" s="1"/>
  <c r="B784" i="1"/>
  <c r="A784" i="1" s="1"/>
  <c r="B785" i="1"/>
  <c r="A785" i="1" s="1"/>
  <c r="B786" i="1"/>
  <c r="A786" i="1" s="1"/>
  <c r="B787" i="1"/>
  <c r="A787" i="1" s="1"/>
  <c r="B788" i="1"/>
  <c r="A788" i="1" s="1"/>
  <c r="B789" i="1"/>
  <c r="A789" i="1" s="1"/>
  <c r="B790" i="1"/>
  <c r="A790" i="1" s="1"/>
  <c r="B791" i="1"/>
  <c r="A791" i="1" s="1"/>
  <c r="B792" i="1"/>
  <c r="A792" i="1" s="1"/>
  <c r="B793" i="1"/>
  <c r="A793" i="1" s="1"/>
  <c r="B794" i="1"/>
  <c r="A794" i="1" s="1"/>
  <c r="B795" i="1"/>
  <c r="A795" i="1" s="1"/>
  <c r="B796" i="1"/>
  <c r="A796" i="1" s="1"/>
  <c r="B797" i="1"/>
  <c r="A797" i="1" s="1"/>
  <c r="B798" i="1"/>
  <c r="A798" i="1" s="1"/>
  <c r="B799" i="1"/>
  <c r="A799" i="1" s="1"/>
  <c r="B800" i="1"/>
  <c r="A800" i="1" s="1"/>
  <c r="B801" i="1"/>
  <c r="A801" i="1" s="1"/>
  <c r="B802" i="1"/>
  <c r="A802" i="1" s="1"/>
  <c r="B803" i="1"/>
  <c r="A803" i="1" s="1"/>
  <c r="B804" i="1"/>
  <c r="A804" i="1" s="1"/>
  <c r="B805" i="1"/>
  <c r="A805" i="1" s="1"/>
  <c r="B806" i="1"/>
  <c r="A806" i="1" s="1"/>
  <c r="B807" i="1"/>
  <c r="A807" i="1" s="1"/>
  <c r="B808" i="1"/>
  <c r="A808" i="1" s="1"/>
  <c r="B809" i="1"/>
  <c r="A809" i="1" s="1"/>
  <c r="B810" i="1"/>
  <c r="A810" i="1" s="1"/>
  <c r="B811" i="1"/>
  <c r="A811" i="1" s="1"/>
  <c r="B812" i="1"/>
  <c r="A812" i="1" s="1"/>
  <c r="B813" i="1"/>
  <c r="A813" i="1" s="1"/>
  <c r="B814" i="1"/>
  <c r="A814" i="1" s="1"/>
  <c r="B815" i="1"/>
  <c r="A815" i="1" s="1"/>
  <c r="B816" i="1"/>
  <c r="A816" i="1" s="1"/>
  <c r="B817" i="1"/>
  <c r="A817" i="1" s="1"/>
  <c r="B818" i="1"/>
  <c r="A818" i="1" s="1"/>
  <c r="B819" i="1"/>
  <c r="A819" i="1" s="1"/>
  <c r="B820" i="1"/>
  <c r="A820" i="1" s="1"/>
  <c r="B821" i="1"/>
  <c r="A821" i="1" s="1"/>
  <c r="B822" i="1"/>
  <c r="A822" i="1" s="1"/>
  <c r="B823" i="1"/>
  <c r="A823" i="1" s="1"/>
  <c r="B824" i="1"/>
  <c r="A824" i="1" s="1"/>
  <c r="B825" i="1"/>
  <c r="A825" i="1" s="1"/>
  <c r="B826" i="1"/>
  <c r="A826" i="1" s="1"/>
  <c r="B827" i="1"/>
  <c r="A827" i="1" s="1"/>
  <c r="B828" i="1"/>
  <c r="A828" i="1" s="1"/>
  <c r="B829" i="1"/>
  <c r="A829" i="1" s="1"/>
  <c r="B830" i="1"/>
  <c r="A830" i="1" s="1"/>
  <c r="B831" i="1"/>
  <c r="A831" i="1" s="1"/>
  <c r="B832" i="1"/>
  <c r="A832" i="1" s="1"/>
  <c r="B833" i="1"/>
  <c r="A833" i="1" s="1"/>
  <c r="B834" i="1"/>
  <c r="A834" i="1" s="1"/>
  <c r="B835" i="1"/>
  <c r="A835" i="1" s="1"/>
  <c r="B836" i="1"/>
  <c r="A836" i="1" s="1"/>
  <c r="B837" i="1"/>
  <c r="A837" i="1" s="1"/>
  <c r="B838" i="1"/>
  <c r="A838" i="1" s="1"/>
  <c r="B839" i="1"/>
  <c r="A839" i="1" s="1"/>
  <c r="B840" i="1"/>
  <c r="A840" i="1" s="1"/>
  <c r="B841" i="1"/>
  <c r="A841" i="1" s="1"/>
  <c r="B842" i="1"/>
  <c r="A842" i="1" s="1"/>
  <c r="B843" i="1"/>
  <c r="A843" i="1" s="1"/>
  <c r="B844" i="1"/>
  <c r="A844" i="1" s="1"/>
  <c r="B845" i="1"/>
  <c r="A845" i="1" s="1"/>
  <c r="B846" i="1"/>
  <c r="A846" i="1" s="1"/>
  <c r="B847" i="1"/>
  <c r="A847" i="1" s="1"/>
  <c r="B848" i="1"/>
  <c r="A848" i="1" s="1"/>
  <c r="B849" i="1"/>
  <c r="A849" i="1" s="1"/>
  <c r="B850" i="1"/>
  <c r="A850" i="1" s="1"/>
  <c r="B851" i="1"/>
  <c r="A851" i="1" s="1"/>
  <c r="B852" i="1"/>
  <c r="A852" i="1" s="1"/>
  <c r="B853" i="1"/>
  <c r="A853" i="1" s="1"/>
  <c r="B854" i="1"/>
  <c r="A854" i="1" s="1"/>
  <c r="B855" i="1"/>
  <c r="A855" i="1" s="1"/>
  <c r="B856" i="1"/>
  <c r="A856" i="1" s="1"/>
  <c r="B857" i="1"/>
  <c r="A857" i="1" s="1"/>
  <c r="B858" i="1"/>
  <c r="A858" i="1" s="1"/>
  <c r="B859" i="1"/>
  <c r="A859" i="1" s="1"/>
  <c r="B860" i="1"/>
  <c r="A860" i="1" s="1"/>
  <c r="B861" i="1"/>
  <c r="A861" i="1" s="1"/>
  <c r="B862" i="1"/>
  <c r="A862" i="1" s="1"/>
  <c r="B863" i="1"/>
  <c r="A863" i="1" s="1"/>
  <c r="B864" i="1"/>
  <c r="A864" i="1" s="1"/>
  <c r="B865" i="1"/>
  <c r="A865" i="1" s="1"/>
  <c r="B866" i="1"/>
  <c r="A866" i="1" s="1"/>
  <c r="B867" i="1"/>
  <c r="A867" i="1" s="1"/>
  <c r="B868" i="1"/>
  <c r="A868" i="1" s="1"/>
  <c r="B869" i="1"/>
  <c r="A869" i="1" s="1"/>
  <c r="B870" i="1"/>
  <c r="A870" i="1" s="1"/>
  <c r="B871" i="1"/>
  <c r="A871" i="1" s="1"/>
  <c r="B872" i="1"/>
  <c r="A872" i="1" s="1"/>
  <c r="B873" i="1"/>
  <c r="A873" i="1" s="1"/>
  <c r="B874" i="1"/>
  <c r="A874" i="1" s="1"/>
  <c r="B875" i="1"/>
  <c r="A875" i="1" s="1"/>
  <c r="B876" i="1"/>
  <c r="A876" i="1" s="1"/>
  <c r="B877" i="1"/>
  <c r="A877" i="1" s="1"/>
  <c r="B878" i="1"/>
  <c r="A878" i="1" s="1"/>
  <c r="B879" i="1"/>
  <c r="A879" i="1" s="1"/>
  <c r="B880" i="1"/>
  <c r="A880" i="1" s="1"/>
  <c r="B881" i="1"/>
  <c r="A881" i="1" s="1"/>
  <c r="B882" i="1"/>
  <c r="A882" i="1" s="1"/>
  <c r="B883" i="1"/>
  <c r="A883" i="1" s="1"/>
  <c r="B884" i="1"/>
  <c r="A884" i="1" s="1"/>
  <c r="B885" i="1"/>
  <c r="A885" i="1" s="1"/>
  <c r="B886" i="1"/>
  <c r="A886" i="1" s="1"/>
  <c r="B887" i="1"/>
  <c r="A887" i="1" s="1"/>
  <c r="B888" i="1"/>
  <c r="A888" i="1" s="1"/>
  <c r="B889" i="1"/>
  <c r="A889" i="1" s="1"/>
  <c r="B890" i="1"/>
  <c r="A890" i="1" s="1"/>
  <c r="B891" i="1"/>
  <c r="A891" i="1" s="1"/>
  <c r="B892" i="1"/>
  <c r="A892" i="1" s="1"/>
  <c r="B893" i="1"/>
  <c r="A893" i="1" s="1"/>
  <c r="B894" i="1"/>
  <c r="A894" i="1" s="1"/>
  <c r="B895" i="1"/>
  <c r="A895" i="1" s="1"/>
  <c r="B896" i="1"/>
  <c r="A896" i="1" s="1"/>
  <c r="B897" i="1"/>
  <c r="A897" i="1" s="1"/>
  <c r="B898" i="1"/>
  <c r="A898" i="1" s="1"/>
  <c r="B899" i="1"/>
  <c r="A899" i="1" s="1"/>
  <c r="B900" i="1"/>
  <c r="A900" i="1" s="1"/>
  <c r="B901" i="1"/>
  <c r="A901" i="1" s="1"/>
  <c r="B902" i="1"/>
  <c r="A902" i="1" s="1"/>
  <c r="B903" i="1"/>
  <c r="A903" i="1" s="1"/>
  <c r="B904" i="1"/>
  <c r="A904" i="1" s="1"/>
  <c r="B905" i="1"/>
  <c r="A905" i="1" s="1"/>
  <c r="B906" i="1"/>
  <c r="A906" i="1" s="1"/>
  <c r="B907" i="1"/>
  <c r="A907" i="1" s="1"/>
  <c r="B908" i="1"/>
  <c r="A908" i="1" s="1"/>
  <c r="B909" i="1"/>
  <c r="A909" i="1" s="1"/>
  <c r="B910" i="1"/>
  <c r="A910" i="1" s="1"/>
  <c r="B911" i="1"/>
  <c r="A911" i="1" s="1"/>
  <c r="B912" i="1"/>
  <c r="A912" i="1" s="1"/>
  <c r="B913" i="1"/>
  <c r="A913" i="1" s="1"/>
  <c r="B914" i="1"/>
  <c r="A914" i="1" s="1"/>
  <c r="B915" i="1"/>
  <c r="A915" i="1" s="1"/>
  <c r="B916" i="1"/>
  <c r="A916" i="1" s="1"/>
  <c r="B917" i="1"/>
  <c r="A917" i="1" s="1"/>
  <c r="B918" i="1"/>
  <c r="A918" i="1" s="1"/>
  <c r="B919" i="1"/>
  <c r="A919" i="1" s="1"/>
  <c r="B920" i="1"/>
  <c r="A920" i="1" s="1"/>
  <c r="B921" i="1"/>
  <c r="A921" i="1" s="1"/>
  <c r="B922" i="1"/>
  <c r="A922" i="1" s="1"/>
  <c r="B923" i="1"/>
  <c r="A923" i="1" s="1"/>
  <c r="B924" i="1"/>
  <c r="A924" i="1" s="1"/>
  <c r="B925" i="1"/>
  <c r="A925" i="1" s="1"/>
  <c r="B926" i="1"/>
  <c r="A926" i="1" s="1"/>
  <c r="B927" i="1"/>
  <c r="A927" i="1" s="1"/>
  <c r="B928" i="1"/>
  <c r="A928" i="1" s="1"/>
  <c r="B929" i="1"/>
  <c r="A929" i="1" s="1"/>
  <c r="B930" i="1"/>
  <c r="A930" i="1" s="1"/>
  <c r="B931" i="1"/>
  <c r="A931" i="1" s="1"/>
  <c r="B932" i="1"/>
  <c r="A932" i="1" s="1"/>
  <c r="B933" i="1"/>
  <c r="A933" i="1" s="1"/>
  <c r="B934" i="1"/>
  <c r="A934" i="1" s="1"/>
  <c r="B935" i="1"/>
  <c r="A935" i="1" s="1"/>
  <c r="B936" i="1"/>
  <c r="A936" i="1" s="1"/>
  <c r="B937" i="1"/>
  <c r="A937" i="1" s="1"/>
  <c r="B938" i="1"/>
  <c r="A938" i="1" s="1"/>
  <c r="B939" i="1"/>
  <c r="A939" i="1" s="1"/>
  <c r="B940" i="1"/>
  <c r="A940" i="1" s="1"/>
  <c r="B941" i="1"/>
  <c r="A941" i="1" s="1"/>
  <c r="B942" i="1"/>
  <c r="A942" i="1" s="1"/>
  <c r="B943" i="1"/>
  <c r="A943" i="1" s="1"/>
  <c r="B944" i="1"/>
  <c r="A944" i="1" s="1"/>
  <c r="B945" i="1"/>
  <c r="A945" i="1" s="1"/>
  <c r="B946" i="1"/>
  <c r="A946" i="1" s="1"/>
  <c r="B947" i="1"/>
  <c r="A947" i="1" s="1"/>
  <c r="B948" i="1"/>
  <c r="A948" i="1" s="1"/>
  <c r="B949" i="1"/>
  <c r="A949" i="1" s="1"/>
  <c r="B950" i="1"/>
  <c r="A950" i="1" s="1"/>
  <c r="B951" i="1"/>
  <c r="A951" i="1" s="1"/>
  <c r="B952" i="1"/>
  <c r="A952" i="1" s="1"/>
  <c r="B953" i="1"/>
  <c r="A953" i="1" s="1"/>
  <c r="B954" i="1"/>
  <c r="A954" i="1" s="1"/>
  <c r="B955" i="1"/>
  <c r="A955" i="1" s="1"/>
  <c r="B956" i="1"/>
  <c r="A956" i="1" s="1"/>
  <c r="B957" i="1"/>
  <c r="A957" i="1" s="1"/>
  <c r="B958" i="1"/>
  <c r="A958" i="1" s="1"/>
  <c r="B959" i="1"/>
  <c r="A959" i="1" s="1"/>
  <c r="B960" i="1"/>
  <c r="A960" i="1" s="1"/>
  <c r="B961" i="1"/>
  <c r="A961" i="1" s="1"/>
  <c r="B962" i="1"/>
  <c r="A962" i="1" s="1"/>
  <c r="B963" i="1"/>
  <c r="A963" i="1" s="1"/>
  <c r="B964" i="1"/>
  <c r="A964" i="1" s="1"/>
  <c r="B965" i="1"/>
  <c r="A965" i="1" s="1"/>
  <c r="B966" i="1"/>
  <c r="A966" i="1" s="1"/>
  <c r="B967" i="1"/>
  <c r="A967" i="1" s="1"/>
  <c r="B968" i="1"/>
  <c r="B969" i="1"/>
  <c r="A969" i="1" s="1"/>
  <c r="B970" i="1"/>
  <c r="A970" i="1" s="1"/>
  <c r="B971" i="1"/>
  <c r="A971" i="1" s="1"/>
  <c r="B972" i="1"/>
  <c r="A972" i="1" s="1"/>
  <c r="B973" i="1"/>
  <c r="A973" i="1" s="1"/>
  <c r="B974" i="1"/>
  <c r="A974" i="1" s="1"/>
  <c r="B975" i="1"/>
  <c r="A975" i="1" s="1"/>
  <c r="B976" i="1"/>
  <c r="A976" i="1" s="1"/>
  <c r="B977" i="1"/>
  <c r="A977" i="1" s="1"/>
  <c r="B978" i="1"/>
  <c r="A978" i="1" s="1"/>
  <c r="B979" i="1"/>
  <c r="A979" i="1" s="1"/>
  <c r="B980" i="1"/>
  <c r="A980" i="1" s="1"/>
  <c r="B981" i="1"/>
  <c r="A981" i="1" s="1"/>
  <c r="B982" i="1"/>
  <c r="A982" i="1" s="1"/>
  <c r="B1241" i="1"/>
  <c r="A1241" i="1" s="1"/>
  <c r="B1242" i="1"/>
  <c r="A1242" i="1" s="1"/>
  <c r="B678" i="1"/>
  <c r="A678" i="1" s="1"/>
  <c r="B983" i="1"/>
  <c r="A983" i="1" s="1"/>
  <c r="B1243" i="1"/>
  <c r="A1243" i="1" s="1"/>
  <c r="B1244" i="1"/>
  <c r="A1244" i="1" s="1"/>
  <c r="B1012" i="1"/>
  <c r="A1012" i="1" s="1"/>
  <c r="B652" i="1"/>
  <c r="A652" i="1" s="1"/>
  <c r="B671" i="1"/>
  <c r="A671" i="1" s="1"/>
  <c r="B679" i="1"/>
  <c r="A679" i="1" s="1"/>
  <c r="B665" i="1"/>
  <c r="A665" i="1" s="1"/>
  <c r="B1245" i="1"/>
  <c r="A1245" i="1" s="1"/>
  <c r="B1246" i="1"/>
  <c r="A1246" i="1" s="1"/>
  <c r="B1247" i="1"/>
  <c r="A1247" i="1" s="1"/>
  <c r="B984" i="1"/>
  <c r="A984" i="1" s="1"/>
  <c r="B1037" i="1"/>
  <c r="A1037" i="1" s="1"/>
  <c r="B1015" i="1"/>
  <c r="A1015" i="1" s="1"/>
  <c r="B1248" i="1"/>
  <c r="A1248" i="1" s="1"/>
  <c r="B1249" i="1"/>
  <c r="A1249" i="1" s="1"/>
  <c r="B1250" i="1"/>
  <c r="A1250" i="1" s="1"/>
  <c r="B1251" i="1"/>
  <c r="A1251" i="1" s="1"/>
  <c r="B994" i="1"/>
  <c r="A994" i="1" s="1"/>
  <c r="B1252" i="1"/>
  <c r="A1252" i="1" s="1"/>
  <c r="B666" i="1"/>
  <c r="A666" i="1" s="1"/>
  <c r="B674" i="1"/>
  <c r="A674" i="1" s="1"/>
  <c r="B672" i="1"/>
  <c r="A672" i="1" s="1"/>
  <c r="B1253" i="1"/>
  <c r="A1253" i="1" s="1"/>
  <c r="B1254" i="1"/>
  <c r="A1254" i="1" s="1"/>
  <c r="B667" i="1"/>
  <c r="A667" i="1" s="1"/>
  <c r="B668" i="1"/>
  <c r="A668" i="1" s="1"/>
  <c r="B692" i="1"/>
  <c r="A692" i="1" s="1"/>
  <c r="B673" i="1"/>
  <c r="A673" i="1" s="1"/>
  <c r="B675" i="1"/>
  <c r="A675" i="1" s="1"/>
  <c r="B1255" i="1"/>
  <c r="A1255" i="1" s="1"/>
  <c r="B681" i="1"/>
  <c r="A681" i="1" s="1"/>
  <c r="B1256" i="1"/>
  <c r="A1256" i="1" s="1"/>
  <c r="B1257" i="1"/>
  <c r="A1257" i="1" s="1"/>
  <c r="B715" i="1"/>
  <c r="A715" i="1" s="1"/>
  <c r="B1258" i="1"/>
  <c r="A1258" i="1" s="1"/>
  <c r="B720" i="1"/>
  <c r="A720" i="1" s="1"/>
  <c r="B1259" i="1"/>
  <c r="A1259" i="1" s="1"/>
  <c r="B1260" i="1"/>
  <c r="A1260" i="1" s="1"/>
  <c r="B1261" i="1"/>
  <c r="A1261" i="1" s="1"/>
  <c r="B1262" i="1"/>
  <c r="A1262" i="1" s="1"/>
  <c r="B696" i="1"/>
  <c r="A696" i="1" s="1"/>
  <c r="B1040" i="1"/>
  <c r="A1040" i="1" s="1"/>
  <c r="B1263" i="1"/>
  <c r="A1263" i="1" s="1"/>
  <c r="B1010" i="1"/>
  <c r="A1010" i="1" s="1"/>
  <c r="B1008" i="1"/>
  <c r="A1008" i="1" s="1"/>
  <c r="B1264" i="1"/>
  <c r="A1264" i="1" s="1"/>
  <c r="B1265" i="1"/>
  <c r="A1265" i="1" s="1"/>
  <c r="B1266" i="1"/>
  <c r="A1266" i="1" s="1"/>
  <c r="B989" i="1"/>
  <c r="A989" i="1" s="1"/>
  <c r="B1267" i="1"/>
  <c r="A1267" i="1" s="1"/>
  <c r="B1268" i="1"/>
  <c r="A1268" i="1" s="1"/>
  <c r="B1030" i="1"/>
  <c r="A1030" i="1" s="1"/>
  <c r="B1269" i="1"/>
  <c r="A1269" i="1" s="1"/>
  <c r="B1017" i="1"/>
  <c r="A1017" i="1" s="1"/>
  <c r="B1016" i="1"/>
  <c r="A1016" i="1" s="1"/>
  <c r="B1042" i="1"/>
  <c r="A1042" i="1" s="1"/>
  <c r="B1043" i="1"/>
  <c r="A1043" i="1" s="1"/>
  <c r="B1044" i="1"/>
  <c r="A1044" i="1" s="1"/>
  <c r="B1045" i="1"/>
  <c r="A1045" i="1" s="1"/>
  <c r="B1046" i="1"/>
  <c r="A1046" i="1" s="1"/>
  <c r="B1047" i="1"/>
  <c r="A1047" i="1" s="1"/>
  <c r="B1048" i="1"/>
  <c r="A1048" i="1" s="1"/>
  <c r="B1049" i="1"/>
  <c r="A1049" i="1" s="1"/>
  <c r="B1050" i="1"/>
  <c r="A1050" i="1" s="1"/>
  <c r="B1051" i="1"/>
  <c r="A1051" i="1" s="1"/>
  <c r="B1052" i="1"/>
  <c r="A1052" i="1" s="1"/>
  <c r="B1053" i="1"/>
  <c r="A1053" i="1" s="1"/>
  <c r="B1054" i="1"/>
  <c r="A1054" i="1" s="1"/>
  <c r="B1055" i="1"/>
  <c r="A1055" i="1" s="1"/>
  <c r="B1056" i="1"/>
  <c r="A1056" i="1" s="1"/>
  <c r="B1057" i="1"/>
  <c r="A1057" i="1" s="1"/>
  <c r="B1058" i="1"/>
  <c r="A1058" i="1" s="1"/>
  <c r="B1059" i="1"/>
  <c r="A1059" i="1" s="1"/>
  <c r="B1060" i="1"/>
  <c r="A1060" i="1" s="1"/>
  <c r="B1061" i="1"/>
  <c r="A1061" i="1" s="1"/>
  <c r="B1062" i="1"/>
  <c r="A1062" i="1" s="1"/>
  <c r="B1063" i="1"/>
  <c r="A1063" i="1" s="1"/>
  <c r="B1064" i="1"/>
  <c r="A1064" i="1" s="1"/>
  <c r="B1065" i="1"/>
  <c r="A1065" i="1" s="1"/>
  <c r="B1066" i="1"/>
  <c r="A1066" i="1" s="1"/>
  <c r="B1067" i="1"/>
  <c r="A1067" i="1" s="1"/>
  <c r="B1068" i="1"/>
  <c r="A1068" i="1" s="1"/>
  <c r="B1069" i="1"/>
  <c r="A1069" i="1" s="1"/>
  <c r="B1070" i="1"/>
  <c r="A1070" i="1" s="1"/>
  <c r="B1071" i="1"/>
  <c r="A1071" i="1" s="1"/>
  <c r="B1072" i="1"/>
  <c r="A1072" i="1" s="1"/>
  <c r="B1073" i="1"/>
  <c r="A1073" i="1" s="1"/>
  <c r="B1074" i="1"/>
  <c r="A1074" i="1" s="1"/>
  <c r="B1075" i="1"/>
  <c r="A1075" i="1" s="1"/>
  <c r="B1076" i="1"/>
  <c r="A1076" i="1" s="1"/>
  <c r="B1077" i="1"/>
  <c r="A1077" i="1" s="1"/>
  <c r="B1078" i="1"/>
  <c r="A1078" i="1" s="1"/>
  <c r="B1079" i="1"/>
  <c r="A1079" i="1" s="1"/>
  <c r="B1080" i="1"/>
  <c r="A1080" i="1" s="1"/>
  <c r="B1081" i="1"/>
  <c r="A1081" i="1" s="1"/>
  <c r="B1082" i="1"/>
  <c r="A1082" i="1" s="1"/>
  <c r="B1083" i="1"/>
  <c r="A1083" i="1" s="1"/>
  <c r="B1084" i="1"/>
  <c r="A1084" i="1" s="1"/>
  <c r="B1085" i="1"/>
  <c r="A1085" i="1" s="1"/>
  <c r="B1086" i="1"/>
  <c r="A1086" i="1" s="1"/>
  <c r="B1087" i="1"/>
  <c r="A1087" i="1" s="1"/>
  <c r="B1088" i="1"/>
  <c r="A1088" i="1" s="1"/>
  <c r="B1089" i="1"/>
  <c r="A1089" i="1" s="1"/>
  <c r="B1090" i="1"/>
  <c r="A1090" i="1" s="1"/>
  <c r="B1091" i="1"/>
  <c r="A1091" i="1" s="1"/>
  <c r="B1092" i="1"/>
  <c r="A1092" i="1" s="1"/>
  <c r="B1093" i="1"/>
  <c r="A1093" i="1" s="1"/>
  <c r="B1094" i="1"/>
  <c r="A1094" i="1" s="1"/>
  <c r="B1095" i="1"/>
  <c r="A1095" i="1" s="1"/>
  <c r="B1096" i="1"/>
  <c r="B1097" i="1"/>
  <c r="A1097" i="1" s="1"/>
  <c r="B1098" i="1"/>
  <c r="A1098" i="1" s="1"/>
  <c r="B1099" i="1"/>
  <c r="A1099" i="1" s="1"/>
  <c r="B1100" i="1"/>
  <c r="A1100" i="1" s="1"/>
  <c r="B1101" i="1"/>
  <c r="A1101" i="1" s="1"/>
  <c r="B1102" i="1"/>
  <c r="A1102" i="1" s="1"/>
  <c r="B1103" i="1"/>
  <c r="A1103" i="1" s="1"/>
  <c r="B1104" i="1"/>
  <c r="A1104" i="1" s="1"/>
  <c r="B1105" i="1"/>
  <c r="A1105" i="1" s="1"/>
  <c r="B1106" i="1"/>
  <c r="A1106" i="1" s="1"/>
  <c r="B1107" i="1"/>
  <c r="A1107" i="1" s="1"/>
  <c r="B1108" i="1"/>
  <c r="A1108" i="1" s="1"/>
  <c r="B1109" i="1"/>
  <c r="A1109" i="1" s="1"/>
  <c r="B1110" i="1"/>
  <c r="A1110" i="1" s="1"/>
  <c r="B1111" i="1"/>
  <c r="A1111" i="1" s="1"/>
  <c r="B1112" i="1"/>
  <c r="A1112" i="1" s="1"/>
  <c r="B1113" i="1"/>
  <c r="A1113" i="1" s="1"/>
  <c r="B1114" i="1"/>
  <c r="A1114" i="1" s="1"/>
  <c r="B1115" i="1"/>
  <c r="A1115" i="1" s="1"/>
  <c r="B1116" i="1"/>
  <c r="A1116" i="1" s="1"/>
  <c r="B1117" i="1"/>
  <c r="A1117" i="1" s="1"/>
  <c r="B1118" i="1"/>
  <c r="A1118" i="1" s="1"/>
  <c r="B1119" i="1"/>
  <c r="A1119" i="1" s="1"/>
  <c r="B1120" i="1"/>
  <c r="A1120" i="1" s="1"/>
  <c r="B1121" i="1"/>
  <c r="A1121" i="1" s="1"/>
  <c r="B1122" i="1"/>
  <c r="A1122" i="1" s="1"/>
  <c r="B1123" i="1"/>
  <c r="A1123" i="1" s="1"/>
  <c r="B1124" i="1"/>
  <c r="A1124" i="1" s="1"/>
  <c r="B1125" i="1"/>
  <c r="A1125" i="1" s="1"/>
  <c r="B1126" i="1"/>
  <c r="A1126" i="1" s="1"/>
  <c r="B1127" i="1"/>
  <c r="A1127" i="1" s="1"/>
  <c r="B1128" i="1"/>
  <c r="A1128" i="1" s="1"/>
  <c r="B1129" i="1"/>
  <c r="A1129" i="1" s="1"/>
  <c r="B1130" i="1"/>
  <c r="A1130" i="1" s="1"/>
  <c r="B1131" i="1"/>
  <c r="A1131" i="1" s="1"/>
  <c r="B1132" i="1"/>
  <c r="A1132" i="1" s="1"/>
  <c r="B1133" i="1"/>
  <c r="A1133" i="1" s="1"/>
  <c r="B1134" i="1"/>
  <c r="A1134" i="1" s="1"/>
  <c r="B1135" i="1"/>
  <c r="A1135" i="1" s="1"/>
  <c r="B1136" i="1"/>
  <c r="A1136" i="1" s="1"/>
  <c r="B1137" i="1"/>
  <c r="A1137" i="1" s="1"/>
  <c r="B1138" i="1"/>
  <c r="A1138" i="1" s="1"/>
  <c r="B1139" i="1"/>
  <c r="A1139" i="1" s="1"/>
  <c r="B1140" i="1"/>
  <c r="A1140" i="1" s="1"/>
  <c r="B1141" i="1"/>
  <c r="A1141" i="1" s="1"/>
  <c r="B1142" i="1"/>
  <c r="A1142" i="1" s="1"/>
  <c r="B1143" i="1"/>
  <c r="A1143" i="1" s="1"/>
  <c r="B1144" i="1"/>
  <c r="A1144" i="1" s="1"/>
  <c r="B1145" i="1"/>
  <c r="A1145" i="1" s="1"/>
  <c r="B1146" i="1"/>
  <c r="A1146" i="1" s="1"/>
  <c r="B1147" i="1"/>
  <c r="A1147" i="1" s="1"/>
  <c r="B1148" i="1"/>
  <c r="A1148" i="1" s="1"/>
  <c r="B1149" i="1"/>
  <c r="A1149" i="1" s="1"/>
  <c r="B1150" i="1"/>
  <c r="A1150" i="1" s="1"/>
  <c r="B1151" i="1"/>
  <c r="A1151" i="1" s="1"/>
  <c r="B1152" i="1"/>
  <c r="A1152" i="1" s="1"/>
  <c r="B1153" i="1"/>
  <c r="A1153" i="1" s="1"/>
  <c r="B1154" i="1"/>
  <c r="A1154" i="1" s="1"/>
  <c r="B1155" i="1"/>
  <c r="A1155" i="1" s="1"/>
  <c r="B1156" i="1"/>
  <c r="A1156" i="1" s="1"/>
  <c r="B1157" i="1"/>
  <c r="A1157" i="1" s="1"/>
  <c r="B1158" i="1"/>
  <c r="A1158" i="1" s="1"/>
  <c r="B1159" i="1"/>
  <c r="A1159" i="1" s="1"/>
  <c r="B1160" i="1"/>
  <c r="A1160" i="1" s="1"/>
  <c r="B1161" i="1"/>
  <c r="A1161" i="1" s="1"/>
  <c r="B1162" i="1"/>
  <c r="A1162" i="1" s="1"/>
  <c r="B1163" i="1"/>
  <c r="A1163" i="1" s="1"/>
  <c r="B1164" i="1"/>
  <c r="A1164" i="1" s="1"/>
  <c r="B1165" i="1"/>
  <c r="A1165" i="1" s="1"/>
  <c r="B1166" i="1"/>
  <c r="A1166" i="1" s="1"/>
  <c r="B1167" i="1"/>
  <c r="A1167" i="1" s="1"/>
  <c r="B1168" i="1"/>
  <c r="A1168" i="1" s="1"/>
  <c r="B1169" i="1"/>
  <c r="A1169" i="1" s="1"/>
  <c r="B1170" i="1"/>
  <c r="A1170" i="1" s="1"/>
  <c r="B1171" i="1"/>
  <c r="A1171" i="1" s="1"/>
  <c r="B1172" i="1"/>
  <c r="A1172" i="1" s="1"/>
  <c r="B1173" i="1"/>
  <c r="A1173" i="1" s="1"/>
  <c r="B1174" i="1"/>
  <c r="A1174" i="1" s="1"/>
  <c r="B1175" i="1"/>
  <c r="A1175" i="1" s="1"/>
  <c r="B1176" i="1"/>
  <c r="A1176" i="1" s="1"/>
  <c r="B1177" i="1"/>
  <c r="A1177" i="1" s="1"/>
  <c r="B1178" i="1"/>
  <c r="A1178" i="1" s="1"/>
  <c r="B1179" i="1"/>
  <c r="A1179" i="1" s="1"/>
  <c r="B1180" i="1"/>
  <c r="A1180" i="1" s="1"/>
  <c r="B1181" i="1"/>
  <c r="A1181" i="1" s="1"/>
  <c r="B1182" i="1"/>
  <c r="A1182" i="1" s="1"/>
  <c r="B1183" i="1"/>
  <c r="A1183" i="1" s="1"/>
  <c r="B1184" i="1"/>
  <c r="A1184" i="1" s="1"/>
  <c r="B1185" i="1"/>
  <c r="A1185" i="1" s="1"/>
  <c r="B1186" i="1"/>
  <c r="A1186" i="1" s="1"/>
  <c r="B1187" i="1"/>
  <c r="A1187" i="1" s="1"/>
  <c r="B1188" i="1"/>
  <c r="A1188" i="1" s="1"/>
  <c r="B1189" i="1"/>
  <c r="A1189" i="1" s="1"/>
  <c r="B1190" i="1"/>
  <c r="A1190" i="1" s="1"/>
  <c r="B1191" i="1"/>
  <c r="A1191" i="1" s="1"/>
  <c r="B1192" i="1"/>
  <c r="A1192" i="1" s="1"/>
  <c r="B1193" i="1"/>
  <c r="A1193" i="1" s="1"/>
  <c r="B1194" i="1"/>
  <c r="A1194" i="1" s="1"/>
  <c r="B1195" i="1"/>
  <c r="A1195" i="1" s="1"/>
  <c r="B1196" i="1"/>
  <c r="A1196" i="1" s="1"/>
  <c r="B1197" i="1"/>
  <c r="A1197" i="1" s="1"/>
  <c r="B1270" i="1"/>
  <c r="A1270" i="1" s="1"/>
  <c r="B1271" i="1"/>
  <c r="A1271" i="1" s="1"/>
  <c r="B990" i="1"/>
  <c r="A990" i="1" s="1"/>
  <c r="B998" i="1"/>
  <c r="A998" i="1" s="1"/>
  <c r="B1272" i="1"/>
  <c r="A1272" i="1" s="1"/>
  <c r="B1273" i="1"/>
  <c r="A1273" i="1" s="1"/>
  <c r="B1274" i="1"/>
  <c r="A1274" i="1" s="1"/>
  <c r="B1021" i="1"/>
  <c r="A1021" i="1" s="1"/>
  <c r="B1275" i="1"/>
  <c r="A1275" i="1" s="1"/>
  <c r="B1276" i="1"/>
  <c r="A1276" i="1" s="1"/>
  <c r="B1011" i="1"/>
  <c r="A1011" i="1" s="1"/>
  <c r="B623" i="1"/>
  <c r="A623" i="1" s="1"/>
  <c r="B625" i="1"/>
  <c r="A625" i="1" s="1"/>
  <c r="B626" i="1"/>
  <c r="A626" i="1" s="1"/>
  <c r="B622" i="1"/>
  <c r="A622" i="1" s="1"/>
  <c r="B624" i="1"/>
  <c r="A624" i="1" s="1"/>
  <c r="B1277" i="1"/>
  <c r="A1277" i="1" s="1"/>
  <c r="B1278" i="1"/>
  <c r="A1278" i="1" s="1"/>
  <c r="B1279" i="1"/>
  <c r="A1279" i="1" s="1"/>
  <c r="B700" i="1"/>
  <c r="A700" i="1" s="1"/>
  <c r="B1280" i="1"/>
  <c r="A1280" i="1" s="1"/>
  <c r="B987" i="1"/>
  <c r="A987" i="1" s="1"/>
  <c r="B1281" i="1"/>
  <c r="A1281" i="1" s="1"/>
  <c r="B1282" i="1"/>
  <c r="A1282" i="1" s="1"/>
  <c r="B1032" i="1"/>
  <c r="A1032" i="1" s="1"/>
  <c r="B988" i="1"/>
  <c r="A988" i="1" s="1"/>
  <c r="B633" i="1"/>
  <c r="A633" i="1" s="1"/>
  <c r="B634" i="1"/>
  <c r="A634" i="1" s="1"/>
  <c r="B1283" i="1"/>
  <c r="A1283" i="1" s="1"/>
  <c r="B635" i="1"/>
  <c r="A635" i="1" s="1"/>
  <c r="B684" i="1"/>
  <c r="A684" i="1" s="1"/>
  <c r="B676" i="1"/>
  <c r="A676" i="1" s="1"/>
  <c r="B686" i="1"/>
  <c r="A686" i="1" s="1"/>
  <c r="B636" i="1"/>
  <c r="A636" i="1" s="1"/>
  <c r="B637" i="1"/>
  <c r="A637" i="1" s="1"/>
  <c r="B638" i="1"/>
  <c r="A638" i="1" s="1"/>
  <c r="B654" i="1"/>
  <c r="A654" i="1" s="1"/>
  <c r="B1284" i="1"/>
  <c r="A1284" i="1" s="1"/>
  <c r="B647" i="1"/>
  <c r="A647" i="1" s="1"/>
  <c r="B639" i="1"/>
  <c r="A639" i="1" s="1"/>
  <c r="B640" i="1"/>
  <c r="A640" i="1" s="1"/>
  <c r="B1285" i="1"/>
  <c r="A1285" i="1" s="1"/>
  <c r="B648" i="1"/>
  <c r="A648" i="1" s="1"/>
  <c r="B1286" i="1"/>
  <c r="A1286" i="1" s="1"/>
  <c r="B641" i="1"/>
  <c r="A641" i="1" s="1"/>
  <c r="B649" i="1"/>
  <c r="A649" i="1" s="1"/>
  <c r="B642" i="1"/>
  <c r="A642" i="1" s="1"/>
  <c r="B643" i="1"/>
  <c r="A643" i="1" s="1"/>
  <c r="B644" i="1"/>
  <c r="A644" i="1" s="1"/>
  <c r="B669" i="1"/>
  <c r="A669" i="1" s="1"/>
  <c r="B650" i="1"/>
  <c r="A650" i="1" s="1"/>
  <c r="B651" i="1"/>
  <c r="A651" i="1" s="1"/>
  <c r="B1287" i="1"/>
  <c r="A1287" i="1" s="1"/>
  <c r="B1288" i="1"/>
  <c r="A1288" i="1" s="1"/>
  <c r="B645" i="1"/>
  <c r="A645" i="1" s="1"/>
  <c r="B1289" i="1"/>
  <c r="A1289" i="1" s="1"/>
  <c r="B1290" i="1"/>
  <c r="A1290" i="1" s="1"/>
  <c r="B1291" i="1"/>
  <c r="A1291" i="1" s="1"/>
  <c r="B1292" i="1"/>
  <c r="A1292" i="1" s="1"/>
  <c r="B1293" i="1"/>
  <c r="A1293" i="1" s="1"/>
  <c r="B1294" i="1"/>
  <c r="A1294" i="1" s="1"/>
  <c r="B1295" i="1"/>
  <c r="A1295" i="1" s="1"/>
  <c r="B1296" i="1"/>
  <c r="A1296" i="1" s="1"/>
  <c r="B1297" i="1"/>
  <c r="A1297" i="1" s="1"/>
  <c r="B1298" i="1"/>
  <c r="A1298" i="1" s="1"/>
  <c r="B1299" i="1"/>
  <c r="A1299" i="1" s="1"/>
  <c r="B1300" i="1"/>
  <c r="A1300" i="1" s="1"/>
  <c r="B655" i="1"/>
  <c r="A655" i="1" s="1"/>
  <c r="B646" i="1"/>
  <c r="A646" i="1" s="1"/>
  <c r="B670" i="1"/>
  <c r="A670" i="1" s="1"/>
  <c r="B1301" i="1"/>
  <c r="A1301" i="1" s="1"/>
  <c r="B680" i="1"/>
  <c r="A680" i="1" s="1"/>
  <c r="B1302" i="1"/>
  <c r="A1302" i="1" s="1"/>
  <c r="B995" i="1"/>
  <c r="A995" i="1" s="1"/>
  <c r="B1303" i="1"/>
  <c r="A1303" i="1" s="1"/>
  <c r="B1022" i="1"/>
  <c r="A1022" i="1" s="1"/>
  <c r="B992" i="1"/>
  <c r="A992" i="1" s="1"/>
  <c r="B1304" i="1"/>
  <c r="A1304" i="1" s="1"/>
  <c r="B1305" i="1"/>
  <c r="A1305" i="1" s="1"/>
  <c r="B1306" i="1"/>
  <c r="A1306" i="1" s="1"/>
  <c r="B1307" i="1"/>
  <c r="A1307" i="1" s="1"/>
  <c r="B1039" i="1"/>
  <c r="A1039" i="1" s="1"/>
  <c r="B1308" i="1"/>
  <c r="A1308" i="1" s="1"/>
  <c r="B1309" i="1"/>
  <c r="A1309" i="1" s="1"/>
  <c r="B1310" i="1"/>
  <c r="A1310" i="1" s="1"/>
  <c r="B1311" i="1"/>
  <c r="A1311" i="1" s="1"/>
  <c r="B1312" i="1"/>
  <c r="A1312" i="1" s="1"/>
  <c r="B1313" i="1"/>
  <c r="A1313" i="1" s="1"/>
  <c r="B1314" i="1"/>
  <c r="A1314" i="1" s="1"/>
  <c r="B1315" i="1"/>
  <c r="A1315" i="1" s="1"/>
  <c r="B1031" i="1"/>
  <c r="A1031" i="1" s="1"/>
  <c r="B1316" i="1"/>
  <c r="A1316" i="1" s="1"/>
  <c r="B1317" i="1"/>
  <c r="A1317" i="1" s="1"/>
  <c r="B1318" i="1"/>
  <c r="A1318" i="1" s="1"/>
  <c r="B1319" i="1"/>
  <c r="A1319" i="1" s="1"/>
  <c r="B1320" i="1"/>
  <c r="A1320" i="1" s="1"/>
  <c r="B1321" i="1"/>
  <c r="A1321" i="1" s="1"/>
  <c r="B1711" i="1"/>
  <c r="A1711" i="1" s="1"/>
  <c r="B1712" i="1"/>
  <c r="A1712" i="1" s="1"/>
  <c r="B1713" i="1"/>
  <c r="A1713" i="1" s="1"/>
  <c r="B991" i="1"/>
  <c r="A991" i="1" s="1"/>
  <c r="B1714" i="1"/>
  <c r="A1714" i="1" s="1"/>
  <c r="B1026" i="1"/>
  <c r="A1026" i="1" s="1"/>
  <c r="B1034" i="1"/>
  <c r="A1034" i="1" s="1"/>
  <c r="B1004" i="1"/>
  <c r="A1004" i="1" s="1"/>
  <c r="B1005" i="1"/>
  <c r="A1005" i="1" s="1"/>
  <c r="B1006" i="1"/>
  <c r="A1006" i="1" s="1"/>
  <c r="B1036" i="1"/>
  <c r="A1036" i="1" s="1"/>
  <c r="B627" i="1"/>
  <c r="A627" i="1" s="1"/>
  <c r="B628" i="1"/>
  <c r="A628" i="1" s="1"/>
  <c r="B662" i="1"/>
  <c r="A662" i="1" s="1"/>
  <c r="B629" i="1"/>
  <c r="A629" i="1" s="1"/>
  <c r="B658" i="1"/>
  <c r="A658" i="1" s="1"/>
  <c r="B630" i="1"/>
  <c r="A630" i="1" s="1"/>
  <c r="B677" i="1"/>
  <c r="A677" i="1" s="1"/>
  <c r="B631" i="1"/>
  <c r="A631" i="1" s="1"/>
  <c r="B653" i="1"/>
  <c r="A653" i="1" s="1"/>
  <c r="B1715" i="1"/>
  <c r="A1715" i="1" s="1"/>
  <c r="B1716" i="1"/>
  <c r="A1716" i="1" s="1"/>
  <c r="B632" i="1"/>
  <c r="A632" i="1" s="1"/>
  <c r="B1717" i="1"/>
  <c r="A1717" i="1" s="1"/>
  <c r="B1718" i="1"/>
  <c r="A1718" i="1" s="1"/>
  <c r="B1719" i="1"/>
  <c r="A1719" i="1" s="1"/>
  <c r="B1023" i="1"/>
  <c r="A1023" i="1" s="1"/>
  <c r="B1322" i="1"/>
  <c r="A1322" i="1" s="1"/>
  <c r="B1323" i="1"/>
  <c r="A1323" i="1" s="1"/>
  <c r="B1324" i="1"/>
  <c r="A1324" i="1" s="1"/>
  <c r="B1325" i="1"/>
  <c r="A1325" i="1" s="1"/>
  <c r="B1326" i="1"/>
  <c r="A1326" i="1" s="1"/>
  <c r="B1327" i="1"/>
  <c r="A1327" i="1" s="1"/>
  <c r="B1328" i="1"/>
  <c r="A1328" i="1" s="1"/>
  <c r="B1329" i="1"/>
  <c r="A1329" i="1" s="1"/>
  <c r="B1330" i="1"/>
  <c r="A1330" i="1" s="1"/>
  <c r="B1331" i="1"/>
  <c r="A1331" i="1" s="1"/>
  <c r="B1332" i="1"/>
  <c r="A1332" i="1" s="1"/>
  <c r="B1333" i="1"/>
  <c r="A1333" i="1" s="1"/>
  <c r="B1334" i="1"/>
  <c r="A1334" i="1" s="1"/>
  <c r="B1335" i="1"/>
  <c r="A1335" i="1" s="1"/>
  <c r="B1336" i="1"/>
  <c r="A1336" i="1" s="1"/>
  <c r="B1337" i="1"/>
  <c r="A1337" i="1" s="1"/>
  <c r="B1338" i="1"/>
  <c r="A1338" i="1" s="1"/>
  <c r="B1339" i="1"/>
  <c r="A1339" i="1" s="1"/>
  <c r="B1340" i="1"/>
  <c r="A1340" i="1" s="1"/>
  <c r="B1341" i="1"/>
  <c r="A1341" i="1" s="1"/>
  <c r="B1342" i="1"/>
  <c r="A1342" i="1" s="1"/>
  <c r="B1343" i="1"/>
  <c r="A1343" i="1" s="1"/>
  <c r="B1344" i="1"/>
  <c r="A1344" i="1" s="1"/>
  <c r="B1345" i="1"/>
  <c r="A1345" i="1" s="1"/>
  <c r="B1346" i="1"/>
  <c r="A1346" i="1" s="1"/>
  <c r="B1347" i="1"/>
  <c r="A1347" i="1" s="1"/>
  <c r="B1348" i="1"/>
  <c r="A1348" i="1" s="1"/>
  <c r="B1349" i="1"/>
  <c r="A1349" i="1" s="1"/>
  <c r="B1350" i="1"/>
  <c r="A1350" i="1" s="1"/>
  <c r="B1351" i="1"/>
  <c r="A1351" i="1" s="1"/>
  <c r="B1352" i="1"/>
  <c r="A1352" i="1" s="1"/>
  <c r="B1353" i="1"/>
  <c r="A1353" i="1" s="1"/>
  <c r="B1354" i="1"/>
  <c r="A1354" i="1" s="1"/>
  <c r="B1355" i="1"/>
  <c r="A1355" i="1" s="1"/>
  <c r="B1356" i="1"/>
  <c r="A1356" i="1" s="1"/>
  <c r="B1357" i="1"/>
  <c r="A1357" i="1" s="1"/>
  <c r="B1358" i="1"/>
  <c r="A1358" i="1" s="1"/>
  <c r="B1359" i="1"/>
  <c r="A1359" i="1" s="1"/>
  <c r="B1360" i="1"/>
  <c r="A1360" i="1" s="1"/>
  <c r="B1361" i="1"/>
  <c r="A1361" i="1" s="1"/>
  <c r="B1362" i="1"/>
  <c r="A1362" i="1" s="1"/>
  <c r="B1363" i="1"/>
  <c r="A1363" i="1" s="1"/>
  <c r="B1364" i="1"/>
  <c r="A1364" i="1" s="1"/>
  <c r="B1365" i="1"/>
  <c r="A1365" i="1" s="1"/>
  <c r="B1366" i="1"/>
  <c r="A1366" i="1" s="1"/>
  <c r="B1367" i="1"/>
  <c r="A1367" i="1" s="1"/>
  <c r="B1368" i="1"/>
  <c r="A1368" i="1" s="1"/>
  <c r="B1369" i="1"/>
  <c r="A1369" i="1" s="1"/>
  <c r="B1370" i="1"/>
  <c r="A1370" i="1" s="1"/>
  <c r="B1371" i="1"/>
  <c r="A1371" i="1" s="1"/>
  <c r="B1372" i="1"/>
  <c r="A1372" i="1" s="1"/>
  <c r="B1373" i="1"/>
  <c r="A1373" i="1" s="1"/>
  <c r="B1374" i="1"/>
  <c r="A1374" i="1" s="1"/>
  <c r="B1375" i="1"/>
  <c r="A1375" i="1" s="1"/>
  <c r="B1376" i="1"/>
  <c r="A1376" i="1" s="1"/>
  <c r="B1377" i="1"/>
  <c r="A1377" i="1" s="1"/>
  <c r="B1378" i="1"/>
  <c r="A1378" i="1" s="1"/>
  <c r="B1379" i="1"/>
  <c r="A1379" i="1" s="1"/>
  <c r="B1380" i="1"/>
  <c r="A1380" i="1" s="1"/>
  <c r="B1381" i="1"/>
  <c r="A1381" i="1" s="1"/>
  <c r="B1382" i="1"/>
  <c r="A1382" i="1" s="1"/>
  <c r="B1383" i="1"/>
  <c r="A1383" i="1" s="1"/>
  <c r="B1384" i="1"/>
  <c r="A1384" i="1" s="1"/>
  <c r="B1385" i="1"/>
  <c r="A1385" i="1" s="1"/>
  <c r="B1386" i="1"/>
  <c r="A1386" i="1" s="1"/>
  <c r="B1387" i="1"/>
  <c r="A1387" i="1" s="1"/>
  <c r="B1388" i="1"/>
  <c r="A1388" i="1" s="1"/>
  <c r="B1389" i="1"/>
  <c r="A1389" i="1" s="1"/>
  <c r="B1390" i="1"/>
  <c r="A1390" i="1" s="1"/>
  <c r="B1391" i="1"/>
  <c r="A1391" i="1" s="1"/>
  <c r="B1392" i="1"/>
  <c r="A1392" i="1" s="1"/>
  <c r="B1393" i="1"/>
  <c r="A1393" i="1" s="1"/>
  <c r="B1394" i="1"/>
  <c r="A1394" i="1" s="1"/>
  <c r="B1395" i="1"/>
  <c r="A1395" i="1" s="1"/>
  <c r="B1396" i="1"/>
  <c r="A1396" i="1" s="1"/>
  <c r="B1397" i="1"/>
  <c r="A1397" i="1" s="1"/>
  <c r="B1398" i="1"/>
  <c r="A1398" i="1" s="1"/>
  <c r="B1399" i="1"/>
  <c r="A1399" i="1" s="1"/>
  <c r="B1400" i="1"/>
  <c r="A1400" i="1" s="1"/>
  <c r="B1401" i="1"/>
  <c r="A1401" i="1" s="1"/>
  <c r="B1402" i="1"/>
  <c r="A1402" i="1" s="1"/>
  <c r="B1403" i="1"/>
  <c r="A1403" i="1" s="1"/>
  <c r="B1404" i="1"/>
  <c r="A1404" i="1" s="1"/>
  <c r="B1405" i="1"/>
  <c r="A1405" i="1" s="1"/>
  <c r="B1406" i="1"/>
  <c r="A1406" i="1" s="1"/>
  <c r="B1407" i="1"/>
  <c r="A1407" i="1" s="1"/>
  <c r="B1408" i="1"/>
  <c r="A1408" i="1" s="1"/>
  <c r="B1409" i="1"/>
  <c r="A1409" i="1" s="1"/>
  <c r="B1410" i="1"/>
  <c r="A1410" i="1" s="1"/>
  <c r="B1411" i="1"/>
  <c r="A1411" i="1" s="1"/>
  <c r="B1412" i="1"/>
  <c r="A1412" i="1" s="1"/>
  <c r="B1413" i="1"/>
  <c r="A1413" i="1" s="1"/>
  <c r="B1414" i="1"/>
  <c r="A1414" i="1" s="1"/>
  <c r="B1415" i="1"/>
  <c r="A1415" i="1" s="1"/>
  <c r="B1416" i="1"/>
  <c r="A1416" i="1" s="1"/>
  <c r="B1417" i="1"/>
  <c r="A1417" i="1" s="1"/>
  <c r="B1418" i="1"/>
  <c r="A1418" i="1" s="1"/>
  <c r="B1419" i="1"/>
  <c r="A1419" i="1" s="1"/>
  <c r="B1420" i="1"/>
  <c r="A1420" i="1" s="1"/>
  <c r="B1421" i="1"/>
  <c r="A1421" i="1" s="1"/>
  <c r="B1422" i="1"/>
  <c r="A1422" i="1" s="1"/>
  <c r="B1423" i="1"/>
  <c r="A1423" i="1" s="1"/>
  <c r="B1424" i="1"/>
  <c r="A1424" i="1" s="1"/>
  <c r="B1425" i="1"/>
  <c r="A1425" i="1" s="1"/>
  <c r="B1426" i="1"/>
  <c r="A1426" i="1" s="1"/>
  <c r="B1427" i="1"/>
  <c r="A1427" i="1" s="1"/>
  <c r="B1428" i="1"/>
  <c r="A1428" i="1" s="1"/>
  <c r="B1429" i="1"/>
  <c r="A1429" i="1" s="1"/>
  <c r="B1430" i="1"/>
  <c r="A1430" i="1" s="1"/>
  <c r="B1431" i="1"/>
  <c r="A1431" i="1" s="1"/>
  <c r="B1432" i="1"/>
  <c r="A1432" i="1" s="1"/>
  <c r="B1433" i="1"/>
  <c r="A1433" i="1" s="1"/>
  <c r="B1434" i="1"/>
  <c r="A1434" i="1" s="1"/>
  <c r="B1435" i="1"/>
  <c r="A1435" i="1" s="1"/>
  <c r="B1436" i="1"/>
  <c r="A1436" i="1" s="1"/>
  <c r="B1437" i="1"/>
  <c r="A1437" i="1" s="1"/>
  <c r="B1438" i="1"/>
  <c r="A1438" i="1" s="1"/>
  <c r="B1439" i="1"/>
  <c r="A1439" i="1" s="1"/>
  <c r="B1440" i="1"/>
  <c r="A1440" i="1" s="1"/>
  <c r="B1441" i="1"/>
  <c r="A1441" i="1" s="1"/>
  <c r="B1442" i="1"/>
  <c r="A1442" i="1" s="1"/>
  <c r="B1443" i="1"/>
  <c r="A1443" i="1" s="1"/>
  <c r="B1444" i="1"/>
  <c r="A1444" i="1" s="1"/>
  <c r="B1445" i="1"/>
  <c r="A1445" i="1" s="1"/>
  <c r="B1446" i="1"/>
  <c r="A1446" i="1" s="1"/>
  <c r="B1447" i="1"/>
  <c r="A1447" i="1" s="1"/>
  <c r="B1448" i="1"/>
  <c r="A1448" i="1" s="1"/>
  <c r="B1449" i="1"/>
  <c r="A1449" i="1" s="1"/>
  <c r="B1450" i="1"/>
  <c r="A1450" i="1" s="1"/>
  <c r="B1451" i="1"/>
  <c r="A1451" i="1" s="1"/>
  <c r="B1452" i="1"/>
  <c r="A1452" i="1" s="1"/>
  <c r="B1453" i="1"/>
  <c r="A1453" i="1" s="1"/>
  <c r="B1454" i="1"/>
  <c r="A1454" i="1" s="1"/>
  <c r="B1455" i="1"/>
  <c r="A1455" i="1" s="1"/>
  <c r="B1456" i="1"/>
  <c r="A1456" i="1" s="1"/>
  <c r="B1457" i="1"/>
  <c r="A1457" i="1" s="1"/>
  <c r="B1458" i="1"/>
  <c r="A1458" i="1" s="1"/>
  <c r="B1459" i="1"/>
  <c r="A1459" i="1" s="1"/>
  <c r="B1460" i="1"/>
  <c r="A1460" i="1" s="1"/>
  <c r="B1461" i="1"/>
  <c r="A1461" i="1" s="1"/>
  <c r="B1462" i="1"/>
  <c r="A1462" i="1" s="1"/>
  <c r="B1463" i="1"/>
  <c r="A1463" i="1" s="1"/>
  <c r="B1464" i="1"/>
  <c r="A1464" i="1" s="1"/>
  <c r="B1465" i="1"/>
  <c r="A1465" i="1" s="1"/>
  <c r="B1466" i="1"/>
  <c r="A1466" i="1" s="1"/>
  <c r="B1467" i="1"/>
  <c r="A1467" i="1" s="1"/>
  <c r="B1468" i="1"/>
  <c r="A1468" i="1" s="1"/>
  <c r="B1469" i="1"/>
  <c r="A1469" i="1" s="1"/>
  <c r="B1470" i="1"/>
  <c r="A1470" i="1" s="1"/>
  <c r="B1471" i="1"/>
  <c r="A1471" i="1" s="1"/>
  <c r="B1472" i="1"/>
  <c r="A1472" i="1" s="1"/>
  <c r="B1473" i="1"/>
  <c r="A1473" i="1" s="1"/>
  <c r="B1474" i="1"/>
  <c r="A1474" i="1" s="1"/>
  <c r="B1475" i="1"/>
  <c r="A1475" i="1" s="1"/>
  <c r="B1476" i="1"/>
  <c r="A1476" i="1" s="1"/>
  <c r="B1477" i="1"/>
  <c r="A1477" i="1" s="1"/>
  <c r="B1478" i="1"/>
  <c r="A1478" i="1" s="1"/>
  <c r="B1479" i="1"/>
  <c r="A1479" i="1" s="1"/>
  <c r="B1480" i="1"/>
  <c r="A1480" i="1" s="1"/>
  <c r="B1481" i="1"/>
  <c r="A1481" i="1" s="1"/>
  <c r="B1482" i="1"/>
  <c r="A1482" i="1" s="1"/>
  <c r="B1483" i="1"/>
  <c r="A1483" i="1" s="1"/>
  <c r="B1484" i="1"/>
  <c r="A1484" i="1" s="1"/>
  <c r="B1485" i="1"/>
  <c r="A1485" i="1" s="1"/>
  <c r="B1486" i="1"/>
  <c r="A1486" i="1" s="1"/>
  <c r="B1487" i="1"/>
  <c r="A1487" i="1" s="1"/>
  <c r="B1488" i="1"/>
  <c r="A1488" i="1" s="1"/>
  <c r="B1489" i="1"/>
  <c r="A1489" i="1" s="1"/>
  <c r="B1490" i="1"/>
  <c r="A1490" i="1" s="1"/>
  <c r="B1491" i="1"/>
  <c r="A1491" i="1" s="1"/>
  <c r="B1492" i="1"/>
  <c r="A1492" i="1" s="1"/>
  <c r="B1493" i="1"/>
  <c r="A1493" i="1" s="1"/>
  <c r="B1494" i="1"/>
  <c r="A1494" i="1" s="1"/>
  <c r="B1495" i="1"/>
  <c r="A1495" i="1" s="1"/>
  <c r="B1496" i="1"/>
  <c r="A1496" i="1" s="1"/>
  <c r="B1497" i="1"/>
  <c r="A1497" i="1" s="1"/>
  <c r="B1498" i="1"/>
  <c r="A1498" i="1" s="1"/>
  <c r="B1499" i="1"/>
  <c r="A1499" i="1" s="1"/>
  <c r="B1500" i="1"/>
  <c r="A1500" i="1" s="1"/>
  <c r="B1501" i="1"/>
  <c r="A1501" i="1" s="1"/>
  <c r="B1502" i="1"/>
  <c r="A1502" i="1" s="1"/>
  <c r="B1503" i="1"/>
  <c r="A1503" i="1" s="1"/>
  <c r="B1504" i="1"/>
  <c r="A1504" i="1" s="1"/>
  <c r="B1505" i="1"/>
  <c r="A1505" i="1" s="1"/>
  <c r="B1506" i="1"/>
  <c r="A1506" i="1" s="1"/>
  <c r="B1507" i="1"/>
  <c r="A1507" i="1" s="1"/>
  <c r="B1508" i="1"/>
  <c r="A1508" i="1" s="1"/>
  <c r="B1509" i="1"/>
  <c r="A1509" i="1" s="1"/>
  <c r="B1510" i="1"/>
  <c r="A1510" i="1" s="1"/>
  <c r="B1511" i="1"/>
  <c r="A1511" i="1" s="1"/>
  <c r="B1512" i="1"/>
  <c r="A1512" i="1" s="1"/>
  <c r="B1513" i="1"/>
  <c r="A1513" i="1" s="1"/>
  <c r="B1514" i="1"/>
  <c r="A1514" i="1" s="1"/>
  <c r="B1515" i="1"/>
  <c r="A1515" i="1" s="1"/>
  <c r="B1516" i="1"/>
  <c r="A1516" i="1" s="1"/>
  <c r="B1517" i="1"/>
  <c r="A1517" i="1" s="1"/>
  <c r="B1518" i="1"/>
  <c r="A1518" i="1" s="1"/>
  <c r="B1519" i="1"/>
  <c r="A1519" i="1" s="1"/>
  <c r="B1520" i="1"/>
  <c r="A1520" i="1" s="1"/>
  <c r="B1521" i="1"/>
  <c r="A1521" i="1" s="1"/>
  <c r="B1522" i="1"/>
  <c r="A1522" i="1" s="1"/>
  <c r="B1523" i="1"/>
  <c r="A1523" i="1" s="1"/>
  <c r="B1524" i="1"/>
  <c r="A1524" i="1" s="1"/>
  <c r="B1525" i="1"/>
  <c r="A1525" i="1" s="1"/>
  <c r="B1526" i="1"/>
  <c r="A1526" i="1" s="1"/>
  <c r="B1527" i="1"/>
  <c r="A1527" i="1" s="1"/>
  <c r="B1528" i="1"/>
  <c r="A1528" i="1" s="1"/>
  <c r="B1529" i="1"/>
  <c r="A1529" i="1" s="1"/>
  <c r="B1530" i="1"/>
  <c r="A1530" i="1" s="1"/>
  <c r="B1531" i="1"/>
  <c r="A1531" i="1" s="1"/>
  <c r="B1532" i="1"/>
  <c r="A1532" i="1" s="1"/>
  <c r="B1533" i="1"/>
  <c r="A1533" i="1" s="1"/>
  <c r="B1534" i="1"/>
  <c r="A1534" i="1" s="1"/>
  <c r="B1535" i="1"/>
  <c r="A1535" i="1" s="1"/>
  <c r="B1536" i="1"/>
  <c r="A1536" i="1" s="1"/>
  <c r="B1537" i="1"/>
  <c r="A1537" i="1" s="1"/>
  <c r="B1538" i="1"/>
  <c r="A1538" i="1" s="1"/>
  <c r="B1539" i="1"/>
  <c r="A1539" i="1" s="1"/>
  <c r="B1540" i="1"/>
  <c r="A1540" i="1" s="1"/>
  <c r="B1541" i="1"/>
  <c r="A1541" i="1" s="1"/>
  <c r="B1542" i="1"/>
  <c r="A1542" i="1" s="1"/>
  <c r="B1543" i="1"/>
  <c r="A1543" i="1" s="1"/>
  <c r="B1544" i="1"/>
  <c r="A1544" i="1" s="1"/>
  <c r="B1545" i="1"/>
  <c r="A1545" i="1" s="1"/>
  <c r="B1546" i="1"/>
  <c r="A1546" i="1" s="1"/>
  <c r="B1547" i="1"/>
  <c r="A1547" i="1" s="1"/>
  <c r="B1548" i="1"/>
  <c r="A1548" i="1" s="1"/>
  <c r="B1549" i="1"/>
  <c r="A1549" i="1" s="1"/>
  <c r="B1550" i="1"/>
  <c r="A1550" i="1" s="1"/>
  <c r="B1551" i="1"/>
  <c r="A1551" i="1" s="1"/>
  <c r="B1552" i="1"/>
  <c r="A1552" i="1" s="1"/>
  <c r="B1553" i="1"/>
  <c r="A1553" i="1" s="1"/>
  <c r="B1554" i="1"/>
  <c r="A1554" i="1" s="1"/>
  <c r="B1555" i="1"/>
  <c r="A1555" i="1" s="1"/>
  <c r="B1556" i="1"/>
  <c r="A1556" i="1" s="1"/>
  <c r="B1557" i="1"/>
  <c r="A1557" i="1" s="1"/>
  <c r="B1558" i="1"/>
  <c r="A1558" i="1" s="1"/>
  <c r="B1559" i="1"/>
  <c r="A1559" i="1" s="1"/>
  <c r="B1560" i="1"/>
  <c r="A1560" i="1" s="1"/>
  <c r="B1561" i="1"/>
  <c r="A1561" i="1" s="1"/>
  <c r="B1562" i="1"/>
  <c r="A1562" i="1" s="1"/>
  <c r="B1563" i="1"/>
  <c r="A1563" i="1" s="1"/>
  <c r="B1564" i="1"/>
  <c r="A1564" i="1" s="1"/>
  <c r="B1565" i="1"/>
  <c r="A1565" i="1" s="1"/>
  <c r="B1566" i="1"/>
  <c r="A1566" i="1" s="1"/>
  <c r="B1567" i="1"/>
  <c r="A1567" i="1" s="1"/>
  <c r="B1568" i="1"/>
  <c r="A1568" i="1" s="1"/>
  <c r="B1569" i="1"/>
  <c r="A1569" i="1" s="1"/>
  <c r="B1570" i="1"/>
  <c r="A1570" i="1" s="1"/>
  <c r="B1571" i="1"/>
  <c r="A1571" i="1" s="1"/>
  <c r="B1572" i="1"/>
  <c r="A1572" i="1" s="1"/>
  <c r="B1573" i="1"/>
  <c r="A1573" i="1" s="1"/>
  <c r="B1574" i="1"/>
  <c r="A1574" i="1" s="1"/>
  <c r="B1575" i="1"/>
  <c r="A1575" i="1" s="1"/>
  <c r="B1576" i="1"/>
  <c r="A1576" i="1" s="1"/>
  <c r="B1577" i="1"/>
  <c r="A1577" i="1" s="1"/>
  <c r="B1578" i="1"/>
  <c r="A1578" i="1" s="1"/>
  <c r="B1579" i="1"/>
  <c r="A1579" i="1" s="1"/>
  <c r="B1580" i="1"/>
  <c r="A1580" i="1" s="1"/>
  <c r="B1581" i="1"/>
  <c r="A1581" i="1" s="1"/>
  <c r="B1582" i="1"/>
  <c r="A1582" i="1" s="1"/>
  <c r="B1583" i="1"/>
  <c r="A1583" i="1" s="1"/>
  <c r="B1584" i="1"/>
  <c r="A1584" i="1" s="1"/>
  <c r="B1585" i="1"/>
  <c r="A1585" i="1" s="1"/>
  <c r="B1586" i="1"/>
  <c r="A1586" i="1" s="1"/>
  <c r="B1587" i="1"/>
  <c r="A1587" i="1" s="1"/>
  <c r="B1588" i="1"/>
  <c r="A1588" i="1" s="1"/>
  <c r="B1589" i="1"/>
  <c r="A1589" i="1" s="1"/>
  <c r="B1590" i="1"/>
  <c r="A1590" i="1" s="1"/>
  <c r="B1591" i="1"/>
  <c r="A1591" i="1" s="1"/>
  <c r="B1592" i="1"/>
  <c r="A1592" i="1" s="1"/>
  <c r="B1593" i="1"/>
  <c r="A1593" i="1" s="1"/>
  <c r="B1594" i="1"/>
  <c r="A1594" i="1" s="1"/>
  <c r="B1595" i="1"/>
  <c r="A1595" i="1" s="1"/>
  <c r="B1596" i="1"/>
  <c r="A1596" i="1" s="1"/>
  <c r="B1597" i="1"/>
  <c r="A1597" i="1" s="1"/>
  <c r="B1598" i="1"/>
  <c r="A1598" i="1" s="1"/>
  <c r="B1599" i="1"/>
  <c r="A1599" i="1" s="1"/>
  <c r="B1600" i="1"/>
  <c r="A1600" i="1" s="1"/>
  <c r="B1601" i="1"/>
  <c r="A1601" i="1" s="1"/>
  <c r="B1602" i="1"/>
  <c r="A1602" i="1" s="1"/>
  <c r="B1603" i="1"/>
  <c r="A1603" i="1" s="1"/>
  <c r="B1604" i="1"/>
  <c r="A1604" i="1" s="1"/>
  <c r="B1605" i="1"/>
  <c r="A1605" i="1" s="1"/>
  <c r="B1606" i="1"/>
  <c r="A1606" i="1" s="1"/>
  <c r="B1607" i="1"/>
  <c r="A1607" i="1" s="1"/>
  <c r="B1608" i="1"/>
  <c r="A1608" i="1" s="1"/>
  <c r="B1609" i="1"/>
  <c r="A1609" i="1" s="1"/>
  <c r="B1610" i="1"/>
  <c r="A1610" i="1" s="1"/>
  <c r="B1611" i="1"/>
  <c r="A1611" i="1" s="1"/>
  <c r="B1612" i="1"/>
  <c r="A1612" i="1" s="1"/>
  <c r="B1613" i="1"/>
  <c r="A1613" i="1" s="1"/>
  <c r="B1614" i="1"/>
  <c r="A1614" i="1" s="1"/>
  <c r="B1615" i="1"/>
  <c r="A1615" i="1" s="1"/>
  <c r="B1616" i="1"/>
  <c r="A1616" i="1" s="1"/>
  <c r="B1617" i="1"/>
  <c r="A1617" i="1" s="1"/>
  <c r="B1618" i="1"/>
  <c r="A1618" i="1" s="1"/>
  <c r="B1619" i="1"/>
  <c r="A1619" i="1" s="1"/>
  <c r="B1620" i="1"/>
  <c r="A1620" i="1" s="1"/>
  <c r="B1621" i="1"/>
  <c r="A1621" i="1" s="1"/>
  <c r="B1622" i="1"/>
  <c r="A1622" i="1" s="1"/>
  <c r="B1623" i="1"/>
  <c r="A1623" i="1" s="1"/>
  <c r="B1624" i="1"/>
  <c r="A1624" i="1" s="1"/>
  <c r="B1625" i="1"/>
  <c r="A1625" i="1" s="1"/>
  <c r="B1626" i="1"/>
  <c r="A1626" i="1" s="1"/>
  <c r="B1627" i="1"/>
  <c r="A1627" i="1" s="1"/>
  <c r="B1628" i="1"/>
  <c r="A1628" i="1" s="1"/>
  <c r="B1629" i="1"/>
  <c r="A1629" i="1" s="1"/>
  <c r="B1630" i="1"/>
  <c r="A1630" i="1" s="1"/>
  <c r="B1631" i="1"/>
  <c r="A1631" i="1" s="1"/>
  <c r="B1632" i="1"/>
  <c r="A1632" i="1" s="1"/>
  <c r="B1633" i="1"/>
  <c r="A1633" i="1" s="1"/>
  <c r="B1634" i="1"/>
  <c r="A1634" i="1" s="1"/>
  <c r="B1635" i="1"/>
  <c r="A1635" i="1" s="1"/>
  <c r="B1636" i="1"/>
  <c r="A1636" i="1" s="1"/>
  <c r="B1637" i="1"/>
  <c r="A1637" i="1" s="1"/>
  <c r="B1638" i="1"/>
  <c r="A1638" i="1" s="1"/>
  <c r="B1639" i="1"/>
  <c r="A1639" i="1" s="1"/>
  <c r="B1640" i="1"/>
  <c r="A1640" i="1" s="1"/>
  <c r="B1641" i="1"/>
  <c r="A1641" i="1" s="1"/>
  <c r="B1642" i="1"/>
  <c r="A1642" i="1" s="1"/>
  <c r="B1643" i="1"/>
  <c r="A1643" i="1" s="1"/>
  <c r="B1644" i="1"/>
  <c r="A1644" i="1" s="1"/>
  <c r="B1645" i="1"/>
  <c r="A1645" i="1" s="1"/>
  <c r="B1646" i="1"/>
  <c r="A1646" i="1" s="1"/>
  <c r="B1647" i="1"/>
  <c r="A1647" i="1" s="1"/>
  <c r="B1648" i="1"/>
  <c r="A1648" i="1" s="1"/>
  <c r="B1649" i="1"/>
  <c r="A1649" i="1" s="1"/>
  <c r="B1650" i="1"/>
  <c r="A1650" i="1" s="1"/>
  <c r="B1651" i="1"/>
  <c r="A1651" i="1" s="1"/>
  <c r="B1652" i="1"/>
  <c r="A1652" i="1" s="1"/>
  <c r="B1653" i="1"/>
  <c r="A1653" i="1" s="1"/>
  <c r="B1654" i="1"/>
  <c r="A1654" i="1" s="1"/>
  <c r="B1655" i="1"/>
  <c r="A1655" i="1" s="1"/>
  <c r="B1656" i="1"/>
  <c r="A1656" i="1" s="1"/>
  <c r="B1657" i="1"/>
  <c r="A1657" i="1" s="1"/>
  <c r="B1658" i="1"/>
  <c r="A1658" i="1" s="1"/>
  <c r="B1659" i="1"/>
  <c r="A1659" i="1" s="1"/>
  <c r="B1660" i="1"/>
  <c r="A1660" i="1" s="1"/>
  <c r="B1661" i="1"/>
  <c r="A1661" i="1" s="1"/>
  <c r="B1662" i="1"/>
  <c r="A1662" i="1" s="1"/>
  <c r="B1663" i="1"/>
  <c r="A1663" i="1" s="1"/>
  <c r="B1664" i="1"/>
  <c r="A1664" i="1" s="1"/>
  <c r="B1665" i="1"/>
  <c r="A1665" i="1" s="1"/>
  <c r="B1666" i="1"/>
  <c r="A1666" i="1" s="1"/>
  <c r="B1667" i="1"/>
  <c r="A1667" i="1" s="1"/>
  <c r="B1668" i="1"/>
  <c r="A1668" i="1" s="1"/>
  <c r="B1669" i="1"/>
  <c r="A1669" i="1" s="1"/>
  <c r="B1670" i="1"/>
  <c r="A1670" i="1" s="1"/>
  <c r="B1671" i="1"/>
  <c r="A1671" i="1" s="1"/>
  <c r="B1672" i="1"/>
  <c r="A1672" i="1" s="1"/>
  <c r="B1673" i="1"/>
  <c r="A1673" i="1" s="1"/>
  <c r="B1674" i="1"/>
  <c r="A1674" i="1" s="1"/>
  <c r="B1675" i="1"/>
  <c r="A1675" i="1" s="1"/>
  <c r="B1676" i="1"/>
  <c r="A1676" i="1" s="1"/>
  <c r="B1677" i="1"/>
  <c r="A1677" i="1" s="1"/>
  <c r="B1678" i="1"/>
  <c r="A1678" i="1" s="1"/>
  <c r="B1679" i="1"/>
  <c r="A1679" i="1" s="1"/>
  <c r="B1680" i="1"/>
  <c r="A1680" i="1" s="1"/>
  <c r="B1681" i="1"/>
  <c r="A1681" i="1" s="1"/>
  <c r="B1682" i="1"/>
  <c r="A1682" i="1" s="1"/>
  <c r="B1683" i="1"/>
  <c r="A1683" i="1" s="1"/>
  <c r="B1684" i="1"/>
  <c r="A1684" i="1" s="1"/>
  <c r="B1685" i="1"/>
  <c r="A1685" i="1" s="1"/>
  <c r="B1686" i="1"/>
  <c r="A1686" i="1" s="1"/>
  <c r="B1687" i="1"/>
  <c r="A1687" i="1" s="1"/>
  <c r="B1688" i="1"/>
  <c r="A1688" i="1" s="1"/>
  <c r="B1689" i="1"/>
  <c r="A1689" i="1" s="1"/>
  <c r="B1690" i="1"/>
  <c r="A1690" i="1" s="1"/>
  <c r="B1691" i="1"/>
  <c r="A1691" i="1" s="1"/>
  <c r="B1692" i="1"/>
  <c r="A1692" i="1" s="1"/>
  <c r="B1693" i="1"/>
  <c r="A1693" i="1" s="1"/>
  <c r="B1694" i="1"/>
  <c r="A1694" i="1" s="1"/>
  <c r="B1695" i="1"/>
  <c r="A1695" i="1" s="1"/>
  <c r="B1696" i="1"/>
  <c r="A1696" i="1" s="1"/>
  <c r="B1697" i="1"/>
  <c r="A1697" i="1" s="1"/>
  <c r="B1698" i="1"/>
  <c r="A1698" i="1" s="1"/>
  <c r="B1699" i="1"/>
  <c r="A1699" i="1" s="1"/>
  <c r="B1700" i="1"/>
  <c r="A1700" i="1" s="1"/>
  <c r="B1701" i="1"/>
  <c r="A1701" i="1" s="1"/>
  <c r="B1702" i="1"/>
  <c r="A1702" i="1" s="1"/>
  <c r="B1703" i="1"/>
  <c r="A1703" i="1" s="1"/>
  <c r="B1704" i="1"/>
  <c r="A1704" i="1" s="1"/>
  <c r="B1705" i="1"/>
  <c r="A1705" i="1" s="1"/>
  <c r="B1706" i="1"/>
  <c r="A1706" i="1" s="1"/>
  <c r="B1707" i="1"/>
  <c r="A1707" i="1" s="1"/>
  <c r="B1708" i="1"/>
  <c r="A1708" i="1" s="1"/>
  <c r="B1709" i="1"/>
  <c r="A1709" i="1" s="1"/>
  <c r="B1710" i="1"/>
  <c r="A1710" i="1" s="1"/>
  <c r="B714" i="1"/>
  <c r="A714" i="1" s="1"/>
  <c r="B1720" i="1"/>
  <c r="A1720" i="1" s="1"/>
  <c r="B1721" i="1"/>
  <c r="A1721" i="1" s="1"/>
  <c r="B1019" i="1"/>
  <c r="A1019" i="1" s="1"/>
  <c r="B1028" i="1"/>
  <c r="A1028" i="1" s="1"/>
  <c r="B1020" i="1"/>
  <c r="A1020" i="1" s="1"/>
  <c r="B997" i="1"/>
  <c r="A997" i="1" s="1"/>
  <c r="B713" i="1"/>
  <c r="A713" i="1" s="1"/>
  <c r="B986" i="1"/>
  <c r="A986" i="1" s="1"/>
  <c r="B707" i="1"/>
  <c r="A707" i="1" s="1"/>
  <c r="B985" i="1"/>
  <c r="A985" i="1" s="1"/>
  <c r="B1722" i="1"/>
  <c r="A1722" i="1" s="1"/>
  <c r="B1723" i="1"/>
  <c r="A1723" i="1" s="1"/>
  <c r="B2" i="1"/>
  <c r="A2" i="1" s="1"/>
  <c r="D2" i="1" l="1"/>
  <c r="D3" i="1"/>
  <c r="F3" i="1"/>
  <c r="AB3" i="1"/>
  <c r="D4" i="1"/>
  <c r="F4" i="1"/>
  <c r="AB4" i="1"/>
  <c r="D5" i="1"/>
  <c r="F5" i="1"/>
  <c r="AB5" i="1"/>
  <c r="D6" i="1"/>
  <c r="F6" i="1"/>
  <c r="AB6" i="1"/>
  <c r="D7" i="1"/>
  <c r="F7" i="1"/>
  <c r="AB7" i="1"/>
  <c r="D8" i="1"/>
  <c r="F8" i="1"/>
  <c r="AB8" i="1"/>
  <c r="D9" i="1"/>
  <c r="F9" i="1"/>
  <c r="AB9" i="1"/>
  <c r="D10" i="1"/>
  <c r="D11" i="1"/>
  <c r="F11" i="1"/>
  <c r="AB11" i="1"/>
  <c r="D12" i="1"/>
  <c r="F12" i="1"/>
  <c r="AB12" i="1"/>
  <c r="D13" i="1"/>
  <c r="F13" i="1"/>
  <c r="AB13" i="1"/>
  <c r="D14" i="1"/>
  <c r="F14" i="1"/>
  <c r="D15" i="1"/>
  <c r="F15" i="1"/>
  <c r="AB15" i="1"/>
  <c r="D16" i="1"/>
  <c r="F16" i="1"/>
  <c r="AB16" i="1"/>
  <c r="D17" i="1"/>
  <c r="D18" i="1"/>
  <c r="D19" i="1"/>
  <c r="D20" i="1"/>
  <c r="F20" i="1"/>
  <c r="AB20" i="1"/>
  <c r="D21" i="1"/>
  <c r="F21" i="1"/>
  <c r="AB21" i="1"/>
  <c r="D22" i="1"/>
  <c r="F22" i="1"/>
  <c r="AB22" i="1"/>
  <c r="D23" i="1"/>
  <c r="D24" i="1"/>
  <c r="D25" i="1"/>
  <c r="F25" i="1"/>
  <c r="AB25" i="1"/>
  <c r="D26" i="1"/>
  <c r="F26" i="1"/>
  <c r="AB26" i="1"/>
  <c r="D27" i="1"/>
  <c r="F27" i="1"/>
  <c r="AB27" i="1"/>
  <c r="D28" i="1"/>
  <c r="D29" i="1"/>
  <c r="D30" i="1"/>
  <c r="D31" i="1"/>
  <c r="D32" i="1"/>
  <c r="F32" i="1"/>
  <c r="AB32" i="1"/>
  <c r="D33" i="1"/>
  <c r="F33" i="1"/>
  <c r="AB33" i="1"/>
  <c r="D34" i="1"/>
  <c r="F34" i="1"/>
  <c r="AB34" i="1"/>
  <c r="D35" i="1"/>
  <c r="F35" i="1"/>
  <c r="AB35" i="1"/>
  <c r="D36" i="1"/>
  <c r="D37" i="1"/>
  <c r="F37" i="1"/>
  <c r="AB37" i="1"/>
  <c r="D38" i="1"/>
  <c r="F38" i="1"/>
  <c r="AB38" i="1"/>
  <c r="D39" i="1"/>
  <c r="F39" i="1"/>
  <c r="AB39" i="1"/>
  <c r="D40" i="1"/>
  <c r="F40" i="1"/>
  <c r="AB40" i="1"/>
  <c r="D41" i="1"/>
  <c r="D42" i="1"/>
  <c r="F42" i="1"/>
  <c r="AB42" i="1"/>
  <c r="D43" i="1"/>
  <c r="F43" i="1"/>
  <c r="AB43" i="1"/>
  <c r="D44" i="1"/>
  <c r="F44" i="1"/>
  <c r="AB44" i="1"/>
  <c r="D45" i="1"/>
  <c r="F45" i="1"/>
  <c r="AB45" i="1"/>
  <c r="D46" i="1"/>
  <c r="D47" i="1"/>
  <c r="D48" i="1"/>
  <c r="F48" i="1"/>
  <c r="AB48" i="1"/>
  <c r="D49" i="1"/>
  <c r="F49" i="1"/>
  <c r="AB49" i="1"/>
  <c r="D50" i="1"/>
  <c r="D51" i="1"/>
  <c r="F51" i="1"/>
  <c r="AB51" i="1"/>
  <c r="D52" i="1"/>
  <c r="F52" i="1"/>
  <c r="D53" i="1"/>
  <c r="D54" i="1"/>
  <c r="F54" i="1"/>
  <c r="AB54" i="1"/>
  <c r="D55" i="1"/>
  <c r="F55" i="1"/>
  <c r="AB55" i="1"/>
  <c r="D56" i="1"/>
  <c r="F56" i="1"/>
  <c r="AB56" i="1"/>
  <c r="D57" i="1"/>
  <c r="F57" i="1"/>
  <c r="AB57" i="1"/>
  <c r="D58" i="1"/>
  <c r="F58" i="1"/>
  <c r="AB58" i="1"/>
  <c r="D59" i="1"/>
  <c r="F59" i="1"/>
  <c r="AB59" i="1"/>
  <c r="D60" i="1"/>
  <c r="F60" i="1"/>
  <c r="AB60" i="1"/>
  <c r="D61" i="1"/>
  <c r="F61" i="1"/>
  <c r="AB61" i="1"/>
  <c r="D62" i="1"/>
  <c r="F62" i="1"/>
  <c r="AB62" i="1"/>
  <c r="D63" i="1"/>
  <c r="F63" i="1"/>
  <c r="AB63" i="1"/>
  <c r="D64" i="1"/>
  <c r="F64" i="1"/>
  <c r="D65" i="1"/>
  <c r="F65" i="1"/>
  <c r="D66" i="1"/>
  <c r="F66" i="1"/>
  <c r="AB66" i="1"/>
  <c r="D67" i="1"/>
  <c r="F67" i="1"/>
  <c r="AB67" i="1"/>
  <c r="D68" i="1"/>
  <c r="F68" i="1"/>
  <c r="D69" i="1"/>
  <c r="F69" i="1"/>
  <c r="AB69" i="1"/>
  <c r="D70" i="1"/>
  <c r="F70" i="1"/>
  <c r="AB70" i="1"/>
  <c r="D71" i="1"/>
  <c r="F71" i="1"/>
  <c r="AB71" i="1"/>
  <c r="D72" i="1"/>
  <c r="F72" i="1"/>
  <c r="AB72" i="1"/>
  <c r="D73" i="1"/>
  <c r="F73" i="1"/>
  <c r="AB73" i="1"/>
  <c r="D74" i="1"/>
  <c r="F74" i="1"/>
  <c r="AB74" i="1"/>
  <c r="D75" i="1"/>
  <c r="F75" i="1"/>
  <c r="D76" i="1"/>
  <c r="F76" i="1"/>
  <c r="AB76" i="1"/>
  <c r="D77" i="1"/>
  <c r="F77" i="1"/>
  <c r="AB77" i="1"/>
  <c r="D78" i="1"/>
  <c r="F78" i="1"/>
  <c r="AB78" i="1"/>
  <c r="D79" i="1"/>
  <c r="F79" i="1"/>
  <c r="D80" i="1"/>
  <c r="F80" i="1"/>
  <c r="AB80" i="1"/>
  <c r="D81" i="1"/>
  <c r="F81" i="1"/>
  <c r="AB81" i="1"/>
  <c r="D82" i="1"/>
  <c r="F82" i="1"/>
  <c r="AB82" i="1"/>
  <c r="D83" i="1"/>
  <c r="F83" i="1"/>
  <c r="AB83" i="1"/>
  <c r="D84" i="1"/>
  <c r="F84" i="1"/>
  <c r="AB84" i="1"/>
  <c r="D85" i="1"/>
  <c r="F85" i="1"/>
  <c r="D86" i="1"/>
  <c r="F86" i="1"/>
  <c r="D87" i="1"/>
  <c r="F87" i="1"/>
  <c r="D88" i="1"/>
  <c r="F88" i="1"/>
  <c r="D89" i="1"/>
  <c r="F89" i="1"/>
  <c r="AB89" i="1"/>
  <c r="D90" i="1"/>
  <c r="F90" i="1"/>
  <c r="AB90" i="1"/>
  <c r="D91" i="1"/>
  <c r="F91" i="1"/>
  <c r="AB91" i="1"/>
  <c r="D92" i="1"/>
  <c r="F92" i="1"/>
  <c r="D93" i="1"/>
  <c r="F93" i="1"/>
  <c r="D94" i="1"/>
  <c r="F94" i="1"/>
  <c r="AB94" i="1"/>
  <c r="D95" i="1"/>
  <c r="F95" i="1"/>
  <c r="D96" i="1"/>
  <c r="F96" i="1"/>
  <c r="AB96" i="1"/>
  <c r="D97" i="1"/>
  <c r="F97" i="1"/>
  <c r="D98" i="1"/>
  <c r="F98" i="1"/>
  <c r="AB98" i="1"/>
  <c r="D99" i="1"/>
  <c r="F99" i="1"/>
  <c r="D100" i="1"/>
  <c r="F100" i="1"/>
  <c r="D101" i="1"/>
  <c r="F101" i="1"/>
  <c r="AB101" i="1"/>
  <c r="D102" i="1"/>
  <c r="F102" i="1"/>
  <c r="AB102" i="1"/>
  <c r="D103" i="1"/>
  <c r="F103" i="1"/>
  <c r="AB103" i="1"/>
  <c r="D104" i="1"/>
  <c r="F104" i="1"/>
  <c r="AB104" i="1"/>
  <c r="D105" i="1"/>
  <c r="F105" i="1"/>
  <c r="AB105" i="1"/>
  <c r="D106" i="1"/>
  <c r="F106" i="1"/>
  <c r="AB106" i="1"/>
  <c r="D107" i="1"/>
  <c r="F107" i="1"/>
  <c r="AB107" i="1"/>
  <c r="D108" i="1"/>
  <c r="F108" i="1"/>
  <c r="AB108" i="1"/>
  <c r="D109" i="1"/>
  <c r="D110" i="1"/>
  <c r="F110" i="1"/>
  <c r="D111" i="1"/>
  <c r="F111" i="1"/>
  <c r="AB111" i="1"/>
  <c r="D112" i="1"/>
  <c r="F112" i="1"/>
  <c r="AB112" i="1"/>
  <c r="D113" i="1"/>
  <c r="F113" i="1"/>
  <c r="AB113" i="1"/>
  <c r="D114" i="1"/>
  <c r="D115" i="1"/>
  <c r="F115" i="1"/>
  <c r="D116" i="1"/>
  <c r="D117" i="1"/>
  <c r="F117" i="1"/>
  <c r="AB117" i="1"/>
  <c r="D118" i="1"/>
  <c r="D119" i="1"/>
  <c r="D120" i="1"/>
  <c r="D121" i="1"/>
  <c r="F121" i="1"/>
  <c r="D122" i="1"/>
  <c r="F122" i="1"/>
  <c r="D123" i="1"/>
  <c r="D124" i="1"/>
  <c r="F124" i="1"/>
  <c r="D125" i="1"/>
  <c r="F125" i="1"/>
  <c r="D126" i="1"/>
  <c r="F126" i="1"/>
  <c r="AB126" i="1"/>
  <c r="D127" i="1"/>
  <c r="D128" i="1"/>
  <c r="F128" i="1"/>
  <c r="D129" i="1"/>
  <c r="D130" i="1"/>
  <c r="D131" i="1"/>
  <c r="F131" i="1"/>
  <c r="D132" i="1"/>
  <c r="F132" i="1"/>
  <c r="AB132" i="1"/>
  <c r="D133" i="1"/>
  <c r="D134" i="1"/>
  <c r="D135" i="1"/>
  <c r="F135" i="1"/>
  <c r="D136" i="1"/>
  <c r="F136" i="1"/>
  <c r="AB136" i="1"/>
  <c r="D137" i="1"/>
  <c r="F137" i="1"/>
  <c r="D138" i="1"/>
  <c r="F138" i="1"/>
  <c r="AB138" i="1"/>
  <c r="D139" i="1"/>
  <c r="F139" i="1"/>
  <c r="AB139" i="1"/>
  <c r="D140" i="1"/>
  <c r="F140" i="1"/>
  <c r="AB140" i="1"/>
  <c r="D141" i="1"/>
  <c r="F141" i="1"/>
  <c r="AB141" i="1"/>
  <c r="D142" i="1"/>
  <c r="F142" i="1"/>
  <c r="AB142" i="1"/>
  <c r="D143" i="1"/>
  <c r="F143" i="1"/>
  <c r="AB143" i="1"/>
  <c r="D144" i="1"/>
  <c r="F144" i="1"/>
  <c r="AB144" i="1"/>
  <c r="D145" i="1"/>
  <c r="F145" i="1"/>
  <c r="AB145" i="1"/>
  <c r="D146" i="1"/>
  <c r="F146" i="1"/>
  <c r="AB146" i="1"/>
  <c r="D147" i="1"/>
  <c r="F147" i="1"/>
  <c r="AB147" i="1"/>
  <c r="D148" i="1"/>
  <c r="F148" i="1"/>
  <c r="AB148" i="1"/>
  <c r="D149" i="1"/>
  <c r="F149" i="1"/>
  <c r="AB149" i="1"/>
  <c r="D150" i="1"/>
  <c r="F150" i="1"/>
  <c r="AB150" i="1"/>
  <c r="D151" i="1"/>
  <c r="F151" i="1"/>
  <c r="AB151" i="1"/>
  <c r="D152" i="1"/>
  <c r="F152" i="1"/>
  <c r="D153" i="1"/>
  <c r="F153" i="1"/>
  <c r="D154" i="1"/>
  <c r="F154" i="1"/>
  <c r="AB154" i="1"/>
  <c r="D155" i="1"/>
  <c r="F155" i="1"/>
  <c r="AB155" i="1"/>
  <c r="D156" i="1"/>
  <c r="F156" i="1"/>
  <c r="D157" i="1"/>
  <c r="F157" i="1"/>
  <c r="AB157" i="1"/>
  <c r="D158" i="1"/>
  <c r="F158" i="1"/>
  <c r="AB158" i="1"/>
  <c r="D159" i="1"/>
  <c r="F159" i="1"/>
  <c r="D160" i="1"/>
  <c r="F160" i="1"/>
  <c r="AB160" i="1"/>
  <c r="D161" i="1"/>
  <c r="F161" i="1"/>
  <c r="AB161" i="1"/>
  <c r="D162" i="1"/>
  <c r="F162" i="1"/>
  <c r="D163" i="1"/>
  <c r="F163" i="1"/>
  <c r="D164" i="1"/>
  <c r="F164" i="1"/>
  <c r="D165" i="1"/>
  <c r="F165" i="1"/>
  <c r="D166" i="1"/>
  <c r="F166" i="1"/>
  <c r="AB166" i="1"/>
  <c r="D167" i="1"/>
  <c r="F167" i="1"/>
  <c r="AB167" i="1"/>
  <c r="D168" i="1"/>
  <c r="F168" i="1"/>
  <c r="AB168" i="1"/>
  <c r="D169" i="1"/>
  <c r="F169" i="1"/>
  <c r="AB169" i="1"/>
  <c r="D170" i="1"/>
  <c r="F170" i="1"/>
  <c r="AB170" i="1"/>
  <c r="D171" i="1"/>
  <c r="F171" i="1"/>
  <c r="AB171" i="1"/>
  <c r="D172" i="1"/>
  <c r="F172" i="1"/>
  <c r="AB172" i="1"/>
  <c r="D173" i="1"/>
  <c r="F173" i="1"/>
  <c r="D174" i="1"/>
  <c r="F174" i="1"/>
  <c r="D175" i="1"/>
  <c r="F175" i="1"/>
  <c r="D176" i="1"/>
  <c r="F176" i="1"/>
  <c r="AB176" i="1"/>
  <c r="D177" i="1"/>
  <c r="F177" i="1"/>
  <c r="AB177" i="1"/>
  <c r="D178" i="1"/>
  <c r="F178" i="1"/>
  <c r="AB178" i="1"/>
  <c r="D179" i="1"/>
  <c r="D180" i="1"/>
  <c r="D181" i="1"/>
  <c r="F181" i="1"/>
  <c r="D182" i="1"/>
  <c r="D183" i="1"/>
  <c r="F183" i="1"/>
  <c r="AB183" i="1"/>
  <c r="D184" i="1"/>
  <c r="F184" i="1"/>
  <c r="AB184" i="1"/>
  <c r="D185" i="1"/>
  <c r="F185" i="1"/>
  <c r="D186" i="1"/>
  <c r="D187" i="1"/>
  <c r="D188" i="1"/>
  <c r="F188" i="1"/>
  <c r="D189" i="1"/>
  <c r="F189" i="1"/>
  <c r="AB189" i="1"/>
  <c r="D190" i="1"/>
  <c r="F190" i="1"/>
  <c r="D191" i="1"/>
  <c r="F191" i="1"/>
  <c r="AB191" i="1"/>
  <c r="D192" i="1"/>
  <c r="F192" i="1"/>
  <c r="AB192" i="1"/>
  <c r="D193" i="1"/>
  <c r="F193" i="1"/>
  <c r="AB193" i="1"/>
  <c r="D194" i="1"/>
  <c r="F194" i="1"/>
  <c r="AB194" i="1"/>
  <c r="D195" i="1"/>
  <c r="F195" i="1"/>
  <c r="AB195" i="1"/>
  <c r="D196" i="1"/>
  <c r="F196" i="1"/>
  <c r="D197" i="1"/>
  <c r="F197" i="1"/>
  <c r="D198" i="1"/>
  <c r="F198" i="1"/>
  <c r="AB198" i="1"/>
  <c r="D199" i="1"/>
  <c r="F199" i="1"/>
  <c r="D200" i="1"/>
  <c r="F200" i="1"/>
  <c r="AB200" i="1"/>
  <c r="D201" i="1"/>
  <c r="F201" i="1"/>
  <c r="D202" i="1"/>
  <c r="F202" i="1"/>
  <c r="D203" i="1"/>
  <c r="F203" i="1"/>
  <c r="AB203" i="1"/>
  <c r="D204" i="1"/>
  <c r="F204" i="1"/>
  <c r="AB204" i="1"/>
  <c r="D205" i="1"/>
  <c r="F205" i="1"/>
  <c r="AB205" i="1"/>
  <c r="D206" i="1"/>
  <c r="F206" i="1"/>
  <c r="AB206" i="1"/>
  <c r="D207" i="1"/>
  <c r="F207" i="1"/>
  <c r="AB207" i="1"/>
  <c r="D208" i="1"/>
  <c r="F208" i="1"/>
  <c r="AB208" i="1"/>
  <c r="D209" i="1"/>
  <c r="F209" i="1"/>
  <c r="AB209" i="1"/>
  <c r="D210" i="1"/>
  <c r="F210" i="1"/>
  <c r="AB210" i="1"/>
  <c r="D211" i="1"/>
  <c r="F211" i="1"/>
  <c r="D212" i="1"/>
  <c r="F212" i="1"/>
  <c r="AB212" i="1"/>
  <c r="D213" i="1"/>
  <c r="F213" i="1"/>
  <c r="AB213" i="1"/>
  <c r="D214" i="1"/>
  <c r="F214" i="1"/>
  <c r="AB214" i="1"/>
  <c r="D215" i="1"/>
  <c r="D216" i="1"/>
  <c r="F216" i="1"/>
  <c r="D217" i="1"/>
  <c r="F217" i="1"/>
  <c r="AB217" i="1"/>
  <c r="D218" i="1"/>
  <c r="F218" i="1"/>
  <c r="AB218" i="1"/>
  <c r="D219" i="1"/>
  <c r="F219" i="1"/>
  <c r="AB219" i="1"/>
  <c r="D220" i="1"/>
  <c r="F220" i="1"/>
  <c r="D221" i="1"/>
  <c r="F221" i="1"/>
  <c r="AB221" i="1"/>
  <c r="D222" i="1"/>
  <c r="F222" i="1"/>
  <c r="AB222" i="1"/>
  <c r="D223" i="1"/>
  <c r="F223" i="1"/>
  <c r="AB223" i="1"/>
  <c r="D224" i="1"/>
  <c r="F224" i="1"/>
  <c r="AB224" i="1"/>
  <c r="D225" i="1"/>
  <c r="F225" i="1"/>
  <c r="D226" i="1"/>
  <c r="F226" i="1"/>
  <c r="AB226" i="1"/>
  <c r="D227" i="1"/>
  <c r="F227" i="1"/>
  <c r="AB227" i="1"/>
  <c r="D228" i="1"/>
  <c r="F228" i="1"/>
  <c r="AB228" i="1"/>
  <c r="D229" i="1"/>
  <c r="F229" i="1"/>
  <c r="AB229" i="1"/>
  <c r="D230" i="1"/>
  <c r="F230" i="1"/>
  <c r="AB230" i="1"/>
  <c r="D231" i="1"/>
  <c r="F231" i="1"/>
  <c r="AB231" i="1"/>
  <c r="D232" i="1"/>
  <c r="F232" i="1"/>
  <c r="AB232" i="1"/>
  <c r="D233" i="1"/>
  <c r="F233" i="1"/>
  <c r="AB233" i="1"/>
  <c r="D234" i="1"/>
  <c r="F234" i="1"/>
  <c r="D235" i="1"/>
  <c r="F235" i="1"/>
  <c r="AB235" i="1"/>
  <c r="D236" i="1"/>
  <c r="F236" i="1"/>
  <c r="AB236" i="1"/>
  <c r="D237" i="1"/>
  <c r="F237" i="1"/>
  <c r="D238" i="1"/>
  <c r="F238" i="1"/>
  <c r="D239" i="1"/>
  <c r="F239" i="1"/>
  <c r="AB239" i="1"/>
  <c r="D240" i="1"/>
  <c r="F240" i="1"/>
  <c r="D241" i="1"/>
  <c r="F241" i="1"/>
  <c r="AB241" i="1"/>
  <c r="D242" i="1"/>
  <c r="F242" i="1"/>
  <c r="AB242" i="1"/>
  <c r="D243" i="1"/>
  <c r="F243" i="1"/>
  <c r="AB243" i="1"/>
  <c r="D244" i="1"/>
  <c r="F244" i="1"/>
  <c r="AB244" i="1"/>
  <c r="D245" i="1"/>
  <c r="F245" i="1"/>
  <c r="AB245" i="1"/>
  <c r="D246" i="1"/>
  <c r="F246" i="1"/>
  <c r="AB246" i="1"/>
  <c r="D247" i="1"/>
  <c r="F247" i="1"/>
  <c r="AB247" i="1"/>
  <c r="D248" i="1"/>
  <c r="F248" i="1"/>
  <c r="D249" i="1"/>
  <c r="F249" i="1"/>
  <c r="AB249" i="1"/>
  <c r="D250" i="1"/>
  <c r="F250" i="1"/>
  <c r="AB250" i="1"/>
  <c r="D251" i="1"/>
  <c r="F251" i="1"/>
  <c r="AB251" i="1"/>
  <c r="D252" i="1"/>
  <c r="F252" i="1"/>
  <c r="AB252" i="1"/>
  <c r="D253" i="1"/>
  <c r="F253" i="1"/>
  <c r="D254" i="1"/>
  <c r="F254" i="1"/>
  <c r="AB254" i="1"/>
  <c r="D255" i="1"/>
  <c r="F255" i="1"/>
  <c r="AB255" i="1"/>
  <c r="D256" i="1"/>
  <c r="F256" i="1"/>
  <c r="D257" i="1"/>
  <c r="F257" i="1"/>
  <c r="AB257" i="1"/>
  <c r="D258" i="1"/>
  <c r="F258" i="1"/>
  <c r="D259" i="1"/>
  <c r="F259" i="1"/>
  <c r="D260" i="1"/>
  <c r="F260" i="1"/>
  <c r="AB260" i="1"/>
  <c r="D261" i="1"/>
  <c r="F261" i="1"/>
  <c r="AB261" i="1"/>
  <c r="D262" i="1"/>
  <c r="F262" i="1"/>
  <c r="AB262" i="1"/>
  <c r="D263" i="1"/>
  <c r="F263" i="1"/>
  <c r="AB263" i="1"/>
  <c r="D264" i="1"/>
  <c r="F264" i="1"/>
  <c r="AB264" i="1"/>
  <c r="D265" i="1"/>
  <c r="F265" i="1"/>
  <c r="AB265" i="1"/>
  <c r="D266" i="1"/>
  <c r="F266" i="1"/>
  <c r="AB266" i="1"/>
  <c r="D267" i="1"/>
  <c r="F267" i="1"/>
  <c r="D268" i="1"/>
  <c r="F268" i="1"/>
  <c r="AB268" i="1"/>
  <c r="D269" i="1"/>
  <c r="F269" i="1"/>
  <c r="AB269" i="1"/>
  <c r="D270" i="1"/>
  <c r="F270" i="1"/>
  <c r="AB270" i="1"/>
  <c r="D271" i="1"/>
  <c r="D272" i="1"/>
  <c r="F272" i="1"/>
  <c r="AB272" i="1"/>
  <c r="D273" i="1"/>
  <c r="F273" i="1"/>
  <c r="D274" i="1"/>
  <c r="F274" i="1"/>
  <c r="AB274" i="1"/>
  <c r="D275" i="1"/>
  <c r="F275" i="1"/>
  <c r="AB275" i="1"/>
  <c r="D276" i="1"/>
  <c r="F276" i="1"/>
  <c r="AB276" i="1"/>
  <c r="D277" i="1"/>
  <c r="F277" i="1"/>
  <c r="AB277" i="1"/>
  <c r="D278" i="1"/>
  <c r="F278" i="1"/>
  <c r="AB278" i="1"/>
  <c r="D279" i="1"/>
  <c r="F279" i="1"/>
  <c r="AB279" i="1"/>
  <c r="D280" i="1"/>
  <c r="F280" i="1"/>
  <c r="AB280" i="1"/>
  <c r="D281" i="1"/>
  <c r="F281" i="1"/>
  <c r="D282" i="1"/>
  <c r="F282" i="1"/>
  <c r="AB282" i="1"/>
  <c r="D283" i="1"/>
  <c r="F283" i="1"/>
  <c r="AB283" i="1"/>
  <c r="D284" i="1"/>
  <c r="F284" i="1"/>
  <c r="D285" i="1"/>
  <c r="F285" i="1"/>
  <c r="D286" i="1"/>
  <c r="F286" i="1"/>
  <c r="AB286" i="1"/>
  <c r="D287" i="1"/>
  <c r="F287" i="1"/>
  <c r="AB287" i="1"/>
  <c r="D288" i="1"/>
  <c r="F288" i="1"/>
  <c r="D289" i="1"/>
  <c r="F289" i="1"/>
  <c r="AB289" i="1"/>
  <c r="D290" i="1"/>
  <c r="F290" i="1"/>
  <c r="AB290" i="1"/>
  <c r="D291" i="1"/>
  <c r="F291" i="1"/>
  <c r="AB291" i="1"/>
  <c r="D292" i="1"/>
  <c r="F292" i="1"/>
  <c r="AB292" i="1"/>
  <c r="D293" i="1"/>
  <c r="D294" i="1"/>
  <c r="D295" i="1"/>
  <c r="F295" i="1"/>
  <c r="AB295" i="1"/>
  <c r="D296" i="1"/>
  <c r="F296" i="1"/>
  <c r="AB296" i="1"/>
  <c r="D297" i="1"/>
  <c r="F297" i="1"/>
  <c r="AB297" i="1"/>
  <c r="D298" i="1"/>
  <c r="D299" i="1"/>
  <c r="F299" i="1"/>
  <c r="AB299" i="1"/>
  <c r="D300" i="1"/>
  <c r="F300" i="1"/>
  <c r="AB300" i="1"/>
  <c r="D301" i="1"/>
  <c r="F301" i="1"/>
  <c r="AB301" i="1"/>
  <c r="D302" i="1"/>
  <c r="F302" i="1"/>
  <c r="AB302" i="1"/>
  <c r="D303" i="1"/>
  <c r="D304" i="1"/>
  <c r="F304" i="1"/>
  <c r="D305" i="1"/>
  <c r="F305" i="1"/>
  <c r="D306" i="1"/>
  <c r="F306" i="1"/>
  <c r="D307" i="1"/>
  <c r="F307" i="1"/>
  <c r="D308" i="1"/>
  <c r="F308" i="1"/>
  <c r="AB308" i="1"/>
  <c r="D309" i="1"/>
  <c r="F309" i="1"/>
  <c r="D310" i="1"/>
  <c r="F310" i="1"/>
  <c r="AB310" i="1"/>
  <c r="D311" i="1"/>
  <c r="F311" i="1"/>
  <c r="AB311" i="1"/>
  <c r="D312" i="1"/>
  <c r="F312" i="1"/>
  <c r="AB312" i="1"/>
  <c r="D313" i="1"/>
  <c r="F313" i="1"/>
  <c r="AB313" i="1"/>
  <c r="D314" i="1"/>
  <c r="F314" i="1"/>
  <c r="AB314" i="1"/>
  <c r="D315" i="1"/>
  <c r="F315" i="1"/>
  <c r="AB315" i="1"/>
  <c r="D316" i="1"/>
  <c r="F316" i="1"/>
  <c r="AB316" i="1"/>
  <c r="D317" i="1"/>
  <c r="F317" i="1"/>
  <c r="AB317" i="1"/>
  <c r="D318" i="1"/>
  <c r="D319" i="1"/>
  <c r="D320" i="1"/>
  <c r="D321" i="1"/>
  <c r="D322" i="1"/>
  <c r="D323" i="1"/>
  <c r="D324" i="1"/>
  <c r="D325" i="1"/>
  <c r="D326" i="1"/>
  <c r="D327" i="1"/>
  <c r="D328" i="1"/>
  <c r="D329" i="1"/>
  <c r="D330" i="1"/>
  <c r="D331" i="1"/>
  <c r="D332" i="1"/>
  <c r="F332" i="1"/>
  <c r="AB332" i="1"/>
  <c r="D333" i="1"/>
  <c r="F333" i="1"/>
  <c r="D334" i="1"/>
  <c r="F334" i="1"/>
  <c r="D335" i="1"/>
  <c r="F335" i="1"/>
  <c r="D336" i="1"/>
  <c r="F336" i="1"/>
  <c r="D337" i="1"/>
  <c r="D338" i="1"/>
  <c r="D339" i="1"/>
  <c r="D340" i="1"/>
  <c r="F340" i="1"/>
  <c r="D341" i="1"/>
  <c r="F341" i="1"/>
  <c r="D342" i="1"/>
  <c r="D343" i="1"/>
  <c r="F343" i="1"/>
  <c r="AB343" i="1"/>
  <c r="D344" i="1"/>
  <c r="F344" i="1"/>
  <c r="D345" i="1"/>
  <c r="D346" i="1"/>
  <c r="F346" i="1"/>
  <c r="D347" i="1"/>
  <c r="D348" i="1"/>
  <c r="F348" i="1"/>
  <c r="D349" i="1"/>
  <c r="D350" i="1"/>
  <c r="F350" i="1"/>
  <c r="D351" i="1"/>
  <c r="F351" i="1"/>
  <c r="D352" i="1"/>
  <c r="F352" i="1"/>
  <c r="AB352" i="1"/>
  <c r="D353" i="1"/>
  <c r="F353" i="1"/>
  <c r="AB353" i="1"/>
  <c r="D354" i="1"/>
  <c r="F354" i="1"/>
  <c r="AB354" i="1"/>
  <c r="D355" i="1"/>
  <c r="F355" i="1"/>
  <c r="AB355" i="1"/>
  <c r="D356" i="1"/>
  <c r="F356" i="1"/>
  <c r="AB356" i="1"/>
  <c r="D357" i="1"/>
  <c r="F357" i="1"/>
  <c r="D358" i="1"/>
  <c r="F358" i="1"/>
  <c r="D359" i="1"/>
  <c r="F359" i="1"/>
  <c r="AB359" i="1"/>
  <c r="D360" i="1"/>
  <c r="F360" i="1"/>
  <c r="AB360" i="1"/>
  <c r="D361" i="1"/>
  <c r="F361" i="1"/>
  <c r="D362" i="1"/>
  <c r="D363" i="1"/>
  <c r="F363" i="1"/>
  <c r="AB363" i="1"/>
  <c r="D364" i="1"/>
  <c r="F364" i="1"/>
  <c r="AB364" i="1"/>
  <c r="D365" i="1"/>
  <c r="F365" i="1"/>
  <c r="AB365" i="1"/>
  <c r="D366" i="1"/>
  <c r="F366" i="1"/>
  <c r="AB366" i="1"/>
  <c r="D367" i="1"/>
  <c r="F367" i="1"/>
  <c r="AB367" i="1"/>
  <c r="D368" i="1"/>
  <c r="F368" i="1"/>
  <c r="D369" i="1"/>
  <c r="D370" i="1"/>
  <c r="F370" i="1"/>
  <c r="AB370" i="1"/>
  <c r="D371" i="1"/>
  <c r="F371" i="1"/>
  <c r="AB371" i="1"/>
  <c r="D372" i="1"/>
  <c r="F372" i="1"/>
  <c r="AB372" i="1"/>
  <c r="D373" i="1"/>
  <c r="F373" i="1"/>
  <c r="AB373" i="1"/>
  <c r="D374" i="1"/>
  <c r="F374" i="1"/>
  <c r="AB374" i="1"/>
  <c r="D375" i="1"/>
  <c r="F375" i="1"/>
  <c r="AB375" i="1"/>
  <c r="D376" i="1"/>
  <c r="F376" i="1"/>
  <c r="AB376" i="1"/>
  <c r="D377" i="1"/>
  <c r="F377" i="1"/>
  <c r="AB377" i="1"/>
  <c r="D378" i="1"/>
  <c r="F378" i="1"/>
  <c r="AB378" i="1"/>
  <c r="D379" i="1"/>
  <c r="F379" i="1"/>
  <c r="D380" i="1"/>
  <c r="F380" i="1"/>
  <c r="AB380" i="1"/>
  <c r="D381" i="1"/>
  <c r="F381" i="1"/>
  <c r="AB381" i="1"/>
  <c r="D382" i="1"/>
  <c r="F382" i="1"/>
  <c r="D383" i="1"/>
  <c r="F383" i="1"/>
  <c r="D384" i="1"/>
  <c r="F384" i="1"/>
  <c r="AB384" i="1"/>
  <c r="D385" i="1"/>
  <c r="F385" i="1"/>
  <c r="AB385" i="1"/>
  <c r="D386" i="1"/>
  <c r="F386" i="1"/>
  <c r="D387" i="1"/>
  <c r="F387" i="1"/>
  <c r="AB387" i="1"/>
  <c r="D388" i="1"/>
  <c r="F388" i="1"/>
  <c r="AB388" i="1"/>
  <c r="D389" i="1"/>
  <c r="F389" i="1"/>
  <c r="AB389" i="1"/>
  <c r="D390" i="1"/>
  <c r="F390" i="1"/>
  <c r="AB390" i="1"/>
  <c r="D391" i="1"/>
  <c r="F391" i="1"/>
  <c r="AB391" i="1"/>
  <c r="D392" i="1"/>
  <c r="F392" i="1"/>
  <c r="AB392" i="1"/>
  <c r="D393" i="1"/>
  <c r="F393" i="1"/>
  <c r="AB393" i="1"/>
  <c r="D394" i="1"/>
  <c r="F394" i="1"/>
  <c r="AB394" i="1"/>
  <c r="D395" i="1"/>
  <c r="F395" i="1"/>
  <c r="AB395" i="1"/>
  <c r="D396" i="1"/>
  <c r="F396" i="1"/>
  <c r="D397" i="1"/>
  <c r="F397" i="1"/>
  <c r="D398" i="1"/>
  <c r="F398" i="1"/>
  <c r="AB398" i="1"/>
  <c r="D399" i="1"/>
  <c r="F399" i="1"/>
  <c r="AB399" i="1"/>
  <c r="D400" i="1"/>
  <c r="F400" i="1"/>
  <c r="AB400" i="1"/>
  <c r="D401" i="1"/>
  <c r="F401" i="1"/>
  <c r="AB401" i="1"/>
  <c r="D402" i="1"/>
  <c r="F402" i="1"/>
  <c r="D403" i="1"/>
  <c r="F403" i="1"/>
  <c r="D404" i="1"/>
  <c r="F404" i="1"/>
  <c r="AB404" i="1"/>
  <c r="D405" i="1"/>
  <c r="F405" i="1"/>
  <c r="AB405" i="1"/>
  <c r="D406" i="1"/>
  <c r="F406" i="1"/>
  <c r="AB406" i="1"/>
  <c r="D407" i="1"/>
  <c r="F407" i="1"/>
  <c r="AB407" i="1"/>
  <c r="D408" i="1"/>
  <c r="F408" i="1"/>
  <c r="AB408" i="1"/>
  <c r="D409" i="1"/>
  <c r="F409" i="1"/>
  <c r="AB409" i="1"/>
  <c r="D410" i="1"/>
  <c r="F410" i="1"/>
  <c r="D411" i="1"/>
  <c r="F411" i="1"/>
  <c r="AB411" i="1"/>
  <c r="D412" i="1"/>
  <c r="F412" i="1"/>
  <c r="AB412" i="1"/>
  <c r="D413" i="1"/>
  <c r="F413" i="1"/>
  <c r="D414" i="1"/>
  <c r="F414" i="1"/>
  <c r="AB414" i="1"/>
  <c r="D415" i="1"/>
  <c r="F415" i="1"/>
  <c r="AB415" i="1"/>
  <c r="D416" i="1"/>
  <c r="F416" i="1"/>
  <c r="AB416" i="1"/>
  <c r="D417" i="1"/>
  <c r="F417" i="1"/>
  <c r="AB417" i="1"/>
  <c r="D418" i="1"/>
  <c r="F418" i="1"/>
  <c r="AB418" i="1"/>
  <c r="D419" i="1"/>
  <c r="F419" i="1"/>
  <c r="D420" i="1"/>
  <c r="F420" i="1"/>
  <c r="D421" i="1"/>
  <c r="F421" i="1"/>
  <c r="D422" i="1"/>
  <c r="F422" i="1"/>
  <c r="AB422" i="1"/>
  <c r="D423" i="1"/>
  <c r="F423" i="1"/>
  <c r="D424" i="1"/>
  <c r="F424" i="1"/>
  <c r="AB424" i="1"/>
  <c r="D425" i="1"/>
  <c r="F425" i="1"/>
  <c r="AB425" i="1"/>
  <c r="D426" i="1"/>
  <c r="F426" i="1"/>
  <c r="AB426" i="1"/>
  <c r="D427" i="1"/>
  <c r="F427" i="1"/>
  <c r="D428" i="1"/>
  <c r="F428" i="1"/>
  <c r="AB428" i="1"/>
  <c r="D429" i="1"/>
  <c r="F429" i="1"/>
  <c r="AB429" i="1"/>
  <c r="D430" i="1"/>
  <c r="F430" i="1"/>
  <c r="D431" i="1"/>
  <c r="D432" i="1"/>
  <c r="F432" i="1"/>
  <c r="AB432" i="1"/>
  <c r="D433" i="1"/>
  <c r="D434" i="1"/>
  <c r="F434" i="1"/>
  <c r="D435" i="1"/>
  <c r="F435" i="1"/>
  <c r="AB435" i="1"/>
  <c r="D436" i="1"/>
  <c r="F436" i="1"/>
  <c r="D437" i="1"/>
  <c r="F437" i="1"/>
  <c r="AB437" i="1"/>
  <c r="D438" i="1"/>
  <c r="F438" i="1"/>
  <c r="AB438" i="1"/>
  <c r="D439" i="1"/>
  <c r="F439" i="1"/>
  <c r="AB439" i="1"/>
  <c r="D440" i="1"/>
  <c r="F440" i="1"/>
  <c r="AB440" i="1"/>
  <c r="D441" i="1"/>
  <c r="D442" i="1"/>
  <c r="F442" i="1"/>
  <c r="AB442" i="1"/>
  <c r="D443" i="1"/>
  <c r="F443" i="1"/>
  <c r="AB443" i="1"/>
  <c r="D444" i="1"/>
  <c r="F444" i="1"/>
  <c r="AB444" i="1"/>
  <c r="D445" i="1"/>
  <c r="F445" i="1"/>
  <c r="D446" i="1"/>
  <c r="F446" i="1"/>
  <c r="AB446" i="1"/>
  <c r="D447" i="1"/>
  <c r="F447" i="1"/>
  <c r="AB447" i="1"/>
  <c r="D448" i="1"/>
  <c r="F448" i="1"/>
  <c r="AB448" i="1"/>
  <c r="D449" i="1"/>
  <c r="F449" i="1"/>
  <c r="D450" i="1"/>
  <c r="D451" i="1"/>
  <c r="F451" i="1"/>
  <c r="D452" i="1"/>
  <c r="F452" i="1"/>
  <c r="D453" i="1"/>
  <c r="F453" i="1"/>
  <c r="AB453" i="1"/>
  <c r="D454" i="1"/>
  <c r="F454" i="1"/>
  <c r="D455" i="1"/>
  <c r="D456" i="1"/>
  <c r="F456" i="1"/>
  <c r="AB456" i="1"/>
  <c r="D457" i="1"/>
  <c r="F457" i="1"/>
  <c r="AB457" i="1"/>
  <c r="D458" i="1"/>
  <c r="F458" i="1"/>
  <c r="AB458" i="1"/>
  <c r="D459" i="1"/>
  <c r="F459" i="1"/>
  <c r="D460" i="1"/>
  <c r="F460" i="1"/>
  <c r="D461" i="1"/>
  <c r="F461" i="1"/>
  <c r="AB461" i="1"/>
  <c r="D462" i="1"/>
  <c r="F462" i="1"/>
  <c r="AB462" i="1"/>
  <c r="D463" i="1"/>
  <c r="F463" i="1"/>
  <c r="AB463" i="1"/>
  <c r="D464" i="1"/>
  <c r="F464" i="1"/>
  <c r="D465" i="1"/>
  <c r="F465" i="1"/>
  <c r="AB465" i="1"/>
  <c r="D466" i="1"/>
  <c r="F466" i="1"/>
  <c r="AB466" i="1"/>
  <c r="D467" i="1"/>
  <c r="F467" i="1"/>
  <c r="AB467" i="1"/>
  <c r="D468" i="1"/>
  <c r="F468" i="1"/>
  <c r="AB468" i="1"/>
  <c r="D469" i="1"/>
  <c r="F469" i="1"/>
  <c r="AB469" i="1"/>
  <c r="D470" i="1"/>
  <c r="F470" i="1"/>
  <c r="D471" i="1"/>
  <c r="F471" i="1"/>
  <c r="D472" i="1"/>
  <c r="D473" i="1"/>
  <c r="F473" i="1"/>
  <c r="AB473" i="1"/>
  <c r="D474" i="1"/>
  <c r="D475" i="1"/>
  <c r="D476" i="1"/>
  <c r="D477" i="1"/>
  <c r="F477" i="1"/>
  <c r="AB477" i="1"/>
  <c r="D478" i="1"/>
  <c r="D479" i="1"/>
  <c r="F479" i="1"/>
  <c r="D480" i="1"/>
  <c r="D481" i="1"/>
  <c r="D482" i="1"/>
  <c r="F482" i="1"/>
  <c r="AB482" i="1"/>
  <c r="D483" i="1"/>
  <c r="D484" i="1"/>
  <c r="F484" i="1"/>
  <c r="AB484" i="1"/>
  <c r="D485" i="1"/>
  <c r="F485" i="1"/>
  <c r="AB485" i="1"/>
  <c r="D486" i="1"/>
  <c r="D487" i="1"/>
  <c r="D488" i="1"/>
  <c r="D489" i="1"/>
  <c r="D490" i="1"/>
  <c r="D491" i="1"/>
  <c r="D492" i="1"/>
  <c r="F492" i="1"/>
  <c r="AB492" i="1"/>
  <c r="D493" i="1"/>
  <c r="D494" i="1"/>
  <c r="F494" i="1"/>
  <c r="AB494" i="1"/>
  <c r="D495" i="1"/>
  <c r="D496" i="1"/>
  <c r="D497" i="1"/>
  <c r="D498" i="1"/>
  <c r="D499" i="1"/>
  <c r="D500" i="1"/>
  <c r="D501" i="1"/>
  <c r="D502" i="1"/>
  <c r="F502" i="1"/>
  <c r="AB502" i="1"/>
  <c r="D503" i="1"/>
  <c r="F503" i="1"/>
  <c r="AB503" i="1"/>
  <c r="D504" i="1"/>
  <c r="F504" i="1"/>
  <c r="D505" i="1"/>
  <c r="D506" i="1"/>
  <c r="F506" i="1"/>
  <c r="D507" i="1"/>
  <c r="F507" i="1"/>
  <c r="AB507" i="1"/>
  <c r="D508" i="1"/>
  <c r="F508" i="1"/>
  <c r="D509" i="1"/>
  <c r="F509" i="1"/>
  <c r="AB509" i="1"/>
  <c r="D510" i="1"/>
  <c r="D511" i="1"/>
  <c r="F511" i="1"/>
  <c r="AB511" i="1"/>
  <c r="D512" i="1"/>
  <c r="D513" i="1"/>
  <c r="D514" i="1"/>
  <c r="D515" i="1"/>
  <c r="D516" i="1"/>
  <c r="D517" i="1"/>
  <c r="D518" i="1"/>
  <c r="D519" i="1"/>
  <c r="D520" i="1"/>
  <c r="D521" i="1"/>
  <c r="D522" i="1"/>
  <c r="F522" i="1"/>
  <c r="AB522" i="1"/>
  <c r="D523" i="1"/>
  <c r="F523" i="1"/>
  <c r="AB523" i="1"/>
  <c r="D524" i="1"/>
  <c r="F524" i="1"/>
  <c r="D525" i="1"/>
  <c r="F525" i="1"/>
  <c r="AB525" i="1"/>
  <c r="D526" i="1"/>
  <c r="D527" i="1"/>
  <c r="F527" i="1"/>
  <c r="AB527" i="1"/>
  <c r="D528" i="1"/>
  <c r="F528" i="1"/>
  <c r="AB528" i="1"/>
  <c r="D529" i="1"/>
  <c r="F529" i="1"/>
  <c r="AB529" i="1"/>
  <c r="D530" i="1"/>
  <c r="D531" i="1"/>
  <c r="F531" i="1"/>
  <c r="AB531" i="1"/>
  <c r="D532" i="1"/>
  <c r="D533" i="1"/>
  <c r="F533" i="1"/>
  <c r="AB533" i="1"/>
  <c r="D534" i="1"/>
  <c r="F534" i="1"/>
  <c r="AB534" i="1"/>
  <c r="D535" i="1"/>
  <c r="F535" i="1"/>
  <c r="AB535" i="1"/>
  <c r="D536" i="1"/>
  <c r="F536" i="1"/>
  <c r="AB536" i="1"/>
  <c r="D537" i="1"/>
  <c r="F537" i="1"/>
  <c r="AB537" i="1"/>
  <c r="D538" i="1"/>
  <c r="F538" i="1"/>
  <c r="AB538" i="1"/>
  <c r="D539" i="1"/>
  <c r="F539" i="1"/>
  <c r="AB539" i="1"/>
  <c r="D540" i="1"/>
  <c r="F540" i="1"/>
  <c r="AB540" i="1"/>
  <c r="D541" i="1"/>
  <c r="F541" i="1"/>
  <c r="AB541" i="1"/>
  <c r="D542" i="1"/>
  <c r="F542" i="1"/>
  <c r="AB542" i="1"/>
  <c r="D543" i="1"/>
  <c r="F543" i="1"/>
  <c r="AB543" i="1"/>
  <c r="D544" i="1"/>
  <c r="F544" i="1"/>
  <c r="AB544" i="1"/>
  <c r="D545" i="1"/>
  <c r="F545" i="1"/>
  <c r="AB545" i="1"/>
  <c r="D546" i="1"/>
  <c r="F546" i="1"/>
  <c r="AB546" i="1"/>
  <c r="D547" i="1"/>
  <c r="F547" i="1"/>
  <c r="AB547" i="1"/>
  <c r="D548" i="1"/>
  <c r="F548" i="1"/>
  <c r="AB548" i="1"/>
  <c r="D549" i="1"/>
  <c r="F549" i="1"/>
  <c r="AB549" i="1"/>
  <c r="D550" i="1"/>
  <c r="F550" i="1"/>
  <c r="AB550" i="1"/>
  <c r="D551" i="1"/>
  <c r="F551" i="1"/>
  <c r="AB551" i="1"/>
  <c r="D552" i="1"/>
  <c r="D553" i="1"/>
  <c r="F553" i="1"/>
  <c r="AB553" i="1"/>
  <c r="D554" i="1"/>
  <c r="D555" i="1"/>
  <c r="F555" i="1"/>
  <c r="AB555" i="1"/>
  <c r="D556" i="1"/>
  <c r="F556" i="1"/>
  <c r="AB556" i="1"/>
  <c r="D557" i="1"/>
  <c r="F557" i="1"/>
  <c r="AB557" i="1"/>
  <c r="D558" i="1"/>
  <c r="F558" i="1"/>
  <c r="AB558" i="1"/>
  <c r="D559" i="1"/>
  <c r="F559" i="1"/>
  <c r="AB559" i="1"/>
  <c r="D560" i="1"/>
  <c r="D561" i="1"/>
  <c r="F561" i="1"/>
  <c r="AB561" i="1"/>
  <c r="D562" i="1"/>
  <c r="F562" i="1"/>
  <c r="AB562" i="1"/>
  <c r="D563" i="1"/>
  <c r="D564" i="1"/>
  <c r="D565" i="1"/>
  <c r="D566" i="1"/>
  <c r="D567" i="1"/>
  <c r="F567" i="1"/>
  <c r="D568" i="1"/>
  <c r="F568" i="1"/>
  <c r="AB568" i="1"/>
  <c r="D569" i="1"/>
  <c r="F569" i="1"/>
  <c r="AB569" i="1"/>
  <c r="D570" i="1"/>
  <c r="F570" i="1"/>
  <c r="AB570" i="1"/>
  <c r="D571" i="1"/>
  <c r="F571" i="1"/>
  <c r="AB571" i="1"/>
  <c r="D572" i="1"/>
  <c r="F572" i="1"/>
  <c r="AB572" i="1"/>
  <c r="D573" i="1"/>
  <c r="F573" i="1"/>
  <c r="AB573" i="1"/>
  <c r="D574" i="1"/>
  <c r="F574" i="1"/>
  <c r="AB574" i="1"/>
  <c r="D575" i="1"/>
  <c r="F575" i="1"/>
  <c r="AB575" i="1"/>
  <c r="D576" i="1"/>
  <c r="F576" i="1"/>
  <c r="AB576" i="1"/>
  <c r="D577" i="1"/>
  <c r="D578" i="1"/>
  <c r="F578" i="1"/>
  <c r="AB578" i="1"/>
  <c r="D579" i="1"/>
  <c r="F579" i="1"/>
  <c r="AB579" i="1"/>
  <c r="D580" i="1"/>
  <c r="D581" i="1"/>
  <c r="F581" i="1"/>
  <c r="AB581" i="1"/>
  <c r="D582" i="1"/>
  <c r="F582" i="1"/>
  <c r="AB582" i="1"/>
  <c r="D583" i="1"/>
  <c r="F583" i="1"/>
  <c r="AB583" i="1"/>
  <c r="D584" i="1"/>
  <c r="F584" i="1"/>
  <c r="D585" i="1"/>
  <c r="F585" i="1"/>
  <c r="AB585" i="1"/>
  <c r="D586" i="1"/>
  <c r="F586" i="1"/>
  <c r="D587" i="1"/>
  <c r="F587" i="1"/>
  <c r="D588" i="1"/>
  <c r="D589" i="1"/>
  <c r="F589" i="1"/>
  <c r="AB589" i="1"/>
  <c r="D590" i="1"/>
  <c r="F590" i="1"/>
  <c r="AB590" i="1"/>
  <c r="D591" i="1"/>
  <c r="D592" i="1"/>
  <c r="F592" i="1"/>
  <c r="AB592" i="1"/>
  <c r="D593" i="1"/>
  <c r="F593" i="1"/>
  <c r="AB593" i="1"/>
  <c r="D594" i="1"/>
  <c r="D595" i="1"/>
  <c r="D596" i="1"/>
  <c r="F596" i="1"/>
  <c r="AB596" i="1"/>
  <c r="D597" i="1"/>
  <c r="D598" i="1"/>
  <c r="D599" i="1"/>
  <c r="F599" i="1"/>
  <c r="D600" i="1"/>
  <c r="D601" i="1"/>
  <c r="F601" i="1"/>
  <c r="D602" i="1"/>
  <c r="F602" i="1"/>
  <c r="D603" i="1"/>
  <c r="F603" i="1"/>
  <c r="D604" i="1"/>
  <c r="D605" i="1"/>
  <c r="F605" i="1"/>
  <c r="AB605" i="1"/>
  <c r="D606" i="1"/>
  <c r="F606" i="1"/>
  <c r="AB606" i="1"/>
  <c r="D607" i="1"/>
  <c r="D608" i="1"/>
  <c r="D609" i="1"/>
  <c r="F609" i="1"/>
  <c r="D610" i="1"/>
  <c r="F610" i="1"/>
  <c r="AB610" i="1"/>
  <c r="D611" i="1"/>
  <c r="F611" i="1"/>
  <c r="AB611" i="1"/>
  <c r="D612" i="1"/>
  <c r="F612" i="1"/>
  <c r="AB612" i="1"/>
  <c r="D613" i="1"/>
  <c r="D614" i="1"/>
  <c r="D615" i="1"/>
  <c r="F615" i="1"/>
  <c r="AB615" i="1"/>
  <c r="D616" i="1"/>
  <c r="F616" i="1"/>
  <c r="AB616" i="1"/>
  <c r="D617" i="1"/>
  <c r="D618" i="1"/>
  <c r="D619" i="1"/>
  <c r="F619" i="1"/>
  <c r="D620" i="1"/>
  <c r="D621" i="1"/>
  <c r="D703" i="1"/>
  <c r="F703" i="1"/>
  <c r="AB703" i="1"/>
  <c r="D704" i="1"/>
  <c r="F704" i="1"/>
  <c r="AB704" i="1"/>
  <c r="D1041" i="1"/>
  <c r="D1198" i="1"/>
  <c r="D693" i="1"/>
  <c r="F693" i="1"/>
  <c r="AB693" i="1"/>
  <c r="D694" i="1"/>
  <c r="F694" i="1"/>
  <c r="AB694" i="1"/>
  <c r="D697" i="1"/>
  <c r="F697" i="1"/>
  <c r="AB697" i="1"/>
  <c r="D1199" i="1"/>
  <c r="D1200" i="1"/>
  <c r="D1201" i="1"/>
  <c r="D1202" i="1"/>
  <c r="D1203" i="1"/>
  <c r="D698" i="1"/>
  <c r="F698" i="1"/>
  <c r="AB698" i="1"/>
  <c r="D1204" i="1"/>
  <c r="D1205" i="1"/>
  <c r="D1206" i="1"/>
  <c r="D1024" i="1"/>
  <c r="F1024" i="1"/>
  <c r="AB1024" i="1"/>
  <c r="D691" i="1"/>
  <c r="F691" i="1"/>
  <c r="AB691" i="1"/>
  <c r="D1207" i="1"/>
  <c r="F1207" i="1"/>
  <c r="D695" i="1"/>
  <c r="F695" i="1"/>
  <c r="D1208" i="1"/>
  <c r="D708" i="1"/>
  <c r="F708" i="1"/>
  <c r="AB708" i="1"/>
  <c r="D709" i="1"/>
  <c r="F709" i="1"/>
  <c r="AB709" i="1"/>
  <c r="D682" i="1"/>
  <c r="F682" i="1"/>
  <c r="AB682" i="1"/>
  <c r="D685" i="1"/>
  <c r="F685" i="1"/>
  <c r="AB685" i="1"/>
  <c r="D1209" i="1"/>
  <c r="F1209" i="1"/>
  <c r="D1210" i="1"/>
  <c r="D1211" i="1"/>
  <c r="D1212" i="1"/>
  <c r="D1002" i="1"/>
  <c r="F1002" i="1"/>
  <c r="D1027" i="1"/>
  <c r="F1027" i="1"/>
  <c r="AB1027" i="1"/>
  <c r="D1025" i="1"/>
  <c r="F1025" i="1"/>
  <c r="AB1025" i="1"/>
  <c r="D1213" i="1"/>
  <c r="F1213" i="1"/>
  <c r="D1214" i="1"/>
  <c r="F1214" i="1"/>
  <c r="D1215" i="1"/>
  <c r="D687" i="1"/>
  <c r="F687" i="1"/>
  <c r="AB687" i="1"/>
  <c r="D688" i="1"/>
  <c r="F688" i="1"/>
  <c r="AB688" i="1"/>
  <c r="D723" i="1"/>
  <c r="F723" i="1"/>
  <c r="AB723" i="1"/>
  <c r="D689" i="1"/>
  <c r="F689" i="1"/>
  <c r="AB689" i="1"/>
  <c r="D683" i="1"/>
  <c r="F683" i="1"/>
  <c r="AB683" i="1"/>
  <c r="D690" i="1"/>
  <c r="F690" i="1"/>
  <c r="AB690" i="1"/>
  <c r="D701" i="1"/>
  <c r="F701" i="1"/>
  <c r="AB701" i="1"/>
  <c r="D1003" i="1"/>
  <c r="F1003" i="1"/>
  <c r="AB1003" i="1"/>
  <c r="D1216" i="1"/>
  <c r="D993" i="1"/>
  <c r="F993" i="1"/>
  <c r="D722" i="1"/>
  <c r="F722" i="1"/>
  <c r="AB722" i="1"/>
  <c r="D718" i="1"/>
  <c r="F718" i="1"/>
  <c r="AB718" i="1"/>
  <c r="D663" i="1"/>
  <c r="F663" i="1"/>
  <c r="AB663" i="1"/>
  <c r="D996" i="1"/>
  <c r="F996" i="1"/>
  <c r="D1217" i="1"/>
  <c r="D1018" i="1"/>
  <c r="F1018" i="1"/>
  <c r="D1218" i="1"/>
  <c r="D1029" i="1"/>
  <c r="F1029" i="1"/>
  <c r="AB1029" i="1"/>
  <c r="D1219" i="1"/>
  <c r="F1219" i="1"/>
  <c r="D659" i="1"/>
  <c r="F659" i="1"/>
  <c r="AB659" i="1"/>
  <c r="D1220" i="1"/>
  <c r="D664" i="1"/>
  <c r="F664" i="1"/>
  <c r="AB664" i="1"/>
  <c r="D656" i="1"/>
  <c r="F656" i="1"/>
  <c r="D660" i="1"/>
  <c r="F660" i="1"/>
  <c r="AB660" i="1"/>
  <c r="D699" i="1"/>
  <c r="F699" i="1"/>
  <c r="AB699" i="1"/>
  <c r="D657" i="1"/>
  <c r="F657" i="1"/>
  <c r="AB657" i="1"/>
  <c r="D661" i="1"/>
  <c r="F661" i="1"/>
  <c r="AB661" i="1"/>
  <c r="D1221" i="1"/>
  <c r="D710" i="1"/>
  <c r="F710" i="1"/>
  <c r="AB710" i="1"/>
  <c r="D726" i="1"/>
  <c r="F726" i="1"/>
  <c r="AB726" i="1"/>
  <c r="D711" i="1"/>
  <c r="F711" i="1"/>
  <c r="AB711" i="1"/>
  <c r="D705" i="1"/>
  <c r="F705" i="1"/>
  <c r="AB705" i="1"/>
  <c r="D706" i="1"/>
  <c r="F706" i="1"/>
  <c r="AB706" i="1"/>
  <c r="D702" i="1"/>
  <c r="F702" i="1"/>
  <c r="AB702" i="1"/>
  <c r="D712" i="1"/>
  <c r="F712" i="1"/>
  <c r="AB712" i="1"/>
  <c r="D716" i="1"/>
  <c r="F716" i="1"/>
  <c r="AB716" i="1"/>
  <c r="D717" i="1"/>
  <c r="F717" i="1"/>
  <c r="AB717" i="1"/>
  <c r="D719" i="1"/>
  <c r="F719" i="1"/>
  <c r="AB719" i="1"/>
  <c r="D1222" i="1"/>
  <c r="D1223" i="1"/>
  <c r="D721" i="1"/>
  <c r="F721" i="1"/>
  <c r="AB721" i="1"/>
  <c r="D1224" i="1"/>
  <c r="D1225" i="1"/>
  <c r="F1225" i="1"/>
  <c r="D1038" i="1"/>
  <c r="F1038" i="1"/>
  <c r="D999" i="1"/>
  <c r="F999" i="1"/>
  <c r="D1226" i="1"/>
  <c r="D1227" i="1"/>
  <c r="D1228" i="1"/>
  <c r="D1229" i="1"/>
  <c r="D1000" i="1"/>
  <c r="F1000" i="1"/>
  <c r="D1007" i="1"/>
  <c r="F1007" i="1"/>
  <c r="D1014" i="1"/>
  <c r="F1014" i="1"/>
  <c r="D1009" i="1"/>
  <c r="F1009" i="1"/>
  <c r="D1230" i="1"/>
  <c r="D1231" i="1"/>
  <c r="D1013" i="1"/>
  <c r="F1013" i="1"/>
  <c r="AB1013" i="1"/>
  <c r="D1232" i="1"/>
  <c r="D1033" i="1"/>
  <c r="F1033" i="1"/>
  <c r="AB1033" i="1"/>
  <c r="D1233" i="1"/>
  <c r="D1001" i="1"/>
  <c r="F1001" i="1"/>
  <c r="D1234" i="1"/>
  <c r="D1235" i="1"/>
  <c r="D1035" i="1"/>
  <c r="F1035" i="1"/>
  <c r="AB1035" i="1"/>
  <c r="D724" i="1"/>
  <c r="F724" i="1"/>
  <c r="AB724" i="1"/>
  <c r="D1236" i="1"/>
  <c r="D1237" i="1"/>
  <c r="D1238" i="1"/>
  <c r="D1239" i="1"/>
  <c r="D725" i="1"/>
  <c r="F725" i="1"/>
  <c r="D1240" i="1"/>
  <c r="D727" i="1"/>
  <c r="F727" i="1"/>
  <c r="D728" i="1"/>
  <c r="F728" i="1"/>
  <c r="D729" i="1"/>
  <c r="D730" i="1"/>
  <c r="F730" i="1"/>
  <c r="D731" i="1"/>
  <c r="F731" i="1"/>
  <c r="D732" i="1"/>
  <c r="D733" i="1"/>
  <c r="D734" i="1"/>
  <c r="F734" i="1"/>
  <c r="AB734" i="1"/>
  <c r="D735" i="1"/>
  <c r="D736" i="1"/>
  <c r="F736" i="1"/>
  <c r="D737" i="1"/>
  <c r="F737" i="1"/>
  <c r="AB737" i="1"/>
  <c r="D738" i="1"/>
  <c r="F738" i="1"/>
  <c r="AB738" i="1"/>
  <c r="D739" i="1"/>
  <c r="F739" i="1"/>
  <c r="D740" i="1"/>
  <c r="F740" i="1"/>
  <c r="AB740" i="1"/>
  <c r="D741" i="1"/>
  <c r="F741" i="1"/>
  <c r="D742" i="1"/>
  <c r="F742" i="1"/>
  <c r="D743" i="1"/>
  <c r="F743" i="1"/>
  <c r="D744" i="1"/>
  <c r="F744" i="1"/>
  <c r="D745" i="1"/>
  <c r="F745" i="1"/>
  <c r="D746" i="1"/>
  <c r="F746" i="1"/>
  <c r="D747" i="1"/>
  <c r="F747" i="1"/>
  <c r="D748" i="1"/>
  <c r="F748" i="1"/>
  <c r="AB748" i="1"/>
  <c r="D749" i="1"/>
  <c r="F749" i="1"/>
  <c r="D750" i="1"/>
  <c r="F750" i="1"/>
  <c r="AB750" i="1"/>
  <c r="D751" i="1"/>
  <c r="F751" i="1"/>
  <c r="D752" i="1"/>
  <c r="F752" i="1"/>
  <c r="D753" i="1"/>
  <c r="F753" i="1"/>
  <c r="AB753" i="1"/>
  <c r="D754" i="1"/>
  <c r="F754" i="1"/>
  <c r="D755" i="1"/>
  <c r="F755" i="1"/>
  <c r="D756" i="1"/>
  <c r="F756" i="1"/>
  <c r="D757" i="1"/>
  <c r="F757" i="1"/>
  <c r="D758" i="1"/>
  <c r="F758" i="1"/>
  <c r="D759" i="1"/>
  <c r="F759" i="1"/>
  <c r="D760" i="1"/>
  <c r="F760" i="1"/>
  <c r="D761" i="1"/>
  <c r="F761" i="1"/>
  <c r="D762" i="1"/>
  <c r="F762" i="1"/>
  <c r="D763" i="1"/>
  <c r="F763" i="1"/>
  <c r="D764" i="1"/>
  <c r="F764" i="1"/>
  <c r="D765" i="1"/>
  <c r="F765" i="1"/>
  <c r="AB765" i="1"/>
  <c r="D766" i="1"/>
  <c r="F766" i="1"/>
  <c r="D767" i="1"/>
  <c r="F767" i="1"/>
  <c r="D768" i="1"/>
  <c r="F768" i="1"/>
  <c r="D769" i="1"/>
  <c r="F769" i="1"/>
  <c r="AB769" i="1"/>
  <c r="D770" i="1"/>
  <c r="D771" i="1"/>
  <c r="F771" i="1"/>
  <c r="D772" i="1"/>
  <c r="D773" i="1"/>
  <c r="F773" i="1"/>
  <c r="D774" i="1"/>
  <c r="F774" i="1"/>
  <c r="D775" i="1"/>
  <c r="F775" i="1"/>
  <c r="D776" i="1"/>
  <c r="F776" i="1"/>
  <c r="AB776" i="1"/>
  <c r="D777" i="1"/>
  <c r="F777" i="1"/>
  <c r="AB777" i="1"/>
  <c r="D778" i="1"/>
  <c r="F778" i="1"/>
  <c r="AB778" i="1"/>
  <c r="D779" i="1"/>
  <c r="F779" i="1"/>
  <c r="D780" i="1"/>
  <c r="F780" i="1"/>
  <c r="D781" i="1"/>
  <c r="F781" i="1"/>
  <c r="D782" i="1"/>
  <c r="F782" i="1"/>
  <c r="AB782" i="1"/>
  <c r="D783" i="1"/>
  <c r="D784" i="1"/>
  <c r="F784" i="1"/>
  <c r="D785" i="1"/>
  <c r="F785" i="1"/>
  <c r="AB785" i="1"/>
  <c r="D786" i="1"/>
  <c r="F786" i="1"/>
  <c r="D787" i="1"/>
  <c r="F787" i="1"/>
  <c r="AB787" i="1"/>
  <c r="D788" i="1"/>
  <c r="F788" i="1"/>
  <c r="D789" i="1"/>
  <c r="D790" i="1"/>
  <c r="F790" i="1"/>
  <c r="D791" i="1"/>
  <c r="D792" i="1"/>
  <c r="F792" i="1"/>
  <c r="D793" i="1"/>
  <c r="F793" i="1"/>
  <c r="D794" i="1"/>
  <c r="F794" i="1"/>
  <c r="D795" i="1"/>
  <c r="F795" i="1"/>
  <c r="D796" i="1"/>
  <c r="F796" i="1"/>
  <c r="D797" i="1"/>
  <c r="F797" i="1"/>
  <c r="D798" i="1"/>
  <c r="F798" i="1"/>
  <c r="D799" i="1"/>
  <c r="F799" i="1"/>
  <c r="AB799" i="1"/>
  <c r="D800" i="1"/>
  <c r="F800" i="1"/>
  <c r="D801" i="1"/>
  <c r="F801" i="1"/>
  <c r="D802" i="1"/>
  <c r="F802" i="1"/>
  <c r="AB802" i="1"/>
  <c r="D803" i="1"/>
  <c r="F803" i="1"/>
  <c r="AB803" i="1"/>
  <c r="D804" i="1"/>
  <c r="F804" i="1"/>
  <c r="AB804" i="1"/>
  <c r="D805" i="1"/>
  <c r="F805" i="1"/>
  <c r="AB805" i="1"/>
  <c r="D806" i="1"/>
  <c r="F806" i="1"/>
  <c r="D807" i="1"/>
  <c r="F807" i="1"/>
  <c r="AB807" i="1"/>
  <c r="D808" i="1"/>
  <c r="F808" i="1"/>
  <c r="D809" i="1"/>
  <c r="F809" i="1"/>
  <c r="D810" i="1"/>
  <c r="F810" i="1"/>
  <c r="D811" i="1"/>
  <c r="F811" i="1"/>
  <c r="D812" i="1"/>
  <c r="F812" i="1"/>
  <c r="D813" i="1"/>
  <c r="F813" i="1"/>
  <c r="AB813" i="1"/>
  <c r="D814" i="1"/>
  <c r="F814" i="1"/>
  <c r="D815" i="1"/>
  <c r="F815" i="1"/>
  <c r="D816" i="1"/>
  <c r="F816" i="1"/>
  <c r="D817" i="1"/>
  <c r="F817" i="1"/>
  <c r="AB817" i="1"/>
  <c r="D818" i="1"/>
  <c r="F818" i="1"/>
  <c r="AB818" i="1"/>
  <c r="D819" i="1"/>
  <c r="F819" i="1"/>
  <c r="D820" i="1"/>
  <c r="F820" i="1"/>
  <c r="D821" i="1"/>
  <c r="F821" i="1"/>
  <c r="D822" i="1"/>
  <c r="F822" i="1"/>
  <c r="AB822" i="1"/>
  <c r="D823" i="1"/>
  <c r="D824" i="1"/>
  <c r="F824" i="1"/>
  <c r="D825" i="1"/>
  <c r="D826" i="1"/>
  <c r="F826" i="1"/>
  <c r="AB826" i="1"/>
  <c r="D827" i="1"/>
  <c r="D828" i="1"/>
  <c r="F828" i="1"/>
  <c r="AB828" i="1"/>
  <c r="D829" i="1"/>
  <c r="D830" i="1"/>
  <c r="F830" i="1"/>
  <c r="D831" i="1"/>
  <c r="F831" i="1"/>
  <c r="AB831" i="1"/>
  <c r="D832" i="1"/>
  <c r="F832" i="1"/>
  <c r="D833" i="1"/>
  <c r="F833" i="1"/>
  <c r="D834" i="1"/>
  <c r="F834" i="1"/>
  <c r="D835" i="1"/>
  <c r="F835" i="1"/>
  <c r="D836" i="1"/>
  <c r="F836" i="1"/>
  <c r="D837" i="1"/>
  <c r="D838" i="1"/>
  <c r="D839" i="1"/>
  <c r="D840" i="1"/>
  <c r="D841" i="1"/>
  <c r="F841" i="1"/>
  <c r="D842" i="1"/>
  <c r="F842" i="1"/>
  <c r="AB842" i="1"/>
  <c r="D843" i="1"/>
  <c r="F843" i="1"/>
  <c r="D844" i="1"/>
  <c r="F844" i="1"/>
  <c r="AB844" i="1"/>
  <c r="D845" i="1"/>
  <c r="F845" i="1"/>
  <c r="D846" i="1"/>
  <c r="F846" i="1"/>
  <c r="D847" i="1"/>
  <c r="F847" i="1"/>
  <c r="AB847" i="1"/>
  <c r="D848" i="1"/>
  <c r="D849" i="1"/>
  <c r="D850" i="1"/>
  <c r="D851" i="1"/>
  <c r="F851" i="1"/>
  <c r="D852" i="1"/>
  <c r="F852" i="1"/>
  <c r="AB852" i="1"/>
  <c r="D853" i="1"/>
  <c r="F853" i="1"/>
  <c r="D854" i="1"/>
  <c r="F854" i="1"/>
  <c r="AB854" i="1"/>
  <c r="D855" i="1"/>
  <c r="F855" i="1"/>
  <c r="D856" i="1"/>
  <c r="F856" i="1"/>
  <c r="D857" i="1"/>
  <c r="F857" i="1"/>
  <c r="D858" i="1"/>
  <c r="F858" i="1"/>
  <c r="D859" i="1"/>
  <c r="D860" i="1"/>
  <c r="D861" i="1"/>
  <c r="F861" i="1"/>
  <c r="D862" i="1"/>
  <c r="F862" i="1"/>
  <c r="D863" i="1"/>
  <c r="F863" i="1"/>
  <c r="D864" i="1"/>
  <c r="D865" i="1"/>
  <c r="F865" i="1"/>
  <c r="D866" i="1"/>
  <c r="F866" i="1"/>
  <c r="D867" i="1"/>
  <c r="F867" i="1"/>
  <c r="D868" i="1"/>
  <c r="F868" i="1"/>
  <c r="D869" i="1"/>
  <c r="D870" i="1"/>
  <c r="F870" i="1"/>
  <c r="D871" i="1"/>
  <c r="F871" i="1"/>
  <c r="AB871" i="1"/>
  <c r="D872" i="1"/>
  <c r="F872" i="1"/>
  <c r="D873" i="1"/>
  <c r="D874" i="1"/>
  <c r="D875" i="1"/>
  <c r="F875" i="1"/>
  <c r="D876" i="1"/>
  <c r="D877" i="1"/>
  <c r="F877" i="1"/>
  <c r="D878" i="1"/>
  <c r="F878" i="1"/>
  <c r="D879" i="1"/>
  <c r="F879" i="1"/>
  <c r="D880" i="1"/>
  <c r="F880" i="1"/>
  <c r="D881" i="1"/>
  <c r="D882" i="1"/>
  <c r="D883" i="1"/>
  <c r="D884" i="1"/>
  <c r="F884" i="1"/>
  <c r="AB884" i="1"/>
  <c r="D885" i="1"/>
  <c r="D886" i="1"/>
  <c r="F886" i="1"/>
  <c r="D887" i="1"/>
  <c r="F887" i="1"/>
  <c r="D888" i="1"/>
  <c r="F888" i="1"/>
  <c r="D889" i="1"/>
  <c r="F889" i="1"/>
  <c r="D890" i="1"/>
  <c r="D891" i="1"/>
  <c r="F891" i="1"/>
  <c r="D892" i="1"/>
  <c r="F892" i="1"/>
  <c r="D893" i="1"/>
  <c r="D894" i="1"/>
  <c r="F894" i="1"/>
  <c r="D895" i="1"/>
  <c r="F895" i="1"/>
  <c r="D896" i="1"/>
  <c r="F896" i="1"/>
  <c r="D897" i="1"/>
  <c r="F897" i="1"/>
  <c r="D898" i="1"/>
  <c r="D899" i="1"/>
  <c r="D900" i="1"/>
  <c r="D901" i="1"/>
  <c r="D902" i="1"/>
  <c r="D903" i="1"/>
  <c r="D904" i="1"/>
  <c r="D905" i="1"/>
  <c r="F905" i="1"/>
  <c r="AB905" i="1"/>
  <c r="D906" i="1"/>
  <c r="F906" i="1"/>
  <c r="AB906" i="1"/>
  <c r="D907" i="1"/>
  <c r="D908" i="1"/>
  <c r="D909" i="1"/>
  <c r="D910" i="1"/>
  <c r="D911" i="1"/>
  <c r="D912" i="1"/>
  <c r="D913" i="1"/>
  <c r="D914" i="1"/>
  <c r="F914" i="1"/>
  <c r="AB914" i="1"/>
  <c r="D915" i="1"/>
  <c r="F915" i="1"/>
  <c r="AB915" i="1"/>
  <c r="D916" i="1"/>
  <c r="F916" i="1"/>
  <c r="AB916" i="1"/>
  <c r="D917" i="1"/>
  <c r="F917" i="1"/>
  <c r="AB917" i="1"/>
  <c r="D918" i="1"/>
  <c r="F918" i="1"/>
  <c r="AB918" i="1"/>
  <c r="D919" i="1"/>
  <c r="D920" i="1"/>
  <c r="F920" i="1"/>
  <c r="AB920" i="1"/>
  <c r="D921" i="1"/>
  <c r="F921" i="1"/>
  <c r="AB921" i="1"/>
  <c r="D922" i="1"/>
  <c r="F922" i="1"/>
  <c r="AB922" i="1"/>
  <c r="D923" i="1"/>
  <c r="F923" i="1"/>
  <c r="AB923" i="1"/>
  <c r="D924" i="1"/>
  <c r="F924" i="1"/>
  <c r="AB924" i="1"/>
  <c r="D925" i="1"/>
  <c r="D926" i="1"/>
  <c r="F926" i="1"/>
  <c r="AB926" i="1"/>
  <c r="D927" i="1"/>
  <c r="D928" i="1"/>
  <c r="F928" i="1"/>
  <c r="AB928" i="1"/>
  <c r="D929" i="1"/>
  <c r="D930" i="1"/>
  <c r="D931" i="1"/>
  <c r="F931" i="1"/>
  <c r="D932" i="1"/>
  <c r="F932" i="1"/>
  <c r="D933" i="1"/>
  <c r="F933" i="1"/>
  <c r="AB933" i="1"/>
  <c r="D934" i="1"/>
  <c r="F934" i="1"/>
  <c r="AB934" i="1"/>
  <c r="D935" i="1"/>
  <c r="D936" i="1"/>
  <c r="F936" i="1"/>
  <c r="AB936" i="1"/>
  <c r="D937" i="1"/>
  <c r="D938" i="1"/>
  <c r="F938" i="1"/>
  <c r="AB938" i="1"/>
  <c r="D939" i="1"/>
  <c r="D940" i="1"/>
  <c r="D941" i="1"/>
  <c r="F941" i="1"/>
  <c r="AB941" i="1"/>
  <c r="D942" i="1"/>
  <c r="D943" i="1"/>
  <c r="D944" i="1"/>
  <c r="D945" i="1"/>
  <c r="D946" i="1"/>
  <c r="D947" i="1"/>
  <c r="F947" i="1"/>
  <c r="AB947" i="1"/>
  <c r="D948" i="1"/>
  <c r="D949" i="1"/>
  <c r="D950" i="1"/>
  <c r="F950" i="1"/>
  <c r="AB950" i="1"/>
  <c r="D951" i="1"/>
  <c r="F951" i="1"/>
  <c r="AB951" i="1"/>
  <c r="D952" i="1"/>
  <c r="F952" i="1"/>
  <c r="AB952" i="1"/>
  <c r="D953" i="1"/>
  <c r="F953" i="1"/>
  <c r="AB953" i="1"/>
  <c r="D954" i="1"/>
  <c r="F954" i="1"/>
  <c r="AB954" i="1"/>
  <c r="D955" i="1"/>
  <c r="F955" i="1"/>
  <c r="AB955" i="1"/>
  <c r="D956" i="1"/>
  <c r="F956" i="1"/>
  <c r="AB956" i="1"/>
  <c r="D957" i="1"/>
  <c r="F957" i="1"/>
  <c r="AB957" i="1"/>
  <c r="D958" i="1"/>
  <c r="F958" i="1"/>
  <c r="AB958" i="1"/>
  <c r="D959" i="1"/>
  <c r="F959" i="1"/>
  <c r="AB959" i="1"/>
  <c r="D960" i="1"/>
  <c r="F960" i="1"/>
  <c r="D961" i="1"/>
  <c r="F961" i="1"/>
  <c r="AB961" i="1"/>
  <c r="D962" i="1"/>
  <c r="D963" i="1"/>
  <c r="F963" i="1"/>
  <c r="AB963" i="1"/>
  <c r="D964" i="1"/>
  <c r="F964" i="1"/>
  <c r="AB964" i="1"/>
  <c r="D965" i="1"/>
  <c r="F965" i="1"/>
  <c r="D966" i="1"/>
  <c r="F966" i="1"/>
  <c r="AB966" i="1"/>
  <c r="D967" i="1"/>
  <c r="D968" i="1"/>
  <c r="D969" i="1"/>
  <c r="D970" i="1"/>
  <c r="F970" i="1"/>
  <c r="AB970" i="1"/>
  <c r="D971" i="1"/>
  <c r="F971" i="1"/>
  <c r="AB971" i="1"/>
  <c r="D972" i="1"/>
  <c r="F972" i="1"/>
  <c r="AB972" i="1"/>
  <c r="D973" i="1"/>
  <c r="F973" i="1"/>
  <c r="AB973" i="1"/>
  <c r="D974" i="1"/>
  <c r="F974" i="1"/>
  <c r="AB974" i="1"/>
  <c r="D975" i="1"/>
  <c r="F975" i="1"/>
  <c r="AB975" i="1"/>
  <c r="D976" i="1"/>
  <c r="F976" i="1"/>
  <c r="AB976" i="1"/>
  <c r="D977" i="1"/>
  <c r="F977" i="1"/>
  <c r="AB977" i="1"/>
  <c r="D978" i="1"/>
  <c r="F978" i="1"/>
  <c r="AB978" i="1"/>
  <c r="D979" i="1"/>
  <c r="F979" i="1"/>
  <c r="D980" i="1"/>
  <c r="F980" i="1"/>
  <c r="AB980" i="1"/>
  <c r="D981" i="1"/>
  <c r="F981" i="1"/>
  <c r="AB981" i="1"/>
  <c r="D982" i="1"/>
  <c r="D1241" i="1"/>
  <c r="D1242" i="1"/>
  <c r="D678" i="1"/>
  <c r="F678" i="1"/>
  <c r="AB678" i="1"/>
  <c r="D983" i="1"/>
  <c r="F983" i="1"/>
  <c r="AB983" i="1"/>
  <c r="D1243" i="1"/>
  <c r="D1244" i="1"/>
  <c r="D1012" i="1"/>
  <c r="F1012" i="1"/>
  <c r="D652" i="1"/>
  <c r="F652" i="1"/>
  <c r="AB652" i="1"/>
  <c r="D671" i="1"/>
  <c r="F671" i="1"/>
  <c r="AB671" i="1"/>
  <c r="D679" i="1"/>
  <c r="F679" i="1"/>
  <c r="AB679" i="1"/>
  <c r="D665" i="1"/>
  <c r="F665" i="1"/>
  <c r="AB665" i="1"/>
  <c r="D1245" i="1"/>
  <c r="D1246" i="1"/>
  <c r="D1247" i="1"/>
  <c r="D984" i="1"/>
  <c r="F984" i="1"/>
  <c r="AB984" i="1"/>
  <c r="D1037" i="1"/>
  <c r="F1037" i="1"/>
  <c r="AB1037" i="1"/>
  <c r="D1015" i="1"/>
  <c r="F1015" i="1"/>
  <c r="D1248" i="1"/>
  <c r="D1249" i="1"/>
  <c r="D1250" i="1"/>
  <c r="D1251" i="1"/>
  <c r="D994" i="1"/>
  <c r="F994" i="1"/>
  <c r="D1252" i="1"/>
  <c r="D666" i="1"/>
  <c r="F666" i="1"/>
  <c r="AB666" i="1"/>
  <c r="D674" i="1"/>
  <c r="F674" i="1"/>
  <c r="AB674" i="1"/>
  <c r="D672" i="1"/>
  <c r="F672" i="1"/>
  <c r="AB672" i="1"/>
  <c r="D1253" i="1"/>
  <c r="D1254" i="1"/>
  <c r="D667" i="1"/>
  <c r="F667" i="1"/>
  <c r="AB667" i="1"/>
  <c r="D668" i="1"/>
  <c r="F668" i="1"/>
  <c r="AB668" i="1"/>
  <c r="D692" i="1"/>
  <c r="F692" i="1"/>
  <c r="AB692" i="1"/>
  <c r="D673" i="1"/>
  <c r="F673" i="1"/>
  <c r="AB673" i="1"/>
  <c r="D675" i="1"/>
  <c r="F675" i="1"/>
  <c r="AB675" i="1"/>
  <c r="D1255" i="1"/>
  <c r="D681" i="1"/>
  <c r="F681" i="1"/>
  <c r="AB681" i="1"/>
  <c r="D1256" i="1"/>
  <c r="D1257" i="1"/>
  <c r="D715" i="1"/>
  <c r="F715" i="1"/>
  <c r="AB715" i="1"/>
  <c r="D1258" i="1"/>
  <c r="F1258" i="1"/>
  <c r="AB1258" i="1"/>
  <c r="D720" i="1"/>
  <c r="F720" i="1"/>
  <c r="AB720" i="1"/>
  <c r="D1259" i="1"/>
  <c r="D1260" i="1"/>
  <c r="D1261" i="1"/>
  <c r="D1262" i="1"/>
  <c r="D696" i="1"/>
  <c r="F696" i="1"/>
  <c r="AB696" i="1"/>
  <c r="D1040" i="1"/>
  <c r="F1040" i="1"/>
  <c r="AB1040" i="1"/>
  <c r="D1263" i="1"/>
  <c r="D1010" i="1"/>
  <c r="F1010" i="1"/>
  <c r="AB1010" i="1"/>
  <c r="D1008" i="1"/>
  <c r="F1008" i="1"/>
  <c r="D1264" i="1"/>
  <c r="D1265" i="1"/>
  <c r="D1266" i="1"/>
  <c r="D989" i="1"/>
  <c r="F989" i="1"/>
  <c r="AB989" i="1"/>
  <c r="D1267" i="1"/>
  <c r="D1268" i="1"/>
  <c r="F1268" i="1"/>
  <c r="AB1268" i="1"/>
  <c r="D1030" i="1"/>
  <c r="F1030" i="1"/>
  <c r="AB1030" i="1"/>
  <c r="D1269" i="1"/>
  <c r="D1017" i="1"/>
  <c r="F1017" i="1"/>
  <c r="D1016" i="1"/>
  <c r="F1016" i="1"/>
  <c r="AB1016" i="1"/>
  <c r="D1042" i="1"/>
  <c r="D1043" i="1"/>
  <c r="F1043" i="1"/>
  <c r="AB1043" i="1"/>
  <c r="D1044" i="1"/>
  <c r="F1044" i="1"/>
  <c r="AB1044" i="1"/>
  <c r="D1045" i="1"/>
  <c r="D1046" i="1"/>
  <c r="D1047" i="1"/>
  <c r="D1048" i="1"/>
  <c r="F1048" i="1"/>
  <c r="AB1048" i="1"/>
  <c r="D1049" i="1"/>
  <c r="D1050" i="1"/>
  <c r="F1050" i="1"/>
  <c r="AB1050" i="1"/>
  <c r="D1051" i="1"/>
  <c r="D1052" i="1"/>
  <c r="D1053" i="1"/>
  <c r="D1054" i="1"/>
  <c r="F1054" i="1"/>
  <c r="AB1054" i="1"/>
  <c r="D1055" i="1"/>
  <c r="F1055" i="1"/>
  <c r="AB1055" i="1"/>
  <c r="D1056" i="1"/>
  <c r="F1056" i="1"/>
  <c r="AB1056" i="1"/>
  <c r="D1057" i="1"/>
  <c r="F1057" i="1"/>
  <c r="AB1057" i="1"/>
  <c r="D1058" i="1"/>
  <c r="F1058" i="1"/>
  <c r="AB1058" i="1"/>
  <c r="D1059" i="1"/>
  <c r="F1059" i="1"/>
  <c r="AB1059" i="1"/>
  <c r="D1060" i="1"/>
  <c r="D1061" i="1"/>
  <c r="F1061" i="1"/>
  <c r="AB1061" i="1"/>
  <c r="D1062" i="1"/>
  <c r="F1062" i="1"/>
  <c r="AB1062" i="1"/>
  <c r="D1063" i="1"/>
  <c r="F1063" i="1"/>
  <c r="AB1063" i="1"/>
  <c r="D1064" i="1"/>
  <c r="F1064" i="1"/>
  <c r="AB1064" i="1"/>
  <c r="D1065" i="1"/>
  <c r="F1065" i="1"/>
  <c r="AB1065" i="1"/>
  <c r="D1066" i="1"/>
  <c r="F1066" i="1"/>
  <c r="D1067" i="1"/>
  <c r="D1068" i="1"/>
  <c r="D1069" i="1"/>
  <c r="D1070" i="1"/>
  <c r="F1070" i="1"/>
  <c r="AB1070" i="1"/>
  <c r="D1071" i="1"/>
  <c r="D1072" i="1"/>
  <c r="F1072" i="1"/>
  <c r="AB1072" i="1"/>
  <c r="D1073" i="1"/>
  <c r="F1073" i="1"/>
  <c r="AB1073" i="1"/>
  <c r="D1074" i="1"/>
  <c r="F1074" i="1"/>
  <c r="AB1074" i="1"/>
  <c r="D1075" i="1"/>
  <c r="F1075" i="1"/>
  <c r="AB1075" i="1"/>
  <c r="D1076" i="1"/>
  <c r="F1076" i="1"/>
  <c r="AB1076" i="1"/>
  <c r="D1077" i="1"/>
  <c r="F1077" i="1"/>
  <c r="AB1077" i="1"/>
  <c r="D1078" i="1"/>
  <c r="D1079" i="1"/>
  <c r="D1080" i="1"/>
  <c r="F1080" i="1"/>
  <c r="AB1080" i="1"/>
  <c r="D1081" i="1"/>
  <c r="F1081" i="1"/>
  <c r="D1082" i="1"/>
  <c r="D1083" i="1"/>
  <c r="F1083" i="1"/>
  <c r="AB1083" i="1"/>
  <c r="D1084" i="1"/>
  <c r="F1084" i="1"/>
  <c r="AB1084" i="1"/>
  <c r="D1085" i="1"/>
  <c r="F1085" i="1"/>
  <c r="AB1085" i="1"/>
  <c r="D1086" i="1"/>
  <c r="F1086" i="1"/>
  <c r="AB1086" i="1"/>
  <c r="D1087" i="1"/>
  <c r="F1087" i="1"/>
  <c r="AB1087" i="1"/>
  <c r="D1088" i="1"/>
  <c r="F1088" i="1"/>
  <c r="AB1088" i="1"/>
  <c r="D1089" i="1"/>
  <c r="D1090" i="1"/>
  <c r="F1090" i="1"/>
  <c r="D1091" i="1"/>
  <c r="F1091" i="1"/>
  <c r="AB1091" i="1"/>
  <c r="D1092" i="1"/>
  <c r="F1092" i="1"/>
  <c r="AB1092" i="1"/>
  <c r="D1093" i="1"/>
  <c r="F1093" i="1"/>
  <c r="AB1093" i="1"/>
  <c r="D1094" i="1"/>
  <c r="F1094" i="1"/>
  <c r="D1095" i="1"/>
  <c r="F1095" i="1"/>
  <c r="AB1095" i="1"/>
  <c r="D1096" i="1"/>
  <c r="D1097" i="1"/>
  <c r="F1097" i="1"/>
  <c r="AB1097" i="1"/>
  <c r="D1098" i="1"/>
  <c r="F1098" i="1"/>
  <c r="AB1098" i="1"/>
  <c r="D1099" i="1"/>
  <c r="F1099" i="1"/>
  <c r="AB1099" i="1"/>
  <c r="D1100" i="1"/>
  <c r="F1100" i="1"/>
  <c r="AB1100" i="1"/>
  <c r="D1101" i="1"/>
  <c r="D1102" i="1"/>
  <c r="F1102" i="1"/>
  <c r="D1103" i="1"/>
  <c r="D1104" i="1"/>
  <c r="F1104" i="1"/>
  <c r="AB1104" i="1"/>
  <c r="D1105" i="1"/>
  <c r="F1105" i="1"/>
  <c r="AB1105" i="1"/>
  <c r="D1106" i="1"/>
  <c r="D1107" i="1"/>
  <c r="F1107" i="1"/>
  <c r="AB1107" i="1"/>
  <c r="D1108" i="1"/>
  <c r="D1109" i="1"/>
  <c r="F1109" i="1"/>
  <c r="AB1109" i="1"/>
  <c r="D1110" i="1"/>
  <c r="F1110" i="1"/>
  <c r="AB1110" i="1"/>
  <c r="D1111" i="1"/>
  <c r="F1111" i="1"/>
  <c r="AB1111" i="1"/>
  <c r="D1112" i="1"/>
  <c r="F1112" i="1"/>
  <c r="D1113" i="1"/>
  <c r="F1113" i="1"/>
  <c r="AB1113" i="1"/>
  <c r="D1114" i="1"/>
  <c r="F1114" i="1"/>
  <c r="AB1114" i="1"/>
  <c r="D1115" i="1"/>
  <c r="D1116" i="1"/>
  <c r="D1117" i="1"/>
  <c r="F1117" i="1"/>
  <c r="AB1117" i="1"/>
  <c r="D1118" i="1"/>
  <c r="F1118" i="1"/>
  <c r="D1119" i="1"/>
  <c r="D1120" i="1"/>
  <c r="D1121" i="1"/>
  <c r="D1122" i="1"/>
  <c r="F1122" i="1"/>
  <c r="AB1122" i="1"/>
  <c r="D1123" i="1"/>
  <c r="D1124" i="1"/>
  <c r="D1125" i="1"/>
  <c r="D1126" i="1"/>
  <c r="F1126" i="1"/>
  <c r="AB1126" i="1"/>
  <c r="D1127" i="1"/>
  <c r="D1128" i="1"/>
  <c r="D1129" i="1"/>
  <c r="D1130" i="1"/>
  <c r="D1131" i="1"/>
  <c r="D1132" i="1"/>
  <c r="D1133" i="1"/>
  <c r="D1134" i="1"/>
  <c r="D1135" i="1"/>
  <c r="D1136" i="1"/>
  <c r="D1137" i="1"/>
  <c r="D1138" i="1"/>
  <c r="F1138" i="1"/>
  <c r="AB1138" i="1"/>
  <c r="D1139" i="1"/>
  <c r="F1139" i="1"/>
  <c r="AB1139" i="1"/>
  <c r="D1140" i="1"/>
  <c r="F1140" i="1"/>
  <c r="AB1140" i="1"/>
  <c r="D1141" i="1"/>
  <c r="F1141" i="1"/>
  <c r="AB1141" i="1"/>
  <c r="D1142" i="1"/>
  <c r="F1142" i="1"/>
  <c r="AB1142" i="1"/>
  <c r="D1143" i="1"/>
  <c r="F1143" i="1"/>
  <c r="AB1143" i="1"/>
  <c r="D1144" i="1"/>
  <c r="D1145" i="1"/>
  <c r="F1145" i="1"/>
  <c r="AB1145" i="1"/>
  <c r="D1146" i="1"/>
  <c r="F1146" i="1"/>
  <c r="AB1146" i="1"/>
  <c r="D1147" i="1"/>
  <c r="D1148" i="1"/>
  <c r="D1149" i="1"/>
  <c r="D1150" i="1"/>
  <c r="D1151" i="1"/>
  <c r="F1151" i="1"/>
  <c r="AB1151" i="1"/>
  <c r="D1152" i="1"/>
  <c r="D1153" i="1"/>
  <c r="F1153" i="1"/>
  <c r="AB1153" i="1"/>
  <c r="D1154" i="1"/>
  <c r="D1155" i="1"/>
  <c r="F1155" i="1"/>
  <c r="AB1155" i="1"/>
  <c r="D1156" i="1"/>
  <c r="F1156" i="1"/>
  <c r="AB1156" i="1"/>
  <c r="D1157" i="1"/>
  <c r="F1157" i="1"/>
  <c r="AB1157" i="1"/>
  <c r="D1158" i="1"/>
  <c r="F1158" i="1"/>
  <c r="AB1158" i="1"/>
  <c r="D1159" i="1"/>
  <c r="F1159" i="1"/>
  <c r="AB1159" i="1"/>
  <c r="D1160" i="1"/>
  <c r="F1160" i="1"/>
  <c r="AB1160" i="1"/>
  <c r="D1161" i="1"/>
  <c r="F1161" i="1"/>
  <c r="AB1161" i="1"/>
  <c r="D1162" i="1"/>
  <c r="F1162" i="1"/>
  <c r="D1163" i="1"/>
  <c r="D1164" i="1"/>
  <c r="D1165" i="1"/>
  <c r="F1165" i="1"/>
  <c r="AB1165" i="1"/>
  <c r="D1166" i="1"/>
  <c r="F1166" i="1"/>
  <c r="AB1166" i="1"/>
  <c r="D1167" i="1"/>
  <c r="F1167" i="1"/>
  <c r="AB1167" i="1"/>
  <c r="D1168" i="1"/>
  <c r="F1168" i="1"/>
  <c r="AB1168" i="1"/>
  <c r="D1169" i="1"/>
  <c r="F1169" i="1"/>
  <c r="D1170" i="1"/>
  <c r="F1170" i="1"/>
  <c r="AB1170" i="1"/>
  <c r="D1171" i="1"/>
  <c r="F1171" i="1"/>
  <c r="AB1171" i="1"/>
  <c r="D1172" i="1"/>
  <c r="D1173" i="1"/>
  <c r="F1173" i="1"/>
  <c r="AB1173" i="1"/>
  <c r="D1174" i="1"/>
  <c r="F1174" i="1"/>
  <c r="AB1174" i="1"/>
  <c r="D1175" i="1"/>
  <c r="F1175" i="1"/>
  <c r="AB1175" i="1"/>
  <c r="D1176" i="1"/>
  <c r="F1176" i="1"/>
  <c r="D1177" i="1"/>
  <c r="F1177" i="1"/>
  <c r="AB1177" i="1"/>
  <c r="D1178" i="1"/>
  <c r="F1178" i="1"/>
  <c r="AB1178" i="1"/>
  <c r="D1179" i="1"/>
  <c r="D1180" i="1"/>
  <c r="F1180" i="1"/>
  <c r="AB1180" i="1"/>
  <c r="D1181" i="1"/>
  <c r="D1182" i="1"/>
  <c r="F1182" i="1"/>
  <c r="AB1182" i="1"/>
  <c r="D1183" i="1"/>
  <c r="F1183" i="1"/>
  <c r="AB1183" i="1"/>
  <c r="D1184" i="1"/>
  <c r="F1184" i="1"/>
  <c r="AB1184" i="1"/>
  <c r="D1185" i="1"/>
  <c r="F1185" i="1"/>
  <c r="AB1185" i="1"/>
  <c r="D1186" i="1"/>
  <c r="F1186" i="1"/>
  <c r="AB1186" i="1"/>
  <c r="D1187" i="1"/>
  <c r="D1188" i="1"/>
  <c r="D1189" i="1"/>
  <c r="D1190" i="1"/>
  <c r="D1191" i="1"/>
  <c r="D1192" i="1"/>
  <c r="D1193" i="1"/>
  <c r="F1193" i="1"/>
  <c r="AB1193" i="1"/>
  <c r="D1194" i="1"/>
  <c r="F1194" i="1"/>
  <c r="AB1194" i="1"/>
  <c r="D1195" i="1"/>
  <c r="F1195" i="1"/>
  <c r="AB1195" i="1"/>
  <c r="D1196" i="1"/>
  <c r="F1196" i="1"/>
  <c r="AB1196" i="1"/>
  <c r="D1197" i="1"/>
  <c r="F1197" i="1"/>
  <c r="D1270" i="1"/>
  <c r="D1271" i="1"/>
  <c r="D990" i="1"/>
  <c r="F990" i="1"/>
  <c r="D998" i="1"/>
  <c r="F998" i="1"/>
  <c r="D1272" i="1"/>
  <c r="D1273" i="1"/>
  <c r="F1273" i="1"/>
  <c r="D1274" i="1"/>
  <c r="D1021" i="1"/>
  <c r="F1021" i="1"/>
  <c r="D1275" i="1"/>
  <c r="D1276" i="1"/>
  <c r="D1011" i="1"/>
  <c r="F1011" i="1"/>
  <c r="D623" i="1"/>
  <c r="F623" i="1"/>
  <c r="AB623" i="1"/>
  <c r="D625" i="1"/>
  <c r="F625" i="1"/>
  <c r="AB625" i="1"/>
  <c r="D626" i="1"/>
  <c r="F626" i="1"/>
  <c r="AB626" i="1"/>
  <c r="D622" i="1"/>
  <c r="F622" i="1"/>
  <c r="D624" i="1"/>
  <c r="F624" i="1"/>
  <c r="D1277" i="1"/>
  <c r="D1278" i="1"/>
  <c r="D1279" i="1"/>
  <c r="D700" i="1"/>
  <c r="F700" i="1"/>
  <c r="AB700" i="1"/>
  <c r="D1280" i="1"/>
  <c r="D987" i="1"/>
  <c r="F987" i="1"/>
  <c r="AB987" i="1"/>
  <c r="D1281" i="1"/>
  <c r="F1281" i="1"/>
  <c r="D1282" i="1"/>
  <c r="D1032" i="1"/>
  <c r="F1032" i="1"/>
  <c r="AB1032" i="1"/>
  <c r="D988" i="1"/>
  <c r="F988" i="1"/>
  <c r="D633" i="1"/>
  <c r="F633" i="1"/>
  <c r="AB633" i="1"/>
  <c r="D634" i="1"/>
  <c r="F634" i="1"/>
  <c r="AB634" i="1"/>
  <c r="D1283" i="1"/>
  <c r="D635" i="1"/>
  <c r="F635" i="1"/>
  <c r="AB635" i="1"/>
  <c r="D684" i="1"/>
  <c r="F684" i="1"/>
  <c r="AB684" i="1"/>
  <c r="D676" i="1"/>
  <c r="F676" i="1"/>
  <c r="AB676" i="1"/>
  <c r="D686" i="1"/>
  <c r="F686" i="1"/>
  <c r="AB686" i="1"/>
  <c r="D636" i="1"/>
  <c r="F636" i="1"/>
  <c r="AB636" i="1"/>
  <c r="D637" i="1"/>
  <c r="F637" i="1"/>
  <c r="AB637" i="1"/>
  <c r="D638" i="1"/>
  <c r="F638" i="1"/>
  <c r="D654" i="1"/>
  <c r="F654" i="1"/>
  <c r="AB654" i="1"/>
  <c r="D1284" i="1"/>
  <c r="D647" i="1"/>
  <c r="F647" i="1"/>
  <c r="AB647" i="1"/>
  <c r="D639" i="1"/>
  <c r="F639" i="1"/>
  <c r="AB639" i="1"/>
  <c r="D640" i="1"/>
  <c r="F640" i="1"/>
  <c r="AB640" i="1"/>
  <c r="D1285" i="1"/>
  <c r="D648" i="1"/>
  <c r="F648" i="1"/>
  <c r="AB648" i="1"/>
  <c r="D1286" i="1"/>
  <c r="D641" i="1"/>
  <c r="F641" i="1"/>
  <c r="AB641" i="1"/>
  <c r="D649" i="1"/>
  <c r="F649" i="1"/>
  <c r="AB649" i="1"/>
  <c r="D642" i="1"/>
  <c r="F642" i="1"/>
  <c r="AB642" i="1"/>
  <c r="D643" i="1"/>
  <c r="F643" i="1"/>
  <c r="AB643" i="1"/>
  <c r="D644" i="1"/>
  <c r="F644" i="1"/>
  <c r="AB644" i="1"/>
  <c r="D669" i="1"/>
  <c r="F669" i="1"/>
  <c r="AB669" i="1"/>
  <c r="D650" i="1"/>
  <c r="F650" i="1"/>
  <c r="AB650" i="1"/>
  <c r="D651" i="1"/>
  <c r="F651" i="1"/>
  <c r="AB651" i="1"/>
  <c r="D1287" i="1"/>
  <c r="D1288" i="1"/>
  <c r="D645" i="1"/>
  <c r="F645" i="1"/>
  <c r="D1289" i="1"/>
  <c r="D1290" i="1"/>
  <c r="D1291" i="1"/>
  <c r="D1292" i="1"/>
  <c r="D1293" i="1"/>
  <c r="D1294" i="1"/>
  <c r="D1295" i="1"/>
  <c r="D1296" i="1"/>
  <c r="D1297" i="1"/>
  <c r="D1298" i="1"/>
  <c r="D1299" i="1"/>
  <c r="D1300" i="1"/>
  <c r="D655" i="1"/>
  <c r="F655" i="1"/>
  <c r="AB655" i="1"/>
  <c r="D646" i="1"/>
  <c r="F646" i="1"/>
  <c r="AB646" i="1"/>
  <c r="D670" i="1"/>
  <c r="F670" i="1"/>
  <c r="AB670" i="1"/>
  <c r="D1301" i="1"/>
  <c r="F1301" i="1"/>
  <c r="D680" i="1"/>
  <c r="F680" i="1"/>
  <c r="AB680" i="1"/>
  <c r="D1302" i="1"/>
  <c r="F1302" i="1"/>
  <c r="AB1302" i="1"/>
  <c r="D995" i="1"/>
  <c r="F995" i="1"/>
  <c r="AB995" i="1"/>
  <c r="D1303" i="1"/>
  <c r="D1022" i="1"/>
  <c r="F1022" i="1"/>
  <c r="D992" i="1"/>
  <c r="F992" i="1"/>
  <c r="AB992" i="1"/>
  <c r="D1304" i="1"/>
  <c r="D1305" i="1"/>
  <c r="D1306" i="1"/>
  <c r="D1307" i="1"/>
  <c r="D1039" i="1"/>
  <c r="F1039" i="1"/>
  <c r="AB1039" i="1"/>
  <c r="D1308" i="1"/>
  <c r="D1309" i="1"/>
  <c r="D1310" i="1"/>
  <c r="D1311" i="1"/>
  <c r="D1312" i="1"/>
  <c r="D1313" i="1"/>
  <c r="D1314" i="1"/>
  <c r="D1315" i="1"/>
  <c r="D1031" i="1"/>
  <c r="F1031" i="1"/>
  <c r="AB1031" i="1"/>
  <c r="D1316" i="1"/>
  <c r="D1317" i="1"/>
  <c r="D1318" i="1"/>
  <c r="D1319" i="1"/>
  <c r="D1320" i="1"/>
  <c r="D1321" i="1"/>
  <c r="D1711" i="1"/>
  <c r="D1712" i="1"/>
  <c r="D1713" i="1"/>
  <c r="D991" i="1"/>
  <c r="F991" i="1"/>
  <c r="D1714" i="1"/>
  <c r="D1026" i="1"/>
  <c r="F1026" i="1"/>
  <c r="AB1026" i="1"/>
  <c r="D1034" i="1"/>
  <c r="F1034" i="1"/>
  <c r="AB1034" i="1"/>
  <c r="D1004" i="1"/>
  <c r="F1004" i="1"/>
  <c r="D1005" i="1"/>
  <c r="F1005" i="1"/>
  <c r="D1006" i="1"/>
  <c r="F1006" i="1"/>
  <c r="D1036" i="1"/>
  <c r="F1036" i="1"/>
  <c r="AB1036" i="1"/>
  <c r="D627" i="1"/>
  <c r="F627" i="1"/>
  <c r="AB627" i="1"/>
  <c r="D628" i="1"/>
  <c r="F628" i="1"/>
  <c r="AB628" i="1"/>
  <c r="D662" i="1"/>
  <c r="F662" i="1"/>
  <c r="AB662" i="1"/>
  <c r="D629" i="1"/>
  <c r="F629" i="1"/>
  <c r="AB629" i="1"/>
  <c r="D658" i="1"/>
  <c r="F658" i="1"/>
  <c r="AB658" i="1"/>
  <c r="D630" i="1"/>
  <c r="F630" i="1"/>
  <c r="AB630" i="1"/>
  <c r="D677" i="1"/>
  <c r="F677" i="1"/>
  <c r="AB677" i="1"/>
  <c r="D631" i="1"/>
  <c r="F631" i="1"/>
  <c r="AB631" i="1"/>
  <c r="D653" i="1"/>
  <c r="F653" i="1"/>
  <c r="AB653" i="1"/>
  <c r="D1715" i="1"/>
  <c r="D1716" i="1"/>
  <c r="D632" i="1"/>
  <c r="F632" i="1"/>
  <c r="AB632" i="1"/>
  <c r="D1717" i="1"/>
  <c r="D1718" i="1"/>
  <c r="D1719" i="1"/>
  <c r="D1023" i="1"/>
  <c r="F1023" i="1"/>
  <c r="AB1023" i="1"/>
  <c r="D1322" i="1"/>
  <c r="D1323" i="1"/>
  <c r="F1323" i="1"/>
  <c r="AB1323" i="1"/>
  <c r="D1324" i="1"/>
  <c r="F1324" i="1"/>
  <c r="AB1324" i="1"/>
  <c r="D1325" i="1"/>
  <c r="F1325" i="1"/>
  <c r="AB1325" i="1"/>
  <c r="D1326" i="1"/>
  <c r="F1326" i="1"/>
  <c r="AB1326" i="1"/>
  <c r="D1327" i="1"/>
  <c r="F1327" i="1"/>
  <c r="AB1327" i="1"/>
  <c r="D1328" i="1"/>
  <c r="F1328" i="1"/>
  <c r="AB1328" i="1"/>
  <c r="D1329" i="1"/>
  <c r="F1329" i="1"/>
  <c r="AB1329" i="1"/>
  <c r="D1330" i="1"/>
  <c r="F1330" i="1"/>
  <c r="AB1330" i="1"/>
  <c r="D1331" i="1"/>
  <c r="D1332" i="1"/>
  <c r="F1332" i="1"/>
  <c r="AB1332" i="1"/>
  <c r="D1333" i="1"/>
  <c r="D1334" i="1"/>
  <c r="D1335" i="1"/>
  <c r="D1336" i="1"/>
  <c r="D1337" i="1"/>
  <c r="F1337" i="1"/>
  <c r="AB1337" i="1"/>
  <c r="D1338" i="1"/>
  <c r="F1338" i="1"/>
  <c r="AB1338" i="1"/>
  <c r="D1339" i="1"/>
  <c r="D1340" i="1"/>
  <c r="D1341" i="1"/>
  <c r="D1342" i="1"/>
  <c r="D1343" i="1"/>
  <c r="D1344" i="1"/>
  <c r="D1345" i="1"/>
  <c r="D1346" i="1"/>
  <c r="D1347" i="1"/>
  <c r="F1347" i="1"/>
  <c r="AB1347" i="1"/>
  <c r="D1348" i="1"/>
  <c r="D1349" i="1"/>
  <c r="D1350" i="1"/>
  <c r="F1350" i="1"/>
  <c r="AB1350" i="1"/>
  <c r="D1351" i="1"/>
  <c r="F1351" i="1"/>
  <c r="AB1351" i="1"/>
  <c r="D1352" i="1"/>
  <c r="D1353" i="1"/>
  <c r="D1354" i="1"/>
  <c r="D1355" i="1"/>
  <c r="D1356" i="1"/>
  <c r="D1357" i="1"/>
  <c r="F1357" i="1"/>
  <c r="AB1357" i="1"/>
  <c r="D1358" i="1"/>
  <c r="F1358" i="1"/>
  <c r="AB1358" i="1"/>
  <c r="D1359" i="1"/>
  <c r="D1360" i="1"/>
  <c r="F1360" i="1"/>
  <c r="AB1360" i="1"/>
  <c r="D1361" i="1"/>
  <c r="F1361" i="1"/>
  <c r="AB1361" i="1"/>
  <c r="D1362" i="1"/>
  <c r="F1362" i="1"/>
  <c r="AB1362" i="1"/>
  <c r="D1363" i="1"/>
  <c r="F1363" i="1"/>
  <c r="AB1363" i="1"/>
  <c r="D1364" i="1"/>
  <c r="F1364" i="1"/>
  <c r="AB1364" i="1"/>
  <c r="D1365" i="1"/>
  <c r="F1365" i="1"/>
  <c r="AB1365" i="1"/>
  <c r="D1366" i="1"/>
  <c r="F1366" i="1"/>
  <c r="AB1366" i="1"/>
  <c r="D1367" i="1"/>
  <c r="F1367" i="1"/>
  <c r="D1368" i="1"/>
  <c r="F1368" i="1"/>
  <c r="D1369" i="1"/>
  <c r="F1369" i="1"/>
  <c r="D1370" i="1"/>
  <c r="D1371" i="1"/>
  <c r="D1372" i="1"/>
  <c r="F1372" i="1"/>
  <c r="AB1372" i="1"/>
  <c r="D1373" i="1"/>
  <c r="D1374" i="1"/>
  <c r="F1374" i="1"/>
  <c r="D1375" i="1"/>
  <c r="D1376" i="1"/>
  <c r="F1376" i="1"/>
  <c r="AB1376" i="1"/>
  <c r="D1377" i="1"/>
  <c r="F1377" i="1"/>
  <c r="D1378" i="1"/>
  <c r="F1378" i="1"/>
  <c r="D1379" i="1"/>
  <c r="F1379" i="1"/>
  <c r="D1380" i="1"/>
  <c r="D1381" i="1"/>
  <c r="D1382" i="1"/>
  <c r="D1383" i="1"/>
  <c r="F1383" i="1"/>
  <c r="AB1383" i="1"/>
  <c r="D1384" i="1"/>
  <c r="F1384" i="1"/>
  <c r="D1385" i="1"/>
  <c r="F1385" i="1"/>
  <c r="AB1385" i="1"/>
  <c r="D1386" i="1"/>
  <c r="F1386" i="1"/>
  <c r="D1387" i="1"/>
  <c r="D1388" i="1"/>
  <c r="D1389" i="1"/>
  <c r="F1389" i="1"/>
  <c r="AB1389" i="1"/>
  <c r="D1390" i="1"/>
  <c r="F1390" i="1"/>
  <c r="AB1390" i="1"/>
  <c r="D1391" i="1"/>
  <c r="F1391" i="1"/>
  <c r="AB1391" i="1"/>
  <c r="D1392" i="1"/>
  <c r="F1392" i="1"/>
  <c r="AB1392" i="1"/>
  <c r="D1393" i="1"/>
  <c r="F1393" i="1"/>
  <c r="AB1393" i="1"/>
  <c r="D1394" i="1"/>
  <c r="F1394" i="1"/>
  <c r="AB1394" i="1"/>
  <c r="D1395" i="1"/>
  <c r="D1396" i="1"/>
  <c r="F1396" i="1"/>
  <c r="AB1396" i="1"/>
  <c r="D1397" i="1"/>
  <c r="F1397" i="1"/>
  <c r="AB1397" i="1"/>
  <c r="D1398" i="1"/>
  <c r="F1398" i="1"/>
  <c r="AB1398" i="1"/>
  <c r="D1399" i="1"/>
  <c r="F1399" i="1"/>
  <c r="AB1399" i="1"/>
  <c r="D1400" i="1"/>
  <c r="D1401" i="1"/>
  <c r="D1402" i="1"/>
  <c r="F1402" i="1"/>
  <c r="AB1402" i="1"/>
  <c r="D1403" i="1"/>
  <c r="D1404" i="1"/>
  <c r="F1404" i="1"/>
  <c r="AB1404" i="1"/>
  <c r="D1405" i="1"/>
  <c r="D1406" i="1"/>
  <c r="D1407" i="1"/>
  <c r="F1407" i="1"/>
  <c r="AB1407" i="1"/>
  <c r="D1408" i="1"/>
  <c r="F1408" i="1"/>
  <c r="AB1408" i="1"/>
  <c r="D1409" i="1"/>
  <c r="F1409" i="1"/>
  <c r="AB1409" i="1"/>
  <c r="D1410" i="1"/>
  <c r="F1410" i="1"/>
  <c r="D1411" i="1"/>
  <c r="F1411" i="1"/>
  <c r="D1412" i="1"/>
  <c r="D1413" i="1"/>
  <c r="D1414" i="1"/>
  <c r="F1414" i="1"/>
  <c r="AB1414" i="1"/>
  <c r="D1415" i="1"/>
  <c r="F1415" i="1"/>
  <c r="D1416" i="1"/>
  <c r="F1416" i="1"/>
  <c r="AB1416" i="1"/>
  <c r="D1417" i="1"/>
  <c r="D1418" i="1"/>
  <c r="F1418" i="1"/>
  <c r="AB1418" i="1"/>
  <c r="D1419" i="1"/>
  <c r="D1420" i="1"/>
  <c r="F1420" i="1"/>
  <c r="AB1420" i="1"/>
  <c r="D1421" i="1"/>
  <c r="D1422" i="1"/>
  <c r="D1423" i="1"/>
  <c r="F1423" i="1"/>
  <c r="AB1423" i="1"/>
  <c r="D1424" i="1"/>
  <c r="D1425" i="1"/>
  <c r="F1425" i="1"/>
  <c r="AB1425" i="1"/>
  <c r="D1426" i="1"/>
  <c r="F1426" i="1"/>
  <c r="AB1426" i="1"/>
  <c r="D1427" i="1"/>
  <c r="D1428" i="1"/>
  <c r="D1429" i="1"/>
  <c r="F1429" i="1"/>
  <c r="D1430" i="1"/>
  <c r="F1430" i="1"/>
  <c r="AB1430" i="1"/>
  <c r="D1431" i="1"/>
  <c r="F1431" i="1"/>
  <c r="AB1431" i="1"/>
  <c r="D1432" i="1"/>
  <c r="F1432" i="1"/>
  <c r="AB1432" i="1"/>
  <c r="D1433" i="1"/>
  <c r="F1433" i="1"/>
  <c r="AB1433" i="1"/>
  <c r="D1434" i="1"/>
  <c r="F1434" i="1"/>
  <c r="AB1434" i="1"/>
  <c r="D1435" i="1"/>
  <c r="F1435" i="1"/>
  <c r="AB1435" i="1"/>
  <c r="D1436" i="1"/>
  <c r="F1436" i="1"/>
  <c r="AB1436" i="1"/>
  <c r="D1437" i="1"/>
  <c r="F1437" i="1"/>
  <c r="AB1437" i="1"/>
  <c r="D1438" i="1"/>
  <c r="F1438" i="1"/>
  <c r="AB1438" i="1"/>
  <c r="D1439" i="1"/>
  <c r="F1439" i="1"/>
  <c r="AB1439" i="1"/>
  <c r="D1440" i="1"/>
  <c r="F1440" i="1"/>
  <c r="AB1440" i="1"/>
  <c r="D1441" i="1"/>
  <c r="F1441" i="1"/>
  <c r="AB1441" i="1"/>
  <c r="D1442" i="1"/>
  <c r="F1442" i="1"/>
  <c r="AB1442" i="1"/>
  <c r="D1443" i="1"/>
  <c r="F1443" i="1"/>
  <c r="AB1443" i="1"/>
  <c r="D1444" i="1"/>
  <c r="F1444" i="1"/>
  <c r="AB1444" i="1"/>
  <c r="D1445" i="1"/>
  <c r="F1445" i="1"/>
  <c r="AB1445" i="1"/>
  <c r="D1446" i="1"/>
  <c r="D1447" i="1"/>
  <c r="F1447" i="1"/>
  <c r="AB1447" i="1"/>
  <c r="D1448" i="1"/>
  <c r="F1448" i="1"/>
  <c r="AB1448" i="1"/>
  <c r="D1449" i="1"/>
  <c r="F1449" i="1"/>
  <c r="AB1449" i="1"/>
  <c r="D1450" i="1"/>
  <c r="F1450" i="1"/>
  <c r="AB1450" i="1"/>
  <c r="D1451" i="1"/>
  <c r="F1451" i="1"/>
  <c r="AB1451" i="1"/>
  <c r="D1452" i="1"/>
  <c r="F1452" i="1"/>
  <c r="AB1452" i="1"/>
  <c r="D1453" i="1"/>
  <c r="F1453" i="1"/>
  <c r="AB1453" i="1"/>
  <c r="D1454" i="1"/>
  <c r="F1454" i="1"/>
  <c r="AB1454" i="1"/>
  <c r="D1455" i="1"/>
  <c r="D1456" i="1"/>
  <c r="F1456" i="1"/>
  <c r="AB1456" i="1"/>
  <c r="D1457" i="1"/>
  <c r="D1458" i="1"/>
  <c r="D1459" i="1"/>
  <c r="D1460" i="1"/>
  <c r="D1461" i="1"/>
  <c r="F1461" i="1"/>
  <c r="AB1461" i="1"/>
  <c r="D1462" i="1"/>
  <c r="D1463" i="1"/>
  <c r="F1463" i="1"/>
  <c r="AB1463" i="1"/>
  <c r="D1464" i="1"/>
  <c r="F1464" i="1"/>
  <c r="AB1464" i="1"/>
  <c r="D1465" i="1"/>
  <c r="F1465" i="1"/>
  <c r="AB1465" i="1"/>
  <c r="D1466" i="1"/>
  <c r="D1467" i="1"/>
  <c r="F1467" i="1"/>
  <c r="AB1467" i="1"/>
  <c r="D1468" i="1"/>
  <c r="F1468" i="1"/>
  <c r="AB1468" i="1"/>
  <c r="D1469" i="1"/>
  <c r="F1469" i="1"/>
  <c r="AB1469" i="1"/>
  <c r="D1470" i="1"/>
  <c r="F1470" i="1"/>
  <c r="AB1470" i="1"/>
  <c r="D1471" i="1"/>
  <c r="F1471" i="1"/>
  <c r="D1472" i="1"/>
  <c r="F1472" i="1"/>
  <c r="D1473" i="1"/>
  <c r="F1473" i="1"/>
  <c r="D1474" i="1"/>
  <c r="F1474" i="1"/>
  <c r="D1475" i="1"/>
  <c r="D1476" i="1"/>
  <c r="F1476" i="1"/>
  <c r="AB1476" i="1"/>
  <c r="D1477" i="1"/>
  <c r="F1477" i="1"/>
  <c r="AB1477" i="1"/>
  <c r="D1478" i="1"/>
  <c r="F1478" i="1"/>
  <c r="AB1478" i="1"/>
  <c r="D1479" i="1"/>
  <c r="F1479" i="1"/>
  <c r="AB1479" i="1"/>
  <c r="D1480" i="1"/>
  <c r="F1480" i="1"/>
  <c r="AB1480" i="1"/>
  <c r="D1481" i="1"/>
  <c r="D1482" i="1"/>
  <c r="F1482" i="1"/>
  <c r="AB1482" i="1"/>
  <c r="D1483" i="1"/>
  <c r="F1483" i="1"/>
  <c r="AB1483" i="1"/>
  <c r="D1484" i="1"/>
  <c r="D1485" i="1"/>
  <c r="F1485" i="1"/>
  <c r="AB1485" i="1"/>
  <c r="D1486" i="1"/>
  <c r="F1486" i="1"/>
  <c r="AB1486" i="1"/>
  <c r="D1487" i="1"/>
  <c r="D1488" i="1"/>
  <c r="D1489" i="1"/>
  <c r="F1489" i="1"/>
  <c r="D1490" i="1"/>
  <c r="D1491" i="1"/>
  <c r="F1491" i="1"/>
  <c r="AB1491" i="1"/>
  <c r="D1492" i="1"/>
  <c r="D1493" i="1"/>
  <c r="F1493" i="1"/>
  <c r="AB1493" i="1"/>
  <c r="D1494" i="1"/>
  <c r="D1495" i="1"/>
  <c r="D1496" i="1"/>
  <c r="F1496" i="1"/>
  <c r="AB1496" i="1"/>
  <c r="D1497" i="1"/>
  <c r="F1497" i="1"/>
  <c r="AB1497" i="1"/>
  <c r="D1498" i="1"/>
  <c r="F1498" i="1"/>
  <c r="AB1498" i="1"/>
  <c r="D1499" i="1"/>
  <c r="D1500" i="1"/>
  <c r="D1501" i="1"/>
  <c r="D1502" i="1"/>
  <c r="F1502" i="1"/>
  <c r="D1503" i="1"/>
  <c r="D1504" i="1"/>
  <c r="F1504" i="1"/>
  <c r="AB1504" i="1"/>
  <c r="D1505" i="1"/>
  <c r="D1506" i="1"/>
  <c r="F1506" i="1"/>
  <c r="AB1506" i="1"/>
  <c r="D1507" i="1"/>
  <c r="F1507" i="1"/>
  <c r="AB1507" i="1"/>
  <c r="D1508" i="1"/>
  <c r="D1509" i="1"/>
  <c r="D1510" i="1"/>
  <c r="D1511" i="1"/>
  <c r="D1512" i="1"/>
  <c r="F1512" i="1"/>
  <c r="AB1512" i="1"/>
  <c r="D1513" i="1"/>
  <c r="F1513" i="1"/>
  <c r="AB1513" i="1"/>
  <c r="D1514" i="1"/>
  <c r="F1514" i="1"/>
  <c r="AB1514" i="1"/>
  <c r="D1515" i="1"/>
  <c r="D1516" i="1"/>
  <c r="F1516" i="1"/>
  <c r="AB1516" i="1"/>
  <c r="D1517" i="1"/>
  <c r="F1517" i="1"/>
  <c r="AB1517" i="1"/>
  <c r="D1518" i="1"/>
  <c r="F1518" i="1"/>
  <c r="AB1518" i="1"/>
  <c r="D1519" i="1"/>
  <c r="F1519" i="1"/>
  <c r="AB1519" i="1"/>
  <c r="D1520" i="1"/>
  <c r="F1520" i="1"/>
  <c r="AB1520" i="1"/>
  <c r="D1521" i="1"/>
  <c r="D1522" i="1"/>
  <c r="F1522" i="1"/>
  <c r="D1523" i="1"/>
  <c r="F1523" i="1"/>
  <c r="AB1523" i="1"/>
  <c r="D1524" i="1"/>
  <c r="F1524" i="1"/>
  <c r="AB1524" i="1"/>
  <c r="D1525" i="1"/>
  <c r="D1526" i="1"/>
  <c r="F1526" i="1"/>
  <c r="AB1526" i="1"/>
  <c r="D1527" i="1"/>
  <c r="F1527" i="1"/>
  <c r="D1528" i="1"/>
  <c r="D1529" i="1"/>
  <c r="F1529" i="1"/>
  <c r="AB1529" i="1"/>
  <c r="D1530" i="1"/>
  <c r="D1531" i="1"/>
  <c r="D1532" i="1"/>
  <c r="D1533" i="1"/>
  <c r="D1534" i="1"/>
  <c r="D1535" i="1"/>
  <c r="F1535" i="1"/>
  <c r="D1536" i="1"/>
  <c r="D1537" i="1"/>
  <c r="F1537" i="1"/>
  <c r="AB1537" i="1"/>
  <c r="D1538" i="1"/>
  <c r="D1539" i="1"/>
  <c r="F1539" i="1"/>
  <c r="AB1539" i="1"/>
  <c r="D1540" i="1"/>
  <c r="F1540" i="1"/>
  <c r="D1541" i="1"/>
  <c r="D1542" i="1"/>
  <c r="F1542" i="1"/>
  <c r="D1543" i="1"/>
  <c r="F1543" i="1"/>
  <c r="D1544" i="1"/>
  <c r="F1544" i="1"/>
  <c r="D1545" i="1"/>
  <c r="F1545" i="1"/>
  <c r="D1546" i="1"/>
  <c r="F1546" i="1"/>
  <c r="AB1546" i="1"/>
  <c r="D1547" i="1"/>
  <c r="F1547" i="1"/>
  <c r="AB1547" i="1"/>
  <c r="D1548" i="1"/>
  <c r="F1548" i="1"/>
  <c r="AB1548" i="1"/>
  <c r="D1549" i="1"/>
  <c r="F1549" i="1"/>
  <c r="AB1549" i="1"/>
  <c r="D1550" i="1"/>
  <c r="F1550" i="1"/>
  <c r="AB1550" i="1"/>
  <c r="D1551" i="1"/>
  <c r="F1551" i="1"/>
  <c r="D1552" i="1"/>
  <c r="F1552" i="1"/>
  <c r="AB1552" i="1"/>
  <c r="D1553" i="1"/>
  <c r="F1553" i="1"/>
  <c r="AB1553" i="1"/>
  <c r="D1554" i="1"/>
  <c r="D1555" i="1"/>
  <c r="F1555" i="1"/>
  <c r="AB1555" i="1"/>
  <c r="D1556" i="1"/>
  <c r="F1556" i="1"/>
  <c r="D1557" i="1"/>
  <c r="F1557" i="1"/>
  <c r="D1558" i="1"/>
  <c r="F1558" i="1"/>
  <c r="D1559" i="1"/>
  <c r="F1559" i="1"/>
  <c r="D1560" i="1"/>
  <c r="F1560" i="1"/>
  <c r="D1561" i="1"/>
  <c r="F1561" i="1"/>
  <c r="D1562" i="1"/>
  <c r="F1562" i="1"/>
  <c r="D1563" i="1"/>
  <c r="F1563" i="1"/>
  <c r="D1564" i="1"/>
  <c r="F1564" i="1"/>
  <c r="D1565" i="1"/>
  <c r="F1565" i="1"/>
  <c r="AB1565" i="1"/>
  <c r="D1566" i="1"/>
  <c r="F1566" i="1"/>
  <c r="AB1566" i="1"/>
  <c r="D1567" i="1"/>
  <c r="F1567" i="1"/>
  <c r="D1568" i="1"/>
  <c r="F1568" i="1"/>
  <c r="AB1568" i="1"/>
  <c r="D1569" i="1"/>
  <c r="F1569" i="1"/>
  <c r="D1570" i="1"/>
  <c r="F1570" i="1"/>
  <c r="D1571" i="1"/>
  <c r="F1571" i="1"/>
  <c r="D1572" i="1"/>
  <c r="F1572" i="1"/>
  <c r="D1573" i="1"/>
  <c r="F1573" i="1"/>
  <c r="D1574" i="1"/>
  <c r="F1574" i="1"/>
  <c r="D1575" i="1"/>
  <c r="F1575" i="1"/>
  <c r="D1576" i="1"/>
  <c r="F1576" i="1"/>
  <c r="D1577" i="1"/>
  <c r="D1578" i="1"/>
  <c r="F1578" i="1"/>
  <c r="D1579" i="1"/>
  <c r="F1579" i="1"/>
  <c r="D1580" i="1"/>
  <c r="F1580" i="1"/>
  <c r="D1581" i="1"/>
  <c r="F1581" i="1"/>
  <c r="AB1581" i="1"/>
  <c r="D1582" i="1"/>
  <c r="F1582" i="1"/>
  <c r="D1583" i="1"/>
  <c r="F1583" i="1"/>
  <c r="D1584" i="1"/>
  <c r="F1584" i="1"/>
  <c r="AB1584" i="1"/>
  <c r="D1585" i="1"/>
  <c r="F1585" i="1"/>
  <c r="D1586" i="1"/>
  <c r="F1586" i="1"/>
  <c r="D1587" i="1"/>
  <c r="F1587" i="1"/>
  <c r="D1588" i="1"/>
  <c r="F1588" i="1"/>
  <c r="D1589" i="1"/>
  <c r="F1589" i="1"/>
  <c r="D1590" i="1"/>
  <c r="F1590" i="1"/>
  <c r="D1591" i="1"/>
  <c r="F1591" i="1"/>
  <c r="D1592" i="1"/>
  <c r="F1592" i="1"/>
  <c r="D1593" i="1"/>
  <c r="F1593" i="1"/>
  <c r="AB1593" i="1"/>
  <c r="D1594" i="1"/>
  <c r="F1594" i="1"/>
  <c r="D1595" i="1"/>
  <c r="F1595" i="1"/>
  <c r="D1596" i="1"/>
  <c r="F1596" i="1"/>
  <c r="D1597" i="1"/>
  <c r="F1597" i="1"/>
  <c r="D1598" i="1"/>
  <c r="F1598" i="1"/>
  <c r="AB1598" i="1"/>
  <c r="D1599" i="1"/>
  <c r="F1599" i="1"/>
  <c r="D1600" i="1"/>
  <c r="F1600" i="1"/>
  <c r="AB1600" i="1"/>
  <c r="D1601" i="1"/>
  <c r="F1601" i="1"/>
  <c r="AB1601" i="1"/>
  <c r="D1602" i="1"/>
  <c r="F1602" i="1"/>
  <c r="AB1602" i="1"/>
  <c r="D1603" i="1"/>
  <c r="F1603" i="1"/>
  <c r="AB1603" i="1"/>
  <c r="D1604" i="1"/>
  <c r="F1604" i="1"/>
  <c r="D1605" i="1"/>
  <c r="F1605" i="1"/>
  <c r="D1606" i="1"/>
  <c r="F1606" i="1"/>
  <c r="D1607" i="1"/>
  <c r="F1607" i="1"/>
  <c r="D1608" i="1"/>
  <c r="F1608" i="1"/>
  <c r="D1609" i="1"/>
  <c r="F1609" i="1"/>
  <c r="D1610" i="1"/>
  <c r="F1610" i="1"/>
  <c r="D1611" i="1"/>
  <c r="F1611" i="1"/>
  <c r="AB1611" i="1"/>
  <c r="D1612" i="1"/>
  <c r="F1612" i="1"/>
  <c r="D1613" i="1"/>
  <c r="F1613" i="1"/>
  <c r="AB1613" i="1"/>
  <c r="D1614" i="1"/>
  <c r="F1614" i="1"/>
  <c r="AB1614" i="1"/>
  <c r="D1615" i="1"/>
  <c r="F1615" i="1"/>
  <c r="AB1615" i="1"/>
  <c r="D1616" i="1"/>
  <c r="F1616" i="1"/>
  <c r="D1617" i="1"/>
  <c r="F1617" i="1"/>
  <c r="D1618" i="1"/>
  <c r="F1618" i="1"/>
  <c r="AB1618" i="1"/>
  <c r="D1619" i="1"/>
  <c r="F1619" i="1"/>
  <c r="D1620" i="1"/>
  <c r="F1620" i="1"/>
  <c r="D1621" i="1"/>
  <c r="F1621" i="1"/>
  <c r="AB1621" i="1"/>
  <c r="D1622" i="1"/>
  <c r="D1623" i="1"/>
  <c r="F1623" i="1"/>
  <c r="AB1623" i="1"/>
  <c r="D1624" i="1"/>
  <c r="F1624" i="1"/>
  <c r="AB1624" i="1"/>
  <c r="D1625" i="1"/>
  <c r="F1625" i="1"/>
  <c r="AB1625" i="1"/>
  <c r="D1626" i="1"/>
  <c r="F1626" i="1"/>
  <c r="AB1626" i="1"/>
  <c r="D1627" i="1"/>
  <c r="F1627" i="1"/>
  <c r="AB1627" i="1"/>
  <c r="D1628" i="1"/>
  <c r="F1628" i="1"/>
  <c r="AB1628" i="1"/>
  <c r="D1629" i="1"/>
  <c r="F1629" i="1"/>
  <c r="AB1629" i="1"/>
  <c r="D1630" i="1"/>
  <c r="F1630" i="1"/>
  <c r="D1631" i="1"/>
  <c r="F1631" i="1"/>
  <c r="D1632" i="1"/>
  <c r="F1632" i="1"/>
  <c r="AB1632" i="1"/>
  <c r="D1633" i="1"/>
  <c r="F1633" i="1"/>
  <c r="AB1633" i="1"/>
  <c r="D1634" i="1"/>
  <c r="F1634" i="1"/>
  <c r="D1635" i="1"/>
  <c r="F1635" i="1"/>
  <c r="D1636" i="1"/>
  <c r="F1636" i="1"/>
  <c r="AB1636" i="1"/>
  <c r="D1637" i="1"/>
  <c r="F1637" i="1"/>
  <c r="D1638" i="1"/>
  <c r="F1638" i="1"/>
  <c r="D1639" i="1"/>
  <c r="F1639" i="1"/>
  <c r="D1640" i="1"/>
  <c r="F1640" i="1"/>
  <c r="AB1640" i="1"/>
  <c r="D1641" i="1"/>
  <c r="F1641" i="1"/>
  <c r="D1642" i="1"/>
  <c r="F1642" i="1"/>
  <c r="D1643" i="1"/>
  <c r="F1643" i="1"/>
  <c r="D1644" i="1"/>
  <c r="D1645" i="1"/>
  <c r="F1645" i="1"/>
  <c r="D1646" i="1"/>
  <c r="F1646" i="1"/>
  <c r="D1647" i="1"/>
  <c r="F1647" i="1"/>
  <c r="D1648" i="1"/>
  <c r="F1648" i="1"/>
  <c r="AB1648" i="1"/>
  <c r="D1649" i="1"/>
  <c r="F1649" i="1"/>
  <c r="D1650" i="1"/>
  <c r="F1650" i="1"/>
  <c r="D1651" i="1"/>
  <c r="D1652" i="1"/>
  <c r="F1652" i="1"/>
  <c r="D1653" i="1"/>
  <c r="F1653" i="1"/>
  <c r="D1654" i="1"/>
  <c r="F1654" i="1"/>
  <c r="D1655" i="1"/>
  <c r="F1655" i="1"/>
  <c r="AB1655" i="1"/>
  <c r="D1656" i="1"/>
  <c r="F1656" i="1"/>
  <c r="AB1656" i="1"/>
  <c r="D1657" i="1"/>
  <c r="F1657" i="1"/>
  <c r="AB1657" i="1"/>
  <c r="D1658" i="1"/>
  <c r="F1658" i="1"/>
  <c r="D1659" i="1"/>
  <c r="F1659" i="1"/>
  <c r="D1660" i="1"/>
  <c r="F1660" i="1"/>
  <c r="D1661" i="1"/>
  <c r="F1661" i="1"/>
  <c r="D1662" i="1"/>
  <c r="F1662" i="1"/>
  <c r="D1663" i="1"/>
  <c r="F1663" i="1"/>
  <c r="D1664" i="1"/>
  <c r="F1664" i="1"/>
  <c r="D1665" i="1"/>
  <c r="F1665" i="1"/>
  <c r="AB1665" i="1"/>
  <c r="D1666" i="1"/>
  <c r="D1667" i="1"/>
  <c r="F1667" i="1"/>
  <c r="AB1667" i="1"/>
  <c r="D1668" i="1"/>
  <c r="F1668" i="1"/>
  <c r="D1669" i="1"/>
  <c r="D1670" i="1"/>
  <c r="F1670" i="1"/>
  <c r="AB1670" i="1"/>
  <c r="D1671" i="1"/>
  <c r="F1671" i="1"/>
  <c r="D1672" i="1"/>
  <c r="F1672" i="1"/>
  <c r="AB1672" i="1"/>
  <c r="D1673" i="1"/>
  <c r="F1673" i="1"/>
  <c r="D1674" i="1"/>
  <c r="F1674" i="1"/>
  <c r="D1675" i="1"/>
  <c r="F1675" i="1"/>
  <c r="AB1675" i="1"/>
  <c r="D1676" i="1"/>
  <c r="F1676" i="1"/>
  <c r="D1677" i="1"/>
  <c r="F1677" i="1"/>
  <c r="D1678" i="1"/>
  <c r="F1678" i="1"/>
  <c r="D1679" i="1"/>
  <c r="F1679" i="1"/>
  <c r="D1680" i="1"/>
  <c r="F1680" i="1"/>
  <c r="D1681" i="1"/>
  <c r="F1681" i="1"/>
  <c r="D1682" i="1"/>
  <c r="F1682" i="1"/>
  <c r="AB1682" i="1"/>
  <c r="D1683" i="1"/>
  <c r="F1683" i="1"/>
  <c r="D1684" i="1"/>
  <c r="F1684" i="1"/>
  <c r="D1685" i="1"/>
  <c r="F1685" i="1"/>
  <c r="D1686" i="1"/>
  <c r="D1687" i="1"/>
  <c r="F1687" i="1"/>
  <c r="AB1687" i="1"/>
  <c r="D1688" i="1"/>
  <c r="F1688" i="1"/>
  <c r="AB1688" i="1"/>
  <c r="D1689" i="1"/>
  <c r="F1689" i="1"/>
  <c r="D1690" i="1"/>
  <c r="F1690" i="1"/>
  <c r="AB1690" i="1"/>
  <c r="D1691" i="1"/>
  <c r="F1691" i="1"/>
  <c r="AB1691" i="1"/>
  <c r="D1692" i="1"/>
  <c r="F1692" i="1"/>
  <c r="D1693" i="1"/>
  <c r="F1693" i="1"/>
  <c r="AB1693" i="1"/>
  <c r="D1694" i="1"/>
  <c r="D1695" i="1"/>
  <c r="F1695" i="1"/>
  <c r="AB1695" i="1"/>
  <c r="D1696" i="1"/>
  <c r="F1696" i="1"/>
  <c r="AB1696" i="1"/>
  <c r="D1697" i="1"/>
  <c r="D1698" i="1"/>
  <c r="F1698" i="1"/>
  <c r="AB1698" i="1"/>
  <c r="D1699" i="1"/>
  <c r="F1699" i="1"/>
  <c r="AB1699" i="1"/>
  <c r="D1700" i="1"/>
  <c r="D1701" i="1"/>
  <c r="D1702" i="1"/>
  <c r="D1703" i="1"/>
  <c r="D1704" i="1"/>
  <c r="D1705" i="1"/>
  <c r="F1705" i="1"/>
  <c r="AB1705" i="1"/>
  <c r="D1706" i="1"/>
  <c r="D1707" i="1"/>
  <c r="D1708" i="1"/>
  <c r="F1708" i="1"/>
  <c r="AB1708" i="1"/>
  <c r="D1709" i="1"/>
  <c r="F1709" i="1"/>
  <c r="AB1709" i="1"/>
  <c r="D1710" i="1"/>
  <c r="F1710" i="1"/>
  <c r="D714" i="1"/>
  <c r="F714" i="1"/>
  <c r="D1720" i="1"/>
  <c r="D1721" i="1"/>
  <c r="D1019" i="1"/>
  <c r="F1019" i="1"/>
  <c r="D1028" i="1"/>
  <c r="F1028" i="1"/>
  <c r="D1020" i="1"/>
  <c r="F1020" i="1"/>
  <c r="D997" i="1"/>
  <c r="F997" i="1"/>
  <c r="AB997" i="1"/>
  <c r="D713" i="1"/>
  <c r="F713" i="1"/>
  <c r="D986" i="1"/>
  <c r="F986" i="1"/>
  <c r="AB986" i="1"/>
  <c r="D707" i="1"/>
  <c r="F707" i="1"/>
  <c r="D985" i="1"/>
  <c r="F985" i="1"/>
  <c r="AB985" i="1"/>
  <c r="D1722" i="1"/>
  <c r="D1723" i="1"/>
</calcChain>
</file>

<file path=xl/sharedStrings.xml><?xml version="1.0" encoding="utf-8"?>
<sst xmlns="http://schemas.openxmlformats.org/spreadsheetml/2006/main" count="20733" uniqueCount="5267">
  <si>
    <t>Sl. No</t>
  </si>
  <si>
    <t>Site Id</t>
  </si>
  <si>
    <t>Site Name</t>
  </si>
  <si>
    <t>Candidate Id</t>
  </si>
  <si>
    <t>Candidate Name</t>
  </si>
  <si>
    <t>Territorial
Authority</t>
  </si>
  <si>
    <t>Team</t>
  </si>
  <si>
    <t>Tier
Identifier</t>
  </si>
  <si>
    <t>Candidate
Status</t>
  </si>
  <si>
    <t>Property
Type</t>
  </si>
  <si>
    <t>Site
Type</t>
  </si>
  <si>
    <t>Structure
Type</t>
  </si>
  <si>
    <t>Cabinet
Colour</t>
  </si>
  <si>
    <t>Cabinet Layout</t>
  </si>
  <si>
    <t>Co Status</t>
  </si>
  <si>
    <t>Antenna Height
(Top of panel)</t>
  </si>
  <si>
    <t>Structure Height
(Top of
 lightning spike)</t>
  </si>
  <si>
    <t>RF
Rank</t>
  </si>
  <si>
    <t>Latitude</t>
  </si>
  <si>
    <t>Longitude</t>
  </si>
  <si>
    <t>Target
Date
RF Issue
Search Brief</t>
  </si>
  <si>
    <t>Date
RF Issue
Search Brief</t>
  </si>
  <si>
    <t>Target
Date
TX Plan
Issued</t>
  </si>
  <si>
    <t>Date
TX Plan
Issued</t>
  </si>
  <si>
    <t>Link
Types</t>
  </si>
  <si>
    <t>Links To</t>
  </si>
  <si>
    <t>Site Search
Instruction
Pack
Issued</t>
  </si>
  <si>
    <t>Initial
Council
Presentation
Complete</t>
  </si>
  <si>
    <t>Target
Date
Site Search
Complete</t>
  </si>
  <si>
    <t>Date
Site Search
Complete</t>
  </si>
  <si>
    <t>Acquisition
arranged access
to candidates</t>
  </si>
  <si>
    <t>TX
Confirmed
LOS</t>
  </si>
  <si>
    <t>Target
Date Of
Caravan</t>
  </si>
  <si>
    <t>Date Of
Caravan</t>
  </si>
  <si>
    <t>Target
Date
Work Order 1
Issued</t>
  </si>
  <si>
    <t>Date
Work Order 1
Issued</t>
  </si>
  <si>
    <t>Target
Date Planning
Drawing
Rev1 Issued</t>
  </si>
  <si>
    <t>Date Planning
Drawing
Rev1 Issued</t>
  </si>
  <si>
    <t>PD
Version</t>
  </si>
  <si>
    <t>Target
Date Planning
Drawing Complete</t>
  </si>
  <si>
    <t>Date Planning
Drawing Complete</t>
  </si>
  <si>
    <t>Target
Date Lease
Terms Agreed</t>
  </si>
  <si>
    <t>Date Lease
Terms Agreed</t>
  </si>
  <si>
    <t>Target
Date Lease
Executed</t>
  </si>
  <si>
    <t>Date Lease
Executed</t>
  </si>
  <si>
    <t>PD Version
Used for Lease</t>
  </si>
  <si>
    <t>Target
Date All
Site Acquisition
Complete</t>
  </si>
  <si>
    <t>Date All
Site Acquisition
Complete</t>
  </si>
  <si>
    <t>RMA Activity Status</t>
  </si>
  <si>
    <t>Target
Date
RMA
Lodged</t>
  </si>
  <si>
    <t>Date
RMA
Lodged</t>
  </si>
  <si>
    <t>Target
Date
RMA
Approved</t>
  </si>
  <si>
    <t>Date
RMA
Approved</t>
  </si>
  <si>
    <t>PD Version
Used for TP</t>
  </si>
  <si>
    <t>Target
Date All
Town Planning
Complete</t>
  </si>
  <si>
    <t>Date All
Town Planning
Complete</t>
  </si>
  <si>
    <t>Target
Date
Construction
Drawing
Instruction Issued</t>
  </si>
  <si>
    <t>Date
Construction
Drawing
Instruction Issued</t>
  </si>
  <si>
    <t>Target
Date
Construction
Drawing
Rev1 Issued</t>
  </si>
  <si>
    <t>Date
Construction
Drawing
Rev1 Issued</t>
  </si>
  <si>
    <t>CD Version</t>
  </si>
  <si>
    <t>PD Version used for CD</t>
  </si>
  <si>
    <t>Target
Date
Construction Drawing
Complete</t>
  </si>
  <si>
    <t>Date
Construction Drawing
Complete</t>
  </si>
  <si>
    <t>Date Pole
Available</t>
  </si>
  <si>
    <t>Target
Date PM
Approve CDs</t>
  </si>
  <si>
    <t>Date PM
Approve CDs</t>
  </si>
  <si>
    <t>Date
TCF Letter
Sent</t>
  </si>
  <si>
    <t>Date All Build
Approvals Obtained</t>
  </si>
  <si>
    <t>Target
Civil Works
Start Date</t>
  </si>
  <si>
    <t>Civil Works
Start Date</t>
  </si>
  <si>
    <t>Target
Date Civil
Construction
Complete</t>
  </si>
  <si>
    <t>Date Civil
Construction
Complete</t>
  </si>
  <si>
    <t>Date
Equipment
Delivered
to Site</t>
  </si>
  <si>
    <t>Target
Date TI
Complete</t>
  </si>
  <si>
    <t>Date TI
Complete</t>
  </si>
  <si>
    <t>Target
Date Transmission
- Backhaul RFS</t>
  </si>
  <si>
    <t>Date Transmission
- Backhaul RFS</t>
  </si>
  <si>
    <t>Target
Date All
TX Licenses
Obtained</t>
  </si>
  <si>
    <t>Date All
TX Licenses
Obtained</t>
  </si>
  <si>
    <t>Target
Date All
RF Licenses
Obtained</t>
  </si>
  <si>
    <t>Date All
RF Licenses
Obtained</t>
  </si>
  <si>
    <t>Target
Date
Final
TX&amp;RF Spec</t>
  </si>
  <si>
    <t>Date
Final
TX&amp;RF Spec</t>
  </si>
  <si>
    <t>Date
Integration
Complete</t>
  </si>
  <si>
    <t>Target
Date
Site On Air
Complete</t>
  </si>
  <si>
    <t>Date
Site On Air
Complete</t>
  </si>
  <si>
    <t>Target
Date PAC
Signed</t>
  </si>
  <si>
    <t>Date PAC
Signed</t>
  </si>
  <si>
    <t>Target
Date FAC
Signed</t>
  </si>
  <si>
    <t>Date FAC
Signed</t>
  </si>
  <si>
    <t>Project Management Comments</t>
  </si>
  <si>
    <t>Co-operator</t>
  </si>
  <si>
    <t>Target Date Integration Complete</t>
  </si>
  <si>
    <t>Target
[MS12]
BOQ - Ordered</t>
  </si>
  <si>
    <t>[MS12]
BOQ - Ordered</t>
  </si>
  <si>
    <t>Target
[MS16]
BOQ -
At RDP and Complete</t>
  </si>
  <si>
    <t>[MS16]
BOQ -
At RDP and Complete</t>
  </si>
  <si>
    <t>Target
[MS17]
Date Steelwork - At RDP and Complete</t>
  </si>
  <si>
    <t>[MS17]
Date Steelwork - At RDP and Complete</t>
  </si>
  <si>
    <t>Target
[MS23]
AC - Power ON</t>
  </si>
  <si>
    <t>[MS23]
AC - Power ON</t>
  </si>
  <si>
    <t>Target
Date
Integrated with Volume 4</t>
  </si>
  <si>
    <t>Date
Integrated with Volume 4</t>
  </si>
  <si>
    <t>Date SSLU Analysis Completed</t>
  </si>
  <si>
    <t>SSLU Risk</t>
  </si>
  <si>
    <t>Cluster</t>
  </si>
  <si>
    <t>Target
Date Fiber
Delivered
to Site</t>
  </si>
  <si>
    <t>Date Fiber
Delivered
to Site</t>
  </si>
  <si>
    <t>Build Status</t>
  </si>
  <si>
    <t>Target Date
Equipment
Delivered
to Site</t>
  </si>
  <si>
    <t>TCF Letter Required</t>
  </si>
  <si>
    <t>Target Date
TCF Letter
Sent</t>
  </si>
  <si>
    <t>Easting</t>
  </si>
  <si>
    <t>Northing</t>
  </si>
  <si>
    <t>Physical Address</t>
  </si>
  <si>
    <t>Acquisition
comments</t>
  </si>
  <si>
    <t>Town planning
comments</t>
  </si>
  <si>
    <t>Network
type</t>
  </si>
  <si>
    <t>Financial
status</t>
  </si>
  <si>
    <t>Date
L700 On Air</t>
  </si>
  <si>
    <t>Date
L1800 On Air</t>
  </si>
  <si>
    <t>Programme</t>
  </si>
  <si>
    <t>Decommission date</t>
  </si>
  <si>
    <t>Date Pole Ordered</t>
  </si>
  <si>
    <t>Date Equipment Ordered</t>
  </si>
  <si>
    <t>Target
Date Tender Instruction</t>
  </si>
  <si>
    <t>Date Tender Instruction</t>
  </si>
  <si>
    <t>Target
Date Fibre
Feasibility Requested</t>
  </si>
  <si>
    <t>Date Fibre
Feasibility Requested</t>
  </si>
  <si>
    <t>Target
Date New
Connect Order Placed</t>
  </si>
  <si>
    <t>Date New
Connect Order Placed</t>
  </si>
  <si>
    <t>Target
Date PO6
Issued</t>
  </si>
  <si>
    <t>Date PO6
Issued</t>
  </si>
  <si>
    <t>Target
[MS30]
PAC/PAD -
Submitted TO 2 DEG</t>
  </si>
  <si>
    <t>[MS30]
PAC/PAD -
Submitted TO 2 DEG</t>
  </si>
  <si>
    <t>Date Planning Drawing
Instruction Issued</t>
  </si>
  <si>
    <t>Woodhill</t>
  </si>
  <si>
    <t>Rodney District</t>
  </si>
  <si>
    <t>TIER_1_ALL</t>
  </si>
  <si>
    <t>Kumeu</t>
  </si>
  <si>
    <t>ACTIVE</t>
  </si>
  <si>
    <t>COLO</t>
  </si>
  <si>
    <t>A</t>
  </si>
  <si>
    <t>grey</t>
  </si>
  <si>
    <t>Fibre Optic</t>
  </si>
  <si>
    <t>Site rental negotiation updated. Co-lo application form needs to be submitted by AP. MB to submit project plan then will get licence._x000D_
Awating confirmation from Telecom if LL is delivered. (JL 27/4)</t>
  </si>
  <si>
    <t>SH2_x000D_
Kumeu_x000D_
Auckland</t>
  </si>
  <si>
    <t>CELLSITE</t>
  </si>
  <si>
    <t xml:space="preserve">Riverhead </t>
  </si>
  <si>
    <t>GF</t>
  </si>
  <si>
    <t>P7</t>
  </si>
  <si>
    <t>Leased Line</t>
  </si>
  <si>
    <t xml:space="preserve">On Air_x000D_
Riverhead Township link. REQUIRE 300mmØ_x000D_
</t>
  </si>
  <si>
    <t>43 Mill Flat Rd,_x000D_
Riverhead</t>
  </si>
  <si>
    <t>Redvale</t>
  </si>
  <si>
    <t>P3</t>
  </si>
  <si>
    <t>On Air</t>
  </si>
  <si>
    <t>1370 East Coast Bay Rd,_x000D_
Redvale,_x000D_
Auckland</t>
  </si>
  <si>
    <t>Muriwai</t>
  </si>
  <si>
    <t>Ab</t>
  </si>
  <si>
    <t>CO-SITES APPROVED. New access track installed. Pole modified for larger headframe. Iwi wants to approve agreement. Early Access granted. Iwi meeting Tuesday 8/9 &amp; Mana confirmed they're ok with our site. Delays with power as SFA required from VF &amp; TNZ for power supply sharing. LL once power on. VF approval for SFA received, and TNZ now too. SFA to be completed for power share/connection.</t>
  </si>
  <si>
    <t>Grass Track Rd_x000D_
Muriwai</t>
  </si>
  <si>
    <t>Waimauku</t>
  </si>
  <si>
    <t>Waimauku Greenfield</t>
  </si>
  <si>
    <t>TIER_4</t>
  </si>
  <si>
    <t>DF</t>
  </si>
  <si>
    <t>T2 20 RH</t>
  </si>
  <si>
    <t>Grey</t>
  </si>
  <si>
    <t>STACK_A</t>
  </si>
  <si>
    <t>COSITE</t>
  </si>
  <si>
    <t>Microwave</t>
  </si>
  <si>
    <t>PERMITTED</t>
  </si>
  <si>
    <t>25/05/15 - Co site application lodged with Spark_x000D_
11/06/15 - Co-site approval from Spark_x000D_
22/09/15 - GHD wanted additional excavations. Steve to advise when CR required for Muriwai for link install 17 -30 Oct_x000D_
19/10/15 - CR47637 for Muriwai access 16-06 Nov.  CR 47633 integration to 6/11_x000D_
10/11/15 - 24hr BER test deliver 12/11 and go to air that night hopefully_x000D_
12/11/15 - BER started late and will not finish in time to go to air</t>
  </si>
  <si>
    <t>BUILD</t>
  </si>
  <si>
    <t>Waimauku Greenfield_x000D_
Pollard Lane_x000D_
Waimauku_x000D_
Auckland</t>
  </si>
  <si>
    <t>Pollard Lane_x000D_
Waimauku  - 07/05/2015</t>
  </si>
  <si>
    <t>Now permitted activity as mast was kept under height  - 27/05/2015</t>
  </si>
  <si>
    <t>ROAMING</t>
  </si>
  <si>
    <t>Red Beach</t>
  </si>
  <si>
    <t>TIER_3</t>
  </si>
  <si>
    <t>RT</t>
  </si>
  <si>
    <t>INLINE</t>
  </si>
  <si>
    <t>DISCRETIONARY_FULL</t>
  </si>
  <si>
    <t>OREWA</t>
  </si>
  <si>
    <t>Thai'ed Up Building _x000D_
178 Hibiscus Coast Highway_x000D_
Red Beach</t>
  </si>
  <si>
    <t>Approved by council on 5.9.12 with rev 1 plans.   - 05/09/2012_x000D_
Retrospective application Council Ref: LAN-59712  - 05/02/2013</t>
  </si>
  <si>
    <t>Whangaparaoa</t>
  </si>
  <si>
    <t>Whangaparaoa LPR</t>
  </si>
  <si>
    <t>RSR</t>
  </si>
  <si>
    <t>DU</t>
  </si>
  <si>
    <t>P4C</t>
  </si>
  <si>
    <t>STANDALONE</t>
  </si>
  <si>
    <t>NES</t>
  </si>
  <si>
    <t>TIER_1_INFILL</t>
  </si>
  <si>
    <t>142 Stanmore Bay Road_x000D_
Whangaparaoa</t>
  </si>
  <si>
    <t>TIER_9</t>
  </si>
  <si>
    <t>Gulf Harbour</t>
  </si>
  <si>
    <t>CONTROLLED</t>
  </si>
  <si>
    <t>No letters required. TNZ has leased whole clock tower. co locataion application is in._x000D_
9 Nov 2012 TNZ prelim approval received._x000D_
27/11/2012 Golf Club board meeting is on 04/12/12. Colocation is on agenda. Require their approval._x000D_
14.01.2013 Chairman says agreed, now await their documentation._x000D_
24.01.2013 Club have come back sayiong they will give approval on condition we pay annual rental - this is being dsicussed with TNZ and Site Aqu dept._x000D_
26/02/13 - CD's urgently required - due 01 March</t>
  </si>
  <si>
    <t>Gulf Harbour Country Club_x000D_
Gulf Harbour Road_x000D_
Gulf Harbour_x000D_
Whangaparaoa</t>
  </si>
  <si>
    <t>Omaha</t>
  </si>
  <si>
    <t>Omaha - Hubbard Farm GF</t>
  </si>
  <si>
    <t>NON_COMPLYING_FULL</t>
  </si>
  <si>
    <t>04/11/15 - Fibre date advised as 10 Dec - trying to improve on.  Power transformer being data logged. Easement issues should be resolved with docs exchanged with Vector_x000D_
7/12/15 - Vol4 received and in circulation</t>
  </si>
  <si>
    <t>TNZ</t>
  </si>
  <si>
    <t>MEDIUM</t>
  </si>
  <si>
    <t>Hubbard Farm_x000D_
Takatu Road_x000D_
Omaha</t>
  </si>
  <si>
    <t>Leigh</t>
  </si>
  <si>
    <t>Leigh - 242 Rodney Road GF</t>
  </si>
  <si>
    <t>19/10/15 - CD's issued, pricing expected 20/10_x000D_
04/11/15 - Construction started.  - on air date dependent on Omaha Fibre (trying to improve on 10 Dec delivery)_x000D_
30/11/15 - Pole up 1 Dec, Link in 3 Dec, BER and comp by 9 Dec_x000D_
2/12/15 - Power co unable to install HV transformer until new year!!!  20 day notice required to residents, which they did not do in time_x000D_
7/12/15 - Vector agreed to allow TX to be put in 17 Dec (21 backup). Connection form lodged.  Integrate on Generator.</t>
  </si>
  <si>
    <t>AUCKLAND_WHANGAREI</t>
  </si>
  <si>
    <t>242 Rodney Road_x000D_
Leigh</t>
  </si>
  <si>
    <t>May prove to be non-complying depending on final interpretation of Council  - 01/09/2015</t>
  </si>
  <si>
    <t>Kraacks Hill</t>
  </si>
  <si>
    <t>Kraaks Hill  Greenfield Matariki</t>
  </si>
  <si>
    <t>T2 20 RF</t>
  </si>
  <si>
    <t>Microwave, Microwave</t>
  </si>
  <si>
    <t>AKL-004-017-D, AKL-004-014-B</t>
  </si>
  <si>
    <t>20/10/15 - Link in this week. Still need power_x000D_
04/11/15 - Desperately trying to get easement issues resolved Vector/ Matariki_x000D_
10/11/15 - signed docs with Vector. Pressing for power _x000D_
30/11/15 - Transformer upgraded, Vector to connect power (trying for 4 Dec)_x000D_
07/11/15 -  Power likely 08 Dec, 24hr BER wed, Vol4 final Thurs/Frid. Try for rapid sign-off for SOA Monday</t>
  </si>
  <si>
    <t>Grimmer Road_x000D_
SH1, Kraaks Hill_x000D_
Dome Forest</t>
  </si>
  <si>
    <t>lodged with council on the 27.11.12  - 27/11/2012</t>
  </si>
  <si>
    <t>Warkworth</t>
  </si>
  <si>
    <t>Warkworth GF Cosite</t>
  </si>
  <si>
    <t>T2 15 RFH</t>
  </si>
  <si>
    <t>25/08/15 - Pile Cap poured. Cabinet base next week. Power Transformer upgrade required. Integrate week 7 Sept (CR Lodged)_x000D_
08/09/15 - Tower delivery Friday morning - some concerns on getting it onto site. Power transformer to be upgraded still. Shift Integration to 21-25 Sept.  MUST get to air SEPT_x000D_
16/09/15 - Look to integrate on generator.  Power not being provided until 15 Oct. Liven site week 19 Oct_x000D_
02/10/15 - Vol4 completed. Need power for Vol4 approval_x000D_
22/10/15 - Power on , SR signed off, Site to air</t>
  </si>
  <si>
    <t>20 View Roadf_x000D_
Watercare Property_x000D_
Warkworth</t>
  </si>
  <si>
    <t>Snells Beach</t>
  </si>
  <si>
    <t>Snells Beach VF Colo</t>
  </si>
  <si>
    <t>04/08/15 - Lodged for Final and Build Approval with VF_x000D_
06/08/15 - Final approval received. Build approval in process.  PO issued and Skcomms have steelwork underway_x000D_
07/09/15 - VF require updated CD's to reflect better ladder design for pole and also painting requirements_x000D_
30/09/15 - VF Approval to build issued_x000D_
20/10/15 - Cabs in next Wed, waiting power connection.  Ringframe this week._x000D_
4/11/15 - Build completed - awaiting Fibre.  Chorus requested to deliver_x000D_
24/11/14 - Chorus Fibre now scheduled for 27 Nov_x000D_
7/12/15 - Vol 4 rec 4/12</t>
  </si>
  <si>
    <t>VNZ</t>
  </si>
  <si>
    <t>James Street_x000D_
Snells Beach</t>
  </si>
  <si>
    <t>Status for CO-lo: Discretionary activity, anything in zone is. -AT. Zoned residential L (low intensity)   - 04/09/2012</t>
  </si>
  <si>
    <t>Wellsford</t>
  </si>
  <si>
    <t>Wellsford GF</t>
  </si>
  <si>
    <t>Huawei Build PO 35468_x000D_
13/05/15 - Access track to be re-positioned due to access steepness. Ralph on site and agreed new position. Works started on site_x000D_
04/06/15 - Power trench and cable in. Fibre onto site.  Pile in. 15/6 restart on site with Pile Cap / cabinet foundations, pole 29/6, Integrate 6 July_x000D_
29/06/15 - Duco advise pole delayed till 10 July - all dates delayed_x000D_
07/07/17 - Duco pole delayed to 17 July !!!_x000D_
24/07/15 - pole up, integration planned for 30/31 July_x000D_
03/08/15 - Site Integrated with Vol 4</t>
  </si>
  <si>
    <t>Cnr of Worthington and Matheson Rd_x000D_
Adjacent to Watercare tanks_x000D_
Wellsford</t>
  </si>
  <si>
    <t>Waiwera</t>
  </si>
  <si>
    <t xml:space="preserve">Waiwera </t>
  </si>
  <si>
    <t>Brad to contact LL. LL is aware of the value of his site. May request high rental. If this site fails we may have to do 2 other sites wiawera town / Puhoi and Hatfield._x000D_
29 Feb. Site visit. VNZ co lo out of the question - low and loaded. Team Talk have approached LL for a site between VNZ and Kordia. We would also want to be between the two._x000D_
Site changed to HARD MATCH ONLY 5 Oct 2012_x000D_
12 OCT - Back into build program_x000D_
Letters not required_x000D_
17.10.2012 Back on build program. WO2 due 15 Nov 2012_x000D_
24.01.2013 Downers to build. Landlord has requested that work be correlated with Team Talk BUILD PROGRAMM, ALL WORK TO BE COMPLETE END FEB._x000D_
05.02.2013 Await Team Talk commencement. Downer to update SB._x000D_
15/04/13 Team Talk commenced. Mr Heaton wants tar seal fixed and resealed even if we dont damage. TT have alleady had trucks up there and damaged concrete. TT will give 10k towards road repair. Mr Heatons contractor gave quote to fix tar = 50K. We cant bear all costs. TT threatening to take Mr Heaton to court re lack of access. 2degrees to step back and wait for all this road issues to clear.</t>
  </si>
  <si>
    <t>HARDMATCH</t>
  </si>
  <si>
    <t>Jervis Road</t>
  </si>
  <si>
    <t>LEASE TERMINATED  - 27/05/2014</t>
  </si>
  <si>
    <t>Lodged at council with Andrew Gusberts on the 6.11.2012   - 08/11/2012</t>
  </si>
  <si>
    <t>WIPHOLDING</t>
  </si>
  <si>
    <t>Orewa Bypass</t>
  </si>
  <si>
    <t>P1</t>
  </si>
  <si>
    <t>DISCRETIONARY_RESTRICT</t>
  </si>
  <si>
    <t>2 possible locations at the Watertank. Measured up both at caravan. Mikhail and Erwin to Cherry Pick asap. Watercare have advised that our chosen position is not suitable for them. We need to move within the site or find a new location completely. Looking at rental of $10K. Have had drawings upreved to V2 - Moved site position. Watercare not happy with this position have asked we move to bottom corner. We have looked at it - need to Cherry pick from here._x000D_
5 October 2012 - Site changed to HARD MATCH ONLY._x000D_
24.01.2013 Watercare happy with position and lease docs underway. They have asked for Gobi blocks to be used on access to site - busy investigating._x000D_
26.03.2013 Lease with Mike D for concideration.</t>
  </si>
  <si>
    <t>West Hoe Heights Road _x000D_
Watercare Watertank</t>
  </si>
  <si>
    <t>Waitoki</t>
  </si>
  <si>
    <t>Waitoki VF Colocation</t>
  </si>
  <si>
    <t xml:space="preserve">11/06/15 - Colo Preliminary Approval received. VF to supply Lease and DOV docs_x000D_
25/8/15 - Lodged for Final approval  - Received same day  (Record)_x000D_
23/10/14 - Lodged for Build Approval_x000D_
17/11/15 - Build approval received_x000D_
30/11/15 - Power 3 Dec, link in today, BER by 9/12_x000D_
7/12 - Vol 4 by 14 Dec_x000D_
8/1/16 - Issue with trees in MW path too substantial. Need another pole away from site for MW link_x000D_
4/2/16 - pole location for MW link identified, plans in action. Allow for 2 links to cater for VF as well._x000D_
9/2/16 - Plans supplied to Brad.  Will take a month to get signed off and build.  Draft license with John W_x000D_
</t>
  </si>
  <si>
    <t>VF Colocation_x000D_
684 Kahikatea Flat Road_x000D_
Waitoki</t>
  </si>
  <si>
    <t>Non complying likely for earthworks  - 28/04/2015</t>
  </si>
  <si>
    <t>WIPACTIVE</t>
  </si>
  <si>
    <t>Silverdale Off Ramp</t>
  </si>
  <si>
    <t>Silverdale Offramp</t>
  </si>
  <si>
    <t xml:space="preserve">Off RAMP _x000D_
Silverdale </t>
  </si>
  <si>
    <t>Lodged with Andrew Gysberts on 6.11.2012  - 08/11/2012</t>
  </si>
  <si>
    <t>North Shore Aerodrome</t>
  </si>
  <si>
    <t>Adjacent to Vodafone_x000D_
Aileron Rise_x000D_
Off Wilks Rd_x000D_
Dairy Flat</t>
  </si>
  <si>
    <t xml:space="preserve">Gulf Harbour </t>
  </si>
  <si>
    <t>Coverage to Gulf Harbour area. _x000D_
TNZ clock tower recommended for coverage. Antennas to be located on top of the tower.</t>
  </si>
  <si>
    <t>Tindalls Beach</t>
  </si>
  <si>
    <t>Coverage to the SW , NE &amp; NW directions. _x000D_
New site. Consider 15-20m pole and the recommended location.</t>
  </si>
  <si>
    <t>Coverage to the NW, East and West of the site._x000D_
Consider co-location with 30m Telecom pole. However consider Telecom site is limited by trees and coverage is restricted to the West of the site.</t>
  </si>
  <si>
    <t>Orewa</t>
  </si>
  <si>
    <t>Orewa Central</t>
  </si>
  <si>
    <t>T2 20 UF</t>
  </si>
  <si>
    <t>8-10 George Lowe Place_x000D_
Orewa</t>
  </si>
  <si>
    <t>RMA status TBC as of 5.4.12 - Discretionary = worst case scenario   - 05/04/2012</t>
  </si>
  <si>
    <t>Silverdale</t>
  </si>
  <si>
    <t>Silverdale LPR (NZTA)</t>
  </si>
  <si>
    <t>P4F</t>
  </si>
  <si>
    <t>27 Hibiscus Coast Highway (NZTA)_x000D_
Silverdale</t>
  </si>
  <si>
    <t>Stanmore Bay</t>
  </si>
  <si>
    <t>16/07/13 PSVP Exp 07/08/13</t>
  </si>
  <si>
    <t>463A Whangaparaoa Road _x000D_
Whangaparaoa _x000D_
Rodney District</t>
  </si>
  <si>
    <t>Manly</t>
  </si>
  <si>
    <t>100% Shop_x000D_
Whangaparaoa Road</t>
  </si>
  <si>
    <t>Lodged at Auckland Council on the 21.11.12.  - 21/11/2012</t>
  </si>
  <si>
    <t>Hillcrest</t>
  </si>
  <si>
    <t>Coverage to the North, South and East of the site._x000D_
Nominal location is a hilltop water tank site for a new 15-20m structure._x000D_
_x000D_
Site visit 15/3/10_x000D_
Option A:Pukeko bridge location good for Northern Mwy and  Hatfields Beach.</t>
  </si>
  <si>
    <t>Army Bay</t>
  </si>
  <si>
    <t>Army Bay Roof Top</t>
  </si>
  <si>
    <t>1337 Whangaparaoa Road Whangaparaoa Rodney District</t>
  </si>
  <si>
    <t>Tindalls Beach LPR</t>
  </si>
  <si>
    <t>925 Whangaparaoa Road _x000D_
Manly</t>
  </si>
  <si>
    <t>Riverhead Township</t>
  </si>
  <si>
    <t>Riverhead Township Truck Yard</t>
  </si>
  <si>
    <t>P2</t>
  </si>
  <si>
    <t>10.03 Initial Nominal visits. Kelly to contact Landlord - see if he is willing. He is willing. Site vist / caravan done. Need LOS before WO1 issue. LOS Done. WO1 issued. Lease signed. Await the RC. RC received. SITE HARD MATCHED.</t>
  </si>
  <si>
    <t>62 Barrit Road _x000D_
Riverhead</t>
  </si>
  <si>
    <t>Kumeu East</t>
  </si>
  <si>
    <t>Bus stop LPR HARD MATCH</t>
  </si>
  <si>
    <t>D</t>
  </si>
  <si>
    <t>Green</t>
  </si>
  <si>
    <t>2011-04-14</t>
  </si>
  <si>
    <t>10.03 Initial nominal visit. LPR at bus stop - Ab cabinets thus not NES !_x000D_
WO1 Issued. HARD MATCH SITE - Must use D cabinets. Now NES. Drawings to be changed. Drawings issued. Await NZTA letter so that we can submit the RMA</t>
  </si>
  <si>
    <t>State Highway 16_x000D_
Next to Bus stop at the Coatsville Riverhead Highway and HW16 T junction</t>
  </si>
  <si>
    <t>Lodged on 22.9.11 with rev 3 plans  - 22/09/2011_x000D_
Approved on the 14.10.11 with rev 3 plans, council reference - COC-57939  - 14/10/2011</t>
  </si>
  <si>
    <t>RBI - Kumeu Township</t>
  </si>
  <si>
    <t>Helensville</t>
  </si>
  <si>
    <t>Vodafone Co Location</t>
  </si>
  <si>
    <t>96-110 State Highway 16_x000D_
Helensville</t>
  </si>
  <si>
    <t>Permitted if within 20m - as of 5.4.12  - 05/04/2012</t>
  </si>
  <si>
    <t>Upper Orewa</t>
  </si>
  <si>
    <t xml:space="preserve">PSVP Exp 28/08/13. </t>
  </si>
  <si>
    <t>27 Kowhai Road_x000D_
Orewa</t>
  </si>
  <si>
    <t>Wade Head</t>
  </si>
  <si>
    <t>16/07/2013 nO fan ISSUED, Boundary S not done at WO stage. Site in incorrect location.</t>
  </si>
  <si>
    <t>Arklow ln</t>
  </si>
  <si>
    <t>Dairy Flat</t>
  </si>
  <si>
    <t>VNZ Site not co locatable. Do own site further down slope. 20m. Landlord is willing.</t>
  </si>
  <si>
    <t>120 Kahikatea Flat Rd_x000D_
Pine Valley_x000D_
Dairy Flat</t>
  </si>
  <si>
    <t>Cellutronics 005</t>
  </si>
  <si>
    <t>TIER_6</t>
  </si>
  <si>
    <t>Kaukapakapa</t>
  </si>
  <si>
    <t>Kaupapakapa COLO</t>
  </si>
  <si>
    <t xml:space="preserve">27/07/15 - Site awarded to Downers - Huawei to provide formal docs_x000D_
04/08/15 - Downers to provide Project Plan. Huawei to issue quote_x000D_
07/08/15 - Quote received and POR raised_x000D_
13/08/15 - PO 36683 Issued. Doing Acceptance of preliminary approval._x000D_
25/08/15 - Metalwork started. Lodged for Final Approval - VF not accepting yet until Clearspan lease issue signed_x000D_
01/09/15 - Lease with VF.  Documents for Final Approval with Liz to lodge_x000D_
07/09/15 - Lodged for Build approval_x000D_
09/09/15 - VF have come back with questions on their antenna azimuths - may now clash with ringframe - need urgent review_x000D_
16/9/15 - Have build approval. Downers to start_x000D_
24/11/15 - Integrated, Vol 4 (less sweeps) supplied. Feeder connectors to be changed_x000D_
_x000D_
</t>
  </si>
  <si>
    <t>VF Colocation_x000D_
Stoney Property_x000D_
Alpine Road_x000D_
Kaukapakapa_x000D_
Auckland</t>
  </si>
  <si>
    <t>Kaukapakapa TX Only</t>
  </si>
  <si>
    <t>Kaukapakapa Exchange</t>
  </si>
  <si>
    <t>TX</t>
  </si>
  <si>
    <t>BO</t>
  </si>
  <si>
    <t>08/05/15 - Colocation preliminary Approval received_x000D_
20/05/15 - Final approval received.  Need CD's and Project plan to proceed when ready_x000D_
26/05/15 - Rev 0.2 ready to issue. Visionstream calling for coax. Ron to confirm Chorus build price and issue order. Rack to be ordered/supplied._x000D_
28/05/15 - 2D has approved Chorus build and requested for 1/8 start. Fibre 15/8 RFS_x000D_
27/07/15 - Site awarded to Downers - Huawei to provide formal docs_x000D_
04/08/15 - Downers to do Project Plan. Huawei to issue quote_x000D_
09/09/15 - still waiting for Huawei to issue coax - URGENT Graham_x000D_
16/09/15 - Racks in. Cable install when pole goes in_x000D_
21/9/15 - Fibre live</t>
  </si>
  <si>
    <t>1065 Kaipara Coast Highway, Kaukapakap.</t>
  </si>
  <si>
    <t>TXSITE</t>
  </si>
  <si>
    <t>Te Hana</t>
  </si>
  <si>
    <t>Matakana</t>
  </si>
  <si>
    <t>TIER_5</t>
  </si>
  <si>
    <t xml:space="preserve">21 Oct: Fibre feasibility requested_x000D_
21 Oct: RF letter requested for Planning application_x000D_
3 Nov: Site Acq negotiating lease. Expect to conclude 20 Nov_x000D_
17 Nov: RF &amp; TX spec requested_x000D_
18 Nov: Lease signed. Waiting on execution_x000D_
2 Dec: Fibre order placed. ATN BoQ requested. Pole ordered_x000D_
4 Dec: Fibre ordered_x000D_
14 Dec: Antennas &amp; pole ordered._x000D_
20 Jan: Antennas ordered. Need ETA. CD ordered._x000D_
25 Jan: Geotech survey completed. _x000D_
27 Jan: Tender visit. _x000D_
2 Feb: Geotech complete. CD's underway. Co-site lodged. Power capacity confirmed. Additional fuse ordered._x000D_
</t>
  </si>
  <si>
    <t xml:space="preserve">948 Matakana Road </t>
  </si>
  <si>
    <t>Kawau Island</t>
  </si>
  <si>
    <t>T2 15 UF</t>
  </si>
  <si>
    <t xml:space="preserve">19 Oct: VF confirmed U15 type monopole_x000D_
27 Oct: Structural assessment complete.  0.6m dish capacity at Snells Beach as linking site._x000D_
4 Nov: Order PD's_x000D_
11 Nov: PDRev0 issued for comment_x000D_
29 Nov: PD Rev 1.1 issued_x000D_
30 Nov: Co-lo sent to VF_x000D_
2 Dec: Iwi &amp; Planner visits organised for 9th Dec._x000D_
9 Dec: Iwi visit completed._x000D_
15 Dec: Co-lo application submitted. Power status queried with Steve._x000D_
</t>
  </si>
  <si>
    <t>Smelting Works Bay</t>
  </si>
  <si>
    <t>Wellsford South</t>
  </si>
  <si>
    <t>New site having a basic configuration of U9/G9. _x000D_
_x000D_
The objective of this site is to provide coverage to a section of Motorway SH1 which is frequently visited by people during holidays. Another purpose is to provide continuous coverage between the two sites of Wellsford(004-022) and Kraacks Hill(004-016)_x000D_
_x000D_
Candidate options are:_x000D_
1. VFNZ co-location_x000D_
2. 20m greenfield pole within search ring_x000D_
_x000D_
Proposed design is to have 2 sectors with U9/G9 , but this may change after the caravan _x000D_
_x000D_
We may not need this site as Kraacks Hill may be able to provide the coverage at SH1. The Kraacks Hill site will be On-Air 16th Dec. Will confirm after drive test.</t>
  </si>
  <si>
    <t>Puhoi Bridge</t>
  </si>
  <si>
    <t>Puhoi Bridge GF</t>
  </si>
  <si>
    <t xml:space="preserve">21/10/15 - VF data pack received - property is being sold, lease not being renewed_x000D_
This GF site is very risky - will required an Archaeological investigation and Heritage authority for RC which can take 3-4 months._x000D_
Have requested Spark data pack for a back up site </t>
  </si>
  <si>
    <t>off Hibiscus Coast Highway</t>
  </si>
  <si>
    <t>Puhoi Straights</t>
  </si>
  <si>
    <t>GF - smart pole</t>
  </si>
  <si>
    <t>SP</t>
  </si>
  <si>
    <t>21/10/15 - VF data pack recieved</t>
  </si>
  <si>
    <t>16 Schollum Access Rd,_x000D_
Off SH1,_x000D_
Pohuehue,_x000D_
Auckland</t>
  </si>
  <si>
    <t>Warkworth South</t>
  </si>
  <si>
    <t>22 Oct: RF search ring requested_x000D_
5 Nov: Likely co-lo with VF but also need diversity. SDP requested_x000D_
13 Nov: SDP received_x000D_
17 Nov: Site to be caravanned in case Puhoi Straights not secured._x000D_
22 Dec: PD requested._x000D_
25 Jan: PD issued for final comments. Prepare co-lo application._x000D_
27 Jan: Co-lo lodged. PD issued.</t>
  </si>
  <si>
    <t>Cowan Bay Road_x000D_
Warkworth</t>
  </si>
  <si>
    <t>Devonport North</t>
  </si>
  <si>
    <t>North Shore City</t>
  </si>
  <si>
    <t>A6</t>
  </si>
  <si>
    <t>P4A</t>
  </si>
  <si>
    <t>green</t>
  </si>
  <si>
    <t>2009-05-13</t>
  </si>
  <si>
    <t>Corner of Albert and Lake road_x000D_
Devonport_x000D_
North Shore</t>
  </si>
  <si>
    <t>Stanley Bay</t>
  </si>
  <si>
    <t>2009-05-12</t>
  </si>
  <si>
    <t>(Mar27 DJ) DMR link to 5-008 Birkenhead Central cmplt. Dep on 2nd LL at 5-008. Fcst SOA Apr15</t>
  </si>
  <si>
    <t>Streetlight on Jim Titchener Parade_x000D_
Stanley Bay_x000D_
North Shore_x000D_
_x000D_
(light pole approx 20 to the East of the Navy Gate House)</t>
  </si>
  <si>
    <t>Devonport South</t>
  </si>
  <si>
    <t>NOPOLE</t>
  </si>
  <si>
    <t>2009-05-08</t>
  </si>
  <si>
    <t>Esplanade Hotel_x000D_
Devonport Central_x000D_
1 Victoria Rd_x000D_
Devonport_x000D_
North Shore City</t>
  </si>
  <si>
    <t>Belmont</t>
  </si>
  <si>
    <t>Ab6</t>
  </si>
  <si>
    <t>NON_COMPLYING_LIMITED</t>
  </si>
  <si>
    <t>CO-SITE approved. Council recommend tree removal for tenants, they preparing report as RC will be required, no time frames given. New pole location required due to VF LOS. Lease variation required for new pole location. Will swap plans at Council for RC. Site meeting with VF 8/12, they will do calcs to determine the size of their Fresnel zone and whether we'll interfere or not. No response from VF yet, Barbara chasing. No BC required. Bevan getting Parks approval, also include trimming if possible. Drawings revised for trees and pathway diversion.  LOS pole test completed and LOS clear, cosite approved. Tree consent notified by council commissioners, we'll therefore continue with our consent asking for parks permission to trim tree. Beavn chasing parks for landowner and arborist approvals. Council now require combined approval, report due out this week (by 26.03)._x000D_
14/4 - do not need consent to trim trees. Commenced 3 May. Foundation excavation showed pipes. Need to move pole closer to fence. Requ neighbour consent - await_x000D_
12/5 - variation on lease required. No longer need to move the mast. Problem with underground pipes resolved.Recommenced with work, estimate completion first week in June 2010. 02/02/2010 Mast was erected today.</t>
  </si>
  <si>
    <t>150 Lake Road_x000D_
Belmont_x000D_
North Shore</t>
  </si>
  <si>
    <t>Hauraki Cnr</t>
  </si>
  <si>
    <t>Pole outside 319 Lake Road_x000D_
Hauraki Corner_x000D_
North Shore</t>
  </si>
  <si>
    <t>Harbour Bridge North</t>
  </si>
  <si>
    <t>Build proceeding_x000D_
Antenna swap outs completed 09/07/13.</t>
  </si>
  <si>
    <t xml:space="preserve">TNZ Co-location,_x000D_
Sulphur Beach Rd,_x000D_
Northcote Point,_x000D_
North Shore,_x000D_
Auckland </t>
  </si>
  <si>
    <t>Birkenhead South</t>
  </si>
  <si>
    <t>B6</t>
  </si>
  <si>
    <t>CO-SITE's Approved. No BC required. 01.07 Contractor re visited site yesterday &amp; is to forward a quote to build. Quotes have been received. They have been given to Dawie and Mike. Await approval. ON HOLD UNTIL FURTHER NOTICE. Barbara 07.02.2011 - WO2 issued. Construction drawings issued by Huawei, circulated and back for minor amendments. PAC dates moved to 01 Sept to accomodate Kingsland Build in time for RWC 2011</t>
  </si>
  <si>
    <t>88 Hinemoa Street_x000D_
Birkenhead South_x000D_
Auckland</t>
  </si>
  <si>
    <t>Birkenhead Central</t>
  </si>
  <si>
    <t>Microwave, Leased Line</t>
  </si>
  <si>
    <t>AKL-007-065-D, AKL-007-106-A</t>
  </si>
  <si>
    <t>Highbury Mall_x000D_
1-16 Hammond Pl_x000D_
Birkenhead_x000D_
North Shore City</t>
  </si>
  <si>
    <t>Birkenhead West</t>
  </si>
  <si>
    <t>AKL-007-087-A, AKL-007-087-A</t>
  </si>
  <si>
    <t>2009-05-12, 2009-05-11</t>
  </si>
  <si>
    <t xml:space="preserve">174 Mokia Rd _x000D_
Birkenhead_x000D_
North Shore City_x000D_
Post Code_x000D_
_x000D_
</t>
  </si>
  <si>
    <t>Kauri Park</t>
  </si>
  <si>
    <t>Corner of Verran and Verbena roads outside Mobil Garage_x000D_
Birkenhead_x000D_
Auckland</t>
  </si>
  <si>
    <t>Northcote Onewa</t>
  </si>
  <si>
    <t>31 Woodside Ave_x000D_
Northcote</t>
  </si>
  <si>
    <t>Glenfield Central</t>
  </si>
  <si>
    <t>AKL-005-049-A, AKL-007-106-A</t>
  </si>
  <si>
    <t>2009-05-11</t>
  </si>
  <si>
    <t>Streetlight  pole outside TNZ Switch_x000D_
opposite 477 Glenfield Rd_x000D_
Glenfield_x000D_
North Shore</t>
  </si>
  <si>
    <t>Beach Haven North</t>
  </si>
  <si>
    <t>(Mar13 DJ) Site On Air</t>
  </si>
  <si>
    <t>Streetlight on corner of Birkdale and Beach Haven roads_x000D_
Outside Gardian at Beach Haven_x000D_
Beach Haven_x000D_
North Shore</t>
  </si>
  <si>
    <t>Northcote</t>
  </si>
  <si>
    <t>Northcote, LPR TNZ Transmission Yard</t>
  </si>
  <si>
    <t>2011-04-28</t>
  </si>
  <si>
    <t xml:space="preserve">Telecom NZ Transmission Yard,_x000D_
Cnr Akoranga Dr &amp; Northcote Rd,_x000D_
Northcote,_x000D_
North Shore,_x000D_
Auckland_x000D_
</t>
  </si>
  <si>
    <t>Takapuna</t>
  </si>
  <si>
    <t>None</t>
  </si>
  <si>
    <t xml:space="preserve">AIA Building_x000D_
5-7 Byron Ave_x000D_
Takapuna_x000D_
North Shore City_x000D_
Post Code_x000D_
</t>
  </si>
  <si>
    <t>Lake Pupuke</t>
  </si>
  <si>
    <t>2009-05-15</t>
  </si>
  <si>
    <t>Waimarie Building,_x000D_
44 Taharoto Rd,_x000D_
Smales Farm,_x000D_
North Shore,_x000D_
Auckland</t>
  </si>
  <si>
    <t>Milford</t>
  </si>
  <si>
    <t>Build has commenced at this site. On Track. _x000D_
(May20 DJ) waiting leased line delivery_x000D_
May29 &gt; SOA!!</t>
  </si>
  <si>
    <t>Cnr Kitchener &amp; Saltburn Rds,_x000D_
Milford,_x000D_
North Shore,_x000D_
Auckland</t>
  </si>
  <si>
    <t>Greenhithe Central</t>
  </si>
  <si>
    <t>Corner of Greenhithe &amp; Rame Rds,_x000D_
Greenhithe,_x000D_
North Shore,_x000D_
Auckland</t>
  </si>
  <si>
    <t>Greenhithe South</t>
  </si>
  <si>
    <t>AKL-006-028-D, AKL-007-106-A</t>
  </si>
  <si>
    <t>(Jun03 DJ) On track SOA Jun26._x000D_
(Jun10 DJ) TI and LL delayed but holding SOA Jun26._x000D_
(Jun18 DJ) still holding SOA Jun26._x000D_
(Jun24 DJ) on track SOA Jun26.</t>
  </si>
  <si>
    <t>Adjacent to 2 William Pitcher Place, _x000D_
Greenhithe,_x000D_
North Shore,_x000D_
Auckland</t>
  </si>
  <si>
    <t>Northcote West</t>
  </si>
  <si>
    <t>Lightpole_x000D_
Cnr Eskdale &amp; Glenfield Rd_x000D_
First pole heading north on cemetry side_x000D_
Glenfield_x000D_
Auckland</t>
  </si>
  <si>
    <t>Wairau South</t>
  </si>
  <si>
    <t>49 Porana Road_x000D_
Sunnybrae_x000D_
Auckland</t>
  </si>
  <si>
    <t xml:space="preserve">Paremoremo </t>
  </si>
  <si>
    <t>Paremoremo GF</t>
  </si>
  <si>
    <t>130 Merewhira Road_x000D_
Opposite VNZ site</t>
  </si>
  <si>
    <t>North Harbour</t>
  </si>
  <si>
    <t>AKL-005-027-F, AKL-007-106-A</t>
  </si>
  <si>
    <t>Site On Air</t>
  </si>
  <si>
    <t>Pole ouside 173 Albany Highway_x000D_
Albany_x000D_
North Shore_x000D_
Auckland</t>
  </si>
  <si>
    <t>Wairau Park</t>
  </si>
  <si>
    <t>205 Wairau Road_x000D_
Glenfield_x000D_
North Shore City</t>
  </si>
  <si>
    <t>Wairau North</t>
  </si>
  <si>
    <t>30 Poland Rd_x000D_
North Shore_x000D_
Auckland</t>
  </si>
  <si>
    <t>Castor Bay</t>
  </si>
  <si>
    <t>(May28 DJ) delayed LL bumped SOA 4 days_x000D_
(Jun03 DJ) On track SOA Jun16._x000D_
(Jun10 DJ) Leased del Jun9. On track SOA Jun16. Jun12 &gt; SOA!!</t>
  </si>
  <si>
    <t>110 Beach Road_x000D_
Castor Bay_x000D_
Auckland</t>
  </si>
  <si>
    <t>Albany South</t>
  </si>
  <si>
    <t>Albany Heights Limited_x000D_
C/o- Datastar (NZ) Limited_x000D_
21 Arrenway Drive_x000D_
Albany_x000D_
Auckland</t>
  </si>
  <si>
    <t>Sunset North</t>
  </si>
  <si>
    <t>17 Antares Plc,_x000D_
Mairangi Bay,_x000D_
Auckland</t>
  </si>
  <si>
    <t>Mairangi Bay</t>
  </si>
  <si>
    <t>B</t>
  </si>
  <si>
    <t>AKL-005-045-A, AKL-007-106-A</t>
  </si>
  <si>
    <t xml:space="preserve">439 Beach Rd,_x000D_
Cnr Montrose Trc,_x000D_
Mairangi Bay,_x000D_
North Shore City_x000D_
</t>
  </si>
  <si>
    <t>Rothesay Bay</t>
  </si>
  <si>
    <t>Leased Line, Microwave</t>
  </si>
  <si>
    <t>AKL-007-106-A, AKL-005-059-A</t>
  </si>
  <si>
    <t xml:space="preserve">LL due 30/4 - TNZ requested to bring forward (JL 27/4)_x000D_
(May6 DJ) LL delivered May4 - on track for SOA_x000D_
</t>
  </si>
  <si>
    <t>Cnr Montgomery Ave &amp; Beach Rd,_x000D_
Rothesay Bay,_x000D_
North Shore</t>
  </si>
  <si>
    <t>North Harbour Stadium</t>
  </si>
  <si>
    <t>AKL-007-106-A, AKL-005-052-A</t>
  </si>
  <si>
    <t>North Shore Stadium_x000D_
Oteha Valley Road_x000D_
Auckland</t>
  </si>
  <si>
    <t>Glenvar</t>
  </si>
  <si>
    <t>(May14 DJ) underway - on track</t>
  </si>
  <si>
    <t>Streetlight outside 78 Fitzwilliam Drive_x000D_
Torbay_x000D_
North Shore</t>
  </si>
  <si>
    <t>Browns Bay North</t>
  </si>
  <si>
    <t>Site in build</t>
  </si>
  <si>
    <t>RSR outside 10 Finchley Rd_x000D_
Waiake_x000D_
Auckland</t>
  </si>
  <si>
    <t>Campbells Bay</t>
  </si>
  <si>
    <t>(Mar2 DJ) Site On Air</t>
  </si>
  <si>
    <t xml:space="preserve">Harcourts,_x000D_
278 Beach Rd, _x000D_
Campbells Bay,_x000D_
North Shore,_x000D_
Auckland_x000D_
</t>
  </si>
  <si>
    <t>Sunnynook</t>
  </si>
  <si>
    <t>D6</t>
  </si>
  <si>
    <t>(May28 DJ) Build commenced May18. On track._x000D_
(Jun03 DJ) On track SOA Jun12._x000D_
(Jun10 DJ) On track SOA Jun12. &gt; SOA!!</t>
  </si>
  <si>
    <t>166 Sunnynook Rd, Sunnynook, Auckland</t>
  </si>
  <si>
    <t>Pinehill</t>
  </si>
  <si>
    <t>Roadside along Greville Road_x000D_
Opposite the Mad Butcher_x000D_
North Shore</t>
  </si>
  <si>
    <t>Esmonde Road</t>
  </si>
  <si>
    <t>Barrys Point</t>
  </si>
  <si>
    <t>AKL-007-106-A, AKL-005-065-A</t>
  </si>
  <si>
    <t>waiting LL, f'cst SOA Apr24_x000D_
900mHZ required to Infratel (JL 21/4)_x000D_
(Apr23 DJ) On track - Downers will do in-boundary ducting_x000D_
Waiting for 900MHz kit for integration._x000D_
900MHz kit being installed 27/4</t>
  </si>
  <si>
    <t>79 Barrys Point Road_x000D_
Takapuna</t>
  </si>
  <si>
    <t>Unsworth Heights</t>
  </si>
  <si>
    <t>(Mar24 DJ) Site On Air</t>
  </si>
  <si>
    <t>Streetlight pole opposite 60 Caribbean Rd_x000D_
Unsworth Heights_x000D_
North Shore</t>
  </si>
  <si>
    <t>Browns Bay South</t>
  </si>
  <si>
    <t>Leased Line, Leased Line</t>
  </si>
  <si>
    <t>AKL-007-106-A, AKL-007-106-A</t>
  </si>
  <si>
    <t>Streetlight swap on pole,_x000D_
O/s 101 Browns Bay Rd,_x000D_
Browns Bay,_x000D_
North Shore</t>
  </si>
  <si>
    <t>Murrays Bay</t>
  </si>
  <si>
    <t>602 East Coast Rd_x000D_
Pinehill_x000D_
North Shore</t>
  </si>
  <si>
    <t>Glenfield South</t>
  </si>
  <si>
    <t>Microwave, Microwave, Leased Line</t>
  </si>
  <si>
    <t>AKL-005-016-D, AKL-005-016-D, AKL-007-106-A</t>
  </si>
  <si>
    <t>2009-04-22, 2009-04-22</t>
  </si>
  <si>
    <t>426 Glenfield Road_x000D_
Glenfield_x000D_
Auckland</t>
  </si>
  <si>
    <t>Bayview</t>
  </si>
  <si>
    <t>(May20 DJ) Civils complete - on track_x000D_
(Jun03 DJ) ref'cast SOA Jun20._x000D_
(Jun10 DJ) Leased delivered Jun4. Pwr due Jun18. On track SOA Jun20._x000D_
(Jun18 DJ) Pwr issues bumps SOA 1mth Jul17._x000D_
(Jun24 DJ) Resolution of power issues brings fwd f'cst SOA Jun25.</t>
  </si>
  <si>
    <t>Streetlight pole,_x000D_
O/s 56 Bayview Rd,_x000D_
Glenfield West,_x000D_
North Shore</t>
  </si>
  <si>
    <t>Mairangi Bay North</t>
  </si>
  <si>
    <t>AKL-007-106-A, AKL-005-028-F</t>
  </si>
  <si>
    <t>(Mar27 DJ)F'SOA Mar13&gt;20&gt;31</t>
  </si>
  <si>
    <t>Cnr of East Coast Rd &amp; Galaxy Dr,_x000D_
Mairangi Bay,_x000D_
North Shore</t>
  </si>
  <si>
    <t>Beach Haven</t>
  </si>
  <si>
    <t>AKL-005-012-A, AKL-007-106-A</t>
  </si>
  <si>
    <t xml:space="preserve">Cnr Tramway &amp; Beach Haven Rds,_x000D_
Beach Haven,_x000D_
North Shore,_x000D_
Auckland_x000D_
</t>
  </si>
  <si>
    <t>Browns Bay Central</t>
  </si>
  <si>
    <t>Browns Bay Bowling Club,_x000D_
4 Woodlands Cres,_x000D_
Browns Bay,_x000D_
Auckland</t>
  </si>
  <si>
    <t>Sunset Rd Hub</t>
  </si>
  <si>
    <t xml:space="preserve">Awaiting pole availability ready to construct. 26/05_x000D_
</t>
  </si>
  <si>
    <t>Land behind Highgrove Lane_x000D_
Wairau Park_x000D_
North Shore_x000D_
Auckland</t>
  </si>
  <si>
    <t>Torbay</t>
  </si>
  <si>
    <t>1030 Beach Road_x000D_
Torbay</t>
  </si>
  <si>
    <t>Northcross</t>
  </si>
  <si>
    <t>2009-04-15</t>
  </si>
  <si>
    <t>(Jun03 DJ) On track SOA Jun15._x000D_
(Jun10 DJ) TX change at Albany East bumps TI to Jun19, SOA to Jun23_x000D_
(Jun18 DJ) still holding SOA Jun23._x000D_
(Jun24 DJ) TX linking issue bumps SOA Jun30._x000D_
(Jul01 DJ) Linking issue delays SOA f'cst Jul03.</t>
  </si>
  <si>
    <t>954 East Coast Rd_x000D_
Northcross_x000D_
Auckland</t>
  </si>
  <si>
    <t>Albany East</t>
  </si>
  <si>
    <t>On Air_x000D_
Link to Schnapper Rock. REQUIRE : 300mmØ</t>
  </si>
  <si>
    <t>69 Corinthian Drv,_x000D_
Albany,_x000D_
North Shore,_x000D_
Auckland</t>
  </si>
  <si>
    <t>Albany West</t>
  </si>
  <si>
    <t>297 Albany Highway_x000D_
Albany_x000D_
Auckland</t>
  </si>
  <si>
    <t>Wainoni</t>
  </si>
  <si>
    <t>(May20 DJ) Early start approval - under const _x000D_
(May28 DJ) On schedule._x000D_
(Jun03 DJ) ref'cast SOA Jun18._x000D_
(Jun10 DJ) Leased due Jun12. On track SOA Jun18._x000D_
(Jun18 DJ) leased line bumped 3 days, still holding SOA Jun18.</t>
  </si>
  <si>
    <t>Transit NZ Ltd_x000D_
Albany Highway_x000D_
(Access off Lemon Grove Lane)_x000D_
Greenhithe_x000D_
Wainoni_x000D_
Auckland</t>
  </si>
  <si>
    <t>Forrest Hill</t>
  </si>
  <si>
    <t>(May28 DJ) On track for SOA.</t>
  </si>
  <si>
    <t>Opp 96 Forrest Hill Rd,_x000D_
Forrest Hill,_x000D_
Auckland</t>
  </si>
  <si>
    <t>Torbay Hub</t>
  </si>
  <si>
    <t>P6</t>
  </si>
  <si>
    <t>AKL-005-052-A, AKL-005-052-A</t>
  </si>
  <si>
    <t>2009-05-22, 2009-04-15</t>
  </si>
  <si>
    <t>Access track being constructed. MB 02/07</t>
  </si>
  <si>
    <t xml:space="preserve">Watercare,_x000D_
2 Lonely Track Rd, _x000D_
Cnr Lonely Track Rd &amp; East Coast Rd,_x000D_
Torbay,_x000D_
North Shore,_x000D_
Auckland_x000D_
</t>
  </si>
  <si>
    <t>Browns Bay West</t>
  </si>
  <si>
    <t>(May28 DJ) - Telecom LL RFS bumped May29&gt; Jun6. SOA&gt;Jun19._x000D_
(Jun03 DJ) SOA re-f'cast Jun15._x000D_
(Jun10 DJ) Leased del Jun9. On track SOA Jun15._x000D_
(Jun18 DJ) Pwr delay bumps SOA to Jun22._x000D_
(Jun24 DJ) SOA!!</t>
  </si>
  <si>
    <t>Corner Sartors &amp; Robin Lane_x000D_
Browns Bay_x000D_
North Shore_x000D_
Auckland</t>
  </si>
  <si>
    <t>Hillcrest South</t>
  </si>
  <si>
    <t>(May28 DJ) On track  -SOA._x000D_
(Jun03 DJ) On track SOA Jun19._x000D_
(Jun10 DJ) Leased delivered Jun5 On track SOA Jun19._x000D_
(Jun16 DJ) still holding SOA Jun19. Jun16 &gt; SOA!!</t>
  </si>
  <si>
    <t>Cnr Munstead Plc &amp; Stanaway St,_x000D_
(O/S 48 Stanaway Rd)_x000D_
Northcote,_x000D_
North Shore,_x000D_
Auckland</t>
  </si>
  <si>
    <t>Hillcrest West</t>
  </si>
  <si>
    <t>(Jun03 DJ)  SOA re-f'cast Jun12&gt;21._x000D_
(Jun10 DJ) Power delayed but shouldn't impact for SOA Jun22._x000D_
(Jun18 DJ) latest update now has power delaying SOA from Jun22&gt; Jul17._x000D_
(Jun24 DJ) power situation improved - brings SOA fwd to Jun25</t>
  </si>
  <si>
    <t>Junction of Coronation &amp; Archers Rd,_x000D_
Glenfield South,_x000D_
North Shore,_x000D_
Auckland</t>
  </si>
  <si>
    <t>Stratos Abis Sat Link</t>
  </si>
  <si>
    <t>Albany Test Bed</t>
  </si>
  <si>
    <t>Albany Testbed</t>
  </si>
  <si>
    <t xml:space="preserve">Await a photo montage from Sean. 15/07 Sean F to lodge tomorrow. Letter still with legal, to tie in with existing lease agreement.16/07 MW installed with Landlords approval. Legal letter expected 23/07 - to be forwarded to Peter for signature.29/07 Letter sent to Peter. RMA submitted. Await CHQ. CHQ SUBMITTED. AWAIT LANDLORD APPROVAL AND RMA APPROVAL. 12/08 Council advised dont need RMA only COC. Still await Landlord approval. 18/08 Rec landlord approval. </t>
  </si>
  <si>
    <t>Albany Warehouse, _x000D_
8G Piermark Dr, _x000D_
Auckland</t>
  </si>
  <si>
    <t>Campbells Bay South</t>
  </si>
  <si>
    <t>Aim to provide GSM900 and UMTS2100 services to indoor level._x000D_
_x000D_
Tier 1 Infill Project.</t>
  </si>
  <si>
    <t>Crown Hill</t>
  </si>
  <si>
    <t>Crown Hill shops</t>
  </si>
  <si>
    <t>2011-07-19</t>
  </si>
  <si>
    <t>10.03 Initial nominal visit. Roof top - Vodafone are situated on the roof. 3 Business below and 1 ontop along with 1 residential flat. Kelly to contact owner to see how willing. Trevor has made this a back up if the Campbells Bay co lo with TNZ falls over. Campbels Bay not looking good structuraly, need to caravan this site. Caravaned - Kelly has meeting with Hamish Chandra on 28.7.11 AT 10 to discuss the proposal. If all good. WO1 will be issued.</t>
  </si>
  <si>
    <t>Cnr of East Coast Road and Stanley road</t>
  </si>
  <si>
    <t>Lodged 6 October 2011 with Mark Ross AC  - 06/10/2011</t>
  </si>
  <si>
    <t>Vauxhall</t>
  </si>
  <si>
    <t>Aim to provide GSM900 and UMTS2100 to indoor level._x000D_
_x000D_
Tier 1 Infill Project.</t>
  </si>
  <si>
    <t>Crown Hill Water Tank</t>
  </si>
  <si>
    <t>TNZ Pole at Water tank for Co-location</t>
  </si>
  <si>
    <t>Schnapper Rock</t>
  </si>
  <si>
    <t xml:space="preserve">LPR at Development </t>
  </si>
  <si>
    <t>cp 7-8 June. wo1 ISSUED 02.06.2011. Boundary survey required. Harcourts have a fence up, but I think its over the boundary.. Hard Match so can use D cabinets thus now NES. Cabinets must be at GL not on a platform. Await amended Rev 0 dwngs. Rec Dwngs. Site RC received. Await licence from AKL city.....Have all approvals._x000D_
07.01.2013 - To issue WO2 - Its now a build site. Need to change cabinets from D to DU.Done_x000D_
24.02.2013 WO2 not signed back on HOLD</t>
  </si>
  <si>
    <t>opp 101 Schnapper Rock Road,_x000D_
Auckland</t>
  </si>
  <si>
    <t>NES Application s139 request for certificate of compliance lodged on the 1.8.11, processing with Aimee Buckingham  - 03/08/2011_x000D_
Council Reference Number: QA-2134068  - 17/08/2011</t>
  </si>
  <si>
    <t xml:space="preserve">Glenfield </t>
  </si>
  <si>
    <t xml:space="preserve">LPR Cnr Glenfield St </t>
  </si>
  <si>
    <t xml:space="preserve">Proposed road widening to commence Nov 2011, with construction time of 18 Months._x000D_
Curent LPR position will be relocated. All over head Power and Telephone lines will be undergrounded (Kelly / Kelly contact 09.06.2011 EMAIL). Council would be happy for us to build this in the new spot before construction complete. Mikhail to CP new proposed position as per road widening plan. Await Trevors return so that the correct pole can be chosen. Pole B47 has been Cherry picked and is the prefered site. Kelly to get more detailed drwings from council. Then issue WO1. Council dwgs taking long. Issued WO1 now. Can uprev later. Need to get going. Rev 1 plans issued. Issue Telco Notice. Council advises will only do road widening in 2013. This is a hard match site and has been moved to the lowest build priority. We will retain the position on which the Telco Notice was served._x000D_
07.01.2013 wo2 TO BE ISSUED, NOW A BUILD SITE. Will need to change D cabinets to DU. Done._x000D_
24.02.2013 WO2 not signed. Back on hold </t>
  </si>
  <si>
    <t>Corner of Glenfield and Wairoa_x000D_
Glenfield</t>
  </si>
  <si>
    <t xml:space="preserve">Paremoremo Prison COW </t>
  </si>
  <si>
    <t>Long Bay</t>
  </si>
  <si>
    <t>New Development</t>
  </si>
  <si>
    <t>Development belongs to Todd Corp. Aug 2012 we were invited to site and shown plans of Development. RF to decide wich option they would like - Position. Most likely a customised LPR to match existing in the central median of main rd throuh dev. Road will eventually be vested back to  AT ._x000D_
Todd Dev would like us to install in March 2013. This site is HARD MATCH ONLY._x000D_
27/11/2012 co site application submitted to TNZ. They will also submit to us._x000D_
We will only submit for NES CoC in March 2013 once Todd Dev have placed poles and we are ready to install. TNZ are doing the same._x000D_
26.03.2013 TNZ have submitted to AT. Nicola asked about ours. Gave her prelim plans. She advises cabinets in the road median cant happen, we need to redesign with developers.</t>
  </si>
  <si>
    <t>New Development_x000D_
Longbay_x000D_
Central Median_x000D_
Beach Road</t>
  </si>
  <si>
    <t>Glenfield Exchange</t>
  </si>
  <si>
    <t>Chorus Exchange</t>
  </si>
  <si>
    <t>SOA and PAC dates entered to reflect in use status for finance</t>
  </si>
  <si>
    <t>9 Mayfield Road,  Glenfield, Auckland</t>
  </si>
  <si>
    <t>Birkdale</t>
  </si>
  <si>
    <t>2015P</t>
  </si>
  <si>
    <t>DU5</t>
  </si>
  <si>
    <t>30.09 Still waiting on AT letter so that we can submit the RMA AND TN_x000D_
18.12.14 HARDMATCHED AT LAST ! Have CD's. Ready to Tender._x000D_
18/2/15 - Tenders being received _x000D_
30/3/15 - Civils completed, now moving to TI works_x000D_
04/05/15 - Site integrated, some issues with licensing. Should have Vol4 this week_x000D_
19/05/15 - Still issues with Sector 2 imbalance. Kevin working on_x000D_
26/05/15 - Weather delayed swap out of S2 antenna</t>
  </si>
  <si>
    <t>HIGH</t>
  </si>
  <si>
    <t>Cnr of Eskdale &amp; Lauderdale_x000D_
Birkdale</t>
  </si>
  <si>
    <t>AT Condition:  Boundary to be surveyed before construction takes place_x000D_
_x000D_
Has this already been done?  - 25/11/2014</t>
  </si>
  <si>
    <t>Lightpole capable of upgrades/LTE etc will exceed NES and take on underlying North Shore City Plan activity status.  - 01/04/2014</t>
  </si>
  <si>
    <t>CAPACITY</t>
  </si>
  <si>
    <t>Bayswater</t>
  </si>
  <si>
    <t>Customer experience</t>
  </si>
  <si>
    <t>Northcote Microcell</t>
  </si>
  <si>
    <t>AUCKLAND</t>
  </si>
  <si>
    <t>Northcross South</t>
  </si>
  <si>
    <t>Samsung</t>
  </si>
  <si>
    <t>2014</t>
  </si>
  <si>
    <t>10.02.14 Rec VNZ Cosite Data - have circulated._x000D_
12.02.14 John W to set up survey meet with Samsung to assess viablity_x000D_
13.02.14 Meeting Tue 18.02 at 3.30pm_x000D_
18.02.14 Surveyed roof, looks promising. BR to do photo montage presentation._x000D_
24.02.14 Done photomontage. John submitted to Ashley _x000D_
10.03.14 Owners happy, but want to speak to VNZ and Samsung (Tenant) first._x000D_
24.03 VNZ ok for us to proceed. Cosite will be required._x000D_
06.5.14 Been busy negotiating with LL rebuild. We have to lift everything onto the roof and fix down the large platform over the weekend. Other work can be done in the week. Samsung have requested we move the antenna. Plans are being amended. John W busy discussing commercials._x000D_
20.05.14 Access writen into SC of lease. Plans reviewed and reviewed. BR not happy with design with steel beams. Considered various options._x000D_
Need to accept the current plans. Plans to be issued and Rob to submit RMA._x000D_
Plans issued._x000D_
04.06.14 Lease about to be signed. Paul Noticed generator socket. Had to change plans._x000D_
05.06.14 Plans changed and issued, back with Paul. Ben from Cable net doing Fibre design on site today._x000D_
09.06.14 Have signed lease - await Mike to return from overseas to execute._x000D_
17.06.14 Await Mike to sign the lease. CD's Rev 0 on design review - to come to me later today.</t>
  </si>
  <si>
    <t>LOW</t>
  </si>
  <si>
    <t>Samsung Building _x000D_
The Warehouse Way</t>
  </si>
  <si>
    <t>Northcote Point</t>
  </si>
  <si>
    <t>Torbay exchange co-lo</t>
  </si>
  <si>
    <t>Torbay TX only site</t>
  </si>
  <si>
    <t>RSR - Kilham Ave</t>
  </si>
  <si>
    <t>MC</t>
  </si>
  <si>
    <t xml:space="preserve">MC's installed, fibre delivered - just awaiting power </t>
  </si>
  <si>
    <t>RSR pole,_x000D_
Opposite Food City,_x000D_
Kilham Ave,_x000D_
Northcote</t>
  </si>
  <si>
    <t>Date Lease Issued is the date the Telco notice was sent.   - 18/09/2014</t>
  </si>
  <si>
    <t>Birkenhead Exchange co-lo</t>
  </si>
  <si>
    <t>Exchange Co-Lo</t>
  </si>
  <si>
    <t>22A Mokoia Rd,  Birkenhead</t>
  </si>
  <si>
    <t>Kelston</t>
  </si>
  <si>
    <t>Waitakere City</t>
  </si>
  <si>
    <t>4083-4085 Great North Road_x000D_
Kelston_x000D_
Auckland</t>
  </si>
  <si>
    <t>Henderson South</t>
  </si>
  <si>
    <t>104-106 Henderson Valley Road_x000D_
Henderson_x000D_
Auckland</t>
  </si>
  <si>
    <t xml:space="preserve">Henderson East </t>
  </si>
  <si>
    <t>On Air_x000D_
Link to McLaren Park. REQUIRE : 300mmØ</t>
  </si>
  <si>
    <t>7 Ratanui St_x000D_
Henderson</t>
  </si>
  <si>
    <t>Ranui</t>
  </si>
  <si>
    <t>182 Swanson Road_x000D_
Henderson_x000D_
Auckland</t>
  </si>
  <si>
    <t>Lincoln North</t>
  </si>
  <si>
    <t>LPR o/s 186-198 Lincoln Rd_x000D_
Henderson</t>
  </si>
  <si>
    <t>Te Atatu Junction</t>
  </si>
  <si>
    <t>P4B</t>
  </si>
  <si>
    <t>(Jun03 DJ) Transit Traffic Mgmt being approved. On track SOA Jun26._x000D_
(Jun10 DJ) CI TI bumped due to TMP restrictions Holding SOA for Jun26._x000D_
(Jun18 DJ) still holding SOA Jun26._x000D_
(Jun24 DJ)actual SOA advanced to Jun24 &gt; SOA!!</t>
  </si>
  <si>
    <t>End of Western Off Ramp,_x000D_
Te Atatu Junction,_x000D_
Along SH16,_x000D_
Te Atatu,_x000D_
Auckland</t>
  </si>
  <si>
    <t>Central Park Hub</t>
  </si>
  <si>
    <t xml:space="preserve">CW Complete. T.I ongoing. </t>
  </si>
  <si>
    <t>6 Tony St (Douglas Sheldon)_x000D_
Auckland</t>
  </si>
  <si>
    <t>Approved by council on the 7.10.11, council reference: LUC-2011-858  - 10/10/2011</t>
  </si>
  <si>
    <t>Te Atatu North</t>
  </si>
  <si>
    <t>OTHERS</t>
  </si>
  <si>
    <t>745 Te Atatu Rd,_x000D_
Te Atatu Peninsula,_x000D_
Auckland</t>
  </si>
  <si>
    <t>Massey West</t>
  </si>
  <si>
    <t>Easement agreed in principle just requires plans amended by Vector to be attached to the easement and to be sent off by Rod. As-builts to be used for easement finalisation. Power on &amp; easement to be completed.</t>
  </si>
  <si>
    <t xml:space="preserve">Massey West_x000D_
203 Triangle Rd_x000D_
Waitakere City_x000D_
Post Code_x000D_
_x000D_
_x000D_
</t>
  </si>
  <si>
    <t>Massey North</t>
  </si>
  <si>
    <t>Westgate Shopping Centre Carpark Tower_x000D_
Auckland</t>
  </si>
  <si>
    <t>Swanson</t>
  </si>
  <si>
    <t>(Mar24 DJ) waiting Telecom LL, RFS slipped Mar20 &gt; Mar27. F'SOA Mar30. (Mar30 DJ) confmd delivery of Leased Line.</t>
  </si>
  <si>
    <t>5-7 North Candia_x000D_
Auckland</t>
  </si>
  <si>
    <t>Green Bay</t>
  </si>
  <si>
    <t>56 Godley Road_x000D_
Green Bay_x000D_
Auckland</t>
  </si>
  <si>
    <t>Lynnmall</t>
  </si>
  <si>
    <t>3053 Great North Rd (Curves Bldg)_x000D_
Auckland</t>
  </si>
  <si>
    <t>Lincoln West</t>
  </si>
  <si>
    <t xml:space="preserve">124 Universal Drive_x000D_
Pole number 80034_x000D_
Henderson_x000D_
Waitakere City_x000D_
Auckland_x000D_
</t>
  </si>
  <si>
    <t>Clearwater Cove</t>
  </si>
  <si>
    <t>Microwave, Leased Line, Microwave</t>
  </si>
  <si>
    <t>AKL-007-129-B, AKL-007-106-A, AKL-007-129-B</t>
  </si>
  <si>
    <t>2009-04-07, 2009-04-07</t>
  </si>
  <si>
    <t>(Mar20 DJ) Site On Air</t>
  </si>
  <si>
    <t>12 Clearwater Cove (the Brokerage)_x000D_
Auckland</t>
  </si>
  <si>
    <t>Glendene West</t>
  </si>
  <si>
    <t>AKL-007-106-A, AKL-006-001-F</t>
  </si>
  <si>
    <t xml:space="preserve">59 James Laurie St_x000D_
Glendene West_x000D_
Waitakere City_x000D_
Post Code_x000D_
_x000D_
_x000D_
</t>
  </si>
  <si>
    <t>Glen Eden North</t>
  </si>
  <si>
    <t xml:space="preserve">Glen Eden North_x000D_
12-14 Waikumete Rd_x000D_
Waitakere City_x000D_
Post Code_x000D_
_x000D_
</t>
  </si>
  <si>
    <t>Titirangi Village</t>
  </si>
  <si>
    <t>On Air but still require lease. Letter received from LL permitting us to start building the site. Lease still in signoff, second copy taken to LL.</t>
  </si>
  <si>
    <t>423 Titirangi Road_x000D_
Titirangi_x000D_
Auckland</t>
  </si>
  <si>
    <t>Whenuapai</t>
  </si>
  <si>
    <t>79-89 Brigham Creek Rd (About Storage)_x000D_
Auckland</t>
  </si>
  <si>
    <t>Hobsonville</t>
  </si>
  <si>
    <t xml:space="preserve">LPR o/s 116 Hobsonville Rd,_x000D_
Hobsonville,_x000D_
Waitakere City,_x000D_
Auckland_x000D_
</t>
  </si>
  <si>
    <t>Glendene East</t>
  </si>
  <si>
    <t>33 Bancroft Crescent_x000D_
Glendene_x000D_
Auckland</t>
  </si>
  <si>
    <t>Waikaukau</t>
  </si>
  <si>
    <t>AKL-006-017-A, AKL-006-017-A</t>
  </si>
  <si>
    <t>2009-03-31, 2009-03-31</t>
  </si>
  <si>
    <t>(Mar27 DJ) Fcst SOA Mar 31st. Landowner to be contacted today and asked about Interferance issue. DJ</t>
  </si>
  <si>
    <t xml:space="preserve">8 Waikaukau Rd_x000D_
Glen Eden (Blow Molders)_x000D_
Waitakere City_x000D_
Post Code_x000D_
_x000D_
_x000D_
</t>
  </si>
  <si>
    <t>McLeod Park</t>
  </si>
  <si>
    <t>151 McLeod Road_x000D_
McLeod Park_x000D_
Auckland</t>
  </si>
  <si>
    <t>Sunnyvale</t>
  </si>
  <si>
    <t>38-44 Bruce McLaren Road_x000D_
Sunnyvale</t>
  </si>
  <si>
    <t>Titirangi North</t>
  </si>
  <si>
    <t>AKL-006-029-C, AKL-006-029-C, AKL-007-106-A</t>
  </si>
  <si>
    <t>Outside 83A Pleasant Road_x000D_
Titirangi_x000D_
Auckland</t>
  </si>
  <si>
    <t>Kelston Gully</t>
  </si>
  <si>
    <t>2 West Coast Rd,_x000D_
Kelston,_x000D_
Auckland</t>
  </si>
  <si>
    <t xml:space="preserve">West Harbour </t>
  </si>
  <si>
    <t>AKL-006-007-B, AKL-006-007-B</t>
  </si>
  <si>
    <t>2009-04-29, 2009-04-29</t>
  </si>
  <si>
    <t>On Air_x000D_
Link to Paremoremo Prison Co Lo REQUIRE : 600mmØ</t>
  </si>
  <si>
    <t>Watercare Yard,_x000D_
Adj to 76 Hobsonville Rd,_x000D_
West Harbour,_x000D_
Auckland</t>
  </si>
  <si>
    <t>Glen Eden West</t>
  </si>
  <si>
    <t>AKL-006-023-A, AKL-006-023-A</t>
  </si>
  <si>
    <t xml:space="preserve">108 Glengarry Road_x000D_
Glen Eden_x000D_
Auckland_x000D_
</t>
  </si>
  <si>
    <t>Western Heights</t>
  </si>
  <si>
    <t xml:space="preserve">Lightpole replacement at cnr Sturges Road &amp; Palamino Drive_x000D_
Western Heights_x000D_
Waitakere City_x000D_
Auckland_x000D_
</t>
  </si>
  <si>
    <t>Glendene South</t>
  </si>
  <si>
    <t xml:space="preserve">Streetlight pole opposite 4219 Great North Rd_x000D_
Glendene South_x000D_
Waitakere City_x000D_
Auckland_x000D_
</t>
  </si>
  <si>
    <t>Piha</t>
  </si>
  <si>
    <t>Forest Green</t>
  </si>
  <si>
    <t>Track leading off 89 Piha Road_x000D_
Piha,_x000D_
Auckland</t>
  </si>
  <si>
    <t>Waitakere Village</t>
  </si>
  <si>
    <t xml:space="preserve">Build proceeding, awaiting LL connection 26/05_x000D_
</t>
  </si>
  <si>
    <t>McEntee Road_x000D_
Waitakere Village_x000D_
Auckland</t>
  </si>
  <si>
    <t>Harbour View</t>
  </si>
  <si>
    <t>556 Te Atatu Rd,_x000D_
Te Atatu Peninsula,_x000D_
Auckland</t>
  </si>
  <si>
    <t>Lincoln Rd South</t>
  </si>
  <si>
    <t>Outside 45 Lincoln Rd_x000D_
Henderson</t>
  </si>
  <si>
    <t>Cnr Hutchinson &amp; Willerton</t>
  </si>
  <si>
    <t xml:space="preserve">Vector pole outside on roading reserve adjacent and serving 75 Hutcinson._x000D_
</t>
  </si>
  <si>
    <t>Henderson Central</t>
  </si>
  <si>
    <t>AKL-006-003-D, AKL-007-106-A</t>
  </si>
  <si>
    <t>On Air_x000D_
14/4 - NEED TO RELOCATE CABINETS. Drawings to be issued asap. Possibly require new RMA and lease amendment/variation.  Drawings submitted to John Henry PM 28.04.2010 for approval. Site vist with Woosh 28.04.2010 to determine temp antenna mounts during construction. 12 May. Sean to submit RMA today. Plans have been forwarded to John Henry PM._x000D_
19 May. RMA lodged, await chq for payment. Temp mounts dont need consent._x000D_
26 May. Chq for RMA submission ready today. Temp mounts erected today.</t>
  </si>
  <si>
    <t>John Henry Centre,_x000D_
4-6 Edsel Rd,_x000D_
Henderson,_x000D_
Waitakere City,_x000D_
Auckland</t>
  </si>
  <si>
    <t>Titirangi East</t>
  </si>
  <si>
    <t>AKL-007-106-A, AKL-007-110-F</t>
  </si>
  <si>
    <t xml:space="preserve">Titirangi Golf Course,_x000D_
Cnr Golf &amp; Portage Rds,_x000D_
Titirangi,_x000D_
Waitakere City_x000D_
_x000D_
 </t>
  </si>
  <si>
    <t>Riversdale Rd</t>
  </si>
  <si>
    <t>Tony Segedin HARD MATCH</t>
  </si>
  <si>
    <t>hardmatched</t>
  </si>
  <si>
    <t>11 Tony Segedin Road</t>
  </si>
  <si>
    <t>Lodged at council with planner Mark Ross on the 13.12.2011.   - 14/12/2011_x000D_
Approved on the 20.1.2012, council reference number: R/LUC/2011/4573 with Rev 1 Plans  - 25/01/2012</t>
  </si>
  <si>
    <t>Woodlands Park</t>
  </si>
  <si>
    <t>This is a D site</t>
  </si>
  <si>
    <t>Watercare_x000D_
Woodlands Park_x000D_
Water Reservoir_x000D_
Off Exhibition Dr,_x000D_
Waitakere,_x000D_
Auckland</t>
  </si>
  <si>
    <t>Discretionary application Lodged on the 8.8.2011  - 10/08/2011</t>
  </si>
  <si>
    <t>McLaren Park</t>
  </si>
  <si>
    <t xml:space="preserve">Forest Hill LPR </t>
  </si>
  <si>
    <t>12.06.2014 :  "D" configuration build. (APM, Battery, &amp; 2 x RFC) using version "B" cabinets. Thus making it a "DU" Site. (As per Ron Bush/blr)</t>
  </si>
  <si>
    <t>34 A McLaren Park_x000D_
Forest Hill Road,_x000D_
Henderson,_x000D_
Auckland</t>
  </si>
  <si>
    <t>NES S139 Application lodged on the 8/82011  - 10/08/2011</t>
  </si>
  <si>
    <t>Triangle Road</t>
  </si>
  <si>
    <t>Triangle Road - LPR</t>
  </si>
  <si>
    <t>2011-06-01</t>
  </si>
  <si>
    <t xml:space="preserve">CP complete. WO1 issued. BUILD SITE. Have RC, Await AKL city council license. To issue WO2 in Nov </t>
  </si>
  <si>
    <t xml:space="preserve">intersection of Triangle Road _x000D_
and Don Buck Road,_x000D_
Auckland_x000D_
</t>
  </si>
  <si>
    <t>Discretionary consent lodged on the 8/8/2011  - 10/08/2011</t>
  </si>
  <si>
    <t>RBI - Waitakere Village</t>
  </si>
  <si>
    <t>RBI</t>
  </si>
  <si>
    <t>RBI -  Huia</t>
  </si>
  <si>
    <t>107 Waima Cres Mini-Repeater</t>
  </si>
  <si>
    <t>Waima Cres</t>
  </si>
  <si>
    <t>107 Waima Cres_x000D_
Titirangi</t>
  </si>
  <si>
    <t>RCL Construction Mini Repeater</t>
  </si>
  <si>
    <t>Albany North</t>
  </si>
  <si>
    <t>Dairy Flat Highway</t>
  </si>
  <si>
    <t>T2 25 RF</t>
  </si>
  <si>
    <t>960 Dairy Flat Highway</t>
  </si>
  <si>
    <t>Coatesville</t>
  </si>
  <si>
    <t>Coatsville GF</t>
  </si>
  <si>
    <t>GF Cosite with VNZ, 20M permitted. TX and RF happy. Landlord was on site at Caravan - he is happy. TP are happy. Just need to construct 200m of road and ask VNZ for power share._x000D_
Site is Hard Match._x000D_
Thus we cant build the road now. Landlord not happy. Brad will try and make arrangement re lease commencement date and pay road on build._x000D_
27/11/2012 RMA Withdrawn. Will resubmit after Landlord has built road. _x000D_
RMA will be withdrawn - as is we have to show we have a road / access to site. We cant. Council want detail about the road construction - we dont have it. Thus withdraw, let Landlord build road. Resubmit without road detail - as it will now be shown as existing._x000D_
24.01.2013 Landlord has engaged a contractor, Brad to advise if RC has commenced for his road (AS have offered to assist)_x000D_
25/08 AS RF has validated old site location and it has passed. Need to Caravan as everything as it is what we wanted before RMA submission._x000D_
12/1/16 - VF co-site application submitted</t>
  </si>
  <si>
    <t>off 326 Sunnyside Road</t>
  </si>
  <si>
    <t>Minnehaha mini repeater</t>
  </si>
  <si>
    <t>Minnehaha repeater</t>
  </si>
  <si>
    <t>900_MINI_RPTR</t>
  </si>
  <si>
    <t xml:space="preserve">RCL Construction &amp; Civil Limited_x000D_
55 Minnehaha Ave_x000D_
Titirangi_x000D_
Auckland 0604_x000D_
</t>
  </si>
  <si>
    <t>REPEATER</t>
  </si>
  <si>
    <t>Riversdale</t>
  </si>
  <si>
    <t>Henderson exchange</t>
  </si>
  <si>
    <t>Chorus TX only site</t>
  </si>
  <si>
    <t>Onehunga South</t>
  </si>
  <si>
    <t>Auckland City</t>
  </si>
  <si>
    <t>(Mar10 DJ) Site On Air - linking back via Queenstown Rd LL</t>
  </si>
  <si>
    <t>5 Selwyn St_x000D_
Onehunga_x000D_
Auckland</t>
  </si>
  <si>
    <t>Southdown North</t>
  </si>
  <si>
    <t>AKL-007-114-D, AKL-007-106-A</t>
  </si>
  <si>
    <t>3-5 Sims Rd_x000D_
Penrose_x000D_
Auckland</t>
  </si>
  <si>
    <t>Ellerslie Racecourse</t>
  </si>
  <si>
    <t>(Mar16 DJ) Site On Air._x000D_
NOTE - BBU 3806 SWAPPED OUT FOR NEW 3900 UNIT ON 17/10/2012.</t>
  </si>
  <si>
    <t xml:space="preserve">Ellerslie Racecourse_x000D_
80-100 Ascott Ave_x000D_
Ellerslie_x000D_
Auckland_x000D_
_x000D_
</t>
  </si>
  <si>
    <t>Newmarket Viaduct</t>
  </si>
  <si>
    <t>On track for SOA. Awaiting far end linking only2/04</t>
  </si>
  <si>
    <t xml:space="preserve">19 Great South Rd_x000D_
Newmarket_x000D_
Auckland City_x000D_
Post Code_x000D_
_x000D_
</t>
  </si>
  <si>
    <t>Mt Roskill South</t>
  </si>
  <si>
    <t xml:space="preserve">Mt Roskill Kitchens_x000D_
8-10 Carr Rd_x000D_
Mt Roskill_x000D_
Auckland City_x000D_
Post Code_x000D_
_x000D_
</t>
  </si>
  <si>
    <t>Rosebank</t>
  </si>
  <si>
    <t>379 Rosebank Rd,_x000D_
Avondale,_x000D_
Auckland</t>
  </si>
  <si>
    <t>Wesley</t>
  </si>
  <si>
    <t>CCCH fault on sector 2 and 3. TS ongoing MB 09/07</t>
  </si>
  <si>
    <t>122 Stoddard Road_x000D_
Mt Albert_x000D_
Auckland</t>
  </si>
  <si>
    <t>Carrington Hub</t>
  </si>
  <si>
    <t>Build proceeding 26/05</t>
  </si>
  <si>
    <t>Gate 2 Carrington Road_x000D_
Auckland</t>
  </si>
  <si>
    <t>Balmoral</t>
  </si>
  <si>
    <t>Site must be built by end March as this is a cabinet replacement on private property. PDI issued, boundary survey complete, there's just about 2.4m clearance for parking, to be shown on PD's. Council requested cabinets move slightly to the east to avoid requiring traffic assesment. RC delays with Oleg, councils contract processing planner. Council delays issuing RON, once SOA cabinets will be removed from Mc'Donalds by 16/4._x000D_
14/4 - L is now running as active candidate (previously candidate H - McDonalds site).  Ensure all parties concerned know the active candidate is now changed and files and folders are marked with this change.</t>
  </si>
  <si>
    <t>533 Dominion Road_x000D_
Balmoral</t>
  </si>
  <si>
    <t>Mt Albert East</t>
  </si>
  <si>
    <t>Selkirk road_x000D_
Behind 15A Jesmond Terrace_x000D_
Mount Albert_x000D_
Auckland</t>
  </si>
  <si>
    <t>Epsom</t>
  </si>
  <si>
    <t>TP retrospective Section 127 may need to be processed, Janelle to confirm 04/06MB._x000D_
nOTE BBU 3806 SWAPPED OUT FOR NEW 3900 UNIT ON 17/10/2012.</t>
  </si>
  <si>
    <t>Auckland Trotting Club_x000D_
Greenlane Road West_x000D_
Auckland</t>
  </si>
  <si>
    <t>Kepa Bush Reserve</t>
  </si>
  <si>
    <t xml:space="preserve">Opposite 180 Kepa Rd_x000D_
Orakei_x000D_
Auckland_x000D_
</t>
  </si>
  <si>
    <t>Lake Park West</t>
  </si>
  <si>
    <t>83-89 Lunn Ave_x000D_
Auckland</t>
  </si>
  <si>
    <t>Royal Oak</t>
  </si>
  <si>
    <t>AKL-007-106-A, AKL-007-114-D</t>
  </si>
  <si>
    <t xml:space="preserve">703 Manukau Rd_x000D_
Royal Oak_x000D_
Auckland City_x000D_
_x000D_
_x000D_
</t>
  </si>
  <si>
    <t>Dominion Rd North (L Triangle Rd)</t>
  </si>
  <si>
    <t xml:space="preserve">On Air_x000D_
Link to Triangle Road. REQUIRE : 600mmØ </t>
  </si>
  <si>
    <t xml:space="preserve">Target Building_x000D_
93 Dominion Rd_x000D_
Mt Eden_x000D_
Auckland City_x000D_
Post Code_x000D_
_x000D_
</t>
  </si>
  <si>
    <t>Mt Roskill</t>
  </si>
  <si>
    <t>Build Proceeding 26/05</t>
  </si>
  <si>
    <t>368 Mt Albert Road_x000D_
Mt Albert_x000D_
Auckland</t>
  </si>
  <si>
    <t>Remuera</t>
  </si>
  <si>
    <t>(May28 DJ)   On track. Boundary dispute resolved._x000D_
(Jun03 DJ) On track SOA Jun12._x000D_
(Jun10 DJ) Leased del Jun9. On track SOA Jun12. &gt; SOA!!</t>
  </si>
  <si>
    <t>LPR_x000D_
Garden Rd_x000D_
Cnr Garden Rd &amp; Remuera Rd (Adjacent to 312 Remuera Rd)_x000D_
Remuera _x000D_
Auckland</t>
  </si>
  <si>
    <t>Blockhouse Bay East</t>
  </si>
  <si>
    <t>Awaiting LL fro Telecom 23/04._x000D_
LL not yet delivered (JL 11/5)</t>
  </si>
  <si>
    <t>TNZ Colocation_x000D_
139 Boundary Rd_x000D_
(opp 176 Boundary Rd)_x000D_
Blockhouse Bay_x000D_
Auckland</t>
  </si>
  <si>
    <t>St Johns</t>
  </si>
  <si>
    <t xml:space="preserve">Crn Meadowbank &amp; St Johns Rd_x000D_
Suburb_x000D_
Auckland City_x000D_
Post Code_x000D_
</t>
  </si>
  <si>
    <t>Sylvia Park</t>
  </si>
  <si>
    <t>31 Carbine Road_x000D_
Mt Wellington_x000D_
Auckland</t>
  </si>
  <si>
    <t>St Georges Bay</t>
  </si>
  <si>
    <t xml:space="preserve">91 St Georges Bay Rd_x000D_
Parnell_x000D_
Auckland City_x000D_
_x000D_
</t>
  </si>
  <si>
    <t>Quay Park</t>
  </si>
  <si>
    <t>On Air_x000D_
Note - BBU 3900 INSTALLED ON 17/10/2012.</t>
  </si>
  <si>
    <t xml:space="preserve">Jade Travel Building_x000D_
121-123 Beach Rd_x000D_
Auckland City_x000D_
Post Code_x000D_
_x000D_
</t>
  </si>
  <si>
    <t>Viaduct</t>
  </si>
  <si>
    <t>B8</t>
  </si>
  <si>
    <t>Integration imminent 26/03</t>
  </si>
  <si>
    <t>7-9 Fanshawe street_x000D_
Auckland City</t>
  </si>
  <si>
    <t>Grafton Gully</t>
  </si>
  <si>
    <t>eCOM Building_x000D_
3 Ferncroft St_x000D_
Auckland</t>
  </si>
  <si>
    <t>Mayoral Cnr</t>
  </si>
  <si>
    <t xml:space="preserve">Build proceeding 26/05._x000D_
Note - BBU 3900 Installed on 17/10/2012. </t>
  </si>
  <si>
    <t>345-361 Queen St,_x000D_
Auckland City</t>
  </si>
  <si>
    <t>Waikowhai</t>
  </si>
  <si>
    <t>Build progressing (pole assembly problem with middle section joint) 04/06 MB</t>
  </si>
  <si>
    <t>387 Hillsborough Rd,_x000D_
Waikowhai,_x000D_
Auckland</t>
  </si>
  <si>
    <t>Owairaka</t>
  </si>
  <si>
    <t>WO</t>
  </si>
  <si>
    <t xml:space="preserve">955 New North Rd_x000D_
Suburb_x000D_
Auckland City_x000D_
Post Code_x000D_
</t>
  </si>
  <si>
    <t>Mt Eden Village</t>
  </si>
  <si>
    <t>taupe</t>
  </si>
  <si>
    <t>BER problem being TS at present MB09/07</t>
  </si>
  <si>
    <t>Cnr Mt Eden Rd and Oakland</t>
  </si>
  <si>
    <t>Shortland St CBD</t>
  </si>
  <si>
    <t>On Air._x000D_
Note - BBU 3900 INSTALLED ON 17/10/2012.</t>
  </si>
  <si>
    <t>Loundes House_x000D_
18 Shortland St_x000D_
Auckland CBD</t>
  </si>
  <si>
    <t>Mechanics Bay</t>
  </si>
  <si>
    <t>TNZ co-site application outstanding. High chance of interference, lower risk due to signing of On Track lease. On track for completion.</t>
  </si>
  <si>
    <t>Cnr Tamaki Drive and The Strand_x000D_
Auckland City_x000D_
Auckland</t>
  </si>
  <si>
    <t>Westhaven</t>
  </si>
  <si>
    <t>SA: awaiting Woosh Co Site Approval Sector 2 will be moved. no 127 required. Move and install. 2/04_x000D_
MW link to Sky Tower ok - require IDU6 configuration (JL 21/4)</t>
  </si>
  <si>
    <t>Orams Marine,_x000D_
142-148 Beaumont St,_x000D_
Westhaven,_x000D_
Auckland</t>
  </si>
  <si>
    <t>Grey Lynn Shops</t>
  </si>
  <si>
    <t>Trouble ticket raised to Telecom 02/07MB</t>
  </si>
  <si>
    <t xml:space="preserve">486-490 Richmond Rd_x000D_
Grey Lynn_x000D_
Auckland_x000D_
_x000D_
</t>
  </si>
  <si>
    <t>Kohimarama</t>
  </si>
  <si>
    <t xml:space="preserve">43 Melanesia Rd_x000D_
Kohimarama_x000D_
Auckland_x000D_
</t>
  </si>
  <si>
    <t>Victoria St West</t>
  </si>
  <si>
    <t xml:space="preserve">Rainger House_x000D_
150 Victoria St_x000D_
Auckland _x000D_
Post Code_x000D_
</t>
  </si>
  <si>
    <t>St Heliers</t>
  </si>
  <si>
    <t>15 Maskell Street_x000D_
St Heliers_x000D_
Auckland</t>
  </si>
  <si>
    <t>Panmure</t>
  </si>
  <si>
    <t>AKL-008-024-A, AKL-007-106-A</t>
  </si>
  <si>
    <t>(Mar25 DJ) Site On Air_x000D_
29/10/13 Bhan Amarsee new owner - Asked JL to contact him 09 2723341</t>
  </si>
  <si>
    <t xml:space="preserve">11 Pleasant View Rd,_x000D_
Panmure,_x000D_
Auckland _x000D_
_x000D_
</t>
  </si>
  <si>
    <t>Grey Lynn</t>
  </si>
  <si>
    <t>SA:MD confirmed co site application approved. Build: Integration may be brought forward if possible Linked to Arch Hill 01/05MB._x000D_
No movement on Arch Hill brackets (JL4/5)</t>
  </si>
  <si>
    <t xml:space="preserve">Theatre Building_x000D_
Cnr Williamson Ave and Selbourne St_x000D_
Suburb_x000D_
Auckland City_x000D_
Post Code_x000D_
_x000D_
</t>
  </si>
  <si>
    <t>Newcall Hub</t>
  </si>
  <si>
    <t>NewCall Tower: 42 Khyber Pass Road, Grafton, Auckland_x000D_
_x000D_
Access via -_x000D_
Building Manager and Landowner Representative:_x000D_
Richard Brunton  09 377 7951 or 021 981 247_x000D_
richard.brunton@xtra.co.nz_x000D_
Brunton &amp; Associates Limited, PO Box 108-126, Auckland_x000D_
_x000D_
Roof Technical Assistance: JDA, Warren Harding, 021 383 406, He MUST attend the Site Design Visit as he will be able to answer questions relating to location and installation of equipment.</t>
  </si>
  <si>
    <t>Parnell</t>
  </si>
  <si>
    <t>On Air._x000D_
NOTE - BBU 3806 SWAPPED OUT FOR NEW 3900 UNIT 15/11/2012.</t>
  </si>
  <si>
    <t xml:space="preserve">272 Parnell Rd_x000D_
Parnell_x000D_
Auckland City_x000D_
Post Code_x000D_
</t>
  </si>
  <si>
    <t>Okahu Bay</t>
  </si>
  <si>
    <t>(May20 DJ) Agreement reached for amended design. On track_x000D_
(May28 DJ) Telecom co-site approval not forthcoming, no explanation. SOA on track._x000D_
(Jun03 DJ) On track SOA Jun12._x000D_
(Jun10 DJ) Noise testing required at site. TI bumped to Jun17, SOA to Jun19_x000D_
(Jun18 DJ) still holding SOA Jun19.  Jun22 &gt; SOA!!</t>
  </si>
  <si>
    <t>O/s 36 Reihana St,_x000D_
Orakei,_x000D_
Auckland</t>
  </si>
  <si>
    <t>Point England</t>
  </si>
  <si>
    <t>Power and LL duct in. Telecom advised to install LL_x000D_
(May14 DJ) Telecom did not deliver LL. Fcst SOA pushes out to May22</t>
  </si>
  <si>
    <t>Unit E,_x000D_
124 Felton Matthew Ave,_x000D_
Glen Innes,_x000D_
Auckland</t>
  </si>
  <si>
    <t>Otahuhu North</t>
  </si>
  <si>
    <t>161 Great South Rd</t>
  </si>
  <si>
    <t>Oranga</t>
  </si>
  <si>
    <t>(May14 DJ) On track Only current outstanding issue is power - due for resolution May22._x000D_
(Jun03 DJ) On track SOA Jun10._x000D_
(Jun10 DJ) At risk due to lack of Leased delivery date advice. Telecom being chased. SOA scheduled Jun10._x000D_
(Jun18 DJ) Telecom LL bumped to Jun12, bumps SOA to Jun16. Jun16 &gt; SOA!!</t>
  </si>
  <si>
    <t>Belaire Dairy_x000D_
76 Rawhiti Rd_x000D_
Oranga_x000D_
Auckland</t>
  </si>
  <si>
    <t>Te Papapa</t>
  </si>
  <si>
    <t>323 Neilson St,_x000D_
Te Papapa,_x000D_
Auckland_x000D_
_x000D_
Owner Contact:_x000D_
Mike Malcolm_x000D_
027 474 6790_x000D_
mike@ailinvestments.co.nz</t>
  </si>
  <si>
    <t>Avondale AKL</t>
  </si>
  <si>
    <t xml:space="preserve">9 St Jude St_x000D_
Avondale_x000D_
Auckland City_x000D_
Post Code_x000D_
</t>
  </si>
  <si>
    <t>Avondale South</t>
  </si>
  <si>
    <t>21 Tiverton Road_x000D_
New Windsor_x000D_
Auckland</t>
  </si>
  <si>
    <t>St Johns South</t>
  </si>
  <si>
    <t>(Mar19 DJ) Site On Air</t>
  </si>
  <si>
    <t>145a Morrin Road_x000D_
Panumure_x000D_
Auckland</t>
  </si>
  <si>
    <t>Patiki Rd</t>
  </si>
  <si>
    <t>AKL-007-106-A, AKL-007-006-E</t>
  </si>
  <si>
    <t>2009-03-31</t>
  </si>
  <si>
    <t>(May14 DJ)   On track.</t>
  </si>
  <si>
    <t>LPR on Patiki Rd_x000D_
o/s Wattyl Industries_x000D_
2-14 Patiki Rd_x000D_
Avondale_x000D_
Auckland</t>
  </si>
  <si>
    <t>St Lukes</t>
  </si>
  <si>
    <t>TI complete. Mounts to be relocated at owners request re MD. Pending far end sites for integration. 26/03</t>
  </si>
  <si>
    <t xml:space="preserve">St Lukes Shopping Centre - Westfield_x000D_
80 St Lukes Rd_x000D_
St Lukes_x000D_
Auckland_x000D_
</t>
  </si>
  <si>
    <t>Greenwoods Cnr</t>
  </si>
  <si>
    <t>SA: Approval letter from Council Property received. Await lease. Letter to proceed with build recieved. Final due 27/03 Construction ongoing 02/04._x000D_
LL delivered 15/4 but fault on it (JL 21/4)</t>
  </si>
  <si>
    <t>594-598 Manukau Rd,_x000D_
Greenwoods Cnr,_x000D_
Epsom,_x000D_
Auckland</t>
  </si>
  <si>
    <t>Market Rd</t>
  </si>
  <si>
    <t>(Jun03 DJ) ref'cast SOA Jun24._x000D_
(Jun10 DJ) dep on Alex Park. No probs anticipated. On track SOA Jun24._x000D_
(Jun18 DJ) still holding SOA Jun24. Jun22 &gt; SOA!!</t>
  </si>
  <si>
    <t xml:space="preserve">93 Great South Rd,_x000D_
Greenlane_x000D_
</t>
  </si>
  <si>
    <t>Penrose West</t>
  </si>
  <si>
    <t>265 Mt Smart Rd_x000D_
Oranga_x000D_
Auckland</t>
  </si>
  <si>
    <t>James and Wells Building - Ellerslie</t>
  </si>
  <si>
    <t>56 Cawley St_x000D_
Ellerslie_x000D_
Auckland</t>
  </si>
  <si>
    <t>Ellerslie North</t>
  </si>
  <si>
    <t>Cnr Abbots Way &amp; Grand Drv,_x000D_
Ellerslie North,_x000D_
Auckland</t>
  </si>
  <si>
    <t>Orakei Basin</t>
  </si>
  <si>
    <t>(Mar30 DJ) SOA achieved Mar30 (ahead of fcst)</t>
  </si>
  <si>
    <t>91-97 Upland Rd_x000D_
Remuera_x000D_
Auckland</t>
  </si>
  <si>
    <t>Hobson Bay South</t>
  </si>
  <si>
    <t>(Mar27 DJ) Dep on Rem hub. F'cst SOA Apr6.</t>
  </si>
  <si>
    <t>Pole outside entrance to Orakei Basin Entrance_x000D_
Orakei_x000D_
Auckland</t>
  </si>
  <si>
    <t>Kohimarama South</t>
  </si>
  <si>
    <t>(May14 DJ) M/W link to Rem Hub. Site On Air May14</t>
  </si>
  <si>
    <t>Cnr Kohimarama &amp; St Heliers Bay Rds,_x000D_
Between 368 Kohimarama &amp; 353 St Heliers Bay Rds,_x000D_
St Johns,_x000D_
Auckland</t>
  </si>
  <si>
    <t>Southdown</t>
  </si>
  <si>
    <t>Just Trucks_x000D_
809 Great South Road_x000D_
Southdown_x000D_
Auckland</t>
  </si>
  <si>
    <t>Mt Wellington South</t>
  </si>
  <si>
    <t>AKL-008-030-C, AKL-008-030-C, AKL-007-106-A</t>
  </si>
  <si>
    <t>2009-05-12, 2009-03-31</t>
  </si>
  <si>
    <t>(May14 DJ) Telecom LL fcst RFS May15 - Fcst SOA dependancy.</t>
  </si>
  <si>
    <t>6 Te Apunga Place_x000D_
Mt Wellington_x000D_
Auckland</t>
  </si>
  <si>
    <t>Otahuhu East</t>
  </si>
  <si>
    <t>SOA possibly bring forward to May (JL 11/5)_x000D_
(May14 DJ) On track._x000D_
(Jun03 DJ) ref'cast LL RFS Jun10. Jun5 &gt; SOA!!</t>
  </si>
  <si>
    <t>64 Luke St,_x000D_
Otahuhu,_x000D_
Auckland</t>
  </si>
  <si>
    <t>Harbour Bridge South</t>
  </si>
  <si>
    <t>awiting power to enable power up and integration 04/06 MB_x000D_
Antenna swap out completed 2/6/13.</t>
  </si>
  <si>
    <t>Adjacent to 105 - 125 Curren Street_x000D_
Auckland Harbour Bridge South_x000D_
AUckland</t>
  </si>
  <si>
    <t>Glen Innes</t>
  </si>
  <si>
    <t>233 West Tamaki Road_x000D_
Glendowie_x000D_
Auckland</t>
  </si>
  <si>
    <t>Franklin, Ponsonby</t>
  </si>
  <si>
    <t>Build ongoing. Site requires Arborist report to be presented to council TP, Ron Bush to address. 07/05 MB</t>
  </si>
  <si>
    <t xml:space="preserve">Pole o/s 199 Ponsonby Rd_x000D_
Ponsonby_x000D_
Auckland_x000D_
_x000D_
</t>
  </si>
  <si>
    <t>Westmere</t>
  </si>
  <si>
    <t>AKL-007-008-A, AKL-007-106-A</t>
  </si>
  <si>
    <t>TI Completed</t>
  </si>
  <si>
    <t xml:space="preserve">Streetlight replacement_x000D_
Corner of Garnet road and Oban road_x000D_
Westmere_x000D_
Auckland_x000D_
</t>
  </si>
  <si>
    <t>Arch Hill</t>
  </si>
  <si>
    <t>SA: Design dwgs omitted RRUs. LL met on site - configuration confirmed - Drawings: CDs completed. Build: New CW works complete date: 6/3, TI 20/3</t>
  </si>
  <si>
    <t xml:space="preserve">2 King St_x000D_
Grey Lynn_x000D_
Auckland _x000D_
Post Code_x000D_
</t>
  </si>
  <si>
    <t>Newmarket Central</t>
  </si>
  <si>
    <t xml:space="preserve">Creazoni_x000D_
25 Broadway Rd_x000D_
Newmarket_x000D_
Auckland City_x000D_
</t>
  </si>
  <si>
    <t>Remuera West</t>
  </si>
  <si>
    <t>AKL-007-004-A, AKL-007-004-A</t>
  </si>
  <si>
    <t>Awaiting Integration reliant on Eden St Car park 9/04</t>
  </si>
  <si>
    <t>155 Remuera Road_x000D_
Auckland</t>
  </si>
  <si>
    <t>Mt Smart</t>
  </si>
  <si>
    <t>38 O'Rorke Road_x000D_
Mt Smart_x000D_
Auckland</t>
  </si>
  <si>
    <t xml:space="preserve">Lynfield </t>
  </si>
  <si>
    <t>AKL-007-080-A, AKL-007-080-A</t>
  </si>
  <si>
    <t>awaiting linking to network completion 26/03_x000D_
Linking to Woodlands Park Tier 1 Infill new site. 2011 REQUIRE 600mmØ</t>
  </si>
  <si>
    <t>Maungakiekie Golf Course_x000D_
Auckland</t>
  </si>
  <si>
    <t>Avondale East</t>
  </si>
  <si>
    <t>AKL-007-029-A, AKL-007-106-A</t>
  </si>
  <si>
    <t>Streetlight outside 1203 New North Road_x000D_
Mount Albert</t>
  </si>
  <si>
    <t xml:space="preserve">Glendowie Water Tower </t>
  </si>
  <si>
    <t>WOOSH CO-SITE APPROVED. No spare power capacity for 2degrees at site. New supply require. Easment agreed in principle and terms agreed - signed undertaking received from LL for easement. Design to do survey easement once installed. Cabinet type Ab required, amendment required to lease area &amp; S127. JB to follow up LL re extended lease area and if a S127 is required. Sean will do retrospective S127 and given go-ahead for build. Easement signed &amp; sent to our legal. JB to follow up S127. Survey and plans required for easement completion. Link to Musick Point REQUIRE 600mmØ</t>
  </si>
  <si>
    <t>Metro Water Tower_x000D_
Waimarie St_x000D_
Glendowie_x000D_
Auckland</t>
  </si>
  <si>
    <t>Lynfield North</t>
  </si>
  <si>
    <t>Telecom Co Site pending. Discussion re down conductor between Telecom and Doug. NZCL standards in use. Approval to Co Site pending. 26/03</t>
  </si>
  <si>
    <t>445 Richardson Road_x000D_
Auckland</t>
  </si>
  <si>
    <t>Tamaki</t>
  </si>
  <si>
    <t>Hobson Reserve_x000D_
Corner Hobson Dr &amp; Court Cres_x000D_
Tamaki_x000D_
Auckland</t>
  </si>
  <si>
    <t>Ponsonby South</t>
  </si>
  <si>
    <t>Awaiting RMA approval. special pole required, LL connection to this Site. Final linking path to be updated and confirmed 17/04</t>
  </si>
  <si>
    <t>116 Ponsonby Rd,_x000D_
Ponsonby,_x000D_
Auckland</t>
  </si>
  <si>
    <t>Spaghetti Junction</t>
  </si>
  <si>
    <t>Need co-site appr from TNZ. TRS: 38 Ghz solution available 2/04</t>
  </si>
  <si>
    <t>9 Karaka Street_x000D_
Newton_x000D_
Auckland</t>
  </si>
  <si>
    <t>Wellesley St East</t>
  </si>
  <si>
    <t xml:space="preserve"> Awaiting Integration 26/05</t>
  </si>
  <si>
    <t>AUT, Gate 2 _x000D_
O/s Early Childhood Centre,_x000D_
Wellesley St,_x000D_
Auckland City</t>
  </si>
  <si>
    <t>Parnell Rise</t>
  </si>
  <si>
    <t xml:space="preserve">Targetti Building_x000D_
60 Parnell road_x000D_
Parnell_x000D_
Auckland </t>
  </si>
  <si>
    <t>Kingston St CBD</t>
  </si>
  <si>
    <t>AKL-007-106-A, AKL-007-024-D</t>
  </si>
  <si>
    <t xml:space="preserve">Telco Building,_x000D_
16 Kingston St,_x000D_
Auckland CBD_x000D_
</t>
  </si>
  <si>
    <t>Beca House</t>
  </si>
  <si>
    <t>Union St</t>
  </si>
  <si>
    <t>Beca House_x000D_
21 Pitt Street_x000D_
Auckland</t>
  </si>
  <si>
    <t>Upper Wakefield</t>
  </si>
  <si>
    <t>UNI House_x000D_
70 Symonds St_x000D_
Auckland CBD</t>
  </si>
  <si>
    <t>Newton</t>
  </si>
  <si>
    <t>Co-site approved. Antennas required to be ordered A.P. John Challinor Site will be integrated with dummy load solution 02/04 Should be tracked as an expansion Site after on Air. _x000D_
Sector 1 only f'cast on air 30/2 - sectors 2 &amp; 3 f'cast end May (JL 6Apr)</t>
  </si>
  <si>
    <t>2 Newton Rd/582 Karangahape Rd_x000D_
Cnr Newton &amp; Karangahape Rds,_x000D_
Newton,_x000D_
Auckland</t>
  </si>
  <si>
    <t>Three Lamps</t>
  </si>
  <si>
    <t>TI to complete 09/09MB_x000D_
Aiming for integration 15/07 - RB 14/7</t>
  </si>
  <si>
    <t xml:space="preserve">Radioworks Building,_x000D_
1 Jervois Rd,_x000D_
Ponsonby,_x000D_
Auckland_x000D_
</t>
  </si>
  <si>
    <t>Downtown South</t>
  </si>
  <si>
    <t>11-27 Customs St West_x000D_
(Also known as 7 Queen Street)_x000D_
Corner Customs St West and Albert St_x000D_
Auckland City</t>
  </si>
  <si>
    <t>Downtown North</t>
  </si>
  <si>
    <t>Newmarket South</t>
  </si>
  <si>
    <t>SA: VFNZ co-site application approved. Build: Transmission, Linking to NZCL. 2/04._x000D_
NOTE - BBU 3806 SWAPPED OUT FOR NEW 3900 UNIT 17/10/2012</t>
  </si>
  <si>
    <t>Eden St Carpark,_x000D_
2-4 Eden St,_x000D_
Newmarket,_x000D_
Auckland</t>
  </si>
  <si>
    <t>Queen St CBD</t>
  </si>
  <si>
    <t>On Air_x000D_
Note - BBU 3900 INSTALLED ON 17/10/2012._x000D_
F3 Dual RRU installed 3/4/13.</t>
  </si>
  <si>
    <t>FAI Building_x000D_
220 Queen Street_x000D_
Auckland CBD</t>
  </si>
  <si>
    <t>Varied on 8 August 2014, to:_x000D_
- Provide for additional antennas for LTE700 (rent increase associated once initiated)_x000D_
- Provide for a micro site to be installed on the canopy at Level 1 ((rent increase associated once initiated)_x000D_
- Increase Lease a further 6 year term, final expiry 2036._x000D_
BB 12/08/14  - 12/08/2014</t>
  </si>
  <si>
    <t>Remuera North</t>
  </si>
  <si>
    <t>(Mar27 DJ) F'cst SOA Mar 30</t>
  </si>
  <si>
    <t>Pole outside 203 Victoria Ave_x000D_
Remuera_x000D_
Auckland</t>
  </si>
  <si>
    <t>Western Springs</t>
  </si>
  <si>
    <t xml:space="preserve">Behind Caltex Western Springs (Transit NZ)_x000D_
Gt North Rd_x000D_
Western Springs_x000D_
Auckland_x000D_
</t>
  </si>
  <si>
    <t>Point Chevalier</t>
  </si>
  <si>
    <t>(Jun03 DJ) All Site Acq cmplt - On track SOA Jun30._x000D_
(Jun10 DJ) On track for SOA Jun29_x000D_
(Jun18 DJ) ASAC issues but still holding SOA Jun29._x000D_
(Jun24 DJ) on track SOA Jun29.</t>
  </si>
  <si>
    <t xml:space="preserve">LPR situated on opposite side of intersection on Point Chev Road </t>
  </si>
  <si>
    <t>Mission Bay</t>
  </si>
  <si>
    <t>Telecom fibre f'cast 20/5 - SOA f'cast date pending this (JL 27/4)_x000D_
(May14 DJ) Awaiting approval of ACC RON._x000D_
(Jun03 DJ) ref'cast LL RFS Jun10._x000D_
(Jun10 DJ) On track SOA Jun17._x000D_
(Jun18 DJ) Telecom prevented from access by Landowner, bumps link prov to Jun22, SOA to Jun24._x000D_
(Jun24 DJ) delay to fibre access bumps SOA Jun29._x000D_
(Jul01 DJ) weather issue delays fibre, bumps SOA f'cst to Jul03</t>
  </si>
  <si>
    <t xml:space="preserve">65-71 Tamaki Drive_x000D_
Mission Bay_x000D_
Auckland City_x000D_
Post Code_x000D_
</t>
  </si>
  <si>
    <t>Mt Wellington</t>
  </si>
  <si>
    <t>AKL-007-021-E, AKL-007-106-A</t>
  </si>
  <si>
    <t>(May20 DJ) On schedule</t>
  </si>
  <si>
    <t>Lightpole Cnr Wilson Way and Penrose Rd_x000D_
Mt Wellington_x000D_
Auckland</t>
  </si>
  <si>
    <t>Hillsborough</t>
  </si>
  <si>
    <t>Streetlight replacement_x000D_
5 ALex Boyd Link_x000D_
Hillsborough_x000D_
Auckland</t>
  </si>
  <si>
    <t>Princes St North</t>
  </si>
  <si>
    <t>On Air._x000D_
Note - Add new BBU 3900 to site on 17/10/2012._x000D_
F3 VDual RRU installed on 14/6/13.</t>
  </si>
  <si>
    <t xml:space="preserve">Fonterra Building_x000D_
9 Princess Street_x000D_
Auckland CBD_x000D_
</t>
  </si>
  <si>
    <t>Khyber Pass</t>
  </si>
  <si>
    <t>On Air_x000D_
COC for antenna was not obtained._x000D_
24/09/2010 CoC submitted_x000D_
27/09/2010 Chq $1000 paid to ACC</t>
  </si>
  <si>
    <t>131 Khyber Pass Road_x000D_
Newton_x000D_
Auckland</t>
  </si>
  <si>
    <t>Onehunga West</t>
  </si>
  <si>
    <t>AKL-007-106-A, AKL-007-001-B</t>
  </si>
  <si>
    <t>TI Completed.</t>
  </si>
  <si>
    <t>Streetlight pole next to bus stop_x000D_
Corner of Beachcroft Ave and Queenstown road</t>
  </si>
  <si>
    <t>Pah Rd</t>
  </si>
  <si>
    <t>86 Pah Rd,_x000D_
Epsom,_x000D_
Auckland</t>
  </si>
  <si>
    <t>Blockhouse Bay</t>
  </si>
  <si>
    <t>(May20 DJ) On track.  Will be first site type D to be integrated.</t>
  </si>
  <si>
    <t>LPR adj to 507-509 Blockhouse Bay Rd_x000D_
o/s Westpac Bank_x000D_
Kinross St_x000D_
Blockhouse Bay_x000D_
Auckland</t>
  </si>
  <si>
    <t>Sky Tower</t>
  </si>
  <si>
    <t>2009-05-06, 2009-05-06</t>
  </si>
  <si>
    <t>Sky City_x000D_
_x000D_
Hobson Street</t>
  </si>
  <si>
    <t>Remuera Hub (L Orakei)</t>
  </si>
  <si>
    <t xml:space="preserve">Link to Orakie. REQUIRE : 300mmØ_x000D_
</t>
  </si>
  <si>
    <t>460 Remuera Rd,_x000D_
Remuera,_x000D_
Auckland</t>
  </si>
  <si>
    <t>Penrose Hub (Penrose East</t>
  </si>
  <si>
    <t>link to skytower to be installed and commissioned_x000D_
MB09/09_x000D_
Link to Penrose East Tier 1 infill 2011 REQUIRE : 600mmØ</t>
  </si>
  <si>
    <t>45 O'Rourke Rd_x000D_
Penrose_x000D_
Auckland</t>
  </si>
  <si>
    <t>Matiatia</t>
  </si>
  <si>
    <t>Matiatia MC</t>
  </si>
  <si>
    <t>2015</t>
  </si>
  <si>
    <t xml:space="preserve">awaiting fibre feasability. _x000D_
28/1/15 - 2 degrees to do IBT - chorus to provide fibre to pit on road. Telco notice sent 28/1/15 - JL to prepare AT application_x000D_
4/2/15 - Site placed to Hardmatch only by Brendon/Trevor on review with Ron_x000D_
6/3/15 - site back into build programme - AT application to be submitted when I have calcs and PS1 from Ritchie._x000D_
20/4/15 - AT application sent today.  </t>
  </si>
  <si>
    <t>Roadside_x000D_
Ferry Carpark _x000D_
Ocean View Rd,_x000D_
Waiheke</t>
  </si>
  <si>
    <t>SMALL CELLS</t>
  </si>
  <si>
    <t>Oneroa Township North</t>
  </si>
  <si>
    <t>Oneroa North</t>
  </si>
  <si>
    <t>Proposed site behind shops in parking area, although LO tentative about site. SITE PLACED ON HOLD 27/04/2010._x000D_
25.06.14 Propose the LPR infront of the shops_x000D_
01.08.14 BC Approved. Progress to build ASAP_x000D_
21.08.14 - council recommended LPR next to bus stop - outside 137 Oceanview rd - PDI issued today</t>
  </si>
  <si>
    <t>outside 139 Ocean View Road_x000D_
Oneroa (next to bus stop)</t>
  </si>
  <si>
    <t>Ostend East</t>
  </si>
  <si>
    <t>Ostend_x000D_
Option A: LEASED GF option at 2a  Tahi Rd  Ostend.  Grid: 2693757  6487404_x000D_
Option B: Colo on 10m Vodafone option.                  Grid: 2693527  6487657_x000D_
_x000D_
After site search 1/12/09:_x000D_
We looked at 24 Tahi Rd - not 2a!! - mistakenly thought this was the property with a lease_x000D_
Options above still valid plus other possible options in commercial area on Tahi Rd</t>
  </si>
  <si>
    <t>Onetangi Beach</t>
  </si>
  <si>
    <t>Coverage to Onetangi Beach</t>
  </si>
  <si>
    <t>Bastion Point</t>
  </si>
  <si>
    <t>Bastion Point (LPR)</t>
  </si>
  <si>
    <t>Opp Kelly Tarltons Aquatic World exit,_x000D_
Tamaki Drv,_x000D_
Orakei Warf,_x000D_
Auckland</t>
  </si>
  <si>
    <t>Victoria Gully</t>
  </si>
  <si>
    <t>45 Sale Street, Auckland</t>
  </si>
  <si>
    <t>Grey Lynn North</t>
  </si>
  <si>
    <t xml:space="preserve"> Build proceeding 26/05</t>
  </si>
  <si>
    <t>316-318 Richmond Rd_x000D_
Grey Lynn_x000D_
Auckland</t>
  </si>
  <si>
    <t>Ostend Town</t>
  </si>
  <si>
    <t xml:space="preserve">Commercial Area for New pole or co-lo with Vodafone. </t>
  </si>
  <si>
    <t>Balmoral Road</t>
  </si>
  <si>
    <t>46 Balmoral Road_x000D_
Mt Eden_x000D_
Auckland</t>
  </si>
  <si>
    <t>Dominion Rd Central</t>
  </si>
  <si>
    <t>Build ready awaiting full access to Site. Matt Daly to confirm 26/05_x000D_
(Jul14 RB) Integration after SKY OSN Integration</t>
  </si>
  <si>
    <t>Cnr Calgarry &amp; 771 Dominion Rd_x000D_
Balmoral_x000D_
Auckland</t>
  </si>
  <si>
    <t>Sandringham</t>
  </si>
  <si>
    <t>TI complete Trabnsmission Path pending connection to network 26/03</t>
  </si>
  <si>
    <t xml:space="preserve">Gordon Buildings_x000D_
519 Sandringham Rd Shops_x000D_
Sandringham_x000D_
Auckland_x000D_
</t>
  </si>
  <si>
    <t>Point Chevalier South</t>
  </si>
  <si>
    <t>On Air_x000D_
Link to Birkenhead S REQUIRE : 600mmØ</t>
  </si>
  <si>
    <t>1218 Great North Rd_x000D_
Pt Chevalier</t>
  </si>
  <si>
    <t>Waiheke Island Hub</t>
  </si>
  <si>
    <t>Hub site.  Used by Vodafone. coverage for Orapiu Rd.</t>
  </si>
  <si>
    <t>Mission Bay Upper</t>
  </si>
  <si>
    <t>On Air_x000D_
Contact: Richard &amp; Jean Whittington_x000D_
dickw@woosh.co.nz_x000D_
Ph: (09) 528 3451</t>
  </si>
  <si>
    <t xml:space="preserve">10 Tagalad Rd_x000D_
Mission Bay _x000D_
Auckland 1071_x000D_
_x000D_
</t>
  </si>
  <si>
    <t>New Windsor</t>
  </si>
  <si>
    <t xml:space="preserve">Noticiation closed with no resident lodgements/feedback to consultation letters. Early access given by Council, Kelly advised Council of our commencement date for license agreement. </t>
  </si>
  <si>
    <t>188 New Windsor Rd, New Windsor</t>
  </si>
  <si>
    <t>Avondale Racecourse</t>
  </si>
  <si>
    <t>Avondale Racecourse,_x000D_
2-48 Ash St,_x000D_
Avondale,_x000D_
Auckland</t>
  </si>
  <si>
    <t>Kingsland</t>
  </si>
  <si>
    <t>AKL-007-106-A, AKL-007-071-A</t>
  </si>
  <si>
    <t>SA: license and HOA to be signed. TNZ Approval recieved LL has been ordered for this Site 2/04</t>
  </si>
  <si>
    <t xml:space="preserve">Bond St Overbridge (Over SH16),_x000D_
End of New Bond St (Access and Cabinet location),_x000D_
Kingsland,_x000D_
Auckland_x000D_
</t>
  </si>
  <si>
    <t>Mt Eden</t>
  </si>
  <si>
    <t>Lease ok, Awaiting TP approval. 26/5_x000D_
Cabinets swapped out for new DU EQUIPMENT.</t>
  </si>
  <si>
    <t>Metropolitan Rentals_x000D_
317 - 319 Dominion Road_x000D_
Mt Eden</t>
  </si>
  <si>
    <t>Lodged with rev 3 plans on the 1 June 2012 with Auckland Council   - 01/06/2012</t>
  </si>
  <si>
    <t>Morningside</t>
  </si>
  <si>
    <t>Proceeding awaiting power for integration MB01/05</t>
  </si>
  <si>
    <t xml:space="preserve">Motorhaus Motorcycles,_x000D_
6 Western Springs Rd,_x000D_
Morningside,_x000D_
Auckland_x000D_
_x000D_
</t>
  </si>
  <si>
    <t>Orakei LPR</t>
  </si>
  <si>
    <t>Orakei, LPR</t>
  </si>
  <si>
    <t>Light Pole on roading _x000D_
reserve situated beside coffee_x000D_
cart in the mini golf carpark_x000D_
3-5 Tamaki Drive_x000D_
Auckland</t>
  </si>
  <si>
    <t>Auckland University</t>
  </si>
  <si>
    <t>build complete awaiting TI and Integration 04/06MB</t>
  </si>
  <si>
    <t>5 Alfred St (outside Library ground floor entrance)_x000D_
Auckland CBD</t>
  </si>
  <si>
    <t>Remuera Rd</t>
  </si>
  <si>
    <t>(Jun03 DJ) On track SOA Jun30._x000D_
(Jun10 DJ) UG svcs encountered - hold dates conditional on Chris A response. On track for SOA Jun30_x000D_
(Jun18 DJ) CI &amp; TI delayed 1 wk (LL issue), still holding SOA Jun30._x000D_
(Jun24 DJ) On track SOA Jun30._x000D_
(Jul01 DJ) SOA !!</t>
  </si>
  <si>
    <t xml:space="preserve">439 Remuera Rd (cnr Cotter ave)_x000D_
Remuera_x000D_
Auckland_x000D_
</t>
  </si>
  <si>
    <t>Remuera East</t>
  </si>
  <si>
    <t>(May28 DJ)  Pole OK. Holding SOA date but there is some potential to complete sooner.   --taupe_x000D_
(Jun03 DJ) On track SOA Jun30._x000D_
(Jun10 DJ) On track for SOA Jun30_x000D_
(Jun18 DJ) still holding SOA Jun30._x000D_
(Jun24 DJ) SOA brought fwd to Jun24.  &gt; SOA!!</t>
  </si>
  <si>
    <t>636 Remuera Rd_x000D_
Remuera_x000D_
Auckland</t>
  </si>
  <si>
    <t>Ponsonby Hub</t>
  </si>
  <si>
    <t>Build Ready awaiting prototype cabinet due to headspace in Telecoms room. SBS order made. Cabinet due in 3 weeks 26/05</t>
  </si>
  <si>
    <t>9 Hopetoun St_x000D_
Ponsonby_x000D_
Auckland</t>
  </si>
  <si>
    <t>Mt Wellington North</t>
  </si>
  <si>
    <t>Pole on hold until acquisition expect to know about Council policy. Lease ready and council sent hardcopy to us. Early access email from Kelly. Pole delays, no response from CSP. KH &amp; JB to follow up Council for lease documents.</t>
  </si>
  <si>
    <t>Lightpole replacement outside of property located at 60 Barrack Road, Mount Wellington</t>
  </si>
  <si>
    <t>Karangahape Rd</t>
  </si>
  <si>
    <t>S127 complete. Tim confirmed rev2 CD's are latest.</t>
  </si>
  <si>
    <t>150 - 166 Karangahape Road_x000D_
Auckland City</t>
  </si>
  <si>
    <t>Dalmation Society, Eden Terrace</t>
  </si>
  <si>
    <t>NOTE - BBU 3806 SWAPPED OUR FOR NEW 3900 UNIT 17/10/2012</t>
  </si>
  <si>
    <t>12 New North Road_x000D_
Eden Terrace_x000D_
Auckland</t>
  </si>
  <si>
    <t>Blackpool Beach W/T</t>
  </si>
  <si>
    <t>Coverage to Blackpool Beach, Oneroa,Kennedy Point &amp; some of church Bay.</t>
  </si>
  <si>
    <t>Surfdale</t>
  </si>
  <si>
    <t xml:space="preserve"> Surfdale_x000D_
Waiheke Island._x000D_
_x000D_
Strategic Option if we can get it covers both Surfdale and Blackpool from a ridgeline._x000D_
Option A:  GF/LP Option at End of Burrell Road Extension where road ends and Park track starts   Grid: 2690814  6488389 (GOOD Location)_x000D_
Option B: LP Option near HV pole No: 279735 Burrell Road Extension      Grid; 2690718 6488191_x000D_
NOTE: If we cannot get a single site on this on ridge line of Burrall Road Extension then Site will need to be split in two with a site in 'Surfdale' and 'Blackpool' ._x000D_
_x000D_
The Surfdale options would then revert to:_x000D_
Option A:  The Surfdale option would therefore be centred on the Surfdale Shopping Centre area Grid: 2690987   6487733_x000D_
Option B: Off Ocean View Rd 31 Wellington Road potential to swapout telegraph pole 55m AMSL E 2691768 N 6487950  (on good ridge for coverage , preferred area)  _x000D_
_x000D_
After site search 1/12/09:_x000D_
Option A: LPR - Tetley Rd - opposite Lannan Rd - cabinets to be located cnr Tetley and Lannan_x000D_
Option B: RT on Bowling Club - Hamilton Rd_x000D_
Option C: GF behind Ao Place Takeaways - Miami Ave_x000D_
_x000D_
_x000D_
After site search 16/03/10:_x000D_
Option A: Rooftop at Recreation center_x000D_
Option B: Green field pole at Stefano's Pizza </t>
  </si>
  <si>
    <t>Surfdale North</t>
  </si>
  <si>
    <t>High Locations for new pole site. To provide RF coverage for Goodwin Ave, Hekenua Rd residents.</t>
  </si>
  <si>
    <t>Onetangi Rd</t>
  </si>
  <si>
    <t>Areas to the South of Onetangi Township._x000D_
_x000D_
Wineries, Golf Course, Aerodrome</t>
  </si>
  <si>
    <t>Omiha</t>
  </si>
  <si>
    <t xml:space="preserve">Omiha,_x000D_
Waiheke Island_x000D_
Option A: GF Pole at Glenbrook Reserve on Okoka Road, Omiha.      Grid: 2694148  6485151_x000D_
_x000D_
After site search 1/12/09:_x000D_
Option A: 41 Okoka Rd_x000D_
</t>
  </si>
  <si>
    <t>Oneroa Bay</t>
  </si>
  <si>
    <t>Coverage to Oneroa Bay &amp; Little Oneroa Beach. Also residential areas to the east across oneroa Bay.</t>
  </si>
  <si>
    <t>Onetangi Town</t>
  </si>
  <si>
    <t>Onetangi_x000D_
Option A: GF 10m P)ole side of road adjacent to the wall of the hay Paddock Winery (on Bend in Seaveiw Road. (Makes full use of elevated Terrain to peek over seashore and entire Onetangi Beach. (GOOD if we can get this)                       PREFERRED.         Grid: 2695589  6487922_x000D_
Option B: 10m Vodafone Colo  adj to Shell Station Cnr of Onetangi Rd and Seaveiw Rd Onetangi Town Grid: 2695988  6487805_x000D_
_x000D_
_x000D_
NOTE: Do not use the distant 'AKL-007-119 Onetangi' site colo poles of Voda and TNZ at Fountain Health Farm Contact Diana Goldman 09 372 8873 for appointment. BUT these options well off to the east of the town and away from service area. KEEP AS BACKUP if we CANNOT get the town options under AKL-007-157 Onetangi Town._x000D_
_x000D_
After site search 1/12/09:_x000D_
Option A above still preference otherwise may need 2 sites to cover settlment and beach which would be VFNZ co-lo as mentioned above to cover the town with the beach being coverd by VFNZ co-lo from Man O War Rd._x000D_
Option B: GF or RT at Backpackers on top of hill opposite 7th Ave_x000D_
Option C: LPR along beach &amp; GF in industrial area_x000D_
_x000D_
site visit 16/3/10_x000D_
Option A: Ind. building at Totara Td.</t>
  </si>
  <si>
    <t>Motutapu Island</t>
  </si>
  <si>
    <t>Palm Beach</t>
  </si>
  <si>
    <t>Coverage to Palm Beach Area to the west and east.</t>
  </si>
  <si>
    <t>Rotoroa Island</t>
  </si>
  <si>
    <t>Sky City Carpark</t>
  </si>
  <si>
    <t>IB</t>
  </si>
  <si>
    <t>Fibre Optic, Fibre Optic</t>
  </si>
  <si>
    <t>17/2/13 - Lease terms agreed. Permission to start build but not to go live until lease and licence is complete._x000D_
18/03/13 - Pre-start meeting completed, and works now underway.  Additional 4-50 cable required - Jackie to order / sort with Abdul</t>
  </si>
  <si>
    <t>Hobson Street entry or Federal Street entry</t>
  </si>
  <si>
    <t>Kingsland Shops</t>
  </si>
  <si>
    <t xml:space="preserve">split site.Cabinets on 478 New North Road in the shed. Antenna on 476 New North Road roof top. Access via 478 New North Road._x000D_
Cabinet lease with landlord (Revised rental)_x000D_
Antenna lease with Landlord soliciters - minor changes to be forwarded in writing 26.08._x000D_
28.08 Both leases signed by Landlords. Bevan to submit RMA._x000D_
20/09/2010 Leases executed by 2degrees._x000D_
22/09 Both leases - all site aqu complete_x000D_
08/10 RMA approved - site hardmatched._x000D_
Tier 1 infill so - Vendor to do CD's and build_x000D_
14.03.2011 WO2 withdrawn - Added capacity cabinets and antenna change required._x000D_
NOTE- Swap out BBU 3806 for new 3900 on 17/10/2012._x000D_
_x000D_
_x000D_
_x000D_
</t>
  </si>
  <si>
    <t>476 - 478 New North Road_x000D_
Kingsland</t>
  </si>
  <si>
    <t>s127 application for amended sector 2 antenna &amp; additional cabinet  - 13/05/2011</t>
  </si>
  <si>
    <t>Victoria Park Tunnel</t>
  </si>
  <si>
    <t>Victoria Park Tunnel Repeater</t>
  </si>
  <si>
    <t>X</t>
  </si>
  <si>
    <t xml:space="preserve">This is a Macro Repeater site, utilising special repeater kit._x000D_
Leaky feeder through tunnel, with panels at entry &amp;exit. Expected to open Mid-2011. JV with VF and TNZ. 22/06 JC to discuss with Telecom the requirements from our side. Most likely go with cabinets outside to combiner in Telecom shelter and feeders to antenna and ends of tunnel. </t>
  </si>
  <si>
    <t>SH1_x000D_
Victoria Park Tunnel_x000D_
Auckland CBD_x000D_
Auckland</t>
  </si>
  <si>
    <t>Waterview Tunnel</t>
  </si>
  <si>
    <t>Kick off meeting BR &amp; JB 22/4._x000D_
BR TO ATTEND SECOND MEETING 29/10/2010</t>
  </si>
  <si>
    <t>SH16-20_x000D_
WVT_x000D_
AKL</t>
  </si>
  <si>
    <t>Khyber Pass 3G Inbuilding</t>
  </si>
  <si>
    <t>131 Khyber Pass Rd Inbuilding</t>
  </si>
  <si>
    <t>131 Khyber Pass Rd_x000D_
Grafton_x000D_
Auckland 1023</t>
  </si>
  <si>
    <t>126 Khyber Pass MW Link</t>
  </si>
  <si>
    <t>City Rd MW Link</t>
  </si>
  <si>
    <t>Upper Queen St MW Link</t>
  </si>
  <si>
    <t>Britomart Train Station</t>
  </si>
  <si>
    <t>Britomart - permanent</t>
  </si>
  <si>
    <t>28/04/11 - Design will now feed upper antenna off main RRU by 4-50 cable_x000D_
16/06/11 - New Form agreement required and currently under legal reviews etc_x000D_
14/07/11 - Lease with Transport - still caught up in Britomart domain_x000D_
1/9/11 - Lease with Paul K_x000D_
22/09/11 - ACC happy to proceed with lease (with condition tunnel antenna to be sorted later). They are obtaining valuation for rent_x000D_
29/09/11 - Lease with 2 Degrees legal for review and comment_x000D_
6/10/11 - RF may want to change design and overall configuration. Verapol to call meeting next week_x000D_
27/10/11 - Lease still with 2D for review.  Rf plan is now agreed and in place_x000D_
03/11/11 - Brad to help arrange Contractor pre-build access and induction for end Nov/Early Dec so build can occur in Britomart shutdown period_x000D_
24/11/11 - Draft lease (with significant changes) done. Brad to hand deliver. Will require significant period to conclude, so Brad is trying to extend temp agreement to allow access and build in December._x000D_
15/12/11 - Trying for access to build over New Year.  AK Transport rejected latest lease changes_x000D_
16/02/12 - ATC approved turning on site while lease concluded over next 3 months. Planned integration 19 April_x000D_
19/04/12 - site is now live. Walk test OK. Still to do tunnel antenna when area available</t>
  </si>
  <si>
    <t>Britomart Train Station_x000D_
Auckland</t>
  </si>
  <si>
    <t>No RMA was assessed as being required  - 04/05/2012</t>
  </si>
  <si>
    <t>Penrose East</t>
  </si>
  <si>
    <t xml:space="preserve">Stockman Civils </t>
  </si>
  <si>
    <t>Landlord willing. Met us on site. Wants to be able to fly company flag from pole - will have to make this possible. Also needs to be fenced. Situated in civil contracting storage yard. Big trucks and Forklifts.</t>
  </si>
  <si>
    <t>38 Leonard Road_x000D_
Mt Wellington</t>
  </si>
  <si>
    <t>Lodged with council on the 10.11.11 with Aimee Buckingham at AC   - 11/11/2011</t>
  </si>
  <si>
    <t>Test_nomimal_01</t>
  </si>
  <si>
    <t>Ellerslie Central</t>
  </si>
  <si>
    <t>P4J</t>
  </si>
  <si>
    <t>150 Mauru Road</t>
  </si>
  <si>
    <t>Lodged on the 13.12.2011 with Mark Ross of Auckland Council processing planner. Lodged with rev 1 plans.   - 14/12/2011._x000D_
_x000D_
Rev 1 plans swapped out for rev 2 plans. _x000D_
_x000D_
Approved on the 17.2.2012, council reference:  R/LUC/2011/4574 with rev 2 plans.   - 20/02/2012</t>
  </si>
  <si>
    <t xml:space="preserve">Queens Wharf </t>
  </si>
  <si>
    <t>Queens Wharf</t>
  </si>
  <si>
    <t>99 Quay Street_x000D_
Auckland CBD</t>
  </si>
  <si>
    <t>Lodged on the 11.8.2011, processing with Mark Ross of Auckland Council._x000D_
The site is located within the CMA and is zoned Port Management Area 1C. Therefore a coastal permit has been applied for.  - 12/08/2011</t>
  </si>
  <si>
    <t>RBI - Claris Great Barrier</t>
  </si>
  <si>
    <t>Marua Rd Mini-Repeater</t>
  </si>
  <si>
    <t>Turf Tech Mini</t>
  </si>
  <si>
    <t xml:space="preserve">Turf Tech_x000D_
Unit 6_x000D_
248 Marua Road , Mt Wellington_x000D_
</t>
  </si>
  <si>
    <t>65 Upper Queen Street</t>
  </si>
  <si>
    <t>65 Upper Queen Street Repeater</t>
  </si>
  <si>
    <t>RUQS</t>
  </si>
  <si>
    <t>900_2100_MINI_RPTR</t>
  </si>
  <si>
    <t>Installed 2012-07-06, decomissioned 10/12/13 when corporate office relocated</t>
  </si>
  <si>
    <t>42 Upper Queens St Repeater</t>
  </si>
  <si>
    <t>Repeater required for in-building coverage in 42 Upper Queens St office</t>
  </si>
  <si>
    <t>NZVIF Repeater (AOG)</t>
  </si>
  <si>
    <t>AOG</t>
  </si>
  <si>
    <t>Mayoral Drive MDR</t>
  </si>
  <si>
    <t>Chorus colocation MDR</t>
  </si>
  <si>
    <t>SOA and PAC dates entered to reflect status</t>
  </si>
  <si>
    <t>31 Airedale Street,_x000D_
Auckland</t>
  </si>
  <si>
    <t>Greenlane Interchange</t>
  </si>
  <si>
    <t>Kiwirail GF</t>
  </si>
  <si>
    <t>15/8 - Caravan done, PDI given, Ritchie getting quotes for heights survey, topo survey, boundary survey &amp; desktop geotech. PD rev 1 issued 13 Sept 2013. Ben lodging RMA with rev 2 showing future cabs 15/10/13 - design accepted by kiwirail, commercials/lease agreements underway with Brad.</t>
  </si>
  <si>
    <t>114-118 Greenlane Rd,_x000D_
Kiwirail yard_x000D_
Greenlane,_x000D_
Auckland</t>
  </si>
  <si>
    <t>Onehunga Central</t>
  </si>
  <si>
    <t>Shopping Mall Car Park 1</t>
  </si>
  <si>
    <t xml:space="preserve">29.01.14 Leasing Manager happy to see us. Caravan arranged with him on 30.01.14_x000D_
31.01.14 Leasing Manager would like a proposal first - Mock upped photos. We did measure up._x000D_
12.01.14 Proposal sent to Building manager (by Liz)_x000D_
24.02.14 PDI Issued. Await plans._x000D_
24.03 Revisit site with Alex J to clarify power and earthing today._x000D_
24.03.14 Revist - Building manager wants single pole solution. Drawings to change._x000D_
01.04.14 Design resourse down to Reuben and GHD in WLG_x000D_
16.04.14 RF changed design  made 2m higher. Long discussion. Makes bracing extensive, may require Build C. Ugly. BR spk to Parviz and Tim L. Back to 5m pole, plans to be finalised today._x000D_
06.05.14 Plans with Landlord for a while now. Await terms agreed. Then will issue CDI &amp; Apply for RMA_x000D_
07.05.14 Liz handed over to John Watson_x000D_
23.05.14 Still await Lease terms agreed. Rob to submit RMA (SUBMITTED)_x000D_
04.06.14 John battling to get response from Centres legal. Still await Lease terms agreed._x000D_
13.06.14 Received legal response. Pages and pages of Special cond. Reviewed - made changes - returned._x000D_
01.07.14 Generator plug to be installed within cabinets._x000D_
Site on air date changed to Nov as the MW are only available then_x000D_
9/10/14 - Site on air 2G and 3G.  4G still to be tested_x000D_
</t>
  </si>
  <si>
    <t>Onhunga Mall_x000D_
Roof Top Car Park_x000D_
Top Left Corner</t>
  </si>
  <si>
    <t>30 April - General lease terms are with LO lawyers they are drafting special conditons which we will need to review when they come back.  _x000D_
_x000D_
11April - Vaughan has advised that he will be on leave until after 22/4. The general lease cond. are still with their lawyers.  We can contact Rachel (lease admin)Rachel.Jackson@Oystergroup.co.nz if we need an update. _x000D_
_x000D_
In Negotiations. Have spoken with Lease manager regarding acces. After hours access we will be charged as security firm will have to allow us onto site. General lease conditions have been sent to the LO for review. Will await issue of the PD's - 19/03/2014  - 20/03/2014  - 14/04/2014  - 30/04/2014</t>
  </si>
  <si>
    <t>Albert St</t>
  </si>
  <si>
    <t>Crown Plaza</t>
  </si>
  <si>
    <t>DF5</t>
  </si>
  <si>
    <t>29.01.14 : Ben has made contact. To meet with building manager to finalise position of cabinets._x000D_
10.02.14 Ben busy discussing commerials withBuilding manager. To caravan ASAP._x000D_
Have asked Liz to get cosite docs from VNZ &amp; TNZ _x000D_
12.02.14 Rec VNZ cosite details. Have circulated. Caravan date scheduled 19.02.14_x000D_
25.02.14 Caravaned. PDI to be issued_x000D_
26.02.14 PDI Issied. Await plans_x000D_
01.04.14 Plans under circulation, feeder runs long. Making sure all good_x000D_
22.05.14 Landlord away until 02.06. Cant get fibre run approved until then._x000D_
22.05.14 Signed lease received today._x000D_
05.06.14 Executed by 2d but still waiting on legal review_x000D_
17.06.14 Legal review still not done. Discussed with legal. They are happy with teh risk._x000D_
Visiting site toady at 1.30 with Alex J Re Lightning protection. and Rob the Fibre guy._x000D_
fIBRE INSTALLED._x000D_
RF panels have a delay. Will place a load on them and integrate anyway</t>
  </si>
  <si>
    <t>Crown Plaza _x000D_
Cabinets on Level 13 or 14_x000D_
Antenna on Level 11</t>
  </si>
  <si>
    <t>Basic lease terms are agreed upon (rent, term)_x000D_
Lease documents with LO for more detailed review. Understand this review is complete but awaiting Director sign off before documents are returned for us._x000D_
Will then draft up special conditions and send for signing.  - 10/04/2014</t>
  </si>
  <si>
    <t>Aotea Square</t>
  </si>
  <si>
    <t>Export Building</t>
  </si>
  <si>
    <t>126 Vincent St</t>
  </si>
  <si>
    <t>Sky City Macro</t>
  </si>
  <si>
    <t xml:space="preserve">Sky City </t>
  </si>
  <si>
    <t>sky city have accepted the plans, commercials are underway with Brad.  Ben lodging RMA 15/10/13. _x000D_
sky city have put the cabinet lift on hold until they get an independant review of the design of 13/5/14, all go date tbc.</t>
  </si>
  <si>
    <t>Cnr Federal &amp; Victoria Streets, Auckland 1010</t>
  </si>
  <si>
    <t>Mt Albert Chorus Exchange</t>
  </si>
  <si>
    <t xml:space="preserve">Mt Albert </t>
  </si>
  <si>
    <t>Remuera Chorus Exchange</t>
  </si>
  <si>
    <t>Sylvia Park Shopping Centre</t>
  </si>
  <si>
    <t>Sylvia Park COLO</t>
  </si>
  <si>
    <t>29.01.14 We have received the Data Pack. BR has forwarded to Design for a structural analysis. BR to follow up with Tim B_x000D_
31.01.14 Structural passes. Colo application to be done._x000D_
10.02 Caravan done. PDI issued. Await PD's_x000D_
13.02.14 Await PD's_x000D_
27.02.2014 VNZ Colocation application made_x000D_
21.03.14 VNZ want cabs moved and cable tray = trip hazard. Looking into solutions._x000D_
06.05.14 Sub lease received and sent to Kiwi rail. RMA Approval due 19.05.14._x000D_
Construction dwngs to be updated with new cab position and details re head frame flange after riggers climb mast._x000D_
120 WORKING DAY EXPIRE : 18 September 2014 _x000D_
06.05.14 Kiwi rail very pedantic about new electrificaton of rail. Not allowed within 4m. We will most likely have to do the rigging work on a Sunday night after 10pm - For build_x000D_
07.05.14 Ryan C says we can remove MW from application. VNZ Charge us for it even the bracket. We can and will apply for it when we need it._x000D_
07.05.14 Liz handed over to Rob M_x000D_
20.05.14 Kiwi rail held onto lease for ages, when opened realised we had not signed. They insist VNZ + 2d sign first. Plans changed with extra cabs. VNZ to review and approve._x000D_
Tender Pricing due in today._x000D_
Tender awarded to Transfield._x000D_
22.05 We have received the amended sub lease. We will sign, then give back to VNZ to sign, then get Kiwi rail to sign._x000D_
05.06.014 Still waiting on VNZ to sign sub lease. Rob M is chasing up._x000D_
Johan and I have commenced with the Project plan and the H&amp;S docs have been received._x000D_
12.06.14 VNZ still have not signed the sub lease._x000D_
17.06.14 VNZ Still have not signed the sub lease. BR to escalate today.</t>
  </si>
  <si>
    <t>Clemow Dr_x000D_
Mt Wellington</t>
  </si>
  <si>
    <t>30/4 Sublease had incorrect rent.  Vodafone re-drafting.  BUT have recevied approval from Kiwirail for the co-locaiton.  _x000D_
11/4 Waiting for renewal and rent to be finalised before Kiwirail can provide thoughts on Co-location.  VDFN and Kiwiwrail have been advised. _x000D_
Expiry of Vodaofne lease is 30 June 2020. have discussed with PM and Jason Britten and it has been ok'd as Head lease held by ontrack/kiwirail.    - 19/03/2014  - 14/04/2014  - 30/04/2014</t>
  </si>
  <si>
    <t>Quay Street</t>
  </si>
  <si>
    <t xml:space="preserve">Own Pole </t>
  </si>
  <si>
    <t>29.01.14 : We need to Caravan a position for an alternative to the LPR ASAP._x000D_
11.02.14 PDI issued - await Rev 0_x000D_
12.02.14 Company decided to only submit LPR Telco Notice. Plans to continue but not a priority._x000D_
18.02 Council advised this is not a preferred option. John W advised design not to prioritze dwngs_x000D_
26.02.14 BR instructed Tim B in design to finish drawings as they may be required. (Elliot St T.Notice requires a paymnt - Quay St TN may too)_x000D_
10.03.14 Await PD's_x000D_
21.03.14 LPR Going ahead._x000D_
22.03.14 BR instructed Design to complete the PD's and issue._x000D_
27.03.14. LPR not going ahead. Telco Notice submitted on this one. _x000D_
07.05.14 This site is within the LTE zone. It must be LTE, Plans to be amended and S127 submitted. _x000D_
20.05.14 Rob Busy with S127_x000D_
22.05.14 Council advise S127 not required. Just need to update plans. Rob picked up squ m on plans incorrect, have now been amended._x000D_
01.09.14 All tests on feeder fail. Have to remove all feeder and replace then integrate</t>
  </si>
  <si>
    <t>23 Quay St</t>
  </si>
  <si>
    <t>Customer Experience</t>
  </si>
  <si>
    <t>Eden Park Stadium</t>
  </si>
  <si>
    <t>Halsey Street</t>
  </si>
  <si>
    <t>Sanford Ltd</t>
  </si>
  <si>
    <t>29.01.14 : Team have surveyed. Tim Lau is happy with new search area. Ben busy negotiating. Once we have some confidence we will Caravan._x000D_
12.02.14 Sanford regard split antenna as 2 sites. Rent high. Tim Lau to reconcider 2 sector site only + need to shroud. Tim to advise_x000D_
20.02.14 Caravaned. Photomontage proposal to go to LL first before PDI_x000D_
21.02.14 Tim L placed on hold. Reassessing RF plan._x000D_
27.02.14 Tim L adviss to go with 2 sector site, taller shroud. Girma happy to move MW out shroud. Ben to ask Landlord._x000D_
10.03.14 Landlord happy with proposal. BR to submit PDI asap_x000D_
24.03 Planning drawings Rev 0 due for circulation today_x000D_
01.04.14 Looking at chnaging from DF to DU. (Too many RRu's and combiners)_x000D_
06.05.014 Waterfront have approved. Now with Sanford.</t>
  </si>
  <si>
    <t>22 Jelicoe St_x000D_
Auckland_x000D_
1010</t>
  </si>
  <si>
    <t>Lease terms are broadly agreed. Currently waiting on drawings and license clauses regarding head-lease from Legal before submitting to Head Lessor Auckland Waterfront for their approval._x000D_
_x000D_
Once AW approval received, full documents will be sent to Sanford for their signing.  - 10/04/2014</t>
  </si>
  <si>
    <t>Herne Bay Relocation</t>
  </si>
  <si>
    <t>05.02.14 From teh Developer Marcus : We are progressing well, I will ask the site manager roughly when we will be requiring the move to the scaffolding and get back to you._x000D_
18.02.14 Developer advised would like antenna moved last week of March / First week of April. BR set up meeting with F/Ops to discuss - 27.02.14_x000D_
27.02.14 BR spoke to Max M of Transfield. BR and Verapol to finalise a few details for Max, then he will quote._x000D_
10.03.04 Rec quote. Raised POR. To do Move order._x000D_
24.03 PO Rec for T/Field to do the work. MO done for equipment to T/Field._x000D_
Antenna Relocation planned for Sat 5 April 2014</t>
  </si>
  <si>
    <t>Jervois Road_x000D_
Herne Bay_x000D_
Auckland</t>
  </si>
  <si>
    <t>Three Kings - Relocation</t>
  </si>
  <si>
    <t>Three Kings LPR</t>
  </si>
  <si>
    <t>18.2.15 - site search brief to be issued by Trevor_x000D_
Possible LPR down by countdown area - site search to be scheduled_x000D_
7/10/15 - northpower can only schedule power to site on 20th Nov!</t>
  </si>
  <si>
    <t>cnr Dornwell Rd &amp; Mt Albert Rd_x000D_
outside 3 Kings Takeaways_x000D_
501 Mt Albert Rd,_x000D_
Three Kings,_x000D_
Auckland</t>
  </si>
  <si>
    <t>RELOCATION</t>
  </si>
  <si>
    <t>Eden Park - permanent site</t>
  </si>
  <si>
    <t>Eden Park - Stadium North Stand</t>
  </si>
  <si>
    <t>site visit with Viv from Eden park 17/10 - proposal with photo montage sent to Eden park 25/10. RF updated/new proposal (sitll being finalised) communicated to JL 29/10 - this plan is significantly different and larger than initially planned with 6 x sectors around whole stadium.  Awaiting full scope from RF  - 31/10/13. (meeting with RF 1/11/13). Caravan measure up scheduled for 21 March 2014 with final design (2 site build - 6 sectors, 2 sets of DF cabinets) DAS negotiations are still underway in parallel to pursuing our own sites here._x000D_
28 Aug - co-site agreements and letters of comfort have been given from both VF and Spark</t>
  </si>
  <si>
    <t>Eden Park,_x000D_
Reimers Ave,_x000D_
Kingsland,_x000D_
Auckland</t>
  </si>
  <si>
    <t>Eden Park Stadium - 2nd site</t>
  </si>
  <si>
    <t>Eden Park - Stadium South Stand</t>
  </si>
  <si>
    <t>Reimers Ave,_x000D_
Kingsland,_x000D_
Auckland</t>
  </si>
  <si>
    <t>47 George St</t>
  </si>
  <si>
    <t>TX - 47 George Street</t>
  </si>
  <si>
    <t>TX only site for IT</t>
  </si>
  <si>
    <t>47 George Street,_x000D_
Newmarket,_x000D_
Auckland</t>
  </si>
  <si>
    <t>Elliot St</t>
  </si>
  <si>
    <t xml:space="preserve">Anzac </t>
  </si>
  <si>
    <t>Tasman Building</t>
  </si>
  <si>
    <t xml:space="preserve">09.12.14 Site Search at Tasman Building, we could make it work. LL keen to see our proposal. Next step is CARAVAN. Brad to set up._x000D_
04/2/15 - Caravanned.  Good options available_x000D_
12/5/15 - Alternative sites have same relocation requirements. Pressing on with this site._x000D_
20/05/15 - Lease with 2 Degrees.  CDI issued_x000D_
25/05/15 - Co-site application lodged with Spark_x000D_
26/05/15 - Owner signed lease, now with 2 D.  Ron + Ritchell to visit 27/5 for CD measure_x000D_
11/06/15 - Spark co-site approval received_x000D_
29/06/15 - Build delayed to 2016_x000D_
</t>
  </si>
  <si>
    <t>Tasman Building _x000D_
Anzac Street_x000D_
Auckland</t>
  </si>
  <si>
    <t>All SA complete ticked off by Liz - checked Co-site approval from Spark no SFA advised.   - 11/06/2015</t>
  </si>
  <si>
    <t>Brittomart Microcell</t>
  </si>
  <si>
    <t>Brittomart (Galway St)</t>
  </si>
  <si>
    <t>23.05.14 Took Mark the AKL Planner out, reviewed 4 own pole sites. Await his feedback._x000D_
18.06.14 After much discussion this appears to be the best solution. AT have reolved their issues with us, thus this is now viable. Also has the potential to be come a macro site._x000D_
Have AT approval and TN approval and RMA._x000D_
Await Fibre, Transfield + STL to do civils and TI - Integratioh checksheet in circulation on CR 39442</t>
  </si>
  <si>
    <t>Corner of Galway and Gore St_x000D_
City Centre_x000D_
Auckland</t>
  </si>
  <si>
    <t>Date Lease Issued is the date the Telco notice was sent out.   - 18/09/2014</t>
  </si>
  <si>
    <t>Won't comply with NES and unlikely to comply with special precinct rules  - 03/07/2014</t>
  </si>
  <si>
    <t>Fort &amp; Queen Microcell</t>
  </si>
  <si>
    <t>LPR</t>
  </si>
  <si>
    <t>30.09 PD's complete_x000D_
STD 914 to be amended until AT happy - then we can submit._x000D_
Required STD 914 for TN and RMA submission._x000D_
01.12.2014 RMA approved_x000D_
AT Applications to be submitted - need TMP from Johan and PS1 from Chris A_x000D_
18.2.15 - awaiting AT approval</t>
  </si>
  <si>
    <t>Traffic Light Pole_x000D_
Cnr of Fort and Queen St_x000D_
Auckland _x000D_
CBD</t>
  </si>
  <si>
    <t>Date Lease Issued is the date the Telco Notice was sent.  - 24/10/2014</t>
  </si>
  <si>
    <t>Sight Line No.7  - 13/11/2014</t>
  </si>
  <si>
    <t>Wyndham &amp; Queen Microcell</t>
  </si>
  <si>
    <t>Light Pole</t>
  </si>
  <si>
    <t xml:space="preserve">Measured back up pole, Lease taking long and we are getting unsure._x000D_
progressing pole._x000D_
30.09 PD's complete_x000D_
STD 914 to be amended until AT happy - then we can submit._x000D_
Required STD 914 for TN and RMA submission_x000D_
01.12.2014 RMA approved_x000D_
AT Applications to be submitted - need TMP from Johan and PS1 from Chris A_x000D_
18.2.15 - awaiting AT approvals_x000D_
_x000D_
</t>
  </si>
  <si>
    <t>Light Pole on Wyndham &amp; Queen corner_x000D_
Outside Esquires</t>
  </si>
  <si>
    <t>Victoria &amp; Queen Microcell</t>
  </si>
  <si>
    <t>Lightpole outside Starbucks</t>
  </si>
  <si>
    <t>01.12.2014 RMA approved_x000D_
AT Applications to be submitted - need TMP from Johan and PS1 from Chris A_x000D_
18.2.15 - awaiting AT approval</t>
  </si>
  <si>
    <t>Cnr Victoria and Queen Str. - outside Starbucks</t>
  </si>
  <si>
    <t>Wellesley &amp; Queen Microcell</t>
  </si>
  <si>
    <t>Bangkok Cafe</t>
  </si>
  <si>
    <t>22.05.14We met Matt the S&amp;C facilities manager. Showed us into the roof. Looks very promising. Need to do a presentation.</t>
  </si>
  <si>
    <t>267 Bangkok Cafe_x000D_
Queen Street</t>
  </si>
  <si>
    <t>Dependent on Council interpretation of rooftop projection rule  - 03/07/2014</t>
  </si>
  <si>
    <t xml:space="preserve">Oneroa Township South </t>
  </si>
  <si>
    <t>132 Oceanview Road</t>
  </si>
  <si>
    <t>01.08.2014 BC Approved. Progress to build ASAP</t>
  </si>
  <si>
    <t>LPR Outside _x000D_
Oneroa Accident and Medical_x000D_
132 Oceanview Road_x000D_
Oneroa</t>
  </si>
  <si>
    <t>Mt Eden Microcell</t>
  </si>
  <si>
    <t xml:space="preserve">18.07.14 Scoping done for MC_x000D_
RF = Michael Lai and TX = Ryan._x000D_
Pole identified .Tx Prequal done._x000D_
Budget approved at Gov._x000D_
NEXT STEP = Caravan by Jackie </t>
  </si>
  <si>
    <t>Lightpole outside _x000D_
335 Mt Eden Rd</t>
  </si>
  <si>
    <t>Date Lease Issue is the date the Telco notice was sent out.   - 18/09/2014</t>
  </si>
  <si>
    <t>Ellerslie West</t>
  </si>
  <si>
    <t>624-626 Great South Rd</t>
  </si>
  <si>
    <t>16/1/15 - awaiting feedback from Argosy on proposed design_x000D_
28/1/15 - still awaiting feeback from Argosy_x000D_
19.2.15 - VF co-site agreement lodged_x000D_
13/8/15 - fibre order cancelled - site will not be built until 2016</t>
  </si>
  <si>
    <t>624-626 Great South Rd,_x000D_
Ellerslie West</t>
  </si>
  <si>
    <t xml:space="preserve">Downtown West </t>
  </si>
  <si>
    <t>DT West AT Downtown Carpark</t>
  </si>
  <si>
    <t>07/07/15 - New candidate to be found._x000D_
04/08/15 - Brad to visit area with Kevin to look at options - with time getting short, need couple good candidates to progress_x000D_
11/08/15 - Been for drive - list candidates available - Kevin to prioritise_x000D_
24/08/15 - Downtown Carpark caravanned and drawings underway_x000D_
4/11/15 - Resource Consent drafted and ready to lodge when adised._x000D_
10/11/15 - Council to come back on design asap_x000D_
08/12/15 - Council OK, and providing proposed license agreement.  Will require Detailed Design sign-offs. Brad to send through the questions_x000D_
9/2/16 - Had prelim meeting with AT re CD's and a number of amendments required.  Lease will not be signed until CD's approved.</t>
  </si>
  <si>
    <t>AT Downtown Carpark_x000D_
Customs Street_x000D_
Auckland</t>
  </si>
  <si>
    <t>Downtown East</t>
  </si>
  <si>
    <t>Rabo Direct</t>
  </si>
  <si>
    <t>Replacement for Downtown South which is being demolished end 2015/2016_x000D_
26/05/15 - Caravan Thursday, for the confirmed 2 sectors and options for 3rd_x000D_
23/06/15 - Caravanned for 2 sector option. Build 2016_x000D_
4/11/15 - Concerns on Design, asthetics and potential impact on future signage.  Consent ready to be issued, but asked to hold in case plans change_x000D_
10/11/15 - Discussing what they need of us in terms of relocation provisions_x000D_
8/12/15 - coming back to Brad in couple days.  Consent on hold at our request to cope with design changes._x000D_
9/2/16 - Lease with owners lawyers. Not responding as yet.  CoC on hold ready to sub out plans and issue.  Need backup alternatives (Kevin)</t>
  </si>
  <si>
    <t>Rabo Direct Building_x000D_
2 Commerce St_x000D_
Auckland</t>
  </si>
  <si>
    <t>Khyber Pass South</t>
  </si>
  <si>
    <t>26/05/15 - Advised Jordan on leave till 1 July - Ben/John to advise if replacement acq required_x000D_
03/06/15 - Caravan 05 June_x000D_
23/06/15 - Pre-meeting with Council when PD's available - to discuss view shaft concerns_x000D_
08/09/15 - LA4 landscape to do assessment - Contract required.  Likely to be notified.  Need to look at smaller shrouds, in which case all drawings need to be updated_x000D_
22/09/15 - Survey to be undertaken to confirm view shaft position - if site clear the consent will be OK. If site inside, then need to deal with visuals_x000D_
29/9/15 - Survey confirmed outside view shaft. Consent will be CoC. dates revised_x000D_
4/11/15 - Lease OK.  New build starts April/May, so need to be ready to build_x000D_
17/11/15 - Council view site as being in viewshaft - likely now to be notified.  Also need to look for alternatives_x000D_
9/2/16 - Iwi consultation (Maunga Authority) needed before Council will issue decision on Notification.  Landscape peer review is being undertaken internally by Council</t>
  </si>
  <si>
    <t>Mangere Bridge GF</t>
  </si>
  <si>
    <t>Manukau City</t>
  </si>
  <si>
    <t>(May14 DJ)  (on schedule). SOA end of May</t>
  </si>
  <si>
    <t>36 Hastie Ave_x000D_
Mangere</t>
  </si>
  <si>
    <t>Mangere</t>
  </si>
  <si>
    <t>AKL-007-074-A, AKL-007-106-A</t>
  </si>
  <si>
    <t>9 Wanstead Way_x000D_
Mangere _x000D_
Auckland</t>
  </si>
  <si>
    <t>Otahuhu</t>
  </si>
  <si>
    <t>18 Park Ave_x000D_
Otahuhu_x000D_
Auckland</t>
  </si>
  <si>
    <t>Puhinui Motorway Junction</t>
  </si>
  <si>
    <t>Safe Store Public Storage_x000D_
Auckland</t>
  </si>
  <si>
    <t>Otara</t>
  </si>
  <si>
    <t>Trans Space_x000D_
12 Lovegrove Crescent_x000D_
Otara_x000D_
Auckland</t>
  </si>
  <si>
    <t>Southmall</t>
  </si>
  <si>
    <t>18A Maich Road_x000D_
Southmall_x000D_
Auckland</t>
  </si>
  <si>
    <t>Mangere West</t>
  </si>
  <si>
    <t>13 Freight Place_x000D_
Mangere_x000D_
Auckland</t>
  </si>
  <si>
    <t>Takanini Junction</t>
  </si>
  <si>
    <t>20 Spartan Rd_x000D_
Takanini_x000D_
Auckland</t>
  </si>
  <si>
    <t xml:space="preserve">Clendon Town Centre </t>
  </si>
  <si>
    <t>(Mar18 DJ) Site On Air_x000D_
Link to Weymouth REQUIRE : 300mmØ</t>
  </si>
  <si>
    <t>Clendon Town Centre_x000D_
Auckland</t>
  </si>
  <si>
    <t xml:space="preserve">Middlemore Hospital </t>
  </si>
  <si>
    <t>On Air_x000D_
Link to Mangere E REQUIRE : 300mmØ</t>
  </si>
  <si>
    <t>Hospital Road_x000D_
Otahuhu</t>
  </si>
  <si>
    <t>Highbrook</t>
  </si>
  <si>
    <t>(May20 DJ) On track_x000D_
(May28 DJ) CI TI delayed 1wk. Maintaining SOA_x000D_
(Jun03 DJ) On track SOA re-f'cast Jun18._x000D_
(Jun10 DJ) TI delayed to Jun17 due to TX linking. Holding SOA Jun18_x000D_
(Jun18 DJ) still holding SOA Jun18. Jun17 &gt; SOA!!</t>
  </si>
  <si>
    <t>3 Ra Ora Drive_x000D_
East Tamaki_x000D_
Auckland</t>
  </si>
  <si>
    <t>Lodged on the 21.7.2011_x000D_
Approved on the 17.8.2011_x000D_
Council reference number: 39180  - 18/08/2011</t>
  </si>
  <si>
    <t>Papatoetoe Central</t>
  </si>
  <si>
    <t>19 Charles St, Papatoetoe</t>
  </si>
  <si>
    <t>James Fletcher Drive</t>
  </si>
  <si>
    <t>266 James Fletcher Drive_x000D_
Otahuhu</t>
  </si>
  <si>
    <t>Wiri</t>
  </si>
  <si>
    <t>20 Hobill Avenue_x000D_
Manukau South_x000D_
Auckland</t>
  </si>
  <si>
    <t xml:space="preserve">Manukau Central </t>
  </si>
  <si>
    <t>Linking to Papatoetoe East and Central REQUIRE : 2 x 300mmØ</t>
  </si>
  <si>
    <t xml:space="preserve">Rd_x000D_
Suburb_x000D_
Manukau City_x000D_
Post Code_x000D_
</t>
  </si>
  <si>
    <t>Section 127 approved on 5 April 2012 - council reference 40009  - 11/04/2012</t>
  </si>
  <si>
    <t>Papatoetoe West</t>
  </si>
  <si>
    <t>AKL-007-106-A, AKL-008-024-A</t>
  </si>
  <si>
    <t>O/s 30B Franklin Ave,_x000D_
Mangere East,_x000D_
Auckland</t>
  </si>
  <si>
    <t>Homai West</t>
  </si>
  <si>
    <t xml:space="preserve">Using extended mount - installed (JL 21/4)_x000D_
(Apr23 DJ) Extended mount delayed - places SOA Apr30 at risk, but at this time, still potentially acheiveable._x000D_
Bracket at Manukau CBD - is going in tomorrow 28/4. SOA at risk for end month. (JL 27/4)_x000D_
</t>
  </si>
  <si>
    <t>254A Roscommon Rd,_x000D_
Wiri,_x000D_
Auckland</t>
  </si>
  <si>
    <t>Totara Heights</t>
  </si>
  <si>
    <t xml:space="preserve">Streetlight swap,_x000D_
Cnr David Ave &amp; Orams Rd_x000D_
Manukau City,_x000D_
Auckland_x000D_
_x000D_
</t>
  </si>
  <si>
    <t>Otara West</t>
  </si>
  <si>
    <t>(Jun03 DJ) On track SOA Jun30._x000D_
(Jun10 DJ) CI bumped 1wk. Holding for SOA Jun30_x000D_
(Jun18 DJ) still holding SOA Jun30._x000D_
(Jun24 DJ) on track SOA Jun30._x000D_
(Jul01 DJ) on track SOA Jul01</t>
  </si>
  <si>
    <t>1 Bairds Rd,_x000D_
Otahuhu,_x000D_
Auckland</t>
  </si>
  <si>
    <t>Golflands</t>
  </si>
  <si>
    <t>(Mar27 DJ) f'cst SOA Apr6</t>
  </si>
  <si>
    <t>47 Ben Lomond Cres,_x000D_
Pakuranga,_x000D_
Auckland</t>
  </si>
  <si>
    <t>Cockle Bay</t>
  </si>
  <si>
    <t>Woosh confirmed 1.4 degs deflection ok. Plans being revised for S127 to show dishes between antenna to allow LOS. Meeting with Woosh 19/11. Generic Woosh Lease Agreement being modified to bring in line with other co-lo leases and to account for 1.5degs deflection clause (as deflection changed to 1.5 with cable ladder). Woosh Brown-out starts 18Dec. Lease still being finalised with Woosh 23.12. Email from Woosh giving permission to share but condition requiring pole swap should they ever require WiMax network. Meeting with Woosh 28/01 &amp; will ask for early access and to move dish early._x000D_
14/4 - Lease with Steven Fast - yet to be executed. 19/04 Steven not to execute until budget approved. Commenced with build 4 May - construction underway with completion due 21 May</t>
  </si>
  <si>
    <t xml:space="preserve">30 Sandspit Rd_x000D_
Cockle Bay_x000D_
Auckland_x000D_
</t>
  </si>
  <si>
    <t xml:space="preserve">Highland Park </t>
  </si>
  <si>
    <t>AKL-007-106-A, AKL-008-026-H</t>
  </si>
  <si>
    <t>(May14 DJ)  Telecom fcst LL RFS May20, dependency for F'cst SOA May29.</t>
  </si>
  <si>
    <t>Highland Park_x000D_
499 Pakuranga Rd_x000D_
Highland Park_x000D_
Auckland</t>
  </si>
  <si>
    <t>Howick West</t>
  </si>
  <si>
    <t>6 Botany Road_x000D_
Howick_x000D_
Auckland</t>
  </si>
  <si>
    <t>Pakuranga</t>
  </si>
  <si>
    <t xml:space="preserve">Corner Pakuranga Drive and Ti Rakau Drive_x000D_
Pakuranga_x000D_
</t>
  </si>
  <si>
    <t>Meadowlands</t>
  </si>
  <si>
    <t>LL delivery slipped - F'cst SOA pushed to Apr24._x000D_
LL due 14 Apr (JL 6Apr)_x000D_
(Apr23 DJ) On track</t>
  </si>
  <si>
    <t>Streetlight swap out_x000D_
112 Whitford Rd_x000D_
Meadowlands_x000D_
Auckland</t>
  </si>
  <si>
    <t>Dannemora</t>
  </si>
  <si>
    <t>Paradice Ice Skating_x000D_
Cnr Ti Rakau Drive and Botany Road_x000D_
Botany Downs_x000D_
Auckland</t>
  </si>
  <si>
    <t>Half Moon Bay</t>
  </si>
  <si>
    <t>Site in build, security camera may be fitted to site. Extra dish required as part of the lease line migration for Felton Matthews, extra DMR cable will be run at time of build but lease variation and installation will require a MAC.</t>
  </si>
  <si>
    <t>OS 25 Pigeon Mountain Road, Half Moon Bay</t>
  </si>
  <si>
    <t>Bucklands Beach South</t>
  </si>
  <si>
    <t>O/s 45 Macleans Rd,_x000D_
Howick,_x000D_
Auckland</t>
  </si>
  <si>
    <t>Farm Cove</t>
  </si>
  <si>
    <t>AKL-008-028-D, AKL-007-106-A</t>
  </si>
  <si>
    <t>O/s 2 Elimar Drv,_x000D_
Farm Cove,_x000D_
Auckland</t>
  </si>
  <si>
    <t>Manukau Junction</t>
  </si>
  <si>
    <t>20 Lakewood Court_x000D_
Manukau City_x000D_
Auckland</t>
  </si>
  <si>
    <t>Weymouth</t>
  </si>
  <si>
    <t>Weymouth Cosmopolitan Club_x000D_
151 Sykes road_x000D_
Auckland</t>
  </si>
  <si>
    <t>Manurewa East</t>
  </si>
  <si>
    <t>AKL-008-018-A, AKL-008-018-A</t>
  </si>
  <si>
    <t>Streetlight replacement o/s 98 Hill Rd,_x000D_
Manurewa East,_x000D_
Manukau,_x000D_
Auckland</t>
  </si>
  <si>
    <t>Puhinui</t>
  </si>
  <si>
    <t>Forward Plastics Limited_x000D_
50-52 Grayson Avenue_x000D_
Puhinui_x000D_
Auckland</t>
  </si>
  <si>
    <t>9 Airpark Drive</t>
  </si>
  <si>
    <t>9 Airpark Drive, Ihumatao</t>
  </si>
  <si>
    <t xml:space="preserve">International Terminal </t>
  </si>
  <si>
    <t>Airport</t>
  </si>
  <si>
    <t>007-104</t>
  </si>
  <si>
    <t>East Tamaki</t>
  </si>
  <si>
    <t>(Mar19 DJ) Site On Air_x000D_
Linking to Flat Bush REQUIRE : 300mmØ</t>
  </si>
  <si>
    <t>22 Ormiston Road_x000D_
East Tamaki_x000D_
Auckland</t>
  </si>
  <si>
    <t>Te Irirangi</t>
  </si>
  <si>
    <t>Street Properties,_x000D_
11 Reg Savory Plc,_x000D_
Te Irirangi,_x000D_
Auckland</t>
  </si>
  <si>
    <t>Greenmount</t>
  </si>
  <si>
    <t>AKL-008-014-C, AKL-007-106-A</t>
  </si>
  <si>
    <t>147 Harris Road,_x000D_
Auckland</t>
  </si>
  <si>
    <t>Lodged on the 20.7.11._x000D_
Approved on the 17.8.2011.   - 17/08/2011_x000D_
resource consent number: 39181  - 18/08/2011</t>
  </si>
  <si>
    <t>Picton Centre</t>
  </si>
  <si>
    <t>ALL CO-SITE's approved. BC required! Cabinets to be painted same colour as building. NRL testing required once site complete. BC lodged 7/01/2010 and due 29/01. BC complete. Police have lodged co-site with RF have approved but require our ladder moved, PD &amp; CD being revised. 10 May construction commenced. On track</t>
  </si>
  <si>
    <t>120 Picton Street_x000D_
Howick_x000D_
Manukau City</t>
  </si>
  <si>
    <t>Sunnyhills</t>
  </si>
  <si>
    <t>AKL-008-045-A, AKL-007-106-A</t>
  </si>
  <si>
    <t>2 Johns Lane_x000D_
Auckland</t>
  </si>
  <si>
    <t>Eastern Beach</t>
  </si>
  <si>
    <t>Site in build, security camera may be fitted to site.</t>
  </si>
  <si>
    <t>OS 145 Clovelly Road</t>
  </si>
  <si>
    <t>Domestic Terminal</t>
  </si>
  <si>
    <t>AKL-007-106-A, AKL-008-042-A</t>
  </si>
  <si>
    <t>Huntington Park</t>
  </si>
  <si>
    <t xml:space="preserve">Streetlight swapout_x000D_
Opposite 557 Chapel Road_x000D_
Huntington Park_x000D_
Manukau City_x000D_
</t>
  </si>
  <si>
    <t xml:space="preserve">Homai Central </t>
  </si>
  <si>
    <t>On Air_x000D_
Linking to the Gardens REQUIRE 300mmØ</t>
  </si>
  <si>
    <t>12 Dalgety Drive_x000D_
Homai Central_x000D_
Auckland</t>
  </si>
  <si>
    <t>Manurewa Central</t>
  </si>
  <si>
    <t>101 Friedlanders Road_x000D_
Manurewa Central_x000D_
Auckland</t>
  </si>
  <si>
    <t>Favona</t>
  </si>
  <si>
    <t>Assembly of God Church_x000D_
38 Robertson Road_x000D_
Favona_x000D_
Auckland</t>
  </si>
  <si>
    <t>Tidal Rd</t>
  </si>
  <si>
    <t xml:space="preserve">65 Tidal Rd_x000D_
Mangere_x000D_
Auckland_x000D_
_x000D_
</t>
  </si>
  <si>
    <t>Manurewa West</t>
  </si>
  <si>
    <t>Manurewa Squash Club_x000D_
171 Weymouth road_x000D_
Manurewa</t>
  </si>
  <si>
    <t>Botany East</t>
  </si>
  <si>
    <t>OS 106 Botany Road, Howick</t>
  </si>
  <si>
    <t>Beachlands South</t>
  </si>
  <si>
    <t xml:space="preserve">_x000D_
 Beachlands_x000D_
_x000D_
Vodafone Colocation to be able to cover the </t>
  </si>
  <si>
    <t>Clevedon</t>
  </si>
  <si>
    <t>Clevedon VF Colo</t>
  </si>
  <si>
    <t>Clearspan are owner (LO does not want new GF)_x000D_
LOS probable to a T1 site - to be investigated_x000D_
Requested VF info on resource consent - they could not find anything &amp; nor could Council._x000D_
Visual assessment done._x000D_
Site no longer "build", work stopped as hard match colo._x000D_
VF want to add dish, structural being redone._x000D_
12/2/15 - new data pack to be requested - up rev plans to include L700_x000D_
16.2.15 - data pack requested_x000D_
Rossburn Farm Holdens Road GF site candidate A- owner does not want site here._x000D_
18.02.15 - with Tim for site search brief and decision on co-lo submission - all go on co-lo_x000D_
19.02.15 - PD up rev's request with design - co-lo application ready to submit when these are issued_x000D_
24.02.15 - VF co-lo application submitted_x000D_
2/3/15 - visited proposed site - has been confirmed this is the preferred site, John to start arranging sub-lease with clearspan._x000D_
30/3/15 - received VF prelim approval. _x000D_
7/5/15 - Tender instruction given to Huawei _x000D_
10/7/15 - awaiting final approval &amp; approval to build from VF _x000D_
16/7/16 - received approval to build - still waiting for final approval doc_x000D_
17/7/15 - final approval received - clock starts _x000D_
20/7/15 - steel work ordered, work onsite scheduled for 10 Aug.</t>
  </si>
  <si>
    <t>147 Holdens Rd_x000D_
Clevedon</t>
  </si>
  <si>
    <t>Kawakawa Bay</t>
  </si>
  <si>
    <t>Kawakawa Bay_x000D_
_x000D_
The site is designed to provide service primarily to Kawakawa bay residential area. Secondary requirement is to provide coverage to the Kawakawa Orerei road and the roads going westwards. A small boatyard to the East is observed which indicates an opportunity for marine coverage (albeit small, good to have for marine emergencies though). _x000D_
_x000D_
A road going Eastwards is currently being built._x000D_
In terms of primary coverage requirements, both Vodafone site (or Vodafone Colo) and 2 degrees greenfield option have almost similar coverage performance. _x000D_
_x000D_
On secondary coverage requirements, Vodafone site (Vodafone Colo) has the slight advantage for marine coverage and on the roads just beneath the peninsula hill because 2 degrees is located in a thicker portion of the ridge and farther out from the sea. It is fortunate that there are only a few trees located beneath the ridge._x000D_
_x000D_
Care should be taken in maintaining isolation with nearby co-sites. Kawakawa Bay_x000D_
_x000D_
Option A: Vodafone colocation with 2 degrees on top. Apparently a more economical solution _x000D_
(-36.939400°, 175.178000°)_x000D_
_x000D_
Option B: Leased property. May require slightly higher pole to meet Vodafone for the secondary coverage requirements. (-36.938579°, 175.179302°)_x000D_
_x000D_
-CMM comments</t>
  </si>
  <si>
    <t>Auckland Airport IB</t>
  </si>
  <si>
    <t>New link pole at Congita required to get linking up and back to network. 09/04</t>
  </si>
  <si>
    <t>Auckland International Airport_x000D_
Cyril Kay Drive_x000D_
Mangere_x000D_
Auckland</t>
  </si>
  <si>
    <t xml:space="preserve">Puhinui West </t>
  </si>
  <si>
    <t>SOA at risk for end May (JL 21/4)_x000D_
(May14 DJ) on track for SOA May29._x000D_
(Jun03 DJ) ref'cast SOA Jun03. Jun5 &gt; SOA!!</t>
  </si>
  <si>
    <t>Cnr Campana &amp; Puhinui Rd,_x000D_
Puhinui West,_x000D_
Auckland</t>
  </si>
  <si>
    <t>Mellons Bay</t>
  </si>
  <si>
    <t>Site in build but on air may be delayed due to Telecom fibre connection. Security camera may be fitted to site. Telecom leased line in mid February - looking at MW option to Beachlands. JB to speak to council and advise property and RC requirements for adding the dish. Revised drawings circulated for sign off and issued._x000D_
14/4 - replacing pole with modified/correct pole onsite in one day.</t>
  </si>
  <si>
    <t>Outside 5 Page Point_x000D_
Mellons Bay_x000D_
Manukau_x000D_
Auckland</t>
  </si>
  <si>
    <t>Shamrock Park</t>
  </si>
  <si>
    <t>2009-06-22</t>
  </si>
  <si>
    <t>OS 739 Chapel Road, Shamrock Park</t>
  </si>
  <si>
    <t>Ngai Tai - Te Naupata</t>
  </si>
  <si>
    <t>Musick Point - Ngai Tai- Te Naupata</t>
  </si>
  <si>
    <t>2010-05-07</t>
  </si>
  <si>
    <t>14/4 - Jason awaiting feedback from Historic Places trust re going on building._x000D_
21/4 - Ok with Historic places trust - now the active site_x000D_
Chris and Alex to measure site Wednesday 19 May - drwings complete thereafter_x000D_
07/07 Craig B advises that MCC have requested we withdraw initial app._x000D_
22/07 Jason B has met with IWI. They have concerns re their income security if we go on the building and they get the land in April next year but not the building. Jason has also met with LINZ, who feel without IWI support it may be difficult to secure. Busy with touching up the drawings to accuratly reflect the size of the shrouds on the sides. 28/7 Plans still with HPT. 05/08 HPT request we concider placing antennas ontop. To be discussed with Amet Radio Club. However Ian has passed away - to find new contact next week.01/09 Visited site, met new contacts Leith and David. Design to make changes to antenna positions - above the parapet. 23/04 New antenna positions approved by HPT. Craig B to  submit to MCC. Received Telecom co lo approval. Have verbal approval from Radio Club, await written, Then Craig can submit._x000D_
2011 - RC from AKL rec 24/12/2010. Require : Iwi, Crown and Trust approval. 16.02.2011 Received Iwi approval. 08.03.2011 Application still with crown, should have approval by 21 March 2011_x000D_
11.03.11 Crown approval received. To advise TNZ we have complied and await their final approval._x000D_
hAVE tnz APPROVAL_x000D_
Have TNZ approval. To raise PO for antenna as they are out of spec._x000D_
Let Mana know the Musick Point Schedule so he can organise the Po.</t>
  </si>
  <si>
    <t>Musick Point Reserve_x000D_
Musick Point Road_x000D_
Bucklands Beach</t>
  </si>
  <si>
    <t>Likely to be limited notified on original submitters who wont sign off on new location.  - 19/05/2010</t>
  </si>
  <si>
    <t>Manukau East</t>
  </si>
  <si>
    <t>Cnr Dawson`Rd &amp; Te Irirangi Drive, Manukau</t>
  </si>
  <si>
    <t>Takanini East</t>
  </si>
  <si>
    <t>Outside 490 Porchester Rd</t>
  </si>
  <si>
    <t>Maraetai</t>
  </si>
  <si>
    <t>Maraetai_x000D_
_x000D_
Two primary objectives would be commercial and residential areas at Omana Beach and Maraetai Beach._x000D_
_x000D_
Secondary objective would be roads and highways linking Beachlands area with Omana Beach area._x000D_
_x000D_
Care should be taken in maintaining isolation with nearby co-sites especially with Telecom._x000D_
_x000D_
Maraetai_x000D_
_x000D_
A ridge and a forest park with apparently tall trees partly separate Omana and Maraetai Beach. The nominal is located on an ideal but difficult point. _x000D_
_x000D_
Maraetai_x000D_
_x000D_
Option A: A co-site (hopefully this is not Telecom co-site) or a rooftop site near an unknown existing site located at (-36.880697°, 175.033940°) appear to be one of the better options based on simulations._x000D_
_x000D_
Option B: Existing light pole and electrical pole (NES) appear to provide adequate coverage to Omana beach but would not provide satisfactory coverage to Maraetai beach due to a ridge. Therefore it is important to locate a better candidate before considering this one (-36.883426°, 175.031567°)._x000D_
_x000D_
-CMM comments</t>
  </si>
  <si>
    <t>Papatoetoe Central CoLo</t>
  </si>
  <si>
    <t>Papatoetoe Central VNZ Co Lo</t>
  </si>
  <si>
    <t>FAC SIGNED</t>
  </si>
  <si>
    <t>23 Station Street_x000D_
VNZ Co location _x000D_
at the Station</t>
  </si>
  <si>
    <t>Lodged on the 26.8.11  - 29/08/2011_x000D_
Lodged S127 with rev 5 plans - 12.9.12  - 12/09/2012  - 10/10/2012</t>
  </si>
  <si>
    <t>Weymouth LPR</t>
  </si>
  <si>
    <t xml:space="preserve">Weymouth Corner LPR </t>
  </si>
  <si>
    <t>1a Blanes Road_x000D_
Corner LPR_x000D_
Blanes / Gibbons and Weymouth Roads</t>
  </si>
  <si>
    <t>Full discretionary consent Lodged on the 19.8.2011_x000D_
  - 22/08/2011</t>
  </si>
  <si>
    <t>Papatoetoe East</t>
  </si>
  <si>
    <t>Papatoetoe East Alanby Park</t>
  </si>
  <si>
    <t>Opposite 496A Great South Road_x000D_
Next to the bus stop_x000D_
adjacent to Alanby Park</t>
  </si>
  <si>
    <t>Lodged 29.7.11, Processing with Aimee Buckingham at Auckland Council.    - 01/08/2011</t>
  </si>
  <si>
    <t>Mangere Bridge</t>
  </si>
  <si>
    <t>Mangere Bridge RT</t>
  </si>
  <si>
    <t>103 Taylor Road_x000D_
Chinese Community Centre</t>
  </si>
  <si>
    <t>Lodged 2.11.2011 with rev 2 plans  - 02/11/2011</t>
  </si>
  <si>
    <t>Flat Bush</t>
  </si>
  <si>
    <t>Flat Bush - Jeffs Rd</t>
  </si>
  <si>
    <t>2011-04-13</t>
  </si>
  <si>
    <t>17.02.2011 LPR - 142 Murphys Road_x000D_
Grassy patch on the corner of Jeffs and Murphys road_x000D_
DP 340629 Lot 251. LOS complete. Caravan complete</t>
  </si>
  <si>
    <t>LPR Cnr of Murphys and Jeffs Rd_x000D_
Opposite 300 Murphys Road</t>
  </si>
  <si>
    <t>Discretionary activity located in road reserve._x000D_
Lodged with council on the 29.7.11  - 01/08/2011</t>
  </si>
  <si>
    <t>Mangere East</t>
  </si>
  <si>
    <t xml:space="preserve">Buckland Road </t>
  </si>
  <si>
    <t>2011-06-02</t>
  </si>
  <si>
    <t>opposite 252 Buckland Road,_x000D_
Mangere East,_x000D_
Auckland</t>
  </si>
  <si>
    <t>Approved on the 24.8.2011   - 07/09/2011</t>
  </si>
  <si>
    <t>The Gardens</t>
  </si>
  <si>
    <t>287 Hill Road_x000D_
The Gardens</t>
  </si>
  <si>
    <t>NES Application lodged with Aimee Buckingham of council for processing on the 29.7.11  - 01/08/2011</t>
  </si>
  <si>
    <t>Hunter Plaza Mini-Repeater</t>
  </si>
  <si>
    <t>Hunters Plaza</t>
  </si>
  <si>
    <t>2100_MINI_RPTR</t>
  </si>
  <si>
    <t>01.05.14 We have installed a Microcell above the Noel Leeming sign._x000D_
12.05.14 Microcell to be walk tested and if all good Mini repeater will be switched off and later removed.</t>
  </si>
  <si>
    <t>217 Great South Rd,_x000D_
Papatoetoe</t>
  </si>
  <si>
    <t>RBI - Beachlands East</t>
  </si>
  <si>
    <t>121 Phillips Rd Mini-Repeater</t>
  </si>
  <si>
    <t>Phillips Rd Mini Repeater</t>
  </si>
  <si>
    <t xml:space="preserve">10.10.2011. Mwet Landlord and Wife on site. (With Mike and Simon) and Michael, Tim Lau) Explained what we can do and showed them the equipment. We agreed to install a bracket on the gable end of the roof above the kitchen and instal the jagi. Pointing back towards the roundabout (Existing site) We will run the cables internally to the space above the trapdoor in the laundry. Power would be hard wired in and the internal antenna (Cone shapes disc) will be installed on the low flat white ceiling aoutside the Kitchen. This should provide added coverage to the lounge and kitchen areas. Landlord was happy with this. Installation to be done on Wednesday 12.10.2011.  </t>
  </si>
  <si>
    <t xml:space="preserve">121 Phillips Rd_x000D_
</t>
  </si>
  <si>
    <t>Papatoetoe Exchange</t>
  </si>
  <si>
    <t xml:space="preserve">SOA and PAC dates to reflecty status_x000D_
</t>
  </si>
  <si>
    <t>11 Norfolk Pl,  Papatoetoe, Auckland</t>
  </si>
  <si>
    <t>Beachlands Relocation</t>
  </si>
  <si>
    <t>Beachlands VF Co-Lo Relocation</t>
  </si>
  <si>
    <t>2013-01-22</t>
  </si>
  <si>
    <t>06/03/13 - VF mast running late and not due until 13-15 March. Tight to finish in March_x000D_
09/04/13 - Site is on air and existing site to be decommissioned. Still awaiting PAD_x000D_
07/05/13 - Final Lerase doc with VF to complete</t>
  </si>
  <si>
    <t>Formosa Golf Resort_x000D_
Beachlands</t>
  </si>
  <si>
    <t>Lodged at council with Aimee Simons - major infrastructure team on the 7.11.2012  - 08/11/2012._x000D_
 Approved on 29.11.2012 by Mark Ross (processing planner)  - 29/11/2012</t>
  </si>
  <si>
    <t>Homai</t>
  </si>
  <si>
    <t>Hunters Plaza - Micro</t>
  </si>
  <si>
    <t>Commercials Agreed._x000D_
BR has collected requested equipment from Albany for Trevor F and Brendon to inspect._x000D_
Await Trevor and Brendon feed back._x000D_
12.02.14 Require internal antenna. POR raised._x000D_
18.02 Issued CDI - Await plans. Need to meet with Centre Manager and Chorus Fibre_x000D_
20.02.14 PO Issued and sent to maser for antenna._x000D_
28.02.14 CD's in circulation. BR to arrange meeting on site re Fibre_x000D_
10.03.14 BR requested Ben to set up meeting with Landlord and Builder for Monday 17th - Visionstream also requested to send a field manager._x000D_
24.03 PO rec for trap door to be cut. Andrea advises she has instructed the contractor. POR raised for electrical point. Once trapdoor cut - contrators can meet to price. Small antenna due 6 April._x000D_
01.04.14 Hatch cut in ceiling on 31.03.14. To meet contractors on site 8.30am Friday. They are to quote on work by Wed 9.04.14._x000D_
01.05.14 Infratel install at 9pm when centre closed. Integration problems. Took long but done by 5pm._x000D_
12.05.14 Walk test to be done.</t>
  </si>
  <si>
    <t xml:space="preserve">Hunters Plaza Mall_x000D_
217 Great South Rd, _x000D_
Papatoetoe _x000D_
2025_x000D_
</t>
  </si>
  <si>
    <t>Indoor site  - 05/02/2014</t>
  </si>
  <si>
    <t>Botany Junction</t>
  </si>
  <si>
    <t>Storage King Botany South</t>
  </si>
  <si>
    <t>28.02.14 Storage King keen. Liz to try arrange Caravan for 14 March_x000D_
10.03.14 Survey arranged for Friday 14.03_x000D_
24.03.14 Storage King keen to have us. Proposal to be submitted 24.03.14_x000D_
07.05.014 PDI issued 01.05 GHD given drawings to do 07.05. (PO and resoursing issues)_x000D_
17.06.14 Ben confident we will get signed lease this week (Skipped LTA). So issued CDI and Rob to submit RMA next monday</t>
  </si>
  <si>
    <t xml:space="preserve">Storage King Botany South_x000D_
100 Ormiston Road,_x000D_
BOTANY, AUCKLAND 2016 NEW ZEALAND_x000D_
</t>
  </si>
  <si>
    <t>30/4 Proposal has been approved by trust prefered the back corner position.  General terms are with the LO's lawyrs. _x000D_
_x000D_
11/4 Checked with Mark he has advsied that the proposal is with the Trust.  It may take time to asses.  He will chase on our behalf._x000D_
The property is owned by Perpetual Trustees who are part of the Abacus Group in Australia. Storage King manages the property and business on behalf of Abacus.  - 19/03/2014  - 14/04/2014  - 30/04/2014</t>
  </si>
  <si>
    <t>Highbrook South</t>
  </si>
  <si>
    <t>Highbrook GF - 19 Andromeda Drv</t>
  </si>
  <si>
    <t>24/7/15 - new candidate as original not approved to proceed by owner_x000D_
16/09/15 - PD ready to issue_x000D_
4/11/15 - Lease terms agreed. Consent processing OK</t>
  </si>
  <si>
    <t>19 Andromeda Drive_x000D_
Highbrook_x000D_
Auckland</t>
  </si>
  <si>
    <t>Mangere Exchange Co-Lo</t>
  </si>
  <si>
    <t>63 Ashgrove Rd (Cnr Bader Dr), Mangere</t>
  </si>
  <si>
    <t>Whitford</t>
  </si>
  <si>
    <t>Not known</t>
  </si>
  <si>
    <t>ONHOLD</t>
  </si>
  <si>
    <t>Takanini South</t>
  </si>
  <si>
    <t>Papakura City</t>
  </si>
  <si>
    <t>14 Tironui Road_x000D_
Southgate_x000D_
Auckland</t>
  </si>
  <si>
    <t>Ardmore</t>
  </si>
  <si>
    <t>Ross T Bennett Fertilisers,_x000D_
VNZ Site, 237 Airfield Rd, _x000D_
Ardmore Rd,_x000D_
Ardmore,_x000D_
Auckland</t>
  </si>
  <si>
    <t>Papakura Central</t>
  </si>
  <si>
    <t xml:space="preserve">Rd_x000D_
Suburb_x000D_
Papakura City_x000D_
Post Code_x000D_
_x000D_
</t>
  </si>
  <si>
    <t>Red Hill</t>
  </si>
  <si>
    <t>Kaipara Rd_x000D_
Red Hill_x000D_
Papakura</t>
  </si>
  <si>
    <t>Papakura Junction</t>
  </si>
  <si>
    <t xml:space="preserve">o/s 5 Dumas Place,_x000D_
Papakura,_x000D_
Auckland 1702_x000D_
_x000D_
_x000D_
</t>
  </si>
  <si>
    <t>Papakura South</t>
  </si>
  <si>
    <t>Outside 374 Great South  Road _x000D_
Papakura South_x000D_
Auckland</t>
  </si>
  <si>
    <t>Drury</t>
  </si>
  <si>
    <t xml:space="preserve">87 Creek St_x000D_
Papakura City_x000D_
Post Code_x000D_
_x000D_
_x000D_
</t>
  </si>
  <si>
    <t>Papakura East</t>
  </si>
  <si>
    <t>The Papakura Club,_x000D_
5 Croskery Rd,_x000D_
Papakura,_x000D_
Auckland</t>
  </si>
  <si>
    <t>Conifer Grove</t>
  </si>
  <si>
    <t>Conifer Grove Shopping Center</t>
  </si>
  <si>
    <t>68 Walter Strevens Drive_x000D_
Conifer Grove shopping Centre,_x000D_
Auckland</t>
  </si>
  <si>
    <t>Lodged with Eilish Gardner in Papakura as an away transaction on the 11.11.11 with rev 3 plans.   - 11/11/2011</t>
  </si>
  <si>
    <t>Papakura Exchange Co-Lo</t>
  </si>
  <si>
    <t>40 O'Shannessey St,   Papakura</t>
  </si>
  <si>
    <t>Franklin District</t>
  </si>
  <si>
    <t>Glenbrook</t>
  </si>
  <si>
    <t>Glenbrook Greenfield</t>
  </si>
  <si>
    <t>COC and plan check against new equipment supplier._x000D_
01.21.2014 New redlines back with GHD last week. Waiting on Upreved plans to be issued. Then Brad can get lease signed and James can submit the CoC._x000D_
Fibre has been requested._x000D_
18.12.2014 PD's have been issued and Brad is in discussion with LL. CoC to be submitted _x000D_
3/2/15 - now pursuing Spark co-lo - will keep this as back up_x000D_
12.2.15 - this back to the active site - awaiting feedback on spark co-lo suitability_x000D_
10/3/15 - In review with their lawyers_x000D_
17/3/15 - still in review</t>
  </si>
  <si>
    <t>NZ Steel Limited_x000D_
Corner Brookside Road and Glenbrook Beach Road_x000D_
Glenbrook</t>
  </si>
  <si>
    <t>Permitted to None   - 20/05/2010</t>
  </si>
  <si>
    <t>Waiuku</t>
  </si>
  <si>
    <t>Waiuku_x000D_
_x000D_
Primary objective is Urban Waiuku and immediate Waiuku suburban areas._x000D_
_x000D_
Secondary objective are residential areas going North through Awhitu Road. Includes roads and highways that handover to adjacent sites._x000D_
Waiuku._x000D_
_x000D_
-CMM comment_x000D_
_x000D_
Possible Vodafone colocate and greenfield backup._x000D_
Tower in industrial area close to VNZ and TNZ preferred._x000D_
_x000D_
-Bevan comment_x000D_
_x000D_
Care should be taken in maintaining isolation with nearby co-sites especially with Telecom._x000D_
_x000D_
CMM Option A: Vodafone collocate preferably extension to the top of Vodafone monopole or at similar height compared to Vodafone antenna. This would apparently be a more economical solution. (-37.250900°, 174.728000°)_x000D_
_x000D_
Option B: Proposed monopole located at 15A Martyn Street would be another similarly strong option _x000D_
(-37.251885°, 174.728251°)._x000D_
_x000D_
-CMM comment</t>
  </si>
  <si>
    <t>Patumahoe</t>
  </si>
  <si>
    <t>Pukekohe West</t>
  </si>
  <si>
    <t>Pukekohe Raceway</t>
  </si>
  <si>
    <t xml:space="preserve">Pukekohe Raceway </t>
  </si>
  <si>
    <t>T2 25 UF</t>
  </si>
  <si>
    <t>VF and TNZ co-site approved_x000D_
HAIL activity site, excavted dirt to be confirmed removed from site._x000D_
01.12.2014 Rev 0 CD on circulation._x000D_
Fibre feasability is underway (Ryan) - ready for NC _x000D_
Await CD issue - geotech done_x000D_
9/3/15 - pole ordered, fibre ordered, equipment ordered - ready for tender_x000D_
26/3/15 - BI given to Huawei_x000D_
5/5/15 - PO approved for build start (PO35468)</t>
  </si>
  <si>
    <t>4 Webb Street_x000D_
Pukekohe Raceway</t>
  </si>
  <si>
    <t>Permitted to 25.00 AGL  - 20/05/2010_x000D_
Council Ref: L12059  - 30/07/2012</t>
  </si>
  <si>
    <t>Tuakau North</t>
  </si>
  <si>
    <t xml:space="preserve">Primary objective is to provide coverage to residential and industrial (green house areas) at upper  Tuakau (North). Use this site to complement AKL-10-020 for Harrisville and while doing so limit interference from all other adjacent sites in this area (Due to the uneven terrain Harrisville could not be covered completely by any one site). AKL-10-019 and AKL-10-028 shall cover the Eastern side of the ridge while AKL-10-020 and AKL-010-008 shall cover the Western side._x000D_
_x000D_
Secondary objective is to provide coverage continuity along roads and railways from Pokekohe Raceway to Tuakau._x000D_
Tuakau_x000D_
_x000D_
Greenfield._x000D_
VNZ site is not suitable due to location, nearby trees._x000D_
_x000D_
Bevan_x000D_
_x000D_
Confirming Bevans observation during the site visit. Apparently, it was only Telecom's tower and antennas that can be observed because of the trees while going uphill towards the site. Pathway to the site has not been found. It is suggested to propose a monopole that is higher than those of the existing operators and future proof against the growth of the trees._x000D_
_x000D_
CMM_x000D_
_x000D_
 Option 1: Current leased site initial assessment point to an apparent isolation concern. From the plans, it is computed that the Telecom antennas are only 15 meters from the currently leased monopole position. Additional information from Telecom may be required to further assess isolation problem._x000D_
_x000D_
In case problem is confirmed, further study is required in maximizing isolation between 2 degrees and Telecom antennas to acceptable levels. This might require either moving 2 degrees site away from Telecom, azimuth change, additional filters or additional antenna height (for vertical isolation). _x000D_
</t>
  </si>
  <si>
    <t>Bombay</t>
  </si>
  <si>
    <t>Transpower</t>
  </si>
  <si>
    <t>4/9/15 - Matt submitted Transpower application</t>
  </si>
  <si>
    <t>TRP</t>
  </si>
  <si>
    <t>Bombay_x000D_
Transpower substation_x000D_
Barber Rd</t>
  </si>
  <si>
    <t>Ramarama</t>
  </si>
  <si>
    <t>Primary objective is the coverage for Ramarama industrial (including a nearby open mining pit) and residential area and both Southern Motorway and Great South Road which go from North to South._x000D_
_x000D_
Secondary objective are the coverage for secondary roads to and from adjacent sites._x000D_
Ramarama.  Serve SH1 motorway to Bombay._x000D_
_x000D_
TNZ co-location mast is low prefer greenfield._x000D_
_x000D_
Bevan_x000D_
_x000D_
Site position should be chosen so that the gap between Bombay and Drury sites could be well covered.  Option 1: Leased site AKL-010-010-D located at (-37.145642°, 174.969786°)._x000D_
_x000D_
CMM</t>
  </si>
  <si>
    <t>Hunua</t>
  </si>
  <si>
    <t>Hunua, Stevens Rd</t>
  </si>
  <si>
    <t>T2 25 RH</t>
  </si>
  <si>
    <t>COC and plans to be reviewed against new equipment. _x000D_
19.2.15 - Tim L to confirm if this is the preferred site location_x000D_
23.2.15 - Tim confirmed GF site is preferred option but would like to visit to confirm distance and isolation between this and spark site.  Matt to arrange access._x000D_
2/3/15 - own GF site identified - LO seems amenable - will caravan asap _x000D_
10/3/15 - caravan 24th March - will cherry pick for LOS at same time. Take tier 2 key for daisy chain for our own access._x000D_
pole arrived 3/9 - site finished and waiting for power 16/9</t>
  </si>
  <si>
    <t xml:space="preserve">197 Stevens Rd,_x000D_
Hunua_x000D_
</t>
  </si>
  <si>
    <t>Joelyn Lee - We had a lease commenced on 6/10/2008 but terminated on 15/11/2011.   - 18/03/2014</t>
  </si>
  <si>
    <t>Permitted to 25.00   - 20/05/2010</t>
  </si>
  <si>
    <t>Karaka</t>
  </si>
  <si>
    <t>Pukekohe Township</t>
  </si>
  <si>
    <t xml:space="preserve">Farmers Building </t>
  </si>
  <si>
    <t>Structural review required by LO's structural engineers once WO2 issued._x000D_
In legal review with LO, waiting comments._x000D_
LO commited to us legal review to be completed before the end of the year._x000D_
13.02.14 - BR and team to visit Wednesday 12.03.14 @ 1pm _x000D_
24.03 CD in progress._x000D_
CD complete and forwarded to Landlord._x000D_
01.05.14 Tim L confirms its LTE site. HOWEVER we have not got LTE cabinets for it. So will build DU and upgrade later. Build will make provision for LTE.</t>
  </si>
  <si>
    <t>Farmers Building_x000D_
5-9 Wesley Street_x000D_
Pukekohe</t>
  </si>
  <si>
    <t>Activity status TBC - could be permitted or restricted discretionary (AT - 29.3.12)  - 29/03/2012_x000D_
Application No. 41543  - 13/09/2012</t>
  </si>
  <si>
    <t>Pokeno</t>
  </si>
  <si>
    <t xml:space="preserve">Cole Rd, Pokeno GF </t>
  </si>
  <si>
    <t>If option used equipment and antenna change required._x000D_
16/9/14 - looks like lease was never executed and RC has now expired_x000D_
16/1/15 - PDs with LO - under legal review _x000D_
3/2/15 - now pursuing spark co-lo will keep this as back up_x000D_
10/3/15 - lease terms with LO lawyer for review - spark &amp; VF leases also under review for renewal</t>
  </si>
  <si>
    <t>Cole Rd,_x000D_
Pokeno,_x000D_
Franklin,_x000D_
Auckland</t>
  </si>
  <si>
    <t>Permitted to 25.00 None  - 20/05/2010</t>
  </si>
  <si>
    <t>Clarks Beach</t>
  </si>
  <si>
    <t>Primary coverage are residential and some commercial areas at Clark's beach, Waiau Beach to the West and Waiau Pa to the East as well as lifestyle residential areas in between._x000D_
_x000D_
Secondary coverage are the roads towards adjacent sites. Bonus coverage over the opposite shore Te Toro and portions of Glenbrook Bridge._x000D_
_x000D_
Apparently the residential areas are expanding outwards from their current areas and therefore prudent to position the site at the center to balance traffic._x000D_
_x000D_
Priority should be given for candidates at a higher elevation. Option A: Vodafone colocation preferably with 2 degrees antennas on top (-37.140100°, 174.732000°)._x000D_
_x000D_
Option B: Candidate no AKL-10-001-A (There is discrepancy between nominal and candidate numbers) with lease agreement (-37.137400°, 174.711000°).</t>
  </si>
  <si>
    <t>Bombay North</t>
  </si>
  <si>
    <t>Primary objective are the lifestyle residential areas and a few industrial areas (green houses) to the North, East and South West. Also includes a portion of the Great South Road._x000D_
_x000D_
Secondary objectives are secondary roads towards adjacent sites._x000D_
The site has been relocated from its former position because it was formerly located at the side of the hill and is limiting its coverage. Also, since it was close to AKL-010-019 some of the coverage is redundant. The search ring is small due to the small size of the hill. It is best to keep the site near the top for maximum effectivity._x000D_
_x000D_
The site is located at the top of the hill but we may end up on the side of the hill slightly lower in elevation. Adjustment in tower height should be able to compensate this. This should be considered in the site search._x000D_
_x000D_
Sector 1 towards the West will be 209R. This limits coverage redundancy and pilot pollution to AKL-10-019. Option A: Consider some vacant lots or spare lots on apparently a green house at the top of the hill   (-37.185967°, 174.958950°).</t>
  </si>
  <si>
    <t>Primary objectives are the commercial and residential areas to the East around Mill road, to the West along Paparata road and Bombay road. It also provides coverage service to Southern Motorway._x000D_
Vodafone tower is apparently too low. Further study required to determine adequacy of height due not only because part of the coverage area goes uphill but also due to the trees that have already grown in the area. Option 1: AKL-010-009-D (Apparently there is a discrepancy between the ID of candidates and nominals). -37.192616°, 174.983048°.</t>
  </si>
  <si>
    <t>Pokeno North</t>
  </si>
  <si>
    <t xml:space="preserve">Primary coverage objective are the residential and industrial (green house) facilities at Harrisville This site complements AKL-10-008 for Harrisville while limiting interference from all other adjacent sites in this area (Due to the uneven terrain Harrisville could not be covered completely by any one site). Also covers residential areas around Whangarata road, railways and the Great South Road._x000D_
_x000D_
Secondary coverage are the by roads and other remote rural residential areas up on the hill._x000D_
The search area is very much limited to the hill where Vodafone located because it has a commanding view of Harrisville, residents along Whangarata Road and railway and the Great South Road. AKL-10-019 and AKL-10-028 shall cover the Eastern side of the ridge while AKL-10-020 and AKL-010-008 shall cover the Western side._x000D_
_x000D_
Sector 2 pointing South will be 209R plus another high band 30 deg antenna (when 2100 is chosen) in order to limit pilot pollution to Tuakau sites. _x000D_
_x000D_
Option 1: Vodafone Colocation (-37.231697°, 174.987276°)._x000D_
_x000D_
</t>
  </si>
  <si>
    <t>Kingseat</t>
  </si>
  <si>
    <t>Primary coverage are residential areas at Kingseat, eastern part of Linwood road and northern part of Kingseat road._x000D_
Located on a very flat ground, the search area is at maximum possible. It should prefereably be between AKL-010-027 and AKL-010-017. Option 1: Co-site with Telecom but care should be taken regarding isolation (-37.130713°, 174.808847°).</t>
  </si>
  <si>
    <t>Primary objective is to provide coverage to residential and commercial establishments South West of Pukekohe._x000D_
_x000D_
Secondary objective are the roads towards adjacent sites._x000D_
The search area would be limited to the top part of the hill which is approximately 20m. above the surrounding plain._x000D_
_x000D_
 Option 1: Telecom Colo (-37.218800°, 174.867000°)._x000D_
_x000D_
Option 2: AKL-010-006-A (Inactive but with Lease) Telecom Co-site. Possibility of isolation problem with Telecom. Requires further study. Assuming this site has no isolation problem then it has a height advantage over Telecom Colo (-37.218677°, 174.867726°).</t>
  </si>
  <si>
    <t>Pukekohe North</t>
  </si>
  <si>
    <t>Puke North LPR</t>
  </si>
  <si>
    <t xml:space="preserve">NES design_x000D_
Telco notice submitted to Council 13/08/2012 - 15 days expires 3/9. Council requested to move cabinet location - revised plans requested 10/10 with GPR._x000D_
Revised plans sent to council for RMA amendment._x000D_
Telco notice resubmitted 03/12/2012 to AT - 15 days expires 24/12 (moved to 14/01/2013 for council shutdown period._x000D_
Follow up with Jason/John first due to recent council relationship challenges_x000D_
</t>
  </si>
  <si>
    <t>Corner Cape Hill &amp; Valley Roads_x000D_
Pukekohe North</t>
  </si>
  <si>
    <t>LPR NES Design - COC (Anna 29.3.12)  - 29/03/2012_x000D_
Application No. 41507 (File L12091) - 13/09/2012  - 25/09/2012</t>
  </si>
  <si>
    <t>Tuakau</t>
  </si>
  <si>
    <t>Linwood Road</t>
  </si>
  <si>
    <t>GF - VF Co-site</t>
  </si>
  <si>
    <t>VF co-site approved_x000D_
HAIL activity site - excavated soil to be removed._x000D_
Note: 1 off payment required to the LO's tenant for disruption to crops.</t>
  </si>
  <si>
    <t>574 Linwood road_x000D_
Karaka</t>
  </si>
  <si>
    <t>Council Ref L12116 (No. 41551)  - 17/10/2012</t>
  </si>
  <si>
    <t>Wellington Street</t>
  </si>
  <si>
    <t>Primary coverage objectives are commercial and residential areas at Puketutu. Pak n Save, Bledisloe Park, Pukekohe Cosmopolitan Club and Rosa Birch park._x000D_
_x000D_
Secondary coverage are secondary roads to the adjacent sites._x000D_
Compared to the rural sites at the outskirts this site has a relatively small coverage area. Option 1: NES light pole at -37.210998°, 174.896702°.</t>
  </si>
  <si>
    <t>Meremere</t>
  </si>
  <si>
    <t>Bombay Hub</t>
  </si>
  <si>
    <t>Might required one Sector with azimuth of 70 degrees (towards North East of Paparata Road)</t>
  </si>
  <si>
    <t>Main objective is to provide coverage around the curving section at the Southern Motorway (between Ramarama and Bombay sites).</t>
  </si>
  <si>
    <t>RBI - Kingseat</t>
  </si>
  <si>
    <t>RBI - Port Waikato</t>
  </si>
  <si>
    <t>RBI - Clarks Beach Central</t>
  </si>
  <si>
    <t>Waiuku Industrial</t>
  </si>
  <si>
    <t>2degress to install ducts, pits and cable for LO._x000D_
6 month commencement and payment for tar seal after construction._x000D_
01.12.2014  Rev 0 CD on circulation._x000D_
Fibre feasability is underway (Ryan)_x000D_
18.12.2014 Await CD issue15/1/15 - pole is ready at DUCO_x000D_
28/1/15 - geotech done, fibre feasability ok_x000D_
9/3/15 - all equipment and pole ordered, awaiting tender pricing feedback.</t>
  </si>
  <si>
    <t>15-15A Martyn Street_x000D_
Waiuku</t>
  </si>
  <si>
    <t>Application Ref L12104  - 17/10/2012</t>
  </si>
  <si>
    <t>Pukekohe Outer</t>
  </si>
  <si>
    <t>Puke Outer Workshop</t>
  </si>
  <si>
    <t>HAIL activity site - excavated soil to be removed._x000D_
Power from LO's cable, sufficient capacity available. _x000D_
$10k payment made to LO for power and access._x000D_
28/01/15 - fibre feasibility underway, CDI given 21/1/15_x000D_
6.3.15 - fibre ordered and IBT accepted due to going over a few different properties - RFS 1/5_x000D_
9/3/15 - pole &amp; RF equipment orders all underway - POs not yet approved. TX ordered 13/2/15_x000D_
7/5/15 - PO6 for build approved and sent to Huawei - civil build has started</t>
  </si>
  <si>
    <t xml:space="preserve">139A Masters Rd,_x000D_
Waiuku,_x000D_
Auckland_x000D_
</t>
  </si>
  <si>
    <t>LUC20023/13 - Processed by Waikato DC under Franklin District Plan.   - 14/09/2012</t>
  </si>
  <si>
    <t>Pukekohe</t>
  </si>
  <si>
    <t>Pukekohe - GF 125  Blake Rd</t>
  </si>
  <si>
    <t>123 Blake Rd,_x000D_
Pukekohe</t>
  </si>
  <si>
    <t>Te Puke Town</t>
  </si>
  <si>
    <t>BoucherAve/Slater Pl cnr</t>
  </si>
  <si>
    <t>Western BOP</t>
  </si>
  <si>
    <t>TIER_2</t>
  </si>
  <si>
    <t>Work Order 2 ready and Jackie will issue 21 November._x000D_
18/11/11 - Site now fully hard matched_x000D_
30/03/12 - PAD submitted. Drive test Tues 10 April, and on air then. Site audit/inspections completed with Design and Operations</t>
  </si>
  <si>
    <t>cnr Boucher Avenue and Slater Place</t>
  </si>
  <si>
    <t>Council Ref: 4074  - 18/11/2011</t>
  </si>
  <si>
    <t>Katikati Hilltop</t>
  </si>
  <si>
    <t xml:space="preserve">Katikati VF Co-lo </t>
  </si>
  <si>
    <t>13/03/13 - FAN all signed - ready to issue FAC_x000D_
25/03/13 - FAC signed</t>
  </si>
  <si>
    <t>THAMES_TAURANGA</t>
  </si>
  <si>
    <t xml:space="preserve">468, _x000D_
RD 2, _x000D_
Wharawhara Road,_x000D_
Katikati_x000D_
</t>
  </si>
  <si>
    <t>Council Ref RC3936  - 29/08/2011</t>
  </si>
  <si>
    <t>Katikati Town</t>
  </si>
  <si>
    <t>Rear 30 Main Road</t>
  </si>
  <si>
    <t>18/03/13 - Snags to clear before FAN issue_x000D_
29/04/13 - FAN in sign off</t>
  </si>
  <si>
    <t>Rear 30 Main Road_x000D_
Katikati</t>
  </si>
  <si>
    <t>Te Puke Hilltop</t>
  </si>
  <si>
    <t>Te Puke Hilltop - VF cosite</t>
  </si>
  <si>
    <t>2011-02-17</t>
  </si>
  <si>
    <t>26/06/11 VF cosite approved and issued_x000D_
15/9/11 - Pile poured. All Good.  Owner and farmer request track is left in._x000D_
14/10/11 - Site on aire. Design Audit inspectiojn completed</t>
  </si>
  <si>
    <t>179 Upper Papamoa Road_x000D_
Te Puke</t>
  </si>
  <si>
    <t>Council Ref: 3839  - 20/05/2011</t>
  </si>
  <si>
    <t>Papamoa - Kordia</t>
  </si>
  <si>
    <t>Kopukairua - Kordia</t>
  </si>
  <si>
    <t>2010-02-19</t>
  </si>
  <si>
    <t>24/8/11 Site on air</t>
  </si>
  <si>
    <t>KDA</t>
  </si>
  <si>
    <t>Rocky Cutting Road_x000D_
Waitao_x000D_
Bay of Plenty</t>
  </si>
  <si>
    <t>Minden</t>
  </si>
  <si>
    <t>Tony Rhind Property (near VF)</t>
  </si>
  <si>
    <t>P8</t>
  </si>
  <si>
    <t>Note: This was 023-019 - now 022-019._x000D_
26/07/11 - Site Integrated</t>
  </si>
  <si>
    <t>502 Minden Road,_x000D_
Te Puna,_x000D_
RD6 Tauranga</t>
  </si>
  <si>
    <t>Wairoa Rd</t>
  </si>
  <si>
    <t>Lloyd Property</t>
  </si>
  <si>
    <t>2010-07-20</t>
  </si>
  <si>
    <t>15/12/11 - Construction well underway. Pads down, fence up, waiting for pole. Drive test maybe 13 Jan_x000D_
14/02/12 - Site integrated last week. Drive tested Friday. QA inspection 14/2.  Look at results and if no service affecting snags, then site will be released to Air</t>
  </si>
  <si>
    <t>350 Wairoa Road,_x000D_
Te Puna,_x000D_
Western Bay Of Plenty</t>
  </si>
  <si>
    <t>Waihi Beach</t>
  </si>
  <si>
    <t>Hilltop around Telecom</t>
  </si>
  <si>
    <t xml:space="preserve">18/03/13 - Snags to clear for FAN issue_x000D_
23/04/13 - FAC signed </t>
  </si>
  <si>
    <t>End Tohra View Road_x000D_
Waihi Beach</t>
  </si>
  <si>
    <t>Athenree</t>
  </si>
  <si>
    <t xml:space="preserve">Athenree - VF Co-lo </t>
  </si>
  <si>
    <t>19/06/12 - VF preliminary Approval granted and 2D have accepted_x000D_
31/07/12 - Submit VF Project Plan 10/9, VF approval by 24/9 - subject to CD's_x000D_
06/08/12 - WO2 in sign off_x000D_
23/08/12 - VF Lease (Historical)ammendments- Kelly_x000D_
18/10/12 - Lease Dates pushed out_x000D_
25/8/15 - new VF data pack ordered_x000D_
23/9/15 - up rev redlines issued - pole up _x000D_
23/11/15 - VF Colo application submitted_x000D_
20/1/16 - received VF prelim approval</t>
  </si>
  <si>
    <t>234 Athenree Road_x000D_
Athenree_x000D_
Katikati</t>
  </si>
  <si>
    <t>RBI - Pyes Pa</t>
  </si>
  <si>
    <t>RBI - Paengaroa</t>
  </si>
  <si>
    <t>Paengaroa RBI</t>
  </si>
  <si>
    <t>16 Oct: CD1 requested._x000D_
19 Oct: Letter to planner drafted. Send when VF advises LO of co-lo request._x000D_
21 Oct: VF co-lo &amp; Spark co-site lodged &amp; Pre-qual requested. _x000D_
7 Dec: RFS date 2 March. Waiting for VF pre-build approval. ATN ordered. Antenna quote requested_x000D_
12 Jan: Waiting on VF approval &amp; antenna quote_x000D_
17 Jan: Contractor site visit. Quotes pending._x000D_
27 Jan: PO6 approved_x000D_
3 Feb: Waiting for VF pre-approval &amp; revised quote for Paengaroa diplexer (+ air freight)</t>
  </si>
  <si>
    <t>State Highway 33_x000D_
Paengaroa</t>
  </si>
  <si>
    <t>RBI - Aongatete</t>
  </si>
  <si>
    <t>Aongatete RBI</t>
  </si>
  <si>
    <t>16 Oct: VF co-lo &amp; Spark co-site lodged &amp; Pre-qual requested. CD1 requested._x000D_
19 Oct: Letter to planner drafted. Will be sent when VF advises LO of co-lo request._x000D_
29 Oct: Draft CD1 issued for review. _x000D_
2 Nov: ATN PO raised. _x000D_
16 Nov: Pre-build approval granted. Letter sent to LO. Tender Instruction issued_x000D_
15 Dec: VF Antenna PO requested. Antennas ordered. _x000D_
22 Dec: VF PO sent through to order antennas_x000D_
20 Jan: Tender visit completed. Quote pending. Waiting for Huawei &amp; VF antenna ETA._x000D_
2 Feb: PO6 issued. Waiting on VF quote for replacement antennas._x000D_
10 Feb: CX Config raised for 24th Feb</t>
  </si>
  <si>
    <t>12 Wright Road</t>
  </si>
  <si>
    <t>Letter to confirm compliance sent to Council  - 25/01/2016</t>
  </si>
  <si>
    <t xml:space="preserve">RBI - Maketu </t>
  </si>
  <si>
    <t>Maketu RBI</t>
  </si>
  <si>
    <t>RBI Pole</t>
  </si>
  <si>
    <t>Rapid Access RBI site. _x000D_
03 July: PO6 issued_x000D_
14 July: VF Final approval_x000D_
LO approval received_x000D_
11 Aug: RFS date_x000D_
5 Aug: Weather delayed build start until 10th Aug_x000D_
17th Aug: Target Integration date_x000D_
12 Aug: Fibre delivered to site_x000D_
17 Aug: Integrated_x000D_
20 Aug: Vol4 due (need to turn around quickly to get SOA by end of the month)</t>
  </si>
  <si>
    <t>Arawa Ave, Maketu</t>
  </si>
  <si>
    <t>RBI - Oropi</t>
  </si>
  <si>
    <t>Pukehina</t>
  </si>
  <si>
    <t>25/8/15 - VF data pack ordered_x000D_
18/8/15 - proposed 25m RH pole with double stack headframe with 3 x 742266 antenna at top - approx. 28m_x000D_
13/1/16 - using tower manufactured previously which we have in stock - just need to modify headframe_x000D_
9/2/16 - Vega antenna due approx. 28th March</t>
  </si>
  <si>
    <t>Kaimai Middle</t>
  </si>
  <si>
    <t>Road coverage on SH29</t>
  </si>
  <si>
    <t>Kaimai Lower</t>
  </si>
  <si>
    <t>Kaimai Lower VF Co-Lo</t>
  </si>
  <si>
    <t>RF to decide if Kaimai Middle or Kaimai Lower to be pursued as the Active T5 candidate_x000D_
2/12/15 - Kaimai lower chosen as better option _x000D_
18/1/16 - VF co-lo application submitted</t>
  </si>
  <si>
    <t>29 Thorn Rd,_x000D_
Kaimai_x000D_
Tauranga</t>
  </si>
  <si>
    <t>Mt Maunganui North</t>
  </si>
  <si>
    <t>Grand Pacific</t>
  </si>
  <si>
    <t>Tauranga</t>
  </si>
  <si>
    <t>2010-07-02</t>
  </si>
  <si>
    <t>26/07/11 - Site Integrated_x000D_
28/07/11 - Lodging consent for S127 extra MW dish_x000D_
31/08/11 - Council have issued S127 for 3rd MW dish on site</t>
  </si>
  <si>
    <t>15 Maunganui Road_x000D_
Mount Maunganui</t>
  </si>
  <si>
    <t>Ngatai Rd</t>
  </si>
  <si>
    <t>LPR Ngatai/Otumoetai</t>
  </si>
  <si>
    <t>2010-03-25</t>
  </si>
  <si>
    <t>Dec - FAN issued</t>
  </si>
  <si>
    <t>LPR_x000D_
cnr Otumoetai and Ngatai Roads_x000D_
Beside Overbridge_x000D_
Tauranga</t>
  </si>
  <si>
    <t>Tauranga Hospital - TX Hub</t>
  </si>
  <si>
    <t>Tauranga Hospital</t>
  </si>
  <si>
    <t>2010-03-12</t>
  </si>
  <si>
    <t xml:space="preserve">11/5/10 - VF and Telecom Co-site approvals received_x000D_
</t>
  </si>
  <si>
    <t>Tauranga Hospital_x000D_
829 Cameron Road_x000D_
Tauranga</t>
  </si>
  <si>
    <t>Section 127 Approved on the 27.8.12 with rev 3 plans   - 29/08/2012</t>
  </si>
  <si>
    <t>Tauranga Westpac - Main Hub</t>
  </si>
  <si>
    <t>Westpac Building</t>
  </si>
  <si>
    <t>22/07/11 - Site integrated</t>
  </si>
  <si>
    <t>Westpac Building_x000D_
2 Devonport Road_x000D_
Tauranga</t>
  </si>
  <si>
    <t>Mt Maunganui</t>
  </si>
  <si>
    <t>Cnr Rata St &amp; Nikau Cres, Mount South</t>
  </si>
  <si>
    <t>11/5/10 - Telecom Co-site approval received_x000D_
19/4/11 - Letter drop today, but found the houses are all boarded up, and on instructions from SPM, the letter drop was aborted.</t>
  </si>
  <si>
    <t>Cnr Rata St &amp; Nikau Crs,_x000D_
Mt Maunganui,_x000D_
Bay of Plenty</t>
  </si>
  <si>
    <t>Permitted to None None  - 20/05/2010</t>
  </si>
  <si>
    <t>Totara Street</t>
  </si>
  <si>
    <t>100 Hull Road</t>
  </si>
  <si>
    <t>11/5/10 - Telecom Co-site approval received_x000D_
28/07/11 - Site Integrated</t>
  </si>
  <si>
    <t>100 Hull Road_x000D_
Mount Maunganui</t>
  </si>
  <si>
    <t>Arataki - TX Hub</t>
  </si>
  <si>
    <t>8 Titoki Place</t>
  </si>
  <si>
    <t>8 Titoki Place_x000D_
Tauranga</t>
  </si>
  <si>
    <t>Tauranga Docks</t>
  </si>
  <si>
    <t>Rail Land - Marsh street</t>
  </si>
  <si>
    <t>11/5/10 - VF Co-site approval received_x000D_
28/04/11 - Geotech to be undertaken - maybe fill on site. Quote for Power Route received</t>
  </si>
  <si>
    <t>Rail Land_x000D_
East Coast Main Railway_x000D_
Access - Marsh Street_x000D_
Tauranga</t>
  </si>
  <si>
    <t>Otumoetai Road North</t>
  </si>
  <si>
    <t>LPR Brookfield - Otumoetai cnr</t>
  </si>
  <si>
    <t>2011-01-19</t>
  </si>
  <si>
    <t>28/04/11 - GPR done. Power plinth to be identified by Authority_x000D_
13/06/11 - Council Officer wants to relocate cabinets - 2 Degrees working on Council for NO changes, otherwise Lease and RMA impacted</t>
  </si>
  <si>
    <t>Cnr Broofield Tce and Otumoetai Road_x000D_
Otumoetai_x000D_
Tauranga</t>
  </si>
  <si>
    <t>Bethlehem</t>
  </si>
  <si>
    <t>Transit Land SH2 Bethlehem shops</t>
  </si>
  <si>
    <t>2010-10-18</t>
  </si>
  <si>
    <t>26/07/11 - Site integrated</t>
  </si>
  <si>
    <t>Transit land_x000D_
Cnr SH2 and Moffat_x000D_
Bethlehem_x000D_
Tauranga</t>
  </si>
  <si>
    <t>Greerton</t>
  </si>
  <si>
    <t>22 Sherson Street</t>
  </si>
  <si>
    <t>15/12/11 - Headframe still to be swapped out.  To be done in New Year. Drive Team need to be kept informed so they can test after the work done</t>
  </si>
  <si>
    <t>23 Sherson Street, Gate Pa</t>
  </si>
  <si>
    <t>Papamoa Beach</t>
  </si>
  <si>
    <t>Mitre 10, Palm Beach Shopping Centre</t>
  </si>
  <si>
    <t>2010-05-06</t>
  </si>
  <si>
    <t>28/07/11 - Site integrated</t>
  </si>
  <si>
    <t>Mitre 10_x000D_
off Gravatt Road_x000D_
Palm Beach Shopping Centre_x000D_
Papamoa</t>
  </si>
  <si>
    <t>Papamoa East</t>
  </si>
  <si>
    <t xml:space="preserve">2/3 - new headframe design required_x000D_
11/3/10 - site is hardmatched_x000D_
30/4 - RMA lodgment version should be 2. Version 3 was not submitted as no changes affected RMA_x000D_
</t>
  </si>
  <si>
    <t>1 Market Place_x000D_
Papamoa</t>
  </si>
  <si>
    <t>Omanu</t>
  </si>
  <si>
    <t>Ontrack beside KFC</t>
  </si>
  <si>
    <t xml:space="preserve">2/9/11 - Council have advised site is in general accordance. Email is filed in Site Folder_x000D_
_x000D_
</t>
  </si>
  <si>
    <t>Ontrack Land _x000D_
Cnr of Hewletts Rd, &amp; Maunganui Rd,_x000D_
Tauranga,_x000D_
Bay of Plenty</t>
  </si>
  <si>
    <t>Permitted to 20.00 AGL  - 20/05/2010</t>
  </si>
  <si>
    <t>Tauranga South</t>
  </si>
  <si>
    <t>Telecom Co-Locate</t>
  </si>
  <si>
    <t>15/12/11 - SOA. Telecom have double allocated some space with Police. Ron sorted with Roger Collinge. Police will supply some info for adding to as builts</t>
  </si>
  <si>
    <t>Telecom Tauranga Exchange MTCE_x000D_
540 Cameron Road_x000D_
Tauranga</t>
  </si>
  <si>
    <t>Parkvale</t>
  </si>
  <si>
    <t>LPR Fraser/Kesteven cnr</t>
  </si>
  <si>
    <t>15/12/11 - Site all good</t>
  </si>
  <si>
    <t>Cnr Fraser St and Kesteven Avenue_x000D_
Greerton_x000D_
Tauranga</t>
  </si>
  <si>
    <t>Poike</t>
  </si>
  <si>
    <t>46 Maleme Street (VF Co-Lo)</t>
  </si>
  <si>
    <t>15/12/11 - Shroud to be completed. Rain has delayed work until new year</t>
  </si>
  <si>
    <t>46 Melane Street</t>
  </si>
  <si>
    <t>Papamoa North</t>
  </si>
  <si>
    <t>Vodafone Papamoa Nth Co-locate</t>
  </si>
  <si>
    <t>27/07/11 - Site integrated</t>
  </si>
  <si>
    <t>VF Papamoa North site_x000D_
SH29_x000D_
Papamoa</t>
  </si>
  <si>
    <t>General coverage to the North West of Tauranga._x000D_
Co-location opportunity.</t>
  </si>
  <si>
    <t>Welcome Bay</t>
  </si>
  <si>
    <t>Transit land, Taupari St/Maungatapu cnr</t>
  </si>
  <si>
    <t>29/09/11 - Site has been integrated, but suffering RF issues on sectors. Huawei working through options and problem solving.  SOA date extended_x000D_
06/10/11 - SOA with 2100 only. 900 has interference.</t>
  </si>
  <si>
    <t>Taupiri Street, Mangatapu road intersection_x000D_
Welcome bay_x000D_
Tauranga</t>
  </si>
  <si>
    <t>Tauranga Airport</t>
  </si>
  <si>
    <t xml:space="preserve">Metro Coverage in all directions._x000D_
 New Greenfield Site at Airport. </t>
  </si>
  <si>
    <t>Hairini Heights</t>
  </si>
  <si>
    <t>LPR Ohauiti Road</t>
  </si>
  <si>
    <t>2010-05-20</t>
  </si>
  <si>
    <t>15/12/11 - Council have accepted high hatch on pole but "we are pushing it"</t>
  </si>
  <si>
    <t>LPR_x000D_
Ohauiti Rd, Opposite Buxton Place_x000D_
Hairini_x000D_
Tauranga</t>
  </si>
  <si>
    <t>COC reference - RC15146  - 21/07/2010</t>
  </si>
  <si>
    <t>Barkes Corner</t>
  </si>
  <si>
    <t>LPR - opp 78 Pyes Pa Rd</t>
  </si>
  <si>
    <t>29/09/11 - Site has been integrated, but suffering RF issues on sectors. Huawei working through options and problem solving. SOA date extended</t>
  </si>
  <si>
    <t>LPR_x000D_
Over Road from 78 Pyres Pa Road_x000D_
Pyes Pa_x000D_
Tauranga</t>
  </si>
  <si>
    <t>COC reference - RC15107  - 21/07/2010</t>
  </si>
  <si>
    <t>Tauriko</t>
  </si>
  <si>
    <t>Tauriko Business Estate</t>
  </si>
  <si>
    <t>23/06/11 - Owners have sent through email re requiring power and telco to be 2m deep. To find out why and what can be done</t>
  </si>
  <si>
    <t>Tauriko Business Estate_x000D_
5 Taurikura Drive_x000D_
Tauranga</t>
  </si>
  <si>
    <t>Matua</t>
  </si>
  <si>
    <t>LPR - Levers Rd / Heron Ave cnr</t>
  </si>
  <si>
    <t>15/12/11 - Site Good. FAN issued</t>
  </si>
  <si>
    <t>LPR_x000D_
cnr Levers Rd/Heron st_x000D_
Matua</t>
  </si>
  <si>
    <t>Cambridge Heights</t>
  </si>
  <si>
    <t>Cambridge Road (LPR)</t>
  </si>
  <si>
    <t>15/12/11 - Site Good. _x000D_
30/03/12 - FAN in circulation for sign-off</t>
  </si>
  <si>
    <t>TCC Lightpole_x000D_
cnr Cambridge Road and Te Atatu Place_x000D_
Tauranga</t>
  </si>
  <si>
    <t>Cambridge Road</t>
  </si>
  <si>
    <t>Metro Coverage to the SW of Tauranga._x000D_
 New Greenfield Site.</t>
  </si>
  <si>
    <t>Grange Rd</t>
  </si>
  <si>
    <t>126 Grange Road</t>
  </si>
  <si>
    <t>2010-03-10</t>
  </si>
  <si>
    <t>15/12/11 Site OK</t>
  </si>
  <si>
    <t>126 Grange Road_x000D_
Otumoetai_x000D_
Tauranga</t>
  </si>
  <si>
    <t>Bureta</t>
  </si>
  <si>
    <t>LPR Bureta/Ngatea Rd</t>
  </si>
  <si>
    <t>29/09/11 - Site under construction. Pole in, cabinets to be wired up. SOA date extended from 30 Sept to 14 Oct - resources short to complete job_x000D_
27/10/11 - Initial link was installed to TGA Docks !!. Now correct to Mt Maunganui. However passing ships sometimes will break link. TX aware but will monitor. Lease line is expensive option</t>
  </si>
  <si>
    <t>LPR_x000D_
cnr Bureta and Ngatea Roads_x000D_
25 Bureta Rd,_x000D_
Bureta,_x000D_
Tauranga</t>
  </si>
  <si>
    <t>TCC Ref: RC15683  - 09/09/2011</t>
  </si>
  <si>
    <t>Hairini</t>
  </si>
  <si>
    <t xml:space="preserve">Coverage to match up with surrounding sites. Welcome Bay, Hairini Heights, Poike, &amp; Kordia (Papamoa). </t>
  </si>
  <si>
    <t>Wairoa</t>
  </si>
  <si>
    <t>New Nominal to provide coverage to the west of Cambridge Rd.</t>
  </si>
  <si>
    <t>Maungatapu</t>
  </si>
  <si>
    <t xml:space="preserve">Coverage to the south part of the Maungatapu Peninsula. _x000D_
_x000D_
Linking up coverage with Maungatapu North, Hairini Heights, Poike, Papamoa, Parkvale &amp; Tauranga Hospital._x000D_
_x000D_
</t>
  </si>
  <si>
    <t>Maungatapu North</t>
  </si>
  <si>
    <t>Coverage to the following areas. The Northern part of Maungatapu (North of Taipari St), Welcome Bay to the SW , Metapihi and State Hwy 2 to the NW &amp; Tauranga South to the NE.  _x000D_
_x000D_
The following locations areas can be considered for a pole site. Te Wati Park, a LPR on high ground near 311 Maungatapu Rd, pole near SH2 at the rear of 311 Maungatapu Rd, an LPR near Te Wati Park. A pole site that overlooks Maungatapu North (across Water to the East near Ranginui Rd). Plus any other site that maximizes coverage to the coverage area._x000D_
_x000D_
Preference for sites that maximize coverage to the coverage areas as predicted on the prediction tool._x000D_
_x000D_
LPR identified on site visit 18/1/11 - Te Wati St</t>
  </si>
  <si>
    <t>Mt Maunganui Chorus Co-Lo</t>
  </si>
  <si>
    <t>Mt Maunganui Chorus TX only</t>
  </si>
  <si>
    <t>PAPAMOA WEST</t>
  </si>
  <si>
    <t>Papamoa West LPR</t>
  </si>
  <si>
    <t>03/06/15 - Caravanned.  Road Reserve not yet with Council, but advised to proceed. Telco notice site_x000D_
30/06/15 - PD's are issued and sent to James/Brad/Melissa for Telco notice and consenting_x000D_
07/07/15 - Telco notice to lodge by 31/07_x000D_
04/08/15 - Telco Notice lodged. Consent in drafting (James)_x000D_
11/08/15 - Telco notice expires17/08. The issue 1 page letter_x000D_
18/08/15 - Letter issued. Lodge consent application_x000D_
25/9/15 - Consent received</t>
  </si>
  <si>
    <t>Bayfair Plaza Repeater</t>
  </si>
  <si>
    <t>Bayfair Plaza MC</t>
  </si>
  <si>
    <t>26/05/15 - 2 Degrees now doing drawings in-house. Visit 3/6 when caravan Papamoa west.  May not need a consent - James will check.  Ron to check MC order_x000D_
23/06/15 - rent will be 2-3k per year, and starts on signing. Good breakthrough with AMP. Ron/Steve/Kevin to review status_x000D_
04/08/15 - Solution now Microcell into 266 Antennas - PD up-rev underway. Matt to be given drws when available_x000D_
25/08/15 - Drawings issued to Matt and James - James to give RMA assessment</t>
  </si>
  <si>
    <t>Rotorua Central</t>
  </si>
  <si>
    <t>Chubb Greenfield</t>
  </si>
  <si>
    <t>Rotorua</t>
  </si>
  <si>
    <t>27/10/11 - Mast in. Cabinets in soon, expecting integration 29/10_x000D_
5/12/11 - PAC, with snags signed</t>
  </si>
  <si>
    <t>Behind Chubb storage_x000D_
Old Taupo Road_x000D_
Rotorua</t>
  </si>
  <si>
    <t>Consent No. RC14037  - 11/07/2011</t>
  </si>
  <si>
    <t>Pukehangi</t>
  </si>
  <si>
    <t>AutoMart</t>
  </si>
  <si>
    <t>LIMITED_NOTIFIED</t>
  </si>
  <si>
    <t xml:space="preserve">08/11/11 - Council will advise on 14/11 on notification _x000D_
24/11/11 - Submissions close 14 Dec. Hearing will be in Jan_x000D_
15/12/11 - Submissions closed yesterday with noe received. Wait for any late submissions_x000D_
10/02/11 - Consent granted today. Docs out Monday_x000D_
14/02/12 - WO2 done and in for signing_x000D_
_x000D_
_x000D_
_x000D_
_x000D_
_x000D_
</t>
  </si>
  <si>
    <t>38 Edmund Rd,_x000D_
Rotorua</t>
  </si>
  <si>
    <t>Rotorua CBD - Main Hub</t>
  </si>
  <si>
    <t>1154 Hinemoa Street</t>
  </si>
  <si>
    <t>18/03/13 - Generator functional test to be carried out before FAN can be issues and processed_x000D_
09/04/13 - FAC reforecasted - No FAN received yet_x000D_
01/05/13 - No FAN yet.  FAC reforecasted_x000D_
14/6/13 - FAC Signed. THis was the last site in Rotorua to achieve FAC</t>
  </si>
  <si>
    <t>1154 Hinemoa Street,_x000D_
Rotorua CBD</t>
  </si>
  <si>
    <t>Consent No. RC13968  - 18/05/2011</t>
  </si>
  <si>
    <t>Rotorua West</t>
  </si>
  <si>
    <t>West End Medical</t>
  </si>
  <si>
    <t>2011-03-03</t>
  </si>
  <si>
    <t>16/06/11 - Owner hopefully over the line now. Lease amendment required to ref WHO emmission standards_x000D_
23/06/11 - Signed documents now with 2D for signing_x000D_
5/12/11 - PAC, with snags signed</t>
  </si>
  <si>
    <t>227 Old Taupo Rd (near Malfroy Rd),_x000D_
Rotorua</t>
  </si>
  <si>
    <t>Consent No. RC13976  - 04/06/2011</t>
  </si>
  <si>
    <t>Mangakakahi</t>
  </si>
  <si>
    <t>Roadmaster</t>
  </si>
  <si>
    <t>2011-02-02</t>
  </si>
  <si>
    <t>1/12/11 - SOA delayed due to late completion and Vol 4 not avail until 30/11_x000D_
07/12/11 - Site Audits and inspections completed.  Site now on air_x000D_
16/12/11 - PAC signed</t>
  </si>
  <si>
    <t>35 Biak Street_x000D_
Rotorua</t>
  </si>
  <si>
    <t>Consent No.: RC13937  - 26/04/2011</t>
  </si>
  <si>
    <t>Pukehangi Heights</t>
  </si>
  <si>
    <t>Diamond Street GF</t>
  </si>
  <si>
    <t>15/12/11 - Site with Huawei for construction. Power to come from road. Lat jan drive_x000D_
10/02/12 - REvised dates from Infratel has pushed out SOA till after PAC_x000D_
08/03/12 - Site integrated and Vol 4 delivered. Teams checking site_x000D_
09/03/12 - PAD submitted and under review</t>
  </si>
  <si>
    <t>17 Diamond Street,_x000D_
Rotorua</t>
  </si>
  <si>
    <t>Council Ref: RC14149  - 14/11/2011</t>
  </si>
  <si>
    <t>Rotorua South</t>
  </si>
  <si>
    <t>LPR Mokoia Drive</t>
  </si>
  <si>
    <t>28/10/11 - Site built, but weaiting for quote on power provision. Power will be the delay on this site_x000D_
14/11/11 - SOA changed to Dec, due to issues with getting power to site_x000D_
15/12/11 - Site under Drive test today. Site went to air after test</t>
  </si>
  <si>
    <t>Mokoia Drive_x000D_
Rotorua</t>
  </si>
  <si>
    <t>NES pole  - 21/05/2010_x000D_
Consent No. RC14031  - 15/07/2011</t>
  </si>
  <si>
    <t>Ngapuna</t>
  </si>
  <si>
    <t>Kawaha Point</t>
  </si>
  <si>
    <t>Rugby Club GF site</t>
  </si>
  <si>
    <t>08/11/11 - Notification out. Submissions close 01 December_x000D_
24/11/11 - 3 sumissions (1 was joint) received to date. Hearing set for 21 Dec_x000D_
15/12/11 - Hearing next Wed 21/12 - 2D will be available on teleconf if required by commissioner_x000D_
18/05/12. Site Audited this week, and only 1 minor snag found. PAD good. PAC issued today</t>
  </si>
  <si>
    <t>Rugby Club,_x000D_
End of Bellvue Rd,_x000D_
Kawaha,_x000D_
Rotorua</t>
  </si>
  <si>
    <t>Consent No. RC13957_x000D_
  - 09/01/2012</t>
  </si>
  <si>
    <t>Te Ngae Shopping Centre</t>
  </si>
  <si>
    <t>LPR Te Ngae Road - opp shell</t>
  </si>
  <si>
    <t>18/03/13 - FAN in sign-off process. No dwg on CD, and dish is still non-NES compliant_x000D_
20/03/13 - FAC ready to sign if 2D accepts non-compliant dish_x000D_
09/14/13 - Huawei advised that correct dish needs to be installed to comply with NES. FAC not to be signed till then.</t>
  </si>
  <si>
    <t>Wharenui Road, Te Ngae Road cnr, _x000D_
Owhata,_x000D_
Rotorua</t>
  </si>
  <si>
    <t>Consent No. RC14045  - 01/08/2011</t>
  </si>
  <si>
    <t>Owhata</t>
  </si>
  <si>
    <t>Lake Rotoiti</t>
  </si>
  <si>
    <t>VF Colocation</t>
  </si>
  <si>
    <t>24/05/12 - Using 224 antennas, structure will work. Rev0 drawings should be avail 25/5_x000D_
01/06/12 - Redlines done, drws updated and confirmed for issue as REV 1_x000D_
14/06/12 - lost drawings - but now found. To be issued_x000D_
21/06/12 - Drawings in final circulation. Colo application to be undertaken_x000D_
05/10/12 - Taken out of Build programme_x000D_
25/8/15 - new VF data pack ordered_x000D_
23/9/15 - PD up rev issued_x000D_
23/11/15 - VF co-lo application submitted_x000D_
12/1/16 - awaiting VF prelim approval - once we have this we can send riggers for LOS and tower measure ups - when LOS confirmed we will order the TX equipment._x000D_
26/1/16 - received VF prelim approval_x000D_
27/1/16 - dependant on Okere Falls for transmission - have pushed dates out to reflect this</t>
  </si>
  <si>
    <t>ROTORUA_TAUPO</t>
  </si>
  <si>
    <t>Forestry Rd,_x000D_
Tikitere Hill_x000D_
Lake Rotoiti</t>
  </si>
  <si>
    <t>Okere Falls</t>
  </si>
  <si>
    <t>Okere Falls VF Co-Lo</t>
  </si>
  <si>
    <t>23/10/15 - data pack received_x000D_
15/1/16 - VF c-lo application submitted</t>
  </si>
  <si>
    <t xml:space="preserve">Hamurana Road,_x000D_
Okere Falls_x000D_
</t>
  </si>
  <si>
    <t>Pukepoto - Kordia</t>
  </si>
  <si>
    <t>Pukepoto Kordia co-lo</t>
  </si>
  <si>
    <t>2011-03-24</t>
  </si>
  <si>
    <t>OPW</t>
  </si>
  <si>
    <t>28/10/11 - Link 5dB out of spec. Ron has requested Kordia resources continue to build Tuhingamata and return afterwards to re-pan/tilt link before SOA._x000D_
5/12/11 - PAC, with snags signed</t>
  </si>
  <si>
    <t>Pukepoto _x000D_
Access off Gee Rd,_x000D_
Rotorua Airport</t>
  </si>
  <si>
    <t>Ngongotaha</t>
  </si>
  <si>
    <t>VF &amp; TNZ co-site</t>
  </si>
  <si>
    <t>Mast location will be critical to achieve coverage and avoid interference with other operators._x000D_
13/1/11 - Maori Trust land. May look at option to also co-lo RF on Telecom, and sep mast for Transmission_x000D_
17/2/11 - Owner all OK. Need to site visit to confirm options for our build_x000D_
3/3 - site pending strategic review by RF_x000D_
10/3/11 - Site/nominal removed from Tier 2 due to RF strategy on high sites. Ngongotaha Township nominal created as new area for Tier 2_x000D_
25/8/15 - VF &amp; Spark data packs ordered</t>
  </si>
  <si>
    <t>Ngongotaha Hilltop,_x000D_
Access off Paradise Valley Rd &amp;_x000D_
State Highway Interchange</t>
  </si>
  <si>
    <t>Whakarewarewa</t>
  </si>
  <si>
    <t>VF Co-lo Whakarewarewa</t>
  </si>
  <si>
    <t>State Highway 5_x000D_
Whakawerawera, Kakapiko Lookout, Whakawerawera Forest_x000D_
Kakapiko_x000D_
Rotorua</t>
  </si>
  <si>
    <t>Consent No. RC14097  - 05/09/2011</t>
  </si>
  <si>
    <t>Paeroa Range</t>
  </si>
  <si>
    <t>Kordia Paeroa range</t>
  </si>
  <si>
    <t>15/03/2013 - FAN all sign off FAC ready for signing</t>
  </si>
  <si>
    <t xml:space="preserve">Kordia Transmission Site_x000D_
</t>
  </si>
  <si>
    <t>Rainbow Mountain</t>
  </si>
  <si>
    <t>Rainbow Mountain 2015 Project</t>
  </si>
  <si>
    <t>03/11/15 - Site requires revisit with Structural Engineer to look at potential options for upgrading/replacing existing lattice mast and consolidating all users onto one structure (Timberlands, DOC, Spark, VF, 2D and others). Site will require extensive IWI, DOC and colo consultation._x000D_
01/12/15 - Site visited - good options available_x000D_
9/2/16 - PD rev ) issued - Brad to respond with changes, then iwi consultation to start</t>
  </si>
  <si>
    <t>Rainbow Mountain_x000D_
SH38_x000D_
off Rotorua/Taupo SH5</t>
  </si>
  <si>
    <t>Mamaku</t>
  </si>
  <si>
    <t>_x000D_
 q</t>
  </si>
  <si>
    <t>Fenton Park</t>
  </si>
  <si>
    <t>Racecourse - RT site</t>
  </si>
  <si>
    <t xml:space="preserve">07/12/11 - Site Audits and inspections completed.  Site now on air_x000D_
14/12/11 - Club reports leaking roof - Amediate to attend to on site 15/12_x000D_
16/12/11 - PAC signed_x000D_
</t>
  </si>
  <si>
    <t>Fenton Street_x000D_
Rotorua</t>
  </si>
  <si>
    <t>Consent No. RC13986  - 01/06/2011</t>
  </si>
  <si>
    <t>Rotorua Sports GF</t>
  </si>
  <si>
    <t>14/11/11 - Lease commenced Nov_x000D_
15/12/11 - Large costs for getting power to site_x000D_
06/04/12 - Site integrated. PAD expected today, Drive test next week and on-air by Friday. Site will be on generator until perm power available_x000D_
12/04/12 - SOA, but will need to have antennas re-aligned to spec on 13/4</t>
  </si>
  <si>
    <t>Rotorua Sports _x000D_
Devon Street West,_x000D_
Rotorua</t>
  </si>
  <si>
    <t>Council Ref: RC14168  - 14/11/2011</t>
  </si>
  <si>
    <t>Pomare</t>
  </si>
  <si>
    <t>Ngapuna Commercial</t>
  </si>
  <si>
    <t>Verda NZ</t>
  </si>
  <si>
    <t xml:space="preserve">07/12/11 - Site Audits and inspections completed.  Site now on air_x000D_
16/12/11 - PAC signed_x000D_
31/07/12 - FAC signed_x000D_
_x000D_
</t>
  </si>
  <si>
    <t>Verda New Zealand_x000D_
xxx Te Ngae Rd_x000D_
Rotorua</t>
  </si>
  <si>
    <t>Consent No. RC13944  - 29/04/2011</t>
  </si>
  <si>
    <t>Rotorua Airport</t>
  </si>
  <si>
    <t>Airport GF - Option 1</t>
  </si>
  <si>
    <t>28/10/11 - Redlines sent back 6/10.  No CD's issued yet. Site under construction. Pole stands this week_x000D_
5/12/11 - PAC, with snags signed</t>
  </si>
  <si>
    <t>Rotorua Airport_x000D_
Te Ngae Road_x000D_
Rotorua</t>
  </si>
  <si>
    <t>Consent No. RC14025  - 11/07/2011</t>
  </si>
  <si>
    <t>Punaromia (Blue + Green Lakes)</t>
  </si>
  <si>
    <t>Ngongotaha Township</t>
  </si>
  <si>
    <t>6 Wikarata Street</t>
  </si>
  <si>
    <t>15/12/11 - Site on drive test today, and now on air</t>
  </si>
  <si>
    <t>6 Wikarata Street_x000D_
Ngongotaha</t>
  </si>
  <si>
    <t>Consent No. RC14043  - 03/08/2011</t>
  </si>
  <si>
    <t>RBI - Lake Rotoma</t>
  </si>
  <si>
    <t>RBI - Ngongotaha North</t>
  </si>
  <si>
    <t>RBI - Reporoa</t>
  </si>
  <si>
    <t>RBI Reporoa</t>
  </si>
  <si>
    <t>Ohope Beach</t>
  </si>
  <si>
    <t>Kohi Point Roadside</t>
  </si>
  <si>
    <t>Whakatane</t>
  </si>
  <si>
    <t>18/03/13 - snags to clear for FAN issue._x000D_
09/04/13 - FAN in process - only need Boundary survey confirmation email to design_x000D_
26/04/13 - FAC signed</t>
  </si>
  <si>
    <t>WHAKATANE</t>
  </si>
  <si>
    <t>Kohi Point Lookout Road_x000D_
beside Otarawairere Road_x000D_
Ohope</t>
  </si>
  <si>
    <t>Whakatane North</t>
  </si>
  <si>
    <t>Kakahoroa LPR</t>
  </si>
  <si>
    <t>18/03/13 - snags to clear for FAN issue_x000D_
26/04/13 - FAC signed</t>
  </si>
  <si>
    <t>Kakahoroa Drive_x000D_
Whakatane</t>
  </si>
  <si>
    <t>Whakatane South</t>
  </si>
  <si>
    <t>18/03/13 - Snags to clear and PSVP to pass before FAN issue_x000D_
30/05/13 - FAC signed</t>
  </si>
  <si>
    <t>408-426 Te Rahu Road,_x000D_
Poroporo_x000D_
Whakatane</t>
  </si>
  <si>
    <t>Kohi Point Lookout</t>
  </si>
  <si>
    <t>Putauaki</t>
  </si>
  <si>
    <t>Putauaki (Kordia)</t>
  </si>
  <si>
    <t>13/03/12 - Colocation documents have been sent through to Kordia. However thay now are required to lower the mast to 24m by 2016, so looking at our options_x000D_
16/10/14 - Kordia happy to reconsider application - revised application lodged with Shane Gerraty for processing in Kordia. 2 antenna options requested. Cabinets will need to go indoors._x000D_
16/12/2014 - this is named as one of the top 13 roaming sites to build next year. Awaiting Kordia feedback on our proposal._x000D_
15/1/15 - design agreed with Kordia, RC to be submitted by Kordia - PO emailed to Shane for this_x000D_
28/1/15 - lease agreement and costs to be finalised when Shane returns from AL next week_x000D_
25.2.15 - with Kordia for RC and CD's _x000D_
9/3/15 - cabs &amp; TX ordered - antenna order with Huawei_x000D_
1/4/15 - BI issued to Hawei</t>
  </si>
  <si>
    <t>Off McKee Rd,_x000D_
Kawerau</t>
  </si>
  <si>
    <t>Murupara</t>
  </si>
  <si>
    <t>Fell Property Greenfield</t>
  </si>
  <si>
    <t>25/05/12 - Co-site application lodged with VF_x000D_
14/06/12 - Hardmatched_x000D_
07/08/12 - WO2 forecasted_x000D_
05/10/12 - Taken out of Build programme Hardmatch_x000D_
16/1/15 - awaiting CD 1 issue _x000D_
9/3/15 - Cabs &amp; tX equipment ordered, pole PO in signoff, antenna order with Huawei</t>
  </si>
  <si>
    <t>Cnr Golf and Fells Road_x000D_
Murupara</t>
  </si>
  <si>
    <t>Rural 2 zone on farm. Can do 20m mast as a permitted activity  - 05/06/2012</t>
  </si>
  <si>
    <t>Kawerau</t>
  </si>
  <si>
    <t>Kawerau CBD</t>
  </si>
  <si>
    <t>26/02/12 - Anteanna pinched by 'Himitangi". Jon getting one specially couriered in_x000D_
12/03/12 - SOA_x000D_
18/03/13 - Snags to clear and PSVP to pass before FAN issue_x000D_
17/10/13 - FAC signed</t>
  </si>
  <si>
    <t>Council Carpark _x000D_
Off Plunket Street_x000D_
Kawerau</t>
  </si>
  <si>
    <t>Murupara Exchange (TX)</t>
  </si>
  <si>
    <t>Telecom Exchange (TX)</t>
  </si>
  <si>
    <t>01/06/12 - Candidate initiated for linking option of Murupara 25-006 to Telecom fibre network_x000D_
08/06/12 - Site caravaned and WO1 to be issued_x000D_
12/06/12 - Work order 1 issued_x000D_
27/06/12 - Lodge Telecom co-lo and Chorus colo when drawings available_x000D_
24/07/12 - where are the PD Rev 1_x000D_
9/3/15 - TX equipment ordered _x000D_
23/08/12 - Telecom approval required to Lodge RMA_x000D_
05/10/12 - Taken out of Build programme Hardmatch_x000D_
08/10/12 - COC granted_x000D_
16/1/15 -  awaiting chorus feedback on co-lo application for MW dish on pole - sent 13/11/14_x000D_
28/1/15 - still awaiting chorus feedback - once recieved we can send a rigger to measure pole for structural analysis for our MW dish_x000D_
19.2.15 - prelim approval received, awaiting CD's from Ritchie_x000D_
25.2.15 - have submitted to Huawei for Project Plan _x000D_
20/5/15 - Submitted PP from Kordia to Chorus via Jordan</t>
  </si>
  <si>
    <t>TRANSMISSION_ONLY</t>
  </si>
  <si>
    <t>Telecom Exchange_x000D_
46 Pine Drive_x000D_
Murupara</t>
  </si>
  <si>
    <t>Manawahe</t>
  </si>
  <si>
    <t>Chorus RBI Manawahe</t>
  </si>
  <si>
    <t>LATTICE</t>
  </si>
  <si>
    <t>01/02/12 - RBI site being managed by Vodafone. Acq and Planning will be done by them_x000D_
14/02/12 - This is a Telecom site, which VF is using for RBI. We will obtain access in Oct once RBI completed. Ron to talk with Jason re options to move forward faster_x000D_
06/08/12 - Caravaned Structural to be done first if ok then W01_x000D_
05/10/12 - Taken out of Build programme Hardmatch_x000D_
16/1/15 - initial application sent to Vchorus 8/12/14 - awaiting feedback_x000D_
18.2.14 - VF co-lo application with Trevor to fill in RF information_x000D_
19.2.15 - RBI application submitted to VF_x000D_
27.02.15 - Re-sent co-lo submission to Chorus after feedback from VF</t>
  </si>
  <si>
    <t>Manawahe_x000D_
1595A MANAWAHE ROAD_x000D_
MATATA-MANAWAHE</t>
  </si>
  <si>
    <t>RBI - Waimana</t>
  </si>
  <si>
    <t>Waimana RBI</t>
  </si>
  <si>
    <t>8 Oct: SDP received_x000D_
16 Oct: VF co-lo &amp; Spark co-site lodged &amp; Pre-qual requested. CD1 requested._x000D_
19 Oct: Letter to planner drafted. Will be sent when VF advises LO of co-lo request._x000D_
7 Dec: Waiting for VF approval. ATN &amp; antenna ordered _x000D_
17 Dec: VF Pre-approval granted_x000D_
13 Jan: Waiting for formal VF approval &amp; VF antenna quote._x000D_
3 Feb: Waiting on VF pre-approval &amp; antenna quote.</t>
  </si>
  <si>
    <t>Eagles Road, _x000D_
Waimana_x000D_
Whakatane</t>
  </si>
  <si>
    <t>RBI - Nukuhou North</t>
  </si>
  <si>
    <t>RBI - Whakatane West</t>
  </si>
  <si>
    <t>RBI - Thornton BOP</t>
  </si>
  <si>
    <t>Thornton RBI</t>
  </si>
  <si>
    <t>8 Oct: Site data pack received_x000D_
16 Oct: VF co-lo &amp; Spark co-site lodged &amp; Pre-qual requested. CD1 requested._x000D_
19 Oct: Letter to planner drafted. Will be sent when VF advises LO of co-lo request._x000D_
9 Dec: TI issued to Huawei_x000D_
12 Jan: Waiting to hear about antenna ETA_x000D_
17 Jan: Tender quote visit scheduled. _x000D_
21 Jan: Contractor quotes due. _x000D_
3 Feb: PO6 Issued. VF approval received. Start construction 29th Feb._x000D_
10 Feb: CX Config raised for 17th Feb</t>
  </si>
  <si>
    <t>312 West Bank Road, Thornton, Edgecumbe</t>
  </si>
  <si>
    <t>RBI - Ruatoki</t>
  </si>
  <si>
    <t>Ruatoki - RBI</t>
  </si>
  <si>
    <t>20 July: lodged VF/Spark co-site application_x000D_
31 Jul: e-mailed Mike Parker at VF re replacement antennas_x000D_
5 Aug: Fibre ordered &amp; TI issued to Huawei_x000D_
12 Aug: RFS 28 Aug (need to push out to coincide with cabinet delivery date)_x000D_
18 Aug: PO for VF raised (waiting for approval)_x000D_
19 Aug: Prelim approval received_x000D_
28/8/15 - POR raised. Issued 03 Sept._x000D_
21/09/15 - Lodged for final approval_x000D_
20/10/15 - Lodged for build approval - Received 4/11/15_x000D_
24/11/15 - Transfield delayed start to 30 Nov_x000D_
7/12/15 - power to be connected, Integration, Testing</t>
  </si>
  <si>
    <t>168 Ohotu Road, Ruatoki North</t>
  </si>
  <si>
    <t>Opotiki</t>
  </si>
  <si>
    <t>Mitre 10 Greenfield</t>
  </si>
  <si>
    <t>18/03/13 - snags to clear and PSVP to pass before FAN issue_x000D_
24/05/13 - FAC signed</t>
  </si>
  <si>
    <t>Abbot Lane_x000D_
Opotiki</t>
  </si>
  <si>
    <t>RBI - Te Kaha</t>
  </si>
  <si>
    <t>RBI - Kutarere</t>
  </si>
  <si>
    <t>Kaikoura North</t>
  </si>
  <si>
    <t>KWR Greenfield</t>
  </si>
  <si>
    <t>Kaikoura District</t>
  </si>
  <si>
    <t xml:space="preserve">HAIL site. 5/6 Look at contamination early PRE WO2. 11/06 Vic - obtain affected party consent.  SA to progress LL consent -18/6 Ongoing. GHD to look at foundation design re. contamination thereafter.  Draft WO2.  09/07 Show fibre against this site. 23/7 Vic to chase affected party signoff.  GHD to send contamination analysis quote. TX to look at fibre route.  RMA to include geotechnical component if poss. Waiting for feed back from contamination report. </t>
  </si>
  <si>
    <t>KAIKOURA</t>
  </si>
  <si>
    <t xml:space="preserve">Edmund Avenue_x000D_
Off Beach Road_x000D_
Kaikoura_x000D_
</t>
  </si>
  <si>
    <t>Kaikoura</t>
  </si>
  <si>
    <t>Peninsula hill GF</t>
  </si>
  <si>
    <t>GHD to design for new location further up hill. 21/05 TC lease area is designated. 18/6 Colo app submitted 13/6, designated authority requested.  Telecom Colo approved 19/7. Tx - MW solution.  Team Talk co-siting app sent 1/8 - Team talk approval recived</t>
  </si>
  <si>
    <t>off Maui Street, Peninsula, Kaikoura</t>
  </si>
  <si>
    <t>In a significant landscape area and exceeds height of 12m within that landscape.  - 05/06/2012</t>
  </si>
  <si>
    <t>Kaikoura Telecom Exchange</t>
  </si>
  <si>
    <t>Transmission site only</t>
  </si>
  <si>
    <t>Hanmer Springs</t>
  </si>
  <si>
    <t>VF Colo Hanmer</t>
  </si>
  <si>
    <t>Hurunui District</t>
  </si>
  <si>
    <t>VF Colo – 3-4m extension. Power source and track are via easement with VF and TC.  Colo submitted 23/04.   Fibre ordered.  RF to do license. 23/7 GHD doing site visit.  Jaco to check fibre route.  Await CD's.  SPM requested Arrow power audit 20/7. Power audit complete sent to George</t>
  </si>
  <si>
    <t>Permitted if under 30m.   - 02/03/2012</t>
  </si>
  <si>
    <t>Culverden</t>
  </si>
  <si>
    <t>Culverden VF Cosite</t>
  </si>
  <si>
    <t>26/03 Now proceeding with GF due to risks/costs with VF colos. SA to talk to LL re track with rev1. 03/04 SA to find out history of track costs and TC easement. 23/04 Power might include 3 transformer upgrades. 29/05 SA to chase LL response re lease.  14/6 - submitted co-siting to Vf &amp; Telecom. 16/7 Vic to chase sol. this wk.  Chk maintenance fee if applicable. Tx using fibre solution.  Budget approved. Order Fibre. 23/7 Tx - check fibre route.  Solic not responded, SA to call other LL to progress.</t>
  </si>
  <si>
    <t>Mousepoint_x000D_
Culverden</t>
  </si>
  <si>
    <t>permitted if under 30m in height  - 26/03/2012</t>
  </si>
  <si>
    <t>Waipara</t>
  </si>
  <si>
    <t>Waipara VF Colo</t>
  </si>
  <si>
    <t>VF Colo – on existing monopole below VF. 06/03 Lease extension required (3yrs left). All same landowner so no backup option. 26/03 Access and power to be sorted by SPM and SA. Colo app submitted 19/04. 5/6 VF want design change, colo App refused. 18/6 New Colo app submitted 14/6, approved 20/6. Telecom co-siting issued 9/7. Budget approved.  23/7 GHD - doing site visit pre-CDs._x000D_
4 week delay due to Lambing Season no access from 29/08</t>
  </si>
  <si>
    <t>Waipara_x000D_
off Weka Pass Road_x000D_
Canterbury</t>
  </si>
  <si>
    <t>Consent required due to being on a ridgeline and within 1km of SH7A.  - 02/03/2012</t>
  </si>
  <si>
    <t>WALLACE PEAK_TELECOM</t>
  </si>
  <si>
    <t>Transmission Hub</t>
  </si>
  <si>
    <t>Amberley</t>
  </si>
  <si>
    <t>Markham Street TC Colo</t>
  </si>
  <si>
    <t>Telecom Colo (lattice) – 3m extension required.  07/05 Fibre quote received. Colo app submitted 10/05. 18/6 Liz to draft RMA. 18/7: Colo approved, lease terms agreed. 23/7 Tx will include fibre.</t>
  </si>
  <si>
    <t>Off Markham Street_x000D_
Amberley</t>
  </si>
  <si>
    <t>On a designated site. Consent required as extending a lattice tower, for which permitted height is 10m (note existing structure already exceeds this)  - 02/03/2012</t>
  </si>
  <si>
    <t>Mt Grey BCL</t>
  </si>
  <si>
    <t>Beltana Kordia</t>
  </si>
  <si>
    <t>RBI - Leithfield</t>
  </si>
  <si>
    <t>Leithfield RBI</t>
  </si>
  <si>
    <t>2 Oct - Data pack requested_x000D_
16 Oct: Fibre ready to order. _x000D_
19 Oct: Waiting for RF solution. Fibre ordered (100mb/s 30mb/s bandwidth)_x000D_
20 Oct: ATN BOQ underway. _x000D_
11 Nov: ATN ordered_x000D_
16 Dec: Cabinet ordered_x000D_
1 Dec: RFS date 16 Feb_x000D_
12 Jan: Waiting on Huawei antennas_x000D_
27 Jan: Project Plan sent to VF._x000D_
3 Jan: Waiting on VF build approval_x000D_
10 Feb: CX Config raised for 24th Feb</t>
  </si>
  <si>
    <t>64 Terrace Road_x000D_
Leithfield</t>
  </si>
  <si>
    <t>Letter to confirm sent to Council  - 25/01/2016</t>
  </si>
  <si>
    <t>Oxford</t>
  </si>
  <si>
    <t>Oxford VF CoLo</t>
  </si>
  <si>
    <t>Waimakariri</t>
  </si>
  <si>
    <t>CHRISTCHURCH_OUTER</t>
  </si>
  <si>
    <t xml:space="preserve">Scurr Hilltop_x000D_
Bay Road or Sales Road, Oxford_x000D_
John Skurr 03 3124215_x000D_
jskurr@pggwrightson.co.nz_x000D_
</t>
  </si>
  <si>
    <t>Rangiora West</t>
  </si>
  <si>
    <t>Oxford Road</t>
  </si>
  <si>
    <t>P4L</t>
  </si>
  <si>
    <t>02/07 Caravan on schedule.  LOS to be done this wk. 23/7 Currend Cadidate is opposite Oakwood Dr.  Permitted Height 13.9 to be chkd with RF if OK to continue. 30/7 Pole 15.5 permitted. Fibre solution.  Proceed. Telco to be issued.  Drawing to be finalised with Height Site. 27/8 Telco notice lodged due out 10/9. 10/09 Lease terms agreed, RMA to be lodged this week. 17/9 Telco Notice processed.  WO2 to be issued this week.  RMA to be lodged this week.  Tx fibre request lodged, awaiting response.  MW is a back up otpion as there is L.O.S. 01/10 Waiting on RMA, construction drawings end of week. 15/10 Hardmatch only.</t>
  </si>
  <si>
    <t>NES applies  - 18/09/2012</t>
  </si>
  <si>
    <t>Ohoka</t>
  </si>
  <si>
    <t>Mandeville RBI</t>
  </si>
  <si>
    <t>RBILATTICE</t>
  </si>
  <si>
    <t>FULL_NOTIFIED</t>
  </si>
  <si>
    <t>cabinets to be installed on area 2</t>
  </si>
  <si>
    <t>236 Bradleys Road_x000D_
Ohoka_x000D_
Canterbury</t>
  </si>
  <si>
    <t>Springbank</t>
  </si>
  <si>
    <t xml:space="preserve">Aim to provide GSM900 voice and U2100 services to indoor levels._x000D_
Springbank, West Eyreton and the surrounding area._x000D_
_x000D_
A 35 Meter greenfield site just South of Springbank will provide suitable ground elevation and provide coverage to both Towns_x000D_
</t>
  </si>
  <si>
    <t>Rangiora</t>
  </si>
  <si>
    <t>Luisetti Seeds</t>
  </si>
  <si>
    <t>2012-03-14</t>
  </si>
  <si>
    <t>RMA recived wk WO2 issued the week of 15th August</t>
  </si>
  <si>
    <t>2 Edward St_x000D_
Rangiora</t>
  </si>
  <si>
    <t>Discretionary activity, potential for limited notification, however location is ideal and council planner agreed therefore, lodge and wait for council to make decision on affected parties.  - 05/06/2012</t>
  </si>
  <si>
    <t>Southbrook</t>
  </si>
  <si>
    <t>Cant Engineering</t>
  </si>
  <si>
    <t>Site is critical for Woodend link. RMA Recived all go to go</t>
  </si>
  <si>
    <t>17 Railway Road_x000D_
Rangiora</t>
  </si>
  <si>
    <t>Located well within an industrial area. Given that it is overheight, limited notification is a possibility, but other than the Transpower lattice tower option this is an ideal location if consent is required. recommended that we lodge and ask Council to make the call on affected parties. Note that the location has moved within this site.  - 05/06/2012</t>
  </si>
  <si>
    <t>Kaiapoi</t>
  </si>
  <si>
    <t>Kaiapoi VNZ CoLo RAA</t>
  </si>
  <si>
    <t xml:space="preserve">116 Courtenay Drive_x000D_
Paul Edward John &amp; Shona Mary Ayres_x000D_
Trustpower Ltd_x000D_
(03) 327 7176_x000D_
Paul Mobile 027 540 6724_x000D_
Email s.ayres@slingshot.co.nz_x000D_
</t>
  </si>
  <si>
    <t>Woodend</t>
  </si>
  <si>
    <t>Tuahiwi VF Co-Lo RAA</t>
  </si>
  <si>
    <t>Power installed PAC due on the 2nd August</t>
  </si>
  <si>
    <t>70 Te Pouapatuki Rd Woodend_x000D_
Prattley Farm_x000D_
Margaret Prattley_x000D_
(03) 312 7277_x000D_
Mob: 027 27752</t>
  </si>
  <si>
    <t>Pegasus</t>
  </si>
  <si>
    <t>Commercial Car Park</t>
  </si>
  <si>
    <t>02/07 PR adv 1st opt by water tower. 2nd opt near the centre/existing cafe.  Possible visit on 4/7. 23/7 Tx to look at fibre options with Telstra.  Site visit completed Thur 19/7. Pump Station is  new option, to be confirmed with the developer.  Expected limit is 15m from planning.  Acquisition Cafe is an option to be discussed with developer. 30/7 Orion substation site options identified.  Telstra site RF preference.  15M height expected maximum.  SA discussing options with developer. 6/8 Pete waiting feedback from developers agent on site option. 13/8 Still waiting for feedback on proposed options.  27/8 Tx options to be confirmed, LOS this week.  Telstra Clear fibre option TBC. Proposal plans to be created and sent to developer for carpark option. Robert to confirm height for Antennae. 03/09 Another caravan to be scheduled for new candidate option, Telstra Hut Carpark this Friday. 2 options to be put forward. 17/9 2nd Caravan completed beside Telstra hut. 2 options being proposed.  Tx request lodged. 01/10 Jaco closing Telstra for Tx Pricing.  PDs being processed. 15/10 Hardmatch only. 24/10 Fibre feasability completed, possible but costly opex 2.5k p mth.  Waiting on lease drawings from Richell.</t>
  </si>
  <si>
    <t>RBI - Ohoka</t>
  </si>
  <si>
    <t>RBI - Swannanoa</t>
  </si>
  <si>
    <t>RBI -  Swannanoa Central</t>
  </si>
  <si>
    <t>Waikuku Beach RBI</t>
  </si>
  <si>
    <t xml:space="preserve">4 Aug: fibre ordered. RFS 28 Aug_x000D_
10 Aug: TI issued to Huawei_x000D_
12 Aug: RMA Letter sent to Planner (permitted activity)_x000D_
13 Aug: Waiting on Spark approval to move antennas_x000D_
14 Aug: George getting quote for 866 antennas from maser_x000D_
</t>
  </si>
  <si>
    <t>End of Leggitts Road, Waikuku</t>
  </si>
  <si>
    <t>RBI - Cust</t>
  </si>
  <si>
    <t>Cust RBI</t>
  </si>
  <si>
    <t>2 Oct - Data pack requested_x000D_
16 Oct: Fibre pre-qual ordered. _x000D_
28 Oct: Co-lo &amp; co-site lodged with VF &amp; Spark_x000D_
29 Oct: CD1 ordered &amp; Fibre ordered_x000D_
8 Dec: VF pre approval received. ATN &amp; antennas ordered. _x000D_
22 Dec: VF PO sent through to order antennas_x000D_
12 Jan: Waiting on VF &amp; Huawei antenna ETA_x000D_
26 Jan: Project Plan sent to VF._x000D_
3 Feb: PO6 Issued. Waiting on VF final approval &amp; antenna quote. Answering VF query about antenna bracket_x000D_
10 Feb: CX Config raised for 24th Feb</t>
  </si>
  <si>
    <t>289 Summerhill Road_x000D_
Cust</t>
  </si>
  <si>
    <t>Swannanoa RBI</t>
  </si>
  <si>
    <t>2 Oct - Data pack requested_x000D_
16 Oct: Fibre pre-qual ordered. _x000D_
28 Oct: Co-lo &amp; co-site lodged_x000D_
29 Oct: CD1 Requested_x000D_
7 Nov: ATN &amp; antennas ordered. Waiting on VF approval. _x000D_
16 Dec: Updated RF design with new mounts as per VF instructions_x000D_
12 Jan: Waiting for ETA on antennas_x000D_
3 Feb: PO6 Issued. Waiting on VF pre-approval &amp; antenna quote.</t>
  </si>
  <si>
    <t xml:space="preserve">Corner of_x000D_
Browns Road &amp; North Eyre Road_x000D_
</t>
  </si>
  <si>
    <t>Daiken Pico</t>
  </si>
  <si>
    <t>Daiken</t>
  </si>
  <si>
    <t>LS</t>
  </si>
  <si>
    <t>Upper Sefton Road_x000D_
Ashley_x000D_
Rangiora 7477</t>
  </si>
  <si>
    <t>Kaiapoi North</t>
  </si>
  <si>
    <t>Active Candidate for forecasting</t>
  </si>
  <si>
    <t>RF Engineer - Cary Grice</t>
  </si>
  <si>
    <t>West Melton</t>
  </si>
  <si>
    <t>Selwyn District</t>
  </si>
  <si>
    <t xml:space="preserve">Aim to provide GSM900 voice and U2100 services to indoor levels._x000D_
 West Melton._x000D_
GF._x000D_
Option A: GF option. Junction of Ross Road and Old West Road, Just south of Canterbury Aero Club. Grid: 2459707  5745522_x000D_
Option B: GF Option similar location - plenty of options around  Grid:  2460079 5745399_x000D_
</t>
  </si>
  <si>
    <t>Sheffield</t>
  </si>
  <si>
    <t>Shefield VF Co-Lo RAA</t>
  </si>
  <si>
    <t>2011-12-15</t>
  </si>
  <si>
    <t xml:space="preserve">06/07 - PAD submitted site on air  snags on going </t>
  </si>
  <si>
    <t>Malvern Hills Rd_x000D_
Tom &amp; Judy Redfern_x000D_
(03) 318 3786_x000D_
Judy Mobile 921 318 373</t>
  </si>
  <si>
    <t>Darfield</t>
  </si>
  <si>
    <t>Darfield VF Co-Lo RAA</t>
  </si>
  <si>
    <t>2011-12-13</t>
  </si>
  <si>
    <t xml:space="preserve"> site on air Snags on going on this site </t>
  </si>
  <si>
    <t>10-26 Mathias St Drafield_x000D_
Frews Transport_x000D_
Merv Frew_x000D_
Home (03) 318 8516 Office (03) 366 5544_x000D_
Mob: 021 763 260</t>
  </si>
  <si>
    <t>Leeston</t>
  </si>
  <si>
    <t>Ellesmere Transport</t>
  </si>
  <si>
    <t>2012-03-13</t>
  </si>
  <si>
    <t xml:space="preserve">This site will have a exploreatary contamination test done to establish the levels of contamination_x000D_
Based on this a MOP will be established to deal with the next step if any_x000D_
This site is reliant on the Synlait 012 site to go to WO2 </t>
  </si>
  <si>
    <t>Ellesmere Transport_x000D_
12 Station Rd _x000D_
Leeston</t>
  </si>
  <si>
    <t>ideal industrial location at industrial/rural interface, however due to height increase (5m above/30m tower) limited notification potential. No other location in leeston other than this particular industrial area is however appropriate for a 30m tower.  - 05/06/2012. Also note contaminated site.  - 08/06/2012</t>
  </si>
  <si>
    <t>Norwood</t>
  </si>
  <si>
    <t>Norwood RAA</t>
  </si>
  <si>
    <t>2011-12-14</t>
  </si>
  <si>
    <t>Change out Omnis for panel antennas for less than $7K. 03/04 2degrees will pay for antenna + install.  New feeders to be paid for as variation. Vol 4 target 18/06 depending on fibre from burnham military. 21/05 Change Omni's outside of timeline? John C NT to follow up.</t>
  </si>
  <si>
    <t>Cnr Coaltrack &amp; main South Rd_x000D_
RD5 Burnham Chch_x000D_
Andy &amp; Mandy Roberts (03) 325 4925_x000D_
Andy Moble 027 6688098_x000D_
andy.amanda@netspeed.net.nz</t>
  </si>
  <si>
    <t>Burnham Military</t>
  </si>
  <si>
    <t>Burnham VF Co-Lo RAA</t>
  </si>
  <si>
    <t>01/05 VF require outages only on Sundays. Fibre run required. Transfield to do both trenching and laying (Chorus). 29/05 Waiting for fibre - Chorus must make this happen this Sunday the Vol4 target 08/06. Waiting for permission to build - NT to push VF._x000D_
06/07 PAD submitted</t>
  </si>
  <si>
    <t xml:space="preserve">Main South Rd_x000D_
Burnham Chch_x000D_
The Old Sawmill_x000D_
Peter Ford_x000D_
Home (03) 347 6685_x000D_
Peter Mobile 021 138 2341 </t>
  </si>
  <si>
    <t>Aylesbury</t>
  </si>
  <si>
    <t>Aylesbury VF Co-Lo RAA</t>
  </si>
  <si>
    <t>Vol 4 target 08/06 Fibre 30/05</t>
  </si>
  <si>
    <t xml:space="preserve">954 Aylesbury Rd RD1 Aylesbury_x000D_
Walker Farm_x000D_
Fern Grove Trust_x000D_
(Mark) 694 Waterholes Rd RD8 Chch_x000D_
(03) 344 5524 Mob: 021 226 6300_x000D_
mark@ruralpm.co.nz_x000D_
_x000D_
_x000D_
_x000D_
_x000D_
_x000D_
_x000D_
_x000D_
_x000D_
_x000D_
_x000D_
</t>
  </si>
  <si>
    <t>Rolleston</t>
  </si>
  <si>
    <t>846 Jones Road</t>
  </si>
  <si>
    <t xml:space="preserve"> 5/6 All go. 26/6 Council adv - non notified basis._x000D_
</t>
  </si>
  <si>
    <t>846 Jones Rd_x000D_
Rolleston</t>
  </si>
  <si>
    <t>Council normally fully notify ten m height increases (35m pole) in consultation wiht council, due to the location, we have discussed that limited ntoification b more appropriate. RMG requested photomontage and are now able to argue no affected parties. Council could have a different view though and may identify some. In particular one to the south. We think worth lodging and getting council to make the call.   - 05/06/2012</t>
  </si>
  <si>
    <t>Tai Tapu</t>
  </si>
  <si>
    <t>Taitapu VF Co-Lo</t>
  </si>
  <si>
    <t>RC already exists for 18m colo. 01/05 Both LL + VF are inagreement at last. 07/05 Caravan required. NT to talk to Liz S re colo payments. 21/05 PD to go to Rev3._x000D_
13 Mar - structural assessment requested - pass.  15 Mar colo application.  24 Apr - prelim notice received.  Lease negotiations underway.12 Jun Lease delayed as no sub lease info received yet.  VF have rejected colo application, PD modification required</t>
  </si>
  <si>
    <t>Christchurch - Akaroa Road_x000D_
Tai Tapu</t>
  </si>
  <si>
    <t>7/8/15 lambing season - LO says at least 24 hours notice required for contractors.  Says the road will need to be re-shingled if any equipment of a reasonable size is going on the track - apparently this is a deal he has with VF._x000D_
_x000D_
If its really wet he reckons its doubtful you would get up the track.  Don't cause any damage.  LO can be very particular so common sense is needed when dealing with him  - 07/08/2015</t>
  </si>
  <si>
    <t>Outstanding Landscape  - 24/01/2012</t>
  </si>
  <si>
    <t>Lincoln</t>
  </si>
  <si>
    <t>Aim to provide GSM900 voice and U2100 services to indoor levels._x000D_
Lincoln._x000D_
Option A: Colo on VNZ 20m Pole with Spider Arms. Plenty of room   Grid: 2466744  5728480_x000D_
Option B: GF Pole in surrounding fields - plenty of options                Grid: 2466781  5728452_x000D_
Option C: GF option in surrounding fields.                                       Grid: 2466781  5728452</t>
  </si>
  <si>
    <t>Lincoln University</t>
  </si>
  <si>
    <t>Burns Building</t>
  </si>
  <si>
    <t>SA slowly working with Lincoln Uni on their timescale. 12/05 Lincoln Uni have restarted communication and have noted that construction will be limited to semester breaks. 03/04 antenna and dishes limited to 2m above point of attachment. 07/05 Sketches required for correct location. RF to find out building height. 14/005 Building might be condemned._x000D_
8 Oct 2014 - Visit organised for RF to confirm antenna azimuths - Bldg has not been condemned_x000D_
Site visit 16th Oct_x000D_
SA inform that changes to existing design will cause delay and as such the antenn locations on PD will remain - access to upper antenna via abseil_x000D_
4 Nov- Aquire lease as per PD and see if we can optimise design for CD. 11 Nov, lease executed may be quicker than planned.  RF to reassess plume from S2, prefered location is still on bldg parapet.  Plumes are Ok, continue and try to relocate antenna if no delay to project - CDI Issued.  New plumes are not good on roof, University are happy to relocate the antenna to Bldg parapet, new PD will be reqd but push on with CD.  26 Jan - Uni advise buildibg to be demolished within 5 years, looking for alternative solutions but pushing on with this design</t>
  </si>
  <si>
    <t>Springs Road, Burns Building, Lincoln University</t>
  </si>
  <si>
    <t>Dunsandel</t>
  </si>
  <si>
    <t>Synlait</t>
  </si>
  <si>
    <t>PDs overdue. Rails/brackets fixing to building to be confirmed. Is it possible to weld? SA to find out 29/05 PDs said to have been issued but not showing in sitebase and team doesn't have copies. - NT to follow up. 26/6 Martin to adv Lease negotiations update nxt wk.</t>
  </si>
  <si>
    <t>Frasers Rd</t>
  </si>
  <si>
    <t>ideal location as absorbed by the scale of the synlait building. Consent still required but can argue no affected parties.  - 05/06/2012</t>
  </si>
  <si>
    <t>Prebbleton</t>
  </si>
  <si>
    <t>Prebbleton Shops</t>
  </si>
  <si>
    <t>Option 1 at boundary edge or option 2 within carpark area. 05/03 Slimeline pole can be used. LOS done. 16/04 B/U is 18m RSR. 23/04 Photomontages to be reviewed. TP to prepare CoC with Vic. 29/05 Pile size depends on Geotech. PDs to be corrected and issued asap. approx 20cubic meters of soil to be moved. TP to check conditions. 26/6 Legal review.  Martin to chase up 03/07.  02/07 RMA drafted.</t>
  </si>
  <si>
    <t>Prebbleton Shops_x000D_
Springs Rd</t>
  </si>
  <si>
    <t>at 20m it complies  - 05/06/2012</t>
  </si>
  <si>
    <t>Round Top</t>
  </si>
  <si>
    <t>Transpower colo</t>
  </si>
  <si>
    <t>2011-03-14</t>
  </si>
  <si>
    <t>Radio to be swapped out. George to confirm delivery date. Skycomms to tidy up site asap. 16/04 ice sheild bracing tbc by TX. 01/05 Chris waiting for date from ABB. Skycomms to provide extra bracing detail on tx ice shields.</t>
  </si>
  <si>
    <t>Roundtop_x000D_
Off Coleridge Road_x000D_
Mid Canterbury</t>
  </si>
  <si>
    <t>Within an Outstanding Landscape  - 09/05/2011</t>
  </si>
  <si>
    <t>RBI - West Melton Central</t>
  </si>
  <si>
    <t>RBI site surrounded by trees, search should be made for an alternative site but planning in the area is an issue.  RBI site to be used, SDP recieved 27 Mar, application to be lodged.  Equipment ordered for Gore can be used</t>
  </si>
  <si>
    <t>198 Halkett Road_x000D_
West Melton</t>
  </si>
  <si>
    <t>Permitted if no height increase to RBI tower  - 20/02/2015</t>
  </si>
  <si>
    <t>Halswell West</t>
  </si>
  <si>
    <t>Rolleston  South</t>
  </si>
  <si>
    <t>Orion - Burnham School Rd</t>
  </si>
  <si>
    <t>02/07 Support from council.  23/7 Feedback from Council is 16m max height. Rf to confirm if acceptable.  L.O.S. OK to Rolleston. 30/7 Waiting for plans from Ritchie.  16M height restriction. 03/09 SF to chas Ritchie for drawings for Orion Site. 10/9 Ritchie to generate Orion drawings. 17/9 Lodge for RMA. 15/10 Hardmatch only._x000D_
16 Mar - Resource to continue limited by roaming commitments_x000D_
22 May - Cabs need to move, new PD new Telco act notice required.  Connectics lighting assessment required.  27 July - GPR results show pole needs to be moved and PD amended to avoid underground cables</t>
  </si>
  <si>
    <t>Cnr Burnham School Road and _x000D_
Dunns crossing Road_x000D_
Rolleston</t>
  </si>
  <si>
    <t>15m permitted  - 26/06/2012</t>
  </si>
  <si>
    <t>Designline Temporary Repeater</t>
  </si>
  <si>
    <t>RBI - Glentunnel</t>
  </si>
  <si>
    <t>Glentunnel RBI</t>
  </si>
  <si>
    <t>2 Oct - Data pack requested_x000D_
16 Oct: Fibre pre-qual ordered. _x000D_
28 Oct: Co-lo &amp; Co-site applications lodged_x000D_
29 Oct: CD1 ordered_x000D_
5 Nov: RF Re-design solution_x000D_
16 Dec: New RF design required as cannot go on lower level_x000D_
12 Jan: Waiting for VF approval &amp; quote for antennas. _x000D_
3 Feb: PO6 Issued. Waiting on VF pre-approval &amp; VF antenna quote.</t>
  </si>
  <si>
    <t>White Cliffs Road_x000D_
Glentunnel</t>
  </si>
  <si>
    <t>Southbridge</t>
  </si>
  <si>
    <t>Southbridge RBI</t>
  </si>
  <si>
    <t>TBC</t>
  </si>
  <si>
    <t>Mt Hutt</t>
  </si>
  <si>
    <t>Mt Hutt - VF Cosite</t>
  </si>
  <si>
    <t>Ashburton District</t>
  </si>
  <si>
    <t>19/03 Earthing mat to be done. Site to be tidied. 03/04 ABs for LL asap. 16/04 Lease area update - SPM. Metal cover plates required - send photos. 01/05 Earthing extensions required with drawings.</t>
  </si>
  <si>
    <t>Mt Alford,_x000D_
Mid Canterbury</t>
  </si>
  <si>
    <t>Controlled Activity – if located within the Rural C zone or Permitted if located within the Rural B zone - All Zoning to be confirmed  - 08/04/2011</t>
  </si>
  <si>
    <t>Methven</t>
  </si>
  <si>
    <t>Rakaia</t>
  </si>
  <si>
    <t>Rakaia VNZ CoLo</t>
  </si>
  <si>
    <t>ok. 16/04 CD resubmitted.</t>
  </si>
  <si>
    <t>Rakaia_x000D_
Hatfield Overdale Road,_x000D_
Rakaia,_x000D_
Canterbury</t>
  </si>
  <si>
    <t>Discretionary Activity due to the height of the existing mast  - 08/04/2011</t>
  </si>
  <si>
    <t>Ashburton</t>
  </si>
  <si>
    <t>VNZ Colo Ashburton Electricty (HUB)</t>
  </si>
  <si>
    <t>Snag clearing to be done.</t>
  </si>
  <si>
    <t xml:space="preserve">Dobson Street West_x000D_
Ashburton_x000D_
</t>
  </si>
  <si>
    <t>Hinds</t>
  </si>
  <si>
    <t>VNZ Colo</t>
  </si>
  <si>
    <t>19/03 Peter to detail progress to SPM to talk to Alex re earthing results. 16/04 Waiting for updated ABs with correct earthing + extensions. 01/05 Need electrician update for project closure.</t>
  </si>
  <si>
    <t>34 Isleworth Road_x000D_
Hinds_x000D_
Canterbury</t>
  </si>
  <si>
    <t>Discretionary Activity due to the height which the antennas will be attached at  - 29/04/2011</t>
  </si>
  <si>
    <t>Ealing</t>
  </si>
  <si>
    <t>Rangitata GF (east of VF)</t>
  </si>
  <si>
    <t>GF to east of VF - just other-side of farm gate, power and fibre dependent.  35m monopole to clear tree.  Could look at position closer to road if landowner requires, but will need to look at tree height. Cosite issued to VF re power.  2/7 Tree pruning condition highlighted to LL, await response. 16/7 Pole ready and awaiting delivery. 23/7 Geotech this wk - 26/7.  Build start 8/8. 30/7 Geotech this wk.  LL to be informed of power route. 6/08 Co-ordination require for power &amp; fibre install.  CONSTRUCTION START DELAYED due to ground conditions. 27/8 Const. to start.</t>
  </si>
  <si>
    <t>TIMARU_ASHBURTON</t>
  </si>
  <si>
    <t>East of VF_x000D_
Ealing Coldstream Rd_x000D_
Canterbury</t>
  </si>
  <si>
    <t>Exceeds 25m permitted height.  - 02/03/2012</t>
  </si>
  <si>
    <t>Ashburton North</t>
  </si>
  <si>
    <t>Kingan Commercials</t>
  </si>
  <si>
    <t>SPM to send ABs to SA re Earthing route. 16/04 Waiting for updated ABs with correct earthing + extensions. 16/04 SA to chase NRL for LL. 01/05 Need drawings showing earthing.</t>
  </si>
  <si>
    <t>76 Bremners Rd</t>
  </si>
  <si>
    <t>Cavendish</t>
  </si>
  <si>
    <t>Kordia Colo</t>
  </si>
  <si>
    <t>Kordia issues final schedule of costs. 19/03 Asbuilts to be gained from Kordia. 03/04 Skycomms instructed to not pay Kordia until sector is moved. 16/04 SPM still working with Kordia on sector move. 01/05 Chris to follow up on snags.</t>
  </si>
  <si>
    <t xml:space="preserve">Gawler Downs_x000D_
Mid Canterbury_x000D_
</t>
  </si>
  <si>
    <t>The site is designated (No. 398) for telecommunications and broadcasting purposes and Broadcast Communications Ltd are the Requiring Authority  - 08/04/2011</t>
  </si>
  <si>
    <t>Timaru</t>
  </si>
  <si>
    <t>Pleasant Point</t>
  </si>
  <si>
    <t>Water tanks GF</t>
  </si>
  <si>
    <t>2012-03-21</t>
  </si>
  <si>
    <t>LL ok to relocate water pipes. Trees to be trimmed belong to neighbour. 14/05 Lease is signed in Auck. Cosite sent.  11/06 Geotech OK. Martin achieved favourable agreement with LL re trees. Downer to address power - cost required.  New party to sign LL agreemt. 16/7 SPM to arrange power audit. 23/7 24/7 Geotech due.  Downer doing power audit.  8/8 Build start date.  SA to chase tree sign off. 30/7 VF power not feasible.  Final LL signature required on Lease. 6/8 Transformer does not need to be upgraded.</t>
  </si>
  <si>
    <t>Off Spur Hutt Road_x000D_
Nr Pleasant Point_x000D_
Canterbury</t>
  </si>
  <si>
    <t>Telecommunications mast specified as controlled activities within Rural 1 zone, i.e. no permitted activity status possible in this zone.  - 26/03/2012</t>
  </si>
  <si>
    <t>Geraldine</t>
  </si>
  <si>
    <t>Geraldine Colo</t>
  </si>
  <si>
    <t>16/04 5m extension required. Good linking option for TX. 01/05 Requires LOS. TP to discuss this option with Council. SA to check power source. Tenure to be sorted asap. Link to PleasantPoint and Ealing not Cavendish. Colo Application submitted 8/6. High fibre pricing recieved. 2/7 SA to chase affected party signoff for RMA. Colo decision due next week. 09/07 Colo appln appvd on basis of move cabinets.  LL sold site to Clearspan. Vic to speak w LL. 16/7 Rev2 to be sent 16/7 - Vic.  Draft RMA &amp; lodge this week-ongoing. 23/7 SPM to check tower - manufacturer.  Affected party consent - Vic to talk to John W APA will hold up RMA. 13/8 Monitor progress of Vf documentation. 20/8 Spk to Liz with regards to Vf Documentation.  Chk for Vf Colo apprvd.</t>
  </si>
  <si>
    <t>Off Orari Back Road_x000D_
Geraldine</t>
  </si>
  <si>
    <t>Telecommunications listed as controlled in this zone, even though a colo  - 01/05/2012</t>
  </si>
  <si>
    <t>Temuka</t>
  </si>
  <si>
    <t>Hally Tce Kiwirail GF</t>
  </si>
  <si>
    <t>2012-04-05</t>
  </si>
  <si>
    <t>Storage depot next to Midland Contracting (Hally Terrace).  Height – 25m. 29/05 Jaco to get fibre quote as backup to pleasant point link.  Trees @ Pleasant Point priority for this site.  Jetvac also required. 16/7 GPR report this week overdue. 23/7 Vic - chase Joelyn for signed agreement.  SPM to sort out geotech consent.  GPR report now due this week.  No set-off point shown on PD's, to be shown on CD's. 30/7 Rob submitted Bore consent as part of a group.  New GPR required - GHD. 6/08 Contamination check to be carried out - done..</t>
  </si>
  <si>
    <t>TIMARU</t>
  </si>
  <si>
    <t>Opposite 37 Hally Terrace_x000D_
Temuka</t>
  </si>
  <si>
    <t>Activity specified as controlled in Recreation 2 Zone  - 02/03/2012</t>
  </si>
  <si>
    <t>Washdyke</t>
  </si>
  <si>
    <t>Washdyke John Jones</t>
  </si>
  <si>
    <t>2012-05-03</t>
  </si>
  <si>
    <t>Off Elginshire Rd. 5/6 High fibre costs here.  LL response re soil disposal may be required. 18/6 RMA is drafted.  Martin to chase LL re terms agreed ongoing. 2/7 SA to progress lease changes with LL. Also push for geotech letter &amp; RMA lodge. 09/07 Vic to follow up response.  Early Geotech required. 16/7 In &amp; indemnity clause being discussed.  GHD to quote for contamination check. 23/7 Draft Wo2 SA to finalise terms this wk.  Submit RMA this week. 30/7 Hail site will need contamination chk. 27/8 PD to show landscaping. 03/09 Needs new PD for planting.</t>
  </si>
  <si>
    <t>Elginshire St _x000D_
Washdyke_x000D_
Timaru</t>
  </si>
  <si>
    <t>Oceanview</t>
  </si>
  <si>
    <t>RSR Bridge Road</t>
  </si>
  <si>
    <t>Can link through to Washdyke if necessary. Telco Notice expires 12/06.  Liz to speak to council re discretionary application.  11/06 Roading approval received. Trees - Calder Stewart happy, detail_x000D_
s entered in site base.  09/07 Await RMA approval, sensitive. 16/7 Don't proceed with fibre at present. 23/7 Draft Wo2 this week but boundary to be checked first.  GHD to check boundary survey &amp; trees shown in wrong location on PDs. 30/7 Fibre to site. 27/8 Try to pull forward. 03/09 Letter this week.</t>
  </si>
  <si>
    <t>Off Bridge Rd_x000D_
Timaru</t>
  </si>
  <si>
    <t>Zoning of adjacent land covers this half of road reserve. Telecommunications not listed within zone and therefore defaults to non-complying  - 26/06/2012</t>
  </si>
  <si>
    <t>Timaru - George Street</t>
  </si>
  <si>
    <t>Farmside Colo (stub on commercial building)  Small chimney on roof may impact RF. Woollcombe House not preferred. Fibre, check + Chorus asap. 28/05 SA to confirm LL is ok with mobile generator in carpark in emergencies. Peter to check calcs of structural reinforcing from TC. 5/6 Draft RMA. Telecom co-siting sent 21/6.  Wo2 delayed until lease terms agreed. 16/7 Revised PD required. 23/7 Draft Wo2.  Terms agreed &amp; LL. 20/8 Kate to chase Council. 03/09 Jaco to investigate spare ATN. 10/09 No letter drop reqd.</t>
  </si>
  <si>
    <t>24-30 George Street_x000D_
Timaru</t>
  </si>
  <si>
    <t>Telecommunications mast specified as controlled activities within Commercial 1 zone, i.e. no permitted activity status possible in this zone.  - 26/03/2012</t>
  </si>
  <si>
    <t>Fairview</t>
  </si>
  <si>
    <t>Fairview GF</t>
  </si>
  <si>
    <t>Colo doesn't work due to interference, now GF at 25m. 5/6 LL lease in legal review. Telecom &amp; Vf co-siting sent 12/6. 18/6 Legal docs with LL legal awaiting Telecom response.  26/SPM chasing Telecom re interference. 2/7 Chase Telecom co-siting response again. 09/07 Lse execution on hold, LL wants confirmation that no interference to Telecom.  23/7 SPM to talk to Jason re Telecom co-siting response. 30/7 Jason chasing T/C co-site response. 27/8 Requires 2 x killer filters - ordered.  10/09 Jaco to investigate fibre connection.</t>
  </si>
  <si>
    <t>Farm to east of_x000D_
Timaru Pareora Highway_x000D_
Timaru</t>
  </si>
  <si>
    <t>Highfield</t>
  </si>
  <si>
    <t>RSR Park GF</t>
  </si>
  <si>
    <t>P4H</t>
  </si>
  <si>
    <t>19/12/12 Power still required</t>
  </si>
  <si>
    <t>RSR outside West End Park_x000D_
Wai-iti Road</t>
  </si>
  <si>
    <t>Telecommunications mast specified as controlled activities within Recreation 2 zone, i.e. no permitted activity status possible in this zone. Council won't allow LP swap outs and RF needs additional height in this location anyway.  - 26/03/2012</t>
  </si>
  <si>
    <t>Waimataitai</t>
  </si>
  <si>
    <t>Maori Park RSR</t>
  </si>
  <si>
    <t>15m pole might be sensitive. Vic to contact PUB as backup. 07/05 Pub would mean fibre for TX. Submit this RC last. 5/6 GPR to be done, chase!. Telco Act Notice expires 15/6.  Reasonable fibre quote received in old location.  Chase.  23/7 GHD to check boundary.  SA &amp; TP to talk to council re pavement layout.  Jaco - fibre chase quote. Await full GPR report. 13/8 Fibre to be ordered. Update PD.</t>
  </si>
  <si>
    <t>Cnr of Benvenue Ave &amp; Te Weka St_x000D_
Maori Hill_x000D_
Timaru</t>
  </si>
  <si>
    <t>Telecommunications listed as controlled in this zone  - 01/05/2012</t>
  </si>
  <si>
    <t>Glenwood</t>
  </si>
  <si>
    <t>Aorangi Park RSR</t>
  </si>
  <si>
    <t>LPR off Morgan Road, adjacent to Aorangi Park.  RF want floodlights height ideally.  Space available, resi close by. 21/05 revisit complete. Keep TX below RF at this stage. 11/06 TX will be with fibre solution.  Telco notice expired. GPR 11/7, Francis to chase. 09/07 Jetvac may be required. 23/7 SPM to check GPR.  Await full report.  Letter drop to do.</t>
  </si>
  <si>
    <t>Adjacent to Aorangi Park_x000D_
Off Morgans Road_x000D_
Timaru</t>
  </si>
  <si>
    <t>Telecommunications mast specified as controlled activities within Recreation 2 zone, i.e. no permitted activity status possible in this zone. Council won't agree to LP swap out in order to be permitted under NES  - 26/03/2012</t>
  </si>
  <si>
    <t>Highfield Old</t>
  </si>
  <si>
    <t>Highfield._x000D_
Tricky location as area is heavily Residential and very little industrial. Country Club option would be fine BUT location is in a valley with residential on the higher ridges to North and especially south. A stealth option MIGHT be required. Plenty of locations we could go at . Car Park, on the Golf Course itself, adjacent to the Bowling Club_x000D_
Option A: GF 25m Pole at Timaru Town &amp; Country Club, Bowls and Golf Course in the Valley. Grid: 2368592  5645422_x000D_
Option B: LP Replacement corner of Seddon St &amp; Orbell St. Small Grass reserve/path connecting to Douglas St. Location overlooks the Country Club option. Grid: 2368236  5645300_x000D_
Option C: GF at St Pauls Presbyterian Church, Seddon St. Option to place a pole in yard at back of Church OR an expensive stealth option to Spire Grid: 2068229  5645189</t>
  </si>
  <si>
    <t>Parkside</t>
  </si>
  <si>
    <t>Watlington</t>
  </si>
  <si>
    <t>Quarry Rd RSR</t>
  </si>
  <si>
    <t>2012-06-18</t>
  </si>
  <si>
    <t>Quarry Rd RSR not LPR. Transformer adjacent. School close by off Quarry Rd. 14/05 boundary survey completed, revised results received 11/6. 29/05 Telco Notice due 12/06. 18/6 Rev 2 issued - new boundary shown.  GPR results due by 11/7. 09/07 Letter drops required 20 wking days pre-const. Jetvac may be required. 23/7 No GPR yet, chase full report. 6/08 Downer to slit trench.  Determine if Alpine Energy will allow cables to be moved.</t>
  </si>
  <si>
    <t>Quarry Road_x000D_
Timaru</t>
  </si>
  <si>
    <t>Telecommunications mast specified as controlled activities within Residential 1 zone, i.e. no permitted activity status possible in this zone. TDC won't agree to LP swap out in order for permitted activity under NES  - 26/03/2012</t>
  </si>
  <si>
    <t>Telecom Temuka</t>
  </si>
  <si>
    <t>TNZ Exchange TX Timaru</t>
  </si>
  <si>
    <t>Timaru TX Only site</t>
  </si>
  <si>
    <t>TX to do Chorus application for CX600 exchange.  5/6 Chorus - TX to push application quickly.  11/06  TX to push for quote and approval by end of June.  Must do WO2 in July.  2/7 Chorus quote delayed, TX to chase again. 18/7: QUOTE RECEIVED, S/Base dates entered accordingly. 23/7 draft Wo2. 10/09 CAB in Timaru.</t>
  </si>
  <si>
    <t>Chorus Exchange_x000D_
22 Sophia Street _x000D_
Timaru</t>
  </si>
  <si>
    <t>Clandeboye</t>
  </si>
  <si>
    <t>Community hall</t>
  </si>
  <si>
    <t>1066 Milford Clandeboye Road</t>
  </si>
  <si>
    <t>Fairlie</t>
  </si>
  <si>
    <t>Fairlie Hilltop GF</t>
  </si>
  <si>
    <t>Mackenzie District</t>
  </si>
  <si>
    <t>Existing poles were gained with affected party approval. Power – transformer adjacent to TC and access is via TC easement. 26/03 Now proceeding with GF due to colo costs/risks. 14/05 no LOS achieved waiting for Chorus pricing for fibre. 21/05 Site at risk due to budget + LOS + access costs. 29/05 SA to add condition to lease for easement over neighbours land. Co-siting apps sent to Vf &amp; Telecom 15/6, including easement request to Telecom. Budget cut, site now hard-match only.  16/7 SA to chase response to terms from Akld.  23/7 SA to check &amp; Akd if site proceeding. 13/8 Vic to update situation.  _x000D_
Unknown why VF colo dropped - GF will be opursued as we already have a PD which will save at least 4 weeks in the program.  Boundary survey required due to easements.  4 Jun - terms agreed removed complications with Clearspan delaying lease.  Access for geotech delays CD</t>
  </si>
  <si>
    <t>Off Mt Michael Road_x000D_
Fairlie</t>
  </si>
  <si>
    <t>Permitted height 20m  - 02/03/2012</t>
  </si>
  <si>
    <t>Fairlie Exchange</t>
  </si>
  <si>
    <t>Telecom Exchange Fairlie</t>
  </si>
  <si>
    <t>Ownership of mast to be confirmed, Spark and VF dishes are on the mast.  Opus undertaking structural assessment 20 May.  Site build will be concurrent with Fairlie site</t>
  </si>
  <si>
    <t>Twizel</t>
  </si>
  <si>
    <t>Dates assume VF colo is suitable in terms of lease tenure and structural capacity.  Site visit required for RF.  11 Nov - VF colo looks good we have SDP.  Structural assessmnet passed.  DMR route TBC could be Twizel or Omarama exchange Nominals raised for exchanges.  Caravan complete 2 Dec site looks good for colo.  PDI will be issued when site has been reviewed/confirmed by RF.  4 Jun - VF release of terms delaying lease.  This delays date when project plan can be submitted so PO6 date delayed_x000D_
Site will be at risk of weather if constructed in Winter.  VF approach will negate the need to install ring frame.  Pricing visit and PO6 at risk due to winter site access.  We will need to build quicker than contractual dates to complete in year - easy build no headframe required.  Site will need to be built faster than contract specifies to be on air in 2015, dates reflect an accelerated build</t>
  </si>
  <si>
    <t>Buscott Station_x000D_
Omarama</t>
  </si>
  <si>
    <t>over 900m in elevation and in ONL  - 27/03/2015</t>
  </si>
  <si>
    <t>Tekapo</t>
  </si>
  <si>
    <t>VF Co-site Mt John</t>
  </si>
  <si>
    <t>Site search confirmed site Ok for RF and Tx - caraven to be arranged, a fair amount of structural design work required for antenna mounts.  Site visit with GHD TBC for PDs.  Tx working on FO solution._x000D_
Caravan with GHD structural spt - 6 Nov.  11 Nov caravan complete, some complications with VF and cafe lease areas, under review prior to PDI.  PDI issued Rev ) PD requires amendment, Plumes and public areas need careful consideration._x000D_
6 Mar - drg to be revised with taller antenna pole_x000D_
9 Feb - Site visit required to determine RF exposure with proposed antennas hieghts- 20 Feb visit carried out, PD to be tweaked to raise 1 antenna._x000D_
4 Jun lease execution delayed university now questioning design which could be problematic.  6 July - new design now being questioned by university!  14 July - Design agreed, VF approval to use ducting still outstanding - confirmed._x000D_
Oct - Fibre issue still delays lease, site may be excluded from program, price available, site will need to be built faster than contract dates to be on air in 2015.  15 Oct Site not confirmed for build</t>
  </si>
  <si>
    <t>Mt John Observatory_x000D_
Tekapo</t>
  </si>
  <si>
    <t>Twizel Site Chorus Tx only col</t>
  </si>
  <si>
    <t>Omarama Exchange</t>
  </si>
  <si>
    <t>Site has monople available for dish but appears there is no fibre, Tx investigating - Fibre confirmed, this site will be best option for Tx to Twizel hilltop.  SOA aligned with Twizel site.  20 May Opus carrying out structural assessment.  Site will be built along with main Twizel site</t>
  </si>
  <si>
    <t>Waimate District</t>
  </si>
  <si>
    <t xml:space="preserve"> Waimate </t>
  </si>
  <si>
    <t>Mt Studholme GF</t>
  </si>
  <si>
    <t>VF colo failed strutural review.  This GF site is dependent on RF review and confirmation of site requirement.  Dates are provisional.  Land has been transfered to DOC - this could be problematic, VF structural failed assessment, 2Degrees will need its own tower.  ON AIR WILL BE DELAYED IF BIG HILL NOT ACCELERATED.  Tx solution changed to allow Waimate to be built without Big Hill.  4 Jun Lease delayed as DOC requested additional information.  14 July - lack of access for geotech drill delays CD.  9 Oct - site will need to be built in less than contracted amount of time.  Pile cost check delaying issue of PO6</t>
  </si>
  <si>
    <t>Mt Studholme_x000D_
Studholme Road_x000D_
Waimate</t>
  </si>
  <si>
    <t>Department of Conservation (DoC) site - access through Chorus title. 10 year non notified license obtained from DoC.  - 02/10/2015</t>
  </si>
  <si>
    <t>Discretionary as over 900m and &gt; 7m in height  - 20/02/2015</t>
  </si>
  <si>
    <t>Waimate Chorus Exchange Tx col</t>
  </si>
  <si>
    <t>Kurow</t>
  </si>
  <si>
    <t>Spark Colo</t>
  </si>
  <si>
    <t>Issues with Ownership of tower, Transpower do not know who owns the tower....It is nor Spark or VF, Chorus and Kordia are checking their records.. Chorus think the mast may be theirs....  JUn - I tis a Chorus tower, Chorus request colo application to determine if they have the drawings.  14 Aug Colo application underway, site is outside 2015 build list (#97).  9 Oct Power delivery is complicated, drg under amendment, power from transformer, SA confirm easement not required</t>
  </si>
  <si>
    <t>Off Mchenrys Road_x000D_
Kurow</t>
  </si>
  <si>
    <t>Kurow Tx Only Site</t>
  </si>
  <si>
    <t>St Andrews RBI</t>
  </si>
  <si>
    <t xml:space="preserve">5 Aug: fibre ordered_x000D_
12 Aug: RFS 21 Sept_x000D_
12 Aug: VF prelim approval received_x000D_
13 Aug: 866 antennas quote due from George_x000D_
13 Aug: RMA letter approved from Council_x000D_
_x000D_
</t>
  </si>
  <si>
    <t>O'Briens Road, _x000D_
St Andrews</t>
  </si>
  <si>
    <t>Waitaki District</t>
  </si>
  <si>
    <t>Big Hill</t>
  </si>
  <si>
    <t>VF colo</t>
  </si>
  <si>
    <t>VF colo looks good.  Hopefully extend existing lattice structure.  DMR links possible to Waimate and Kurow and thereafter to Oamaru outer for fibre connection.  Kordia have to undertake structural assessment and provide PS1. Kordia structural assessment underway 18 May.  Big Hill is required for Tx for Waimate and Kurow.  Big Hill will link to Oamaru.  4 Jun will push on but may not submit colocation application as it will time expire before site is ready to build.  10 Jul - colo application submitted.  VF now have future equipment, structurals referred back to kordia.  Site in jeopardy for delivery in year, 20 Aug - site dropped from top 90.  14 Sept- VF future requirements delaying design agreement.  9 Oct - Solution agreed with VF, mast will need to be detailed and assessed by GHD, new PD underway</t>
  </si>
  <si>
    <t>Big Hill Quarry_x000D_
Off SH 83</t>
  </si>
  <si>
    <t>up to 25m  - 22/02/2015</t>
  </si>
  <si>
    <t>Oamaru Outer</t>
  </si>
  <si>
    <t>Permitted &lt;25m. Passed structural check. 14/05 Send rev0 to VF to get a response on space availability. 21/05 Antenna VF Future requirements.  11 Jun - colo and cosite apps lodged. 02/07 Vf colo required for Lease. VF colo approved, site may be moved into build for year now. 16/7 Wo2 to be issued this week. 13/8 Awaiting signed paperwork from Vf. 10/09 Can be operational without central.  Requirement to paint pole caused Downer a significant delay.</t>
  </si>
  <si>
    <t>OAMARU</t>
  </si>
  <si>
    <t>Off Bushy Beach Road_x000D_
Oamaru</t>
  </si>
  <si>
    <t>permitted if &lt; 30m  - 17/05/2012</t>
  </si>
  <si>
    <t>Oamaru Central</t>
  </si>
  <si>
    <t>RSR Dee/Thames</t>
  </si>
  <si>
    <t>P4E</t>
  </si>
  <si>
    <t xml:space="preserve">Telco Act plus agreement with NZTA. Underground services to be meticulously investigated, pole may need to move slightly away from kerb. Extra GPR for opposite side of the road + boundary survey. Jetvac also required before PD - SPM. Do not lodge until we have Lease. GPR carried out 9 Jul. 16/7 Jetvac required.  16/7 RF will only agree to this site if alternatives not possible. 23/7 Check shroud size &amp; cross arms for PD mast now 15.5m. 13/8 Drawings with NZTA could take 5wks for agreement 176_x000D_
requested. 17/9 Still need 176 to complete RMA._x000D_
</t>
  </si>
  <si>
    <t>Corner of Thames St_x000D_
and Dee St</t>
  </si>
  <si>
    <t>Oamaru North</t>
  </si>
  <si>
    <t>South City</t>
  </si>
  <si>
    <t>Christchurch City</t>
  </si>
  <si>
    <t>CHC-060-012-A, CHC-060-012-A</t>
  </si>
  <si>
    <t>2008-12-17, 2008-12-17</t>
  </si>
  <si>
    <t>Vino Fino_x000D_
188 Durham Street North_x000D_
Christchurch</t>
  </si>
  <si>
    <t>City West</t>
  </si>
  <si>
    <t>CHC-060-065-G, CHC-060-065-G</t>
  </si>
  <si>
    <t>2009-03-18, 2009-03-18</t>
  </si>
  <si>
    <t>Site was off air after earthquakes, but recommissioned in August 2013_x000D_
_x000D_
Site decommissioned 07 Dec 2014, with equipment/site reloccated to CHC-060-150</t>
  </si>
  <si>
    <t>Council owned carpark_x000D_
29-33 Lichfield St_x000D_
Christchurch</t>
  </si>
  <si>
    <t>Moorhouse</t>
  </si>
  <si>
    <t>CHC-060-013-A, CHC-060-013-A</t>
  </si>
  <si>
    <t>2008-12-19, 2008-12-19</t>
  </si>
  <si>
    <t>Hire Quip_x000D_
488 Moorhouse Ave_x000D_
Christchurch</t>
  </si>
  <si>
    <t>Fitzgerald</t>
  </si>
  <si>
    <t>CHC-060-097-A, CHC-060-097-A</t>
  </si>
  <si>
    <t>2007-10-15, 2007-10-15</t>
  </si>
  <si>
    <t>Idiens Ltd_x000D_
7 Livingstone Street_x000D_
Christchurch</t>
  </si>
  <si>
    <t>Salisbury</t>
  </si>
  <si>
    <t>2009-03-11</t>
  </si>
  <si>
    <t>Site Build: Leave dish in current position.</t>
  </si>
  <si>
    <t>195 Salisbury St,_x000D_
Christchurch</t>
  </si>
  <si>
    <t>Option A. A 25 Meter pole on the Orian Substation Near to Telecom._x000D_
_x000D_
Option B. A 25 Meter Pole on the existing site property near to road on Montreal St._x000D_
_x000D_
Option C. A 25 Meter Pole within Search Ring._x000D_
_x000D_
Option D. A Collocation on the Telecom Tower with Antennas above Telecom.</t>
  </si>
  <si>
    <t>Riccarton</t>
  </si>
  <si>
    <t>CHC-060-094-B, CHC-060-094-B</t>
  </si>
  <si>
    <t>2009-03-17, 2009-03-17</t>
  </si>
  <si>
    <t>Note, BBU 3806 swapped out for 3900 on 17/10/12.</t>
  </si>
  <si>
    <t>State Insurance Building_x000D_
88 Division Street_x000D_
Christchurch</t>
  </si>
  <si>
    <t>Tower Junction</t>
  </si>
  <si>
    <t>2009-01-23</t>
  </si>
  <si>
    <t>Allstor Self Storage_x000D_
9 Longley Place_x000D_
Addington_x000D_
Christchurch</t>
  </si>
  <si>
    <t>Sydenham West</t>
  </si>
  <si>
    <t>122 Antigua Street_x000D_
Christchurch</t>
  </si>
  <si>
    <t>Eastgate</t>
  </si>
  <si>
    <t>12/12 Works complete just waiting for fibre and barrel lock.</t>
  </si>
  <si>
    <t>Car Park _x000D_
9 Buckleys Rd_x000D_
Christchurch</t>
  </si>
  <si>
    <t>CoC application -   - 01/11/2011</t>
  </si>
  <si>
    <t>Bush Inn</t>
  </si>
  <si>
    <t>2009-05-20</t>
  </si>
  <si>
    <t>Bush Inn Shopping Centre,_x000D_
20 Waimairi Rd,_x000D_
Christchurch</t>
  </si>
  <si>
    <t>2008-04-23, 2008-04-23</t>
  </si>
  <si>
    <t>Woolshed,_x000D_
53 Currie Rd,_x000D_
Hillsborough,_x000D_
Christchurch</t>
  </si>
  <si>
    <t>Bromley South</t>
  </si>
  <si>
    <t>CHC-060-045-A, CHC-060-045-A</t>
  </si>
  <si>
    <t>Bromley Self Storage_x000D_
17 Tanya Street_x000D_
Bromley_x000D_
Christchurch</t>
  </si>
  <si>
    <t>Upper Riccarton</t>
  </si>
  <si>
    <t>CHC-060-018-F, CHC-060-018-F</t>
  </si>
  <si>
    <t>2009-03-17, 2008-04-18</t>
  </si>
  <si>
    <t>444 Blenheim Rd_x000D_
Christchurch</t>
  </si>
  <si>
    <t>Sockburn</t>
  </si>
  <si>
    <t>2009-03-17, 2009-03-06</t>
  </si>
  <si>
    <t>Blairs_x000D_
3 Alloy Street_x000D_
Christchurch</t>
  </si>
  <si>
    <t>Hornby</t>
  </si>
  <si>
    <t>CHC-060-085-C, CHC-060-085-C</t>
  </si>
  <si>
    <t>2009-03-17, 2008-04-22</t>
  </si>
  <si>
    <t>Toll site _x000D_
Canterbury St_x000D_
Christchurch</t>
  </si>
  <si>
    <t>University</t>
  </si>
  <si>
    <t>NOTE - BBU 3806 SWAPPED OUT FOR NEW 3900 UNIT ON 17/10/2012.</t>
  </si>
  <si>
    <t>Rutherford Building, _x000D_
Canterbury University_x000D_
Christchurch 8020</t>
  </si>
  <si>
    <t>52 Shortland St_x000D_
Avondale_x000D_
Christchurch</t>
  </si>
  <si>
    <t>Elmwood</t>
  </si>
  <si>
    <t>1 Normans Rd,_x000D_
Bryndwr,_x000D_
Christchurch</t>
  </si>
  <si>
    <t>Papanui</t>
  </si>
  <si>
    <t>Fendalton far end. Manufacture std bracket. Cosite response received. 05/12 Letter with Rev9 was sent on 09/11._x000D_
NOTE - BBU 3806 SWAPPED OUT FOR NEW 3900 UNIT 17/10/2012.</t>
  </si>
  <si>
    <t>Work &amp; Income Building_x000D_
7 Winston Ave_x000D_
Papanui_x000D_
Christchurch</t>
  </si>
  <si>
    <t>Merivale</t>
  </si>
  <si>
    <t>As Builts needs to be sent to TNZL.</t>
  </si>
  <si>
    <t>25 St Albans St,_x000D_
Merivale,_x000D_
Christchurch</t>
  </si>
  <si>
    <t>Shirley</t>
  </si>
  <si>
    <t>P4D</t>
  </si>
  <si>
    <t>CHC-060-097-A, CHC-060-063-B, CHC-060-097-A</t>
  </si>
  <si>
    <t>2009-10-12, 2009-10-12</t>
  </si>
  <si>
    <t>COMPLETE: Handover to Operations Team</t>
  </si>
  <si>
    <t>RSR - Outside 204 Hills Road (Shirley Shopping Centre)_x000D_
Shirley_x000D_
Christchurch</t>
  </si>
  <si>
    <t>New Brighton</t>
  </si>
  <si>
    <t>104 Brighton Mall_x000D_
Off Hawke Street_x000D_
New Brighton_x000D_
Christchurch</t>
  </si>
  <si>
    <t>Ferrymead</t>
  </si>
  <si>
    <t>2009-02-16</t>
  </si>
  <si>
    <t>950 Ferry Road_x000D_
Christchurch</t>
  </si>
  <si>
    <t>Styx</t>
  </si>
  <si>
    <t>CHC-060-084-D, CHC-060-084-D</t>
  </si>
  <si>
    <t>Christchurch City Council Eco Depot,_x000D_
76 Styx Mill Rd,_x000D_
Christchurch</t>
  </si>
  <si>
    <t>Belfast</t>
  </si>
  <si>
    <t>CHC-060-096-G, CHC-060-096-G</t>
  </si>
  <si>
    <t>50 Factory Rd_x000D_
Belfast _x000D_
Christchurch</t>
  </si>
  <si>
    <t>Bishopdale</t>
  </si>
  <si>
    <t>CHC-060-033-D, CHC-060-033-D</t>
  </si>
  <si>
    <t>2008-05-06, 2008-05-06</t>
  </si>
  <si>
    <t>Bishopdale Mall_x000D_
Off Farrington Avenue_x000D_
Christchurch</t>
  </si>
  <si>
    <t>Burnside</t>
  </si>
  <si>
    <t>CHC-060-023-A, CHC-060-023-A</t>
  </si>
  <si>
    <t>2008-04-18, 2008-04-18</t>
  </si>
  <si>
    <t>Opposite 37 Roydvale Avenue_x000D_
Russley_x000D_
Christchurch</t>
  </si>
  <si>
    <t>Broomfield</t>
  </si>
  <si>
    <t>Opposite 2 Steadman Rd_x000D_
Christchurch</t>
  </si>
  <si>
    <t>Wairakei</t>
  </si>
  <si>
    <t>Pacific Wide_x000D_
525 Wairakei Road_x000D_
Christchurch</t>
  </si>
  <si>
    <t>Mairehau</t>
  </si>
  <si>
    <t>2009-04-24, 2009-04-24</t>
  </si>
  <si>
    <t>Queen Elizabeth II Drive &amp; Innes Rd Intersection_x000D_
Christchurch</t>
  </si>
  <si>
    <t>Hillmorton</t>
  </si>
  <si>
    <t>2009-03-23, 2009-03-23</t>
  </si>
  <si>
    <t>23 Sylvan Street_x000D_
Hoon Hay_x000D_
Christchurch</t>
  </si>
  <si>
    <t>Beckenham</t>
  </si>
  <si>
    <t>2009-05-21, 2009-05-21</t>
  </si>
  <si>
    <t>Site to be audited by Sean (On Going).</t>
  </si>
  <si>
    <t>Tandoori Palace,_x000D_
134 Colombo St,_x000D_
Christchurch</t>
  </si>
  <si>
    <t>Huntsbury</t>
  </si>
  <si>
    <t>2008-04-22, 2008-04-22</t>
  </si>
  <si>
    <t xml:space="preserve">2degrees will need to sign off the pad for the cabinet_x000D_
</t>
  </si>
  <si>
    <t>Opposite 60 Centaurus Road_x000D_
Cashmere_x000D_
Christchurch</t>
  </si>
  <si>
    <t>Templeton</t>
  </si>
  <si>
    <t>762 Main South Road_x000D_
Christchurch</t>
  </si>
  <si>
    <t>Sumner</t>
  </si>
  <si>
    <t>18 Heberden Ave_x000D_
Sumner_x000D_
Christchurch</t>
  </si>
  <si>
    <t>Christchurch Airport</t>
  </si>
  <si>
    <t>2008-07-16, 2008-07-16</t>
  </si>
  <si>
    <t>791 Wairakei Rd_x000D_
Christchurch</t>
  </si>
  <si>
    <t>Harewood</t>
  </si>
  <si>
    <t>_x000D_
.</t>
  </si>
  <si>
    <t>Greywacke Rd_x000D_
Christchurch</t>
  </si>
  <si>
    <t>Bridgend</t>
  </si>
  <si>
    <t>2008-09-19, 2008-09-19</t>
  </si>
  <si>
    <t>As Builts: None</t>
  </si>
  <si>
    <t>Safestore Container Park_x000D_
Main North Road_x000D_
Bridgend_x000D_
Christchurch</t>
  </si>
  <si>
    <t>Hagley</t>
  </si>
  <si>
    <t>2009-06-17</t>
  </si>
  <si>
    <t>RSR Cnr Tuam and Hagley Ave_x000D_
Christchurch</t>
  </si>
  <si>
    <t>Bromley</t>
  </si>
  <si>
    <t>77 Ruru Road_x000D_
Bromley_x000D_
Christchurch</t>
  </si>
  <si>
    <t>Approved on the 19.12.11 by Jo Mcafee of CCC: Reference number: rma92018726  - 11/01/2012</t>
  </si>
  <si>
    <t>Hornby South</t>
  </si>
  <si>
    <t>76 Colombia Ave_x000D_
Hornby_x000D_
Christchurch</t>
  </si>
  <si>
    <t>Lyttelton Repair</t>
  </si>
  <si>
    <t>Lyttelton</t>
  </si>
  <si>
    <t>2009-04-21, 2009-04-21</t>
  </si>
  <si>
    <t>Damaged in Earthquakes. 17/10 Lyttelton Port will now keep the Quay so the existing site can stay with repairs to cabinet and pole. 07/11 Monitor fortnightly. Pole may need to move out of the way of other construction work. 16/04 How much is the ground moving?</t>
  </si>
  <si>
    <t>Lyttelton Port Company,_x000D_
Lyttelton,_x000D_
Christchurch</t>
  </si>
  <si>
    <t>Hoon Hay</t>
  </si>
  <si>
    <t>CHC-060-096-G, CHC-060-096-G, CHC-060-063-B</t>
  </si>
  <si>
    <t>2008-09-05, 2008-09-05</t>
  </si>
  <si>
    <t>Site Build &amp; Site Design: Next survey to be done Feb 2010.</t>
  </si>
  <si>
    <t>Opposite 4 Lyttelton St_x000D_
Hoon Hay_x000D_
Christchurch</t>
  </si>
  <si>
    <t>St Martins</t>
  </si>
  <si>
    <t>2009-05-21</t>
  </si>
  <si>
    <t>90 Wilsons Road South_x000D_
St Martins_x000D_
Christchurch</t>
  </si>
  <si>
    <t>Waimairi</t>
  </si>
  <si>
    <t>RSR Outside 203 Waimairi Road_x000D_
Christchurch</t>
  </si>
  <si>
    <t>Avonside West</t>
  </si>
  <si>
    <t>2009-02-13</t>
  </si>
  <si>
    <t>Site Build: Some paintwork to be done.</t>
  </si>
  <si>
    <t>17 Nova Plc_x000D_
Christchurch</t>
  </si>
  <si>
    <t>Charleston</t>
  </si>
  <si>
    <t>2008-04-24, 2008-04-24</t>
  </si>
  <si>
    <t xml:space="preserve">Isabella Place and Ferry Road Junction_x000D_
Charleston_x000D_
Christchurch </t>
  </si>
  <si>
    <t>Heathcote</t>
  </si>
  <si>
    <t>CHC-060-015-A, CHC-060-015-A</t>
  </si>
  <si>
    <t>10 Chapmans Road_x000D_
Woolston_x000D_
Christchurch</t>
  </si>
  <si>
    <t>Bexley</t>
  </si>
  <si>
    <t>Bexley/New Repair</t>
  </si>
  <si>
    <t>19/03 Joh to provide quote to SHIM pole and re-do foundation for cabinets.  01/05 PS1 won't be necessary.  07/05 Service life of 50 years is not required.  Simple SHIM of pole and SKIM under cabinet is required.  23/7 Chris Adams is looking at reports and to make a recommendation this week.  30/7 Chris Adams to inspect next week on his trip to CHC.  6/8 Chris Adams to inspect and define solution this week.  13/8 Chris Adams has drawn a solution, change of pole position and new pole. 10/09 Alex Jorowski inspected.  Providing design input into repair design. 17/9 Waiting on construction drawings. 24/10 CAR required from Transfield.</t>
  </si>
  <si>
    <t>South New Brighton,_x000D_
114 Bridge Street,_x000D_
Outside bridge Street Reserve,_x000D_
Christchurch</t>
  </si>
  <si>
    <t>Southshore</t>
  </si>
  <si>
    <t>2009-08-06</t>
  </si>
  <si>
    <t>Off Ebbtide St_x000D_
Southshore_x000D_
Christchurch</t>
  </si>
  <si>
    <t>Sydenham</t>
  </si>
  <si>
    <t>CHC-060-004-C, CHC-060-004-C</t>
  </si>
  <si>
    <t>2008-05-20, 2008-05-20</t>
  </si>
  <si>
    <t>61 Gasson Street_x000D_
Sydenham _x000D_
Christchurch</t>
  </si>
  <si>
    <t>City South</t>
  </si>
  <si>
    <t>2009-02-03</t>
  </si>
  <si>
    <t>246 St Asaph Street_x000D_
Christchurch</t>
  </si>
  <si>
    <t>Avonside</t>
  </si>
  <si>
    <t>2009-03-10, 2009-03-10</t>
  </si>
  <si>
    <t>265 Stanmore Rd_x000D_
(Also 18 Pavitt St)_x000D_
Avonside_x000D_
Christchurch</t>
  </si>
  <si>
    <t>Hagley East</t>
  </si>
  <si>
    <t>Opposite 275 Montreal Street_x000D_
Christchurch CBD</t>
  </si>
  <si>
    <t>Sydenham North</t>
  </si>
  <si>
    <t>2009-01-23, 2008-05-06</t>
  </si>
  <si>
    <t>Near Rail Area off Caryle Street/Colombo_x000D_
Christchurch</t>
  </si>
  <si>
    <t>Waltham</t>
  </si>
  <si>
    <t>2008-07-28, 2008-07-28</t>
  </si>
  <si>
    <t>501 Brougham St,_x000D_
Christchurch</t>
  </si>
  <si>
    <t>Bryndwr</t>
  </si>
  <si>
    <t>2008-11-21, 2008-11-21</t>
  </si>
  <si>
    <t>Near Jellie Park _x000D_
295 Ilam Road_x000D_
Christchurch</t>
  </si>
  <si>
    <t>Spencerville</t>
  </si>
  <si>
    <t>2008-11-17, 2008-11-17</t>
  </si>
  <si>
    <t>Near Telecom Pole,_x000D_
287 Spencerville Road_x000D_
Off Earlham St,_x000D_
Christchurch</t>
  </si>
  <si>
    <t>North Beach</t>
  </si>
  <si>
    <t>Waimairi Beach Golf Club_x000D_
460 Bower Avenue_x000D_
Parklands_x000D_
Christchurch</t>
  </si>
  <si>
    <t>Dallington</t>
  </si>
  <si>
    <t>COMPLETE: Handover to Operations Team.  RET to be checked.</t>
  </si>
  <si>
    <t>Opposite 71 New Brighton Road_x000D_
Shirley_x000D_
Christchurch</t>
  </si>
  <si>
    <t>Hyde Park</t>
  </si>
  <si>
    <t>144 Hawthornden Road_x000D_
Avonhead_x000D_
Christchurch</t>
  </si>
  <si>
    <t>Westlake</t>
  </si>
  <si>
    <t>Opposite Karting Club_x000D_
Carrs Road_x000D_
Westlake_x000D_
Christchurch</t>
  </si>
  <si>
    <t>Burwood</t>
  </si>
  <si>
    <t>CHC-060-074-A, CHC-060-074-A</t>
  </si>
  <si>
    <t>283 Burwood Road_x000D_
Cnr of Mairehau Rd and Burwood Rd,_x000D_
Burwood,_x000D_
Christchurch</t>
  </si>
  <si>
    <t>Northcote East</t>
  </si>
  <si>
    <t>2009-05-27</t>
  </si>
  <si>
    <t>Opposite QEII Drive &amp; Grimseys Road intersection_x000D_
Christchurch</t>
  </si>
  <si>
    <t>Parklands</t>
  </si>
  <si>
    <t>2008-08-18, 2008-09-18</t>
  </si>
  <si>
    <t>COMPLETE: Handover to Operations Team.</t>
  </si>
  <si>
    <t>60 Queenspark Drive_x000D_
Christchurch</t>
  </si>
  <si>
    <t>Sparks</t>
  </si>
  <si>
    <t>381 - 391 Sparks Rd_x000D_
Halswell_x000D_
Christchurch</t>
  </si>
  <si>
    <t>The Causeway</t>
  </si>
  <si>
    <t xml:space="preserve">Causeway_x000D_
Main Rd_x000D_
Redcliffs_x000D_
Christchurch </t>
  </si>
  <si>
    <t>Mt Pleasant</t>
  </si>
  <si>
    <t>Corner Billys track_x000D_
Major Hornbrook Road_x000D_
Christchurch</t>
  </si>
  <si>
    <t>Cranford</t>
  </si>
  <si>
    <t>2009-02-17</t>
  </si>
  <si>
    <t>319 Cranford Street, Christchurch_x000D_
_x000D_
On RSR adjoining the above property.</t>
  </si>
  <si>
    <t>Avondale CHC</t>
  </si>
  <si>
    <t>Damaged in earthquakes. Site to be replaced. 19/03 SHIM completed.</t>
  </si>
  <si>
    <t>Opposite 345 New Brighton Road_x000D_
Burwood_x000D_
Christchurch</t>
  </si>
  <si>
    <t>QEII</t>
  </si>
  <si>
    <t>CHC-060-087-A, CHC-060-087-A</t>
  </si>
  <si>
    <t>2007-10-16, 2007-10-16</t>
  </si>
  <si>
    <t>05/12 Alternative design to be quoted. 21/05 CPT ground investigations. 29/05 NT to follow up with Bruce to ensure drawings are underway. 13/8 New pile foundation under existing damaged Plinth.</t>
  </si>
  <si>
    <t>QE II Shop Parade_x000D_
227 Travis Road_x000D_
New Brighton_x000D_
Christchurch</t>
  </si>
  <si>
    <t>No planning required, EQ damage remedial work   - 16/07/2012</t>
  </si>
  <si>
    <t>Cashmere</t>
  </si>
  <si>
    <t>2008-10-15</t>
  </si>
  <si>
    <t>Site Build: verge needs to be fixed.  RET functional.</t>
  </si>
  <si>
    <t>239 Cashmere Rd,_x000D_
Westmorland,_x000D_
Christchurch</t>
  </si>
  <si>
    <t>Richmond</t>
  </si>
  <si>
    <t>RSR Beside BP Garage_x000D_
706 Gloucester Street (corner of Woodham Road)_x000D_
Avonside_x000D_
Christchurch</t>
  </si>
  <si>
    <t>Halswell</t>
  </si>
  <si>
    <t>2009-05-18, 2009-05-18</t>
  </si>
  <si>
    <t>As Builts: Needs to go to Transit_x000D_
Site Build: Reinstatement required</t>
  </si>
  <si>
    <t>RSR NZTA SH73 Halswell Road_x000D_
Christchurch</t>
  </si>
  <si>
    <t>Clearwater</t>
  </si>
  <si>
    <t>2008-06-27, 2008-06-27</t>
  </si>
  <si>
    <t>172 Johns Road_x000D_
Christchurch</t>
  </si>
  <si>
    <t>Islington</t>
  </si>
  <si>
    <t>2008-04-18, 2009-03-17</t>
  </si>
  <si>
    <t>Ohau Drive _x000D_
Off Moffet Street _x000D_
Hei Hei _x000D_
Christchurch</t>
  </si>
  <si>
    <t>Casebrook</t>
  </si>
  <si>
    <t>Casebrook - Relocate</t>
  </si>
  <si>
    <t>RElocate site to alternative position next to Bowling Greens.  Site Acq to complete discussion with RM Design/Papanui Club re costs to relocate._x000D_
_x000D_
Siote relocated, using existing mast and cabinets from Candidate A to this location</t>
  </si>
  <si>
    <t>310 Sawyers Arms Rd_x000D_
Papanui</t>
  </si>
  <si>
    <t>Bexley North</t>
  </si>
  <si>
    <t>23/01 Transfield to straighten pole on bolts to improve public appearance for interim. CRs required to pan and tilt all links. _x000D_
To make location safe for repair and rebuild:_x000D_
30/01 NT &amp; Dawie idea to plate bolt walls together. John to provide price. 13/02 building being sold soon. New owner willing to complete repair works internally but cost to 2d needs to be compared to Transfield's quote first. 03/04 Constructor quote received. SA to ask LL to resight.</t>
  </si>
  <si>
    <t>12 C Bower Avenue_x000D_
New Brighton_x000D_
Christchurch</t>
  </si>
  <si>
    <t>Addington</t>
  </si>
  <si>
    <t>2009-05-05, 2009-05-05</t>
  </si>
  <si>
    <t>COMPLETE: Handover to Operations Team.  RET to be fixed.</t>
  </si>
  <si>
    <t>Corner of Brougham and Selwyn Streets_x000D_
Addington_x000D_
Christchurch</t>
  </si>
  <si>
    <t>Woolston</t>
  </si>
  <si>
    <t>CHC-060-016-A, CHC-060-016-A</t>
  </si>
  <si>
    <t>2008-12-16, 2008-12-18</t>
  </si>
  <si>
    <t>580 Ferry Rd,_x000D_
Woolston,_x000D_
Christchurch</t>
  </si>
  <si>
    <t>Yaldhurst</t>
  </si>
  <si>
    <t>2009-03-26, 2009-03-26</t>
  </si>
  <si>
    <t>33 School Road_x000D_
Christchurch</t>
  </si>
  <si>
    <t>Somerfield</t>
  </si>
  <si>
    <t>2009-02-10</t>
  </si>
  <si>
    <t>Opposite 75 Frankleigh St,_x000D_
Sydenham, Christchurch</t>
  </si>
  <si>
    <t>2010-01-25</t>
  </si>
  <si>
    <t>Construction timeframe will require higher mpA concrete to be used.  PM to discuss with design.</t>
  </si>
  <si>
    <t>Opposite 156 Vagues Rd, Christchurch</t>
  </si>
  <si>
    <t>Sydenham South</t>
  </si>
  <si>
    <t>CHC-060-064-J, CHC-060-064-J</t>
  </si>
  <si>
    <t>2009-04-29, 2009-04-30</t>
  </si>
  <si>
    <t>As Builts: None.</t>
  </si>
  <si>
    <t>Opposite 240 Milton Street_x000D_
Christchurch</t>
  </si>
  <si>
    <t>Middleton</t>
  </si>
  <si>
    <t>Toll - Middleton,_x000D_
7 Matipo St,_x000D_
(Also known as 258 Annex Rd)_x000D_
Middleton,_x000D_
Christchurch</t>
  </si>
  <si>
    <t>Approved by council on the 11.01.2012 by Jo Mcafee, consent number 92018735 with rev 6 plans   - 13/02/2012</t>
  </si>
  <si>
    <t>St Albans</t>
  </si>
  <si>
    <t>2009-05-07, 2009-05-07</t>
  </si>
  <si>
    <t>HG. As-builts - ongoing. 29/05 ODU needs to be replaced.</t>
  </si>
  <si>
    <t>117 Cranford Street Carpark_x000D_
St Albans_x000D_
Christchurch</t>
  </si>
  <si>
    <t>Sugarloaf</t>
  </si>
  <si>
    <t>Kordia - Sugarloaf_x000D_
Off Summit Road_x000D_
Christchurch</t>
  </si>
  <si>
    <t>Marshland</t>
  </si>
  <si>
    <t>2009-05-18, 2009-05-21</t>
  </si>
  <si>
    <t>570 Marshlands Rd,_x000D_
Christchurch</t>
  </si>
  <si>
    <t>Akaroa Harbour</t>
  </si>
  <si>
    <t>Akaroa</t>
  </si>
  <si>
    <t>Akaroa Hilltop</t>
  </si>
  <si>
    <t>2012-05-28</t>
  </si>
  <si>
    <t>GF option. Dave to ID two alternate sites in Akaroa. 14/05 LA supports this location off the ridge. Site visit/ CV planned for Mon28th. SA to arrange access with keys for both gates at top and bottom. 29/05 NT to send sketch to team. Excavation depth to be decided. 26/6 NT to follow up. 02/07 Jason to chase up Telecom. Martin to contact landowner to est. lease plan._x000D_
8 Oct 2014 - visit arragned (16 Oct) to confirm RF requirements thereafter existing PD to be amended/issued._x000D_
28 Oct - Visit arranged to confirm feasibility of construction prior to continuing, Tx investigation DMR options - Build is feasible continue with tweaks to PD - await team comments on PD, overlay topo information.  Rob to meet council next week.  11 Dec Council visit to site required, accurate assessment of tower hieght/summit height required - scheduled 7 Jan.  Council want slimmer pole.  Site needs to be approved for inclusion in build program via RF review before we continue._x000D_
Council want a guyed mast, confirmation of mast hieght required.  RC drone appears to be teh best option to determine mast hieght and position.  10 July - PD produced in house, priority work delays Akaroa PD.  14 Aug - PD to be issued.  Site is # 105 - not in 2015 build list.  15 Oct, site back into build, Consent requires neighbours approval, neighbour has requested the Spark SFA document which is being produced by Spark.  Availability of this document (and its acceptance) may cause a delay to the site.</t>
  </si>
  <si>
    <t>spot height 700</t>
  </si>
  <si>
    <t>outstanding landscape and prominent ridgeline location means that public notification risk - consistent with other applications is highly likely. all ridgeline options in BP has this treatment. This is the preferred landscape, planning and rf option wihtin this context as it is further away from roads and is within the context of the telecom designation.  - 05/06/2012</t>
  </si>
  <si>
    <t>CHC Airport Inbuilding</t>
  </si>
  <si>
    <t>Airport Terminals</t>
  </si>
  <si>
    <t>Airport Tower</t>
  </si>
  <si>
    <t>2010-06-10</t>
  </si>
  <si>
    <t>32 Durey Road, Christchurch International Airport</t>
  </si>
  <si>
    <t>Need Requiring Authority Approval from CIAL as the site is designated for Airport Purposes  - 27/05/2011</t>
  </si>
  <si>
    <t>Marleys Hill</t>
  </si>
  <si>
    <t>Site is to allow LAC exclusion. Single sector away from city itself. VF has two sectors however main emphasis is on containment and roaming cost from sector two.</t>
  </si>
  <si>
    <t>Fendalton</t>
  </si>
  <si>
    <t>Fendalton RSR</t>
  </si>
  <si>
    <t>CSP2013</t>
  </si>
  <si>
    <t>Corner Fendalton Rd &amp; Clifford Ave _x000D_
Fendalton_x000D_
Christchurch</t>
  </si>
  <si>
    <t>Bryndwr North</t>
  </si>
  <si>
    <t>LBJ Pub</t>
  </si>
  <si>
    <t>14/05 PAD in a week.  17/05 - Pad submitted. Accept or reject by 31/05. 29/05 Waiting for Design and Access feedback on PAD.  02/07 Faults to be resolved.  3 outstanding issues.</t>
  </si>
  <si>
    <t>290 Wairakei Road</t>
  </si>
  <si>
    <t>Russley East</t>
  </si>
  <si>
    <t>Racecourse Rd GF</t>
  </si>
  <si>
    <t>23/04 Katrien antennas - pole to be adjusted. High voltage line is in the way of pile cap. Build in parrallel with Oaklands. 21/05 CD rev1 due 15/06.  5/6 JB to get letters ready by 8th.</t>
  </si>
  <si>
    <t>Racecourse Rd Riccarton</t>
  </si>
  <si>
    <t>Redwood East</t>
  </si>
  <si>
    <t xml:space="preserve">Grimseys Rd LPR </t>
  </si>
  <si>
    <t>Build site last due to probable reaction of local residents. 03/10 Cabinet location moved up the street to avoid visual impact on adjacent resident. RF happy for 550 feeder cables to be used provided its a straight run or very tight join. 19/03 HARDMATCHED</t>
  </si>
  <si>
    <t>EXTREMEHIGH</t>
  </si>
  <si>
    <t>SW Cnr Grimseys and Prestions Rd</t>
  </si>
  <si>
    <t>Oaklands</t>
  </si>
  <si>
    <t xml:space="preserve">Nicholls rd Cnr RSR </t>
  </si>
  <si>
    <t>23/04 HW arranging contract, geotech and Jetvac. 21/05 Geotech shows ground is soft. CD rev1 due 15/06.  5/6 JB to provide letters for drop by 8th.</t>
  </si>
  <si>
    <t>Cnr Halswell rd and Nicholls rd</t>
  </si>
  <si>
    <t>Christchurch Office</t>
  </si>
  <si>
    <t>CHC Office - Nga Mahi Rd</t>
  </si>
  <si>
    <t>Unit 8/19 Nga Mahi Rd,_x000D_
Sockburn,_x000D_
Christchurch</t>
  </si>
  <si>
    <t>123 Blenheim Rd</t>
  </si>
  <si>
    <t>2 Degrees CH office WAN</t>
  </si>
  <si>
    <t>123 Blenhiem Rd_x000D_
Christchurch</t>
  </si>
  <si>
    <t>RBI - Kainga</t>
  </si>
  <si>
    <t>RBI -  Yaldhurst</t>
  </si>
  <si>
    <t>Revera DC</t>
  </si>
  <si>
    <t>VFNZ CPT</t>
  </si>
  <si>
    <t>TX HUB</t>
  </si>
  <si>
    <t>45 Sir William Pickering Drive, CHC</t>
  </si>
  <si>
    <t>Little River Telecom</t>
  </si>
  <si>
    <t>Little River</t>
  </si>
  <si>
    <t>Tx Link for Akaroa site.  Fibre feasibility to be confirmed.  SOA date aligned with Akaroa site</t>
  </si>
  <si>
    <t>Main Akaroa to CHC Rd</t>
  </si>
  <si>
    <t>Carlton Corner</t>
  </si>
  <si>
    <t>Adjacent to 1 Papanui Rd,_x000D_
Bealey Ave,_x000D_
Christchurch</t>
  </si>
  <si>
    <t>Southern Cross</t>
  </si>
  <si>
    <t xml:space="preserve">27/8 Wo1 issued for new candidate.  Positive feedback. Straight Telco Notice. 03/09 Redlines to bo back. Reduce montage and plumes. 15/10 Hardmatch only. </t>
  </si>
  <si>
    <t>outside 14 Caledonian Rd_x000D_
Christchurch</t>
  </si>
  <si>
    <t>CHCH Tunnel</t>
  </si>
  <si>
    <t>Tunnel rebuild</t>
  </si>
  <si>
    <t>Statement of works to be issued instead of WO2 on 3rd April. Transfield to complete TI and CRs etc. Transfield need CD to provide quote for PO before works start. MW mounts need to be fabricated. Most other equipment is already available. Waiting for PDs to resubmitt RC. 29/05 PD to be completed inhouse? TP to find out if s176 is required for resubmission. 23/7 Cabinets to be changed to original size.  RMA lodged.  Fibre is available on site and is most likely Tx option. 30/7 Plans lodged with Heritage Soc. Expected feedback this week.  Once planners approve to go to Opus for final approval.  Raise PO for Tunnel. 6/8 Lease area amendment final change to come through.  Transfield are pricing for the work to be completed. 13/8 Waiting on pricing to come back from Transfield. Some amendments to planning document required. A co-site appln form to be completed. 27/8 RMA supplied.  Wo2 to go out, today.  Telco co-lo to be processed.  Pete awaiting email from NZTA. 03/09 Equipment arrived, waiting on const. drwgs for final pricing. 10/09 Fibre to be ordered.  Leonard to get price from Enable. 17/9 Waiting on construction drawings. 24/10 Construction drawing</t>
  </si>
  <si>
    <t>chch end of lyttelton tunnel</t>
  </si>
  <si>
    <t>Briefly taken over by Kasuni after Sean left. Over to Rob Monro now.   - 02/05/2012</t>
  </si>
  <si>
    <t>Aranui</t>
  </si>
  <si>
    <t>23/04 Site to replace Bexley North damaged in earthquakes. 29/05 Design resource to be decided. 23/7 MW required, 300mm dish/es.  Minimum height 19m - Fahad.  Possibly put 1 300 MW in shroud. 30/7 Waiting on plans to be released. On track. 10/09 BOQ to be defined for Tx to enable WO2 to be raised. 17/9 Telco Notice lodged. 24/10 Head frame to be changed to 600.</t>
  </si>
  <si>
    <t>Adjacent to 478 Pages Road,_x000D_
Aranui,_x000D_
Christchurch</t>
  </si>
  <si>
    <t>Madras St</t>
  </si>
  <si>
    <t>C1 Candidate</t>
  </si>
  <si>
    <t>13/8 9:30 Wed site visit.  Press building possible back up. 17/9 Waiting for first draft of PD.  SF to follow up with Ritchie. 8/10 Decision made to proceed with RF site by itself so as not to delay by increasing the build/planning by incorporating proposed mini hub.  Transmission to be done as a secondary project. 15/10 Hardmatch only.</t>
  </si>
  <si>
    <t>Pacific Tower_x000D_
166 Glouster Street _x000D_
Christchurch</t>
  </si>
  <si>
    <t>Lyttelton Re_build</t>
  </si>
  <si>
    <t>Lyttelton Re_build site.</t>
  </si>
  <si>
    <t xml:space="preserve">Avondale </t>
  </si>
  <si>
    <t>Avondale Re-build site</t>
  </si>
  <si>
    <t>CHCH Casino</t>
  </si>
  <si>
    <t>COW</t>
  </si>
  <si>
    <t>Kilmore St Replacement.</t>
  </si>
  <si>
    <t>Wigram Skies</t>
  </si>
  <si>
    <t>Active Candidate for Forecasting</t>
  </si>
  <si>
    <t>RF Engineer - Patrick Urlich</t>
  </si>
  <si>
    <t>Park Tce</t>
  </si>
  <si>
    <t>George Hotel</t>
  </si>
  <si>
    <t>23/7 Awaiting Plans from Council to complete drawings. 13/8 George revisited for more detailed plans. 27/8 Redlines to be processed. 10/09 Planning drawings getting redlined at the moment. 17/9 PD released, being redlined. 01/10 Owners have seen &amp; apprvd the initial PD's.</t>
  </si>
  <si>
    <t>50 Park Terrace,_x000D_
The George Hotel_x000D_
Christchurch</t>
  </si>
  <si>
    <t>Hornby West</t>
  </si>
  <si>
    <t>Hornby 3</t>
  </si>
  <si>
    <t>23/7 Waiting on Rf spec to generate Wo1. 10/09 Lease due today, SF to contact Pete Rogan to confirm. 01/10 Awaiting for Council, permits issue, Telco notice an option. 8/10 Lease sitting with council over permit and rental agreement. 15/10 Hardmatch only. 24/10 Lease delayed due to negotiations with council &amp; 2D.</t>
  </si>
  <si>
    <t>Diamond Harbour</t>
  </si>
  <si>
    <t xml:space="preserve">Diamond Harbour </t>
  </si>
  <si>
    <t>24/10 Site survey underway to finalise drawings.</t>
  </si>
  <si>
    <t>Diamond Harbour,_x000D_
Herbert Peak Road,_x000D_
Diamond Harbour, Canterbury</t>
  </si>
  <si>
    <t>Remote from residential but in Outstanding Natural Landscape. Less exposed than 'upper' option.  - 06/09/2012  - 04/02/2013</t>
  </si>
  <si>
    <t>Marshlands Rd</t>
  </si>
  <si>
    <t>Burwood 3</t>
  </si>
  <si>
    <t>23/7 Waiting on Rf spec to generate Wo1.  03/09 Still negotiating with council on permit.  Back-up Telco notice option plan to be built/prepared. 10/09 Lease due today, SF to contact Pete Rogan to confirm. 24/10 Lease delayed due to council negotiation._x000D_
16 Mar - Resources to continue restricted due to roaming commitment.  Dates pushed out until budget to build is available</t>
  </si>
  <si>
    <t>Quaifes Road</t>
  </si>
  <si>
    <t>23/7 LOS OK for MW.  Waiting for drawings to be released. 30/7 Waiting on Orion plans. 27/8 New drawings @ 18m needed to amend Telco notice. 15/10 Hardmatch only.</t>
  </si>
  <si>
    <t>Riccarton - FTTS</t>
  </si>
  <si>
    <t>Enable co-lo</t>
  </si>
  <si>
    <t>40 Whiteleigh Ave</t>
  </si>
  <si>
    <t>Central - FTTS</t>
  </si>
  <si>
    <t>2 Wordsworth Street</t>
  </si>
  <si>
    <t>C1 Building</t>
  </si>
  <si>
    <t>Norwood Repeater</t>
  </si>
  <si>
    <t>rooftop of Harvey Norman shop_x000D_
1 donor yagi plus 2 indoor panel antennas installed with a 3dB splitter</t>
  </si>
  <si>
    <t>Stanmore/Worcester_rd</t>
  </si>
  <si>
    <t>Worcester Rd</t>
  </si>
  <si>
    <t>Riccarton West</t>
  </si>
  <si>
    <t>Riccarton Rd</t>
  </si>
  <si>
    <t>Fibre delivery delayed by Enable due to Road Crossings and finding their network_x000D_
_x000D_
Site on air 25 Nov</t>
  </si>
  <si>
    <t>Cnr Riccarton and Euston Street</t>
  </si>
  <si>
    <t>South Wigram</t>
  </si>
  <si>
    <t>St Albans Cannon St</t>
  </si>
  <si>
    <t>CSP U900 infill coverage site</t>
  </si>
  <si>
    <t>Northwood</t>
  </si>
  <si>
    <t xml:space="preserve">Bryndwr </t>
  </si>
  <si>
    <t>Glandovey Rds</t>
  </si>
  <si>
    <t>The Palms Mall CHCH</t>
  </si>
  <si>
    <t>The Palms</t>
  </si>
  <si>
    <t>Waltham Rd</t>
  </si>
  <si>
    <t>Cellutronics 012 Issacs Constr</t>
  </si>
  <si>
    <t>Customers Name:   Isaac Construction, Jim Shankie_x000D_
_x000D_
Location/address:  Street number, Street Name. Suburb, Town/City:_x000D_
Isaac Construction, McArthurs Road, Harewood, Christchurch, 8543. _x000D_
Contact: Jim Shankie - 0274437108 / 033599145_x000D_
_x000D_
Donor site: CHC-060-041, S3</t>
  </si>
  <si>
    <t>Isaacs Repeater</t>
  </si>
  <si>
    <t>McLeans Island Road_x000D_
CHC</t>
  </si>
  <si>
    <t>Addington Central</t>
  </si>
  <si>
    <t>Addington Central GF</t>
  </si>
  <si>
    <t>Boundary Surveys requested_x000D_
Updated from Transfield Plan 18/8_x000D_
Pole modified to fit site by transfield.  Pole up 26/9 - weather permitting_x000D_
9/10 - power on, cabs in , TI completed, waiting for fibre</t>
  </si>
  <si>
    <t>Barrington Street_x000D_
Addington</t>
  </si>
  <si>
    <t xml:space="preserve">Papanui CO Enable </t>
  </si>
  <si>
    <t>Papanui Enable TX co-lo</t>
  </si>
  <si>
    <t xml:space="preserve">13 Bishopdale Court_x000D_
Bishopdale_x000D_
Christchurch 8053_x000D_
</t>
  </si>
  <si>
    <t>Riccarton East</t>
  </si>
  <si>
    <t xml:space="preserve">Riccarton South </t>
  </si>
  <si>
    <t>Christchurch Exchange</t>
  </si>
  <si>
    <t>29/9 - Drawings and colo application sent to Rob to lodge with Spark.  Spark still have not defined if their existing antennas will shift, so lodged our application to force the issue forward. May need to revise plans on feedback.</t>
  </si>
  <si>
    <t>91 Hereford Street_x000D_
Christchurch</t>
  </si>
  <si>
    <t>Riccarton Mall Microcell</t>
  </si>
  <si>
    <t xml:space="preserve">2 Microcells preferably loacated in the main predestrain area outside K-Mart </t>
  </si>
  <si>
    <t>Hornby Mall Microcell</t>
  </si>
  <si>
    <t>Photo montage done, presented and seems OK.  PD's underway. Jaco placed order for fibre. Rob to conclude deal._x000D_
(14 Oct) PD 1 to be issued.  12 Nov - Mtg with Mall, chosen MC locations not suitable, MC to be hidden with seperated antenna, Mall very helpful and will suggest some mounting options, SOA in year doubtful.  Management could not fond a location for our MC, re-caravan site.  11 dec site re-visited, new acceptable location found, design input required.  20 Feb - Roofer and electrician engaged, await lease confirmation to continue.  TSL to oversee TI in conjunction wth electrician.  _x000D_
Enable very slow, GaryLee Electrical engaged to priovide fibre quote._x000D_
Permission from Mall to instll pre-lease has been obtained.  Enable can deliver fibre week ending 27 March.  Unable to process a CR in time for a 27 Mar integartion.</t>
  </si>
  <si>
    <t>416 Main South Rd, Hornby, _x000D_
Christchurch,_x000D_
 New Zealand</t>
  </si>
  <si>
    <t>Linwood</t>
  </si>
  <si>
    <t>Council approve of identified RSR location - in house drawing, caravan measure up week ending 12 Jun to be arranged.  Dates pushed out pending budget to build</t>
  </si>
  <si>
    <t>South east corner of _x000D_
Stanmore Road and_x000D_
Worcester Street_x000D_
Christchurch</t>
  </si>
  <si>
    <t>McLeans Island</t>
  </si>
  <si>
    <t>McLeans Island Golf Course_x000D_
McLeans Island Road_x000D_
Chc</t>
  </si>
  <si>
    <t xml:space="preserve">2D CHC Office </t>
  </si>
  <si>
    <t>Lvl 4, 351 Lincoln Rd,_x000D_
Addington,_x000D_
Christchurch</t>
  </si>
  <si>
    <t>Hornby North</t>
  </si>
  <si>
    <t>Wigram West</t>
  </si>
  <si>
    <t>Wigram East</t>
  </si>
  <si>
    <t>COB1</t>
  </si>
  <si>
    <t>Hagley Oval - Event</t>
  </si>
  <si>
    <t>Cellsite On Blocks</t>
  </si>
  <si>
    <t>COB</t>
  </si>
  <si>
    <t>Daisy</t>
  </si>
  <si>
    <t>Wanaka COW - Event</t>
  </si>
  <si>
    <t>Cellsite On Wheels</t>
  </si>
  <si>
    <t>Temp for holiday season.</t>
  </si>
  <si>
    <t>Chorus Exchange Wanaka</t>
  </si>
  <si>
    <t>Blossom</t>
  </si>
  <si>
    <t>Waverley - Roaming COW</t>
  </si>
  <si>
    <t xml:space="preserve">7 July: Site Acquisition complete_x000D_
14 July: Co-site applications submitted (VF &amp; Spark)_x000D_
28 July: RFS 14 Aug_x000D_
29 July: PO raised for power supply to be installed_x000D_
29 July: Spark co-site approval received_x000D_
</t>
  </si>
  <si>
    <t xml:space="preserve">1685-1703 State Highway 3_x000D_
Patea-Nukumaru, _x000D_
Waverley_x000D_
_x000D_
</t>
  </si>
  <si>
    <t>Mavis</t>
  </si>
  <si>
    <t>Cromwell Roaming COW</t>
  </si>
  <si>
    <t>B2B</t>
  </si>
  <si>
    <t>Cornish Point Rd_x000D_
Cromwell</t>
  </si>
  <si>
    <t>Milo</t>
  </si>
  <si>
    <t>Big Gay Out - Event</t>
  </si>
  <si>
    <t>Coyle Park, Pt Chev</t>
  </si>
  <si>
    <t xml:space="preserve">Lucy </t>
  </si>
  <si>
    <t xml:space="preserve">Hetty </t>
  </si>
  <si>
    <t>Renwick Exchange</t>
  </si>
  <si>
    <t>Good for Tx - Yes_x000D_
Good for RF - NO_x000D_
Good for Access - Yes_x000D_
TX - Telecom HSNS</t>
  </si>
  <si>
    <t>60 High Street_x000D_
Renwick</t>
  </si>
  <si>
    <t xml:space="preserve">Angus </t>
  </si>
  <si>
    <t>Ngarauwahia VF CO Site - Roaming</t>
  </si>
  <si>
    <t xml:space="preserve">Water Reservoir, VF site, Brownlee ave, Ngaruawahia </t>
  </si>
  <si>
    <t>Water Reservoir VF Site</t>
  </si>
  <si>
    <t xml:space="preserve">Molly </t>
  </si>
  <si>
    <t>Petal</t>
  </si>
  <si>
    <t>Dargaville - Roaming</t>
  </si>
  <si>
    <t>21 July: Awaiting fibre delivery_x000D_
11 Aug: Fibre delivered</t>
  </si>
  <si>
    <t>30 Normanby Road, _x000D_
Dargaville</t>
  </si>
  <si>
    <t>Tulip</t>
  </si>
  <si>
    <t>Winton - Roaming COW</t>
  </si>
  <si>
    <t>24 June: Site visit (Phil &amp; Andrew)_x000D_
2 July: LO agreement in principle (overseas to 22 July)._x000D_
8 July: Fibre feasibility ordered_x000D_
13 July: Fibre ordered (SNAP termination)_x000D_
13 July: Co-site applications lodged for VF/Spark/Woosh_x000D_
22 July: RFS set date_x000D_
15 July: Requested Steve Esther to look at power pole connection _x000D_
15 July: Planner approves proposal (via e-mail)_x000D_
17 July: Sent licence to LO to sign</t>
  </si>
  <si>
    <t>off Sinclair Rd, Winton</t>
  </si>
  <si>
    <t>Bobby</t>
  </si>
  <si>
    <t>Queenstown Central</t>
  </si>
  <si>
    <t>Man St Car Park_x000D_
22 Man Street_x000D_
Queenstown</t>
  </si>
  <si>
    <t>Bruce</t>
  </si>
  <si>
    <t>Stratford - Roaming</t>
  </si>
  <si>
    <t>9/11/15 - 1/3/16_x000D_
Site on Air 7 January</t>
  </si>
  <si>
    <t>38 Miranda Street_x000D_
Stratford</t>
  </si>
  <si>
    <t>Tululah</t>
  </si>
  <si>
    <t>Sally</t>
  </si>
  <si>
    <t>Victoria St COW</t>
  </si>
  <si>
    <t>Christchurch - Showgrounds</t>
  </si>
  <si>
    <t>Christchurch - Racecourse</t>
  </si>
  <si>
    <t>Gisborne</t>
  </si>
  <si>
    <t>Awapuni</t>
  </si>
  <si>
    <t>Awapuni, VF Colo (Awapuni)</t>
  </si>
  <si>
    <t>29/09/11 - Jason to check with Mike Goss on when to sign sub-lease_x000D_
29/09/11 - Sub-lease with VF required. Documents to be requested_x000D_
06/10/11 - Colo documents ordered_x000D_
28/10/11 - 2D not chasing colo docs this stage until final decision on build or not_x000D_
24/11/11 - VF has requested 2D to get additional term on lease. VF then do their document changes, then sublease document to be done with 2D</t>
  </si>
  <si>
    <t>GISBORNE</t>
  </si>
  <si>
    <t>210 Stanley Rd, Gisborne</t>
  </si>
  <si>
    <t>Gisborne Central</t>
  </si>
  <si>
    <t>River Oak Mews</t>
  </si>
  <si>
    <t xml:space="preserve">74 Grey St._x000D_
Gisborne CBD_x000D_
</t>
  </si>
  <si>
    <t>Gisborne West</t>
  </si>
  <si>
    <t>Riverdale</t>
  </si>
  <si>
    <t>GF House of Breakthrough</t>
  </si>
  <si>
    <t>House of Breakthrough Church_x000D_
Corner Ormond &amp; Lytton Roads_x000D_
Gisborne</t>
  </si>
  <si>
    <t>Elgin</t>
  </si>
  <si>
    <t>GF 681 Childers Road</t>
  </si>
  <si>
    <t>681 Childers Road_x000D_
Elgin</t>
  </si>
  <si>
    <t>cabinets within yard requirement to Elgin Lane RSR (residential zone).  - 27/02/2012</t>
  </si>
  <si>
    <t>Mangapapa East</t>
  </si>
  <si>
    <t>Mangapapa East, Ormond Road BP petrol pump</t>
  </si>
  <si>
    <t>9/7 AS -Moved to next year build</t>
  </si>
  <si>
    <t>BP Petrol pump, Ormons Road, Gisborne</t>
  </si>
  <si>
    <t>Outer Kaiti</t>
  </si>
  <si>
    <t>GF at Jackson St Shopping Centre</t>
  </si>
  <si>
    <t>Jackson St Shopping Centre_x000D_
498-508 Wainui Rd_x000D_
Outer Kaiti</t>
  </si>
  <si>
    <t>Wainui</t>
  </si>
  <si>
    <t>Wainui, VF Colo (Wainui)</t>
  </si>
  <si>
    <t xml:space="preserve">25/08/11 - Sublease VF/2D to sign_x000D_
29/09/11 - Jason to check with Mike Goss on when to sign sub-lease_x000D_
29/09/11 - Sub-lease with VF required. Documents to be requested_x000D_
06/10/11 - Colo documents ordered_x000D_
28/10/11 - 2D not chasing colo docs this stage until final decision on build or not_x000D_
24/11/11 - Owner has sub-leae doc from VF. wanting $2k extra rent (not agreeable with VF!!). Then docs with 2D_x000D_
9/5/13: • Tx rearrangement requested by Clif. Refer Clif for details. _x000D_
• Redlined PD at Tx rearrangement required. Refer Clif for details. Redine PD at T:\2degrees\Site Folders\Gisborne (GSB)\GSB-028 Gisborne\016 Wainui\Active Candidate-A VF Co-lo\Site Design\Planning\Rev 2\History._x000D_
• VF approval for new location received. Docs in site folder._x000D_
• RFQ sent to Graham Parker, waiting for response._x000D_
</t>
  </si>
  <si>
    <t>Wheatstone Rd, Wainui, Gisborne</t>
  </si>
  <si>
    <t>Urban Ridgeline and Protected Coastal Area  - 16/08/2011</t>
  </si>
  <si>
    <t>Lytton West</t>
  </si>
  <si>
    <t>25/08/11 - Deed of Variation to be done_x000D_
1/9/11 - VF Preliminary approval has been received_x000D_
29/09/11 - Jason to check with Mike Goss on when to sign sub-lease_x000D_
29/09/11 - Sub-lease with VF required. Documents to be requested_x000D_
06/10/11 - Colo documents with 2D for signing_x000D_
24/11/11 - Sub-lease signed by 2D, but not sending back to VF until build confirmed (rent starts when sent to VF)</t>
  </si>
  <si>
    <t>Waimata Valley Road_x000D_
Waipura_x000D_
Gisborne</t>
  </si>
  <si>
    <t>Tutara</t>
  </si>
  <si>
    <t>PB - colo request submitted 27 Nov (PDI claimed). _x000D_
PB 6 Jan - await Kordia response to proposal, site is subject to RF review/confirmation_x000D_
05/03 AS -  Spoken to Kordia on progress. Kordia still waiting for power company to provide quote on power upgrade required to meet 2degrees single phase 63amps power requirement._x000D_
12/03: Ed will check feasilibility from Tikitiki Chorus exchange as plan B for Kordia co-lo Tutara if Kordia fails to provide backhaul leased line._x000D_
12/03 AS - Spoken to Kordia on what power rating is currently available w/o upgrade from power company just to cater initial build current load._x000D_
20/03 AS: Quote from Kordia received..20amps power sufficient Tim confirmed it._x000D_
Proceed with lease, RMA, PDI &amp; CDI_x000D_
16/04: PD &amp; CDs issued_x000D_
16/04: Waiting for quote on formal letter from Kordia - It is with John Watson to proceed_x000D_
6/08 AS: delaying due to bad weather</t>
  </si>
  <si>
    <t xml:space="preserve">SH35, Te Aroroa Road, Gisborne </t>
  </si>
  <si>
    <t>Hicks Bay</t>
  </si>
  <si>
    <t>05/03 AS - Site brief issued to WH to come up with potential candidates to plan site caravan_x000D_
12/03 AS: TX far end will be Te Araroa Chorus exchange_x000D_
18/03 AS Preference 1 Site#2; -  Private broadband, Preference 2 Site#1; - Vodafone_x000D_
16/04 AS PDI issed</t>
  </si>
  <si>
    <t>5138 Te Aroroa Road, Hicks Bay, Gisborne</t>
  </si>
  <si>
    <t>Te Karaka</t>
  </si>
  <si>
    <t>Spark Co-site</t>
  </si>
  <si>
    <t>active candidate for forecasting_x000D_
12/03 AS: Ed to come back with TX feasilibility from Chorus. If it fails need to come back with back up._x000D_
16/04 AS: PDI issued_x000D_
14/05 AS: PD Rev1 issued, CDI issued further</t>
  </si>
  <si>
    <t>16 Mangaoe Road, Te Karaka, Gisborne</t>
  </si>
  <si>
    <t>Tolaga Bay</t>
  </si>
  <si>
    <t>Kordia colo</t>
  </si>
  <si>
    <t>7/05 AS: Spark co-lo and Kordia co-lo needs submission</t>
  </si>
  <si>
    <t>128 Wharf Road, Tolaga</t>
  </si>
  <si>
    <t>Hicks Bay TX only</t>
  </si>
  <si>
    <t>Tolaga Bay TX only</t>
  </si>
  <si>
    <t>Mangatarata Kordia</t>
  </si>
  <si>
    <t>Pirauau hill, Mata road, Tokumaru bay</t>
  </si>
  <si>
    <t>GF-VF Cosite</t>
  </si>
  <si>
    <t>Part Section 5 &amp; Section 6 Block VIII Waihua Survey District</t>
  </si>
  <si>
    <t>15m  - 27/02/2012_x000D_
Iwi site of significance - approval received 28 May  - 29/05/2012</t>
  </si>
  <si>
    <t>Wairoa Town</t>
  </si>
  <si>
    <t>RRU likely as lattice tower with plenty of room on Chorus / Spark Exchange tower. 3 Antennas initially  with future L700 allowed for where possible</t>
  </si>
  <si>
    <t>Nuhaka</t>
  </si>
  <si>
    <t>Greenfield</t>
  </si>
  <si>
    <t>MORERE HILL, SH2_x000D_
WAIROA</t>
  </si>
  <si>
    <t>Whakapunake Kordia</t>
  </si>
  <si>
    <t>Hastings Central (Main HUB)</t>
  </si>
  <si>
    <t>Hastings Central Westpac Bank - MAIN HUB</t>
  </si>
  <si>
    <t>Hastings</t>
  </si>
  <si>
    <t>Genny on wheel's ordered in VO72, ETA required &amp; Ops to arrange storage._x000D_
Note to Huawei re noise level for a/c unit._x000D_
Site snag free, Alan to resend the FAN but can't be signed until Genny delivered._x000D_
3/4/13 - FAC sign off completed - waiting for mobile genny_x000D_
19/04/13 - FAC signed</t>
  </si>
  <si>
    <t>Westpac Bank</t>
  </si>
  <si>
    <t>Photomontage sent to Council and initial feedback positive. Note - antenna locations have been changed since montage sent.  - 24/03/2011_x000D_
s92 request re air conditioning noise specifications recieved from council on 17 June 11._x000D_
Information sent and emailed by AT and has been accepted.   - 22/07/2011</t>
  </si>
  <si>
    <t>Stortford Lodge</t>
  </si>
  <si>
    <t>129 Maraekakaho Rd</t>
  </si>
  <si>
    <t>2011-03-09</t>
  </si>
  <si>
    <t>Corner Maraekakaho Rd &amp; Southampton Rd</t>
  </si>
  <si>
    <t>RMA20110129  - 02/06/2011</t>
  </si>
  <si>
    <t>LPR - Collinge Rd</t>
  </si>
  <si>
    <t>602 Collinge Rd,_x000D_
opposite Collinge Place,_x000D_
Hastings</t>
  </si>
  <si>
    <t>Mahora</t>
  </si>
  <si>
    <t>Williams Street Industrial</t>
  </si>
  <si>
    <t>2011-04-07</t>
  </si>
  <si>
    <t>500 Williams Street_x000D_
Mahora,_x000D_
Hastings</t>
  </si>
  <si>
    <t>Havelock North</t>
  </si>
  <si>
    <t>Cooper Street</t>
  </si>
  <si>
    <t>HARD MATCHED_x000D_
Equipment delivery date TBC_x000D_
Confirm fibre delivery once we know cbinet delivery date.</t>
  </si>
  <si>
    <t>9 Cooper Street_x000D_
Havelock North_x000D_
Hastings</t>
  </si>
  <si>
    <t>25m mono is permitted  - 24/03/2011_x000D_
RMA20110128  - 02/06/2011</t>
  </si>
  <si>
    <t>Mt Threave</t>
  </si>
  <si>
    <t>Mt Threave - Shureview</t>
  </si>
  <si>
    <t>NAPIER_DANNEVIRKE</t>
  </si>
  <si>
    <t>Hastings South</t>
  </si>
  <si>
    <t>Hastings South, VF Colo (Hastings South)</t>
  </si>
  <si>
    <t>2011-03-08</t>
  </si>
  <si>
    <t>VF Prelim approval received_x000D_
VF DOV &amp; sublease signed by LO_x000D_
Note: Dish location on CD's and lighting spike_x000D_
Waiting on VF docs and power share_x000D_
Huawei to do VF power capacity check &amp; project plan</t>
  </si>
  <si>
    <t>314 Norton Rd, Carnavan, Hastings</t>
  </si>
  <si>
    <t>Pre-Lodgement meeting held on 16/3/11. Positive initial feedback.  - 24/03/2011_x000D_
Granted 29.6.11 by Planner Sean Crocker - 1.7.11  - 01/07/2011_x000D_
RC Approved - 29/06/2011  - 04/07/2011</t>
  </si>
  <si>
    <t>Bridge Pa</t>
  </si>
  <si>
    <t>Hastings Aerodrome</t>
  </si>
  <si>
    <t>1591 Marakakaho Rd,_x000D_
Napier</t>
  </si>
  <si>
    <t>25m mono permitted. Possible issues w/ wastewater disposal field - site aq currently confirming w LO. Height restrictions for aerodrome apply, however proposed location is ok.  - 24/03/2011</t>
  </si>
  <si>
    <t>Omahu</t>
  </si>
  <si>
    <t>Omahu, GF on Korokipo Road</t>
  </si>
  <si>
    <t>2011-06-28</t>
  </si>
  <si>
    <t>Site snag free, FAN in signoff process_x000D_
2/04/2013 - FAC ready but missing folder_x000D_
9/4/13 - FACed</t>
  </si>
  <si>
    <t>Korokipo Rd</t>
  </si>
  <si>
    <t>25m mono is permitted  - 24/03/2011_x000D_
Granted on 28th June by Roger Widdin  - 12/07/2011</t>
  </si>
  <si>
    <t>Flaxmere East</t>
  </si>
  <si>
    <t>Flaxmere Village Shopping Centre - GF</t>
  </si>
  <si>
    <t>5 snags remaining, 4 actioned with Huawei technical team for resolution. Othr snag is for compound fill, they have left it as-is with no weed mat or stone. As the area is generally stony they've tried to leave it as such which is not acceptable. Happy to agree to a small VO for concrete fill to compound as good way to settle this snag?_x000D_
09/04/13 - No FAN yest.  FAC reforecasted_x000D_
01/05/13 - No FAN yet.  FAC reforecasted_x000D_
26/04/13 - FAN in sign off_x000D_
17/05/13 - FAC signed</t>
  </si>
  <si>
    <t>12 Swansea Rd,_x000D_
Flaxmere</t>
  </si>
  <si>
    <t>Permitted 25m mono - but semi-sensitive area next to council park / skate park.  - 24/03/2011</t>
  </si>
  <si>
    <t>Woolwich (TX HUB)</t>
  </si>
  <si>
    <t>Woolwich  - TX HUB</t>
  </si>
  <si>
    <t>12 snags outstanding, 11 been addressed and with Nester, Ryan and Peter to close. Alarms have been addressed and with Huawei/2degrees to close._x000D_
09/04/13 - FAC reforecasted - No FAN as snags still to clear_x000D_
23/04/13 - FAN in sign off_x000D_
02/05/13 - FAC signed</t>
  </si>
  <si>
    <t>5 Hazelwood Street_x000D_
Hastings</t>
  </si>
  <si>
    <t>Approved on the 4 August 2011, Council reference: RMA20110199_x000D_
Section 127: Approved on 5 October 2011, Council Reference RMA20110302  - 06/10/2011</t>
  </si>
  <si>
    <t>Pakipaki</t>
  </si>
  <si>
    <t>91 Longlands Rd East</t>
  </si>
  <si>
    <t xml:space="preserve">HARD MATCHED_x000D_
Power quote received (Dylan)_x000D_
Cabinet delivery date TBC_x000D_
</t>
  </si>
  <si>
    <t>91 Longlands Rd East,_x000D_
Hastings</t>
  </si>
  <si>
    <t>Permitted 25m mono. Need to know earthworks details for power.  - 24/03/2011</t>
  </si>
  <si>
    <t>Akina</t>
  </si>
  <si>
    <t>Tollemache GF</t>
  </si>
  <si>
    <t>2011-07-15</t>
  </si>
  <si>
    <t>Akina - Springwood Orchard_x000D_
67 Tollemache Rd_x000D_
Akina,_x000D_
Hastings</t>
  </si>
  <si>
    <t>25m mono should be permitted - provided not in flood plain / next to res.  - 24/03/2011</t>
  </si>
  <si>
    <t>Craggy Range</t>
  </si>
  <si>
    <t>Craggy Range GF</t>
  </si>
  <si>
    <t>2011-03-17</t>
  </si>
  <si>
    <t>HARD MATCHED_x000D_
Huawei advised to work closely with LO for access arrangements during build. VF used helicopter for concrete and pole lift. Power quote received but working with VF to swap them to 3-phase and share existing 4 core cable._x000D_
Waiting power quote from Infratel/Huawei, then TBC if use VF or LPA connection._x000D_
Hand auger geotech TBC Monday 22nd</t>
  </si>
  <si>
    <t>877 Tuki Tuki Rd</t>
  </si>
  <si>
    <t>Significant Landscape Character Area. Sensitive design required - due to view corridor from Te Mata Peak._x000D_
_x000D_
VF used 6m wooden pole with painted antennas. 2degrees to use metal pole, but paint forest green to blend in with adjacent trees.  - 24/03/2011</t>
  </si>
  <si>
    <t>Clive</t>
  </si>
  <si>
    <t>Whakatu, VF Colo (Clive)</t>
  </si>
  <si>
    <t>2011-03-07</t>
  </si>
  <si>
    <t>30 Richmond Rd_x000D_
Clive,_x000D_
Hastings</t>
  </si>
  <si>
    <t>Ringframe co-lo at same height as VF (25m) will be permitted  - 24/03/2011</t>
  </si>
  <si>
    <t>Flaxmere West</t>
  </si>
  <si>
    <t xml:space="preserve"> Bacchus Ventures </t>
  </si>
  <si>
    <t>09/7 AS- moved to next year build</t>
  </si>
  <si>
    <t>1500 Omahu Road, Hastings</t>
  </si>
  <si>
    <t>Eskdale</t>
  </si>
  <si>
    <t>Off SH5_x000D_
Eskdale</t>
  </si>
  <si>
    <t>Napier Hub (Main HUB)</t>
  </si>
  <si>
    <t>Dunvegan House - MAIN HUB</t>
  </si>
  <si>
    <t>Napier</t>
  </si>
  <si>
    <t>8 snags remaining, alarm has been addressed, design and some Tx test cases outstanding_x000D_
09/04/13 - FAC reforecasted - No FAN received_x000D_
01/05/13 - No FAN yet.  FAC reforecasted_x000D_
13/05/13 - FAC signed</t>
  </si>
  <si>
    <t>Dunvegan House, 215 Hastings Street, Napier</t>
  </si>
  <si>
    <t>Hospital Hill</t>
  </si>
  <si>
    <t>Height dependant on TP input.  Preferred option is Hospital rooftop._x000D_
Recommend G1800 only due to the ground height of the site and to avoid pollution of network._x000D_
_x000D_
Backup Hinepare Accommodation or GF to rear of hospital building.</t>
  </si>
  <si>
    <t>Mclean Park</t>
  </si>
  <si>
    <t>KiwiRail Land</t>
  </si>
  <si>
    <t>11 Sale Street_x000D_
Napier</t>
  </si>
  <si>
    <t>Approved by council on the 29.9.11, council reference number RM110136  - 04/10/2011</t>
  </si>
  <si>
    <t>Onekawa</t>
  </si>
  <si>
    <t>Onekawa West, VF Colo (Expressway)</t>
  </si>
  <si>
    <t>Prelim approval received and LO consent received._x000D_
2nd Trustee signed DOV and sublease, ready for posting/collection._x000D_
Will get own power supply.</t>
  </si>
  <si>
    <t>31 Edmundson Street, Napier</t>
  </si>
  <si>
    <t>Marewa</t>
  </si>
  <si>
    <t>Marewa LPR</t>
  </si>
  <si>
    <t>Signed by 2degrees, with Council.</t>
  </si>
  <si>
    <t>Corner Kennedy &amp; Riverbend Roads_x000D_
Marewa_x000D_
Napier</t>
  </si>
  <si>
    <t>Maraenui</t>
  </si>
  <si>
    <t>Maraenui, Service Lane, 34 Bledisloe Road Shopping Centre</t>
  </si>
  <si>
    <t>HARD MATCHED_x000D_
GPR required to locate services &amp; strong design anti-vandol cage required._x000D_
Cabinet delivery dates TBC</t>
  </si>
  <si>
    <t>34 Service Lane,_x000D_
off Bledisloe Rd,_x000D_
Napier</t>
  </si>
  <si>
    <t>Tamatea</t>
  </si>
  <si>
    <t>VF Colo at Sports park is preferred with GF in same location as backup._x000D_
_x000D_
Nominal position is actually northwest of that shown in the map at Clyde Jeffery Dr.</t>
  </si>
  <si>
    <t>Pirimai</t>
  </si>
  <si>
    <t>Coverage Objective:  Residential areas of Pirimai and into Marewa._x000D_
_x000D_
12m minimum required._x000D_
_x000D_
Concerns:  Proximity to school.</t>
  </si>
  <si>
    <t>Greenmeadows</t>
  </si>
  <si>
    <t>Greenmeadows, VF Colo (Greenmeadows)</t>
  </si>
  <si>
    <t>2011-07-26</t>
  </si>
  <si>
    <t>VF application prelim approval received_x000D_
Signed DOV and sublease with 2degrees._x000D_
Waiting on VF for power share._x000D_
May require Fibre if Tamatea does not come through in time._x000D_
Cabinet delivery date TBC</t>
  </si>
  <si>
    <t>14 Gloucester Street, Greenmeadows, Napier</t>
  </si>
  <si>
    <t>Taradale</t>
  </si>
  <si>
    <t>Taradale, GF at Service Lane at 304 Gloucester Street Shops</t>
  </si>
  <si>
    <t>SOA</t>
  </si>
  <si>
    <t>304 Gloucester Street,_x000D_
Taradale</t>
  </si>
  <si>
    <t>Granted on 30.6.2011 by Tania Diack Napier City Council Resource Consents Planner   - 04/07/2011</t>
  </si>
  <si>
    <t>Taradale South</t>
  </si>
  <si>
    <t>VF Colo (Taradale)</t>
  </si>
  <si>
    <t>Our breaker in the VF switch board to be reaplced for 6A breaker (not a snag as agreed after site installed)No snags remaining, Alan to issue FAN._x000D_
2/4/13 - FAC ready - waiting on VO for breaker swapouts_x000D_
30/04/13 - FAC signed</t>
  </si>
  <si>
    <t>160 Springfield Rd_x000D_
Taradale</t>
  </si>
  <si>
    <t>Bayview VF Co-lo</t>
  </si>
  <si>
    <t>Prelim approval received - _x000D_
DOV and Sublease received from VF &amp; in legal review, then to Clearspan._x000D_
No power sharing allowed, AP to follow up.</t>
  </si>
  <si>
    <t>66 Buchanan Street, Napier</t>
  </si>
  <si>
    <t>Park Island Colo</t>
  </si>
  <si>
    <t>Clyde Jeffery Drive_x000D_
Napier</t>
  </si>
  <si>
    <t>Pandora (TX HUB)</t>
  </si>
  <si>
    <t>Pandora - TX HUB</t>
  </si>
  <si>
    <t>Peter to check saggy door (not yet arranged) before FAC signed but FAN signoff can progress in the meantime, Alan will issue FAN._x000D_
09/04/13 - FAC reforecasted - Folder missing - to be found then Sean to final QA check_x000D_
1/5/13 - FAC signed</t>
  </si>
  <si>
    <t>Pandora Hub_x000D_
11 Severn Street_x000D_
Pandora,_x000D_
Napier</t>
  </si>
  <si>
    <t>Awatoto</t>
  </si>
  <si>
    <t>2011-04-21</t>
  </si>
  <si>
    <t xml:space="preserve">HARD MATCHED_x000D_
Cabinet dates TBC_x000D_
</t>
  </si>
  <si>
    <t>44 Briasco st_x000D_
Awatoto</t>
  </si>
  <si>
    <t>Napier Port</t>
  </si>
  <si>
    <t>Napier Port, Floodlight swapout</t>
  </si>
  <si>
    <t>Napier Port,_x000D_
Bradkwater Rd,_x000D_
Napier</t>
  </si>
  <si>
    <t>Napier Airport</t>
  </si>
  <si>
    <t>VF Cosite - GF</t>
  </si>
  <si>
    <t>2011-04-15</t>
  </si>
  <si>
    <t>Affected party letter sent 25/5, Matt met LO wife and does not sound likley they will sign off affected party consent._x000D_
Agreed we now need to submit consent without affected party apprvoal from house._x000D_
Lease with Airport (actually the councils) for signing, executed by 2degrees. Matt to follow up Friday.</t>
  </si>
  <si>
    <t>Watchman Rd</t>
  </si>
  <si>
    <t>Napier Exchange Co-Lo</t>
  </si>
  <si>
    <t>35 Browning St, Napier</t>
  </si>
  <si>
    <t>Ashcott</t>
  </si>
  <si>
    <t>Ashcott - Kordia</t>
  </si>
  <si>
    <t>Central Hawke's Bay District</t>
  </si>
  <si>
    <t xml:space="preserve">Colocation application submitted 17 Feb_x000D_
11/03 AS: Kordia has come back with quote on installation, need to liase with internal team on further steps. Kordia backhaul available.. Need to issue formal planning &amp; construction drawing._x000D_
16/04 Build instruction issued - PO6 has to be raised waiting for quote on formal letter from Kordia_x000D_
</t>
  </si>
  <si>
    <t>Tukituki Road SH50</t>
  </si>
  <si>
    <t>Waipukurau</t>
  </si>
  <si>
    <t>Waipukurau VNZ Co-Lo</t>
  </si>
  <si>
    <t>07.08.14 : Have VNZ Prelim approval. Await Clearspan sub leas / DoV DOCS. Have RMA._x000D_
Await CD's._x000D_
With Clearspan sublease we can submit Project Plan (Takes 10days to approve)_x000D_
Fibre has been requested._x000D_
Steel work completed by Ken of Amediate Engineering._x000D_
To build with K225 antenna (In stock) then swap out with required antenna when arrive._x000D_
Stef to take BR and contractors to site Monday 18 Aug._x000D_
BR to follow up with Rob M : RM to ask Gemma of VNZ for the sublease doc. It needs to be signed by VNZ, 2D and Clearspan._x000D_
30 Oct Build tender issued to TSL - easement for power causing build start delays.  4 Nov TSL to install ringframe, antennas, cabinets while 2D work on easement.  11 Nov - SOA this year at risk due to power delivery and VF proj plan approval.  Spark Co-site approval submitted.  10 Dec Additional support arms not avialble to complete ring frame installation.  Power connection is on the critical path.  16 Dec Support arms arrived today minus one mounting plate.  29 Jan - yet more incorrect steel work delivered, ring frame is up, 2 antenna mount poles to be installed prior to antenna .  Inability of PM to get CR approval delays integration.  Fibre issue discovered during pre-integration._x000D_
Integration failed first attempt, SIM issues prevented call testing._x000D_
19 Mar - site integarted, Vol4 due on Mon 23rd.  10 Apr- VF PIM issues to be rectified prior to going to air</t>
  </si>
  <si>
    <t xml:space="preserve">130, Mangatarata Road,  Waipukurau_x000D_
</t>
  </si>
  <si>
    <t>Otane</t>
  </si>
  <si>
    <t>Primary Coverage Objective:_x000D_
ROAMING MITIGATION_x000D_
SH2  coverage_x000D_
_x000D_
COLO at Vodafone _x000D_
_x000D_
Backup:_x000D_
Greenfield nearby but additional height and distance is critical for co-site isolation</t>
  </si>
  <si>
    <t>Tasman District</t>
  </si>
  <si>
    <t>Richmond Hill</t>
  </si>
  <si>
    <t>Gum Rd</t>
  </si>
  <si>
    <t>11/10/11: Pole type changed to Tier 1 Type 3 15m with Tier 2 rural headframe. Pole to be modified to suit this headframe (cut down in size and new top flange).</t>
  </si>
  <si>
    <t>Gum Road_x000D_
Richmond</t>
  </si>
  <si>
    <t xml:space="preserve">Motueka Township </t>
  </si>
  <si>
    <t>Motueka Township RBI Colo</t>
  </si>
  <si>
    <t>7 Hickmott Place_x000D_
Motueka</t>
  </si>
  <si>
    <t xml:space="preserve">Collingwood </t>
  </si>
  <si>
    <t>12 Mar Colo application sent to Kordia. 1 May await reply....Kordia chased many times new due date for proposal 15 May - now passed.  1 Jun - still await Kordia response 15 Jun - cost received negotiations on going, high confidence in site going to build.  10 July Cost will have to be accepted to build site, construction time frame TBC by Kordia. 14 Aug, Kordia request design change - investigations underway likely minimum impact</t>
  </si>
  <si>
    <t>NELSON_OUTER</t>
  </si>
  <si>
    <t>Mt Burnett,_x000D_
Collingwood</t>
  </si>
  <si>
    <t>Kordia take care of RMA  - 02/04/2012</t>
  </si>
  <si>
    <t>Mapua</t>
  </si>
  <si>
    <t>TNZ Colo</t>
  </si>
  <si>
    <t>149 Aranui Rd_x000D_
Mapua</t>
  </si>
  <si>
    <t>Jack Andrew TDC processing planner  - 15/12/2011</t>
  </si>
  <si>
    <t>Brightwater</t>
  </si>
  <si>
    <t>Vineyard Hill</t>
  </si>
  <si>
    <t>100 Lord Rutherford Road South_x000D_
Brightwater_x000D_
Nelson</t>
  </si>
  <si>
    <t>Richmond Central</t>
  </si>
  <si>
    <t>Petrie Car Park Garden</t>
  </si>
  <si>
    <t>Petrie Car Park_x000D_
302 Queen Street_x000D_
Richmond, NELSON</t>
  </si>
  <si>
    <t>first consent lodged and withdrawn. Amended location wihtin car park, now in garden.  - 08/09/2011</t>
  </si>
  <si>
    <t>Rabbit Island</t>
  </si>
  <si>
    <t>Rabbit Island VF Colo</t>
  </si>
  <si>
    <t>Forestry Rd_x000D_
Rabbit Island</t>
  </si>
  <si>
    <t>our antenna will be at a permitted height but the base of the pole is already too large, hence consent is required. We will need to paint all additional equipment.  - 14/03/2011</t>
  </si>
  <si>
    <t>Richmond East</t>
  </si>
  <si>
    <t>RBI - Motueka Township</t>
  </si>
  <si>
    <t>Mt Campbell</t>
  </si>
  <si>
    <t>Mt Campbell Road,_x000D_
Brooklyn_x000D_
Motueka 7198</t>
  </si>
  <si>
    <t xml:space="preserve">Kaiteriteri </t>
  </si>
  <si>
    <t>GF - TNZ Co-site</t>
  </si>
  <si>
    <t>VA Required_x000D_
Consent triggered by height, Rec Zone height and Cultural Significance  - 02/04/2012</t>
  </si>
  <si>
    <t>Motueka South</t>
  </si>
  <si>
    <t>TBC - New Site</t>
  </si>
  <si>
    <t>Resources to start limited by roaming commitment</t>
  </si>
  <si>
    <t>Tasman RBI</t>
  </si>
  <si>
    <t>Mapua West RBI</t>
  </si>
  <si>
    <t>Takaka</t>
  </si>
  <si>
    <t>Collingwood exchange</t>
  </si>
  <si>
    <t xml:space="preserve">Takaka RBI </t>
  </si>
  <si>
    <t>Takaka RBI</t>
  </si>
  <si>
    <t xml:space="preserve">Tx Site to serve Collingwood Kordia colo site_x000D_
19 June: RFS 22 July_x000D_
26 June: POR approved_x000D_
27 June: Project Plan sent to VF_x000D_
10 July: VF final approval received_x000D_
17 July: Fibre delivered_x000D_
28 July: Integrated successfully_x000D_
30 July: Vol4 received with ATN errors_x000D_
31 July: Correct Vol4 errors _x000D_
4 Aug: Waiting on power connection then SOA_x000D_
10 Aug: Power installed &amp; site powered up_x000D_
12 Aug: SOA_x000D_
13 Aug: Waiting for PAD documents._x000D_
Note: Need to design, manufacture (ex China) &amp; install stand-off bracket for sector 3. Currently 315deg but needs to be 330deg. </t>
  </si>
  <si>
    <t>259 Takaka-_x000D_
Collingwood Highway</t>
  </si>
  <si>
    <t>kaiteriteri South</t>
  </si>
  <si>
    <t>Tahunanui</t>
  </si>
  <si>
    <t>Mainfreight</t>
  </si>
  <si>
    <t>Nelson</t>
  </si>
  <si>
    <t>47 Parkers Road_x000D_
Annesbrook, Nelson</t>
  </si>
  <si>
    <t>Port Nelson</t>
  </si>
  <si>
    <t>Port Shed 2 NW Cnr - Telecom Co-Site</t>
  </si>
  <si>
    <t>2011-03-04</t>
  </si>
  <si>
    <t>Port Nelson,_x000D_
Shed 2,_x000D_
Brunt Quay,_x000D_
Nelson</t>
  </si>
  <si>
    <t>No shrouding, no painting. Should be straight forward.  - 24/03/2011</t>
  </si>
  <si>
    <t>Nelson Central (Main HUB)</t>
  </si>
  <si>
    <t>Clock Tower</t>
  </si>
  <si>
    <t xml:space="preserve">110 Trafalgar Street,_x000D_
Nelson </t>
  </si>
  <si>
    <t>Stoke</t>
  </si>
  <si>
    <t>Stoke Night'n'Day Foodstore</t>
  </si>
  <si>
    <t>28/2/12: Rain delayed pole works.  Transfield to send un-QA'd Volume 4 as soon as it's available please.</t>
  </si>
  <si>
    <t>504 Main Rd Stoke_x000D_
cnr Putaitai St _x000D_
Stoke, Nelson</t>
  </si>
  <si>
    <t>Noise from cabinets cant comply along the road boundary  - 14/07/2011</t>
  </si>
  <si>
    <t>Nelson Airport</t>
  </si>
  <si>
    <t>Contour Roofing</t>
  </si>
  <si>
    <t>Contour Roofing &amp; Windows_x000D_
41 Venice Place_x000D_
Tahunanui</t>
  </si>
  <si>
    <t>complies with height limit but base diamter of the mast will exceed by 0.067m  - 15/04/2011</t>
  </si>
  <si>
    <t>Toi Toi</t>
  </si>
  <si>
    <t>Gibair Hill</t>
  </si>
  <si>
    <t xml:space="preserve">9/5/13: •	Access track in two places to be completed._x000D_
   - Part of track “below the house” was damaged during construction and is to be repaired. This is approx. 110m of metalled track._x000D_
   - Part of track adjacent to site needs to be upgraded (approx 50m). This was not completed prior to construction due to time limitations (remembering that large amounts of rain delayed the building of the track, so time was of the essence). </t>
  </si>
  <si>
    <t>94a Beatson Road_x000D_
Wakatu_x000D_
Nelson</t>
  </si>
  <si>
    <t>Broads</t>
  </si>
  <si>
    <t>Franklyn Village</t>
  </si>
  <si>
    <t xml:space="preserve">9/5/13: •	Owner wants panel moved. Discussed with you on 8/5. We have done site visit and identified wall of stairwell as ideal location. _x000D_
• GHD have provided quote for design (attached) $2300 -$2680._x000D_
• You have suggested lowering antenna in it’s current location and using same mount. We had considered this not acceptable as it would be right in front of residential windows, but on reflection, given the nature of the residences in this building, the owner may be agreeable to this. This would be the cheapest option._x000D_
• Jason B or John W will negotiate with the owner once a cost for the relocation has been established._x000D_
• My suggestion is that both options be put to the landowner._x000D_
</t>
  </si>
  <si>
    <t>Franklyn Village_x000D_
47 Franklyn Street_x000D_
Nelson South</t>
  </si>
  <si>
    <t>antenna will be 2.6m high and bottom of antenna wil be equal with the roof height  - 24/03/2011</t>
  </si>
  <si>
    <t>Grampians</t>
  </si>
  <si>
    <t>Kordia Grampians</t>
  </si>
  <si>
    <t>2011-03-11</t>
  </si>
  <si>
    <t>Telecom have Designated Authority on this site._x000D_
Cost Benefit Analysis completed.</t>
  </si>
  <si>
    <t xml:space="preserve">Grampians Rd_x000D_
Nelson South </t>
  </si>
  <si>
    <t>Co-lo on existing Kordia tower so no problems perceived by Council Planner. No shrouding or painting nesessary and no affected parties.  - 14/03/2011</t>
  </si>
  <si>
    <t>The Brook</t>
  </si>
  <si>
    <t>Nelson East</t>
  </si>
  <si>
    <t>Alton St RSR</t>
  </si>
  <si>
    <t>Alton St_x000D_
Nelson East</t>
  </si>
  <si>
    <t>Dodson Valley</t>
  </si>
  <si>
    <t>Coverage Objective:  Atawhai Township and SH6 north and south to Nelson._x000D_
_x000D_
Good location for RF, clear LOS up the valley.  2G and 3G.</t>
  </si>
  <si>
    <t>Brooklands</t>
  </si>
  <si>
    <t>This is predominately a Tx linking site, however will give useful coverage into Bay View</t>
  </si>
  <si>
    <t>Saxton Field (TX HUB)</t>
  </si>
  <si>
    <t>A-37 Packham Cres</t>
  </si>
  <si>
    <t>TX equipt due in country Jan 2012 - use temp uW radios. FX Netwrks brownout starts 11 Dec.</t>
  </si>
  <si>
    <t>37 Packham Crescent_x000D_
Stoke, NELSON</t>
  </si>
  <si>
    <t>Wakapuaka</t>
  </si>
  <si>
    <t>Adj Sewerage Fence</t>
  </si>
  <si>
    <t>9/5/13: •	Waiting for review by Site Acqu (Jason B.)_x000D_
• Council is landowner and lease requires public notification. 2 degrees’ decision on this is dependent on review._x000D_
• Refer 3 emails, including one titled “…Boulder Bank Drive”.</t>
  </si>
  <si>
    <t>Adjacent Water Treatment Plant_x000D_
Boulder Bank Drive_x000D_
Wakapuaka, Nelson</t>
  </si>
  <si>
    <t>Earthworks and Arch Overlay  - 22/01/2013</t>
  </si>
  <si>
    <t>Nelson Haven</t>
  </si>
  <si>
    <t>305 Akersten St</t>
  </si>
  <si>
    <t>21/12/12 - PAC signed by 2 D although site is not on air - 2 Degrees have left the COW running over the Xmas / NY break and site to be placed on air in Jan 2013</t>
  </si>
  <si>
    <t>305 Akersten St_x000D_
Nelson Haven</t>
  </si>
  <si>
    <t xml:space="preserve">Nelson Haven </t>
  </si>
  <si>
    <t>Marlborough District</t>
  </si>
  <si>
    <t>Blenheim Central</t>
  </si>
  <si>
    <t>Cavalier House</t>
  </si>
  <si>
    <t>BLENHEIM</t>
  </si>
  <si>
    <t>1-17 Market Street_x000D_
Blenheim</t>
  </si>
  <si>
    <t>CBD Roftop  - 02/04/2012</t>
  </si>
  <si>
    <t>Kaituna</t>
  </si>
  <si>
    <t>Kaituna VNZ CoLo</t>
  </si>
  <si>
    <t>SDP requested, PD in existance.  New structurals and 4 port antenna change required.  GF would be very trick to build.  12 Mar - Structuiral assessment requested.  27 Mar structural passed - 30 Mar PDI issued. 30 Apr Colo app submitted, 12 May prelim acceptance from VF  4 Jun lease delayed waiting on VF terms.  24 Jun - If VF delay much more build date will slip.  Lease in jeopardy, VF negotiating lease extension, Spark negotiating extended tenure for power easement.  Site unlikely to be on air in 2015</t>
  </si>
  <si>
    <t xml:space="preserve">Storey's Creek Road_x000D_
Okaramio_x000D_
Marlborough_x000D_
</t>
  </si>
  <si>
    <t>Tuamarina</t>
  </si>
  <si>
    <t xml:space="preserve">Site to cover SH1 between Picton and Blenheim.  </t>
  </si>
  <si>
    <t>Mt Freeth</t>
  </si>
  <si>
    <t>Mt Freeth GF Co-site</t>
  </si>
  <si>
    <t>Minor tweaks to existing PD may be required - antenna types and azimuths, RF to review.  Site to be constructed to accept a taller head frame in future if required.  Tx only site will be required at Picton Exchange.  Mt Freeth site ready to move to CD when confidence around Tx is known.  CDI issued.  DMR link to exchange currently critical path.  Site need to be confirmed as included in the build program via RF review prior to moving to construction.  Date amended to align with expecte Huawei equipment delivery.  Construction delayed due to condition of access track</t>
  </si>
  <si>
    <t>Mt Freeth_x000D_
Scotland Street_x000D_
Picton</t>
  </si>
  <si>
    <t>As long as under height  - close to identified ridgeline  - 02/04/2012</t>
  </si>
  <si>
    <t>Chorus PN-Picton Exchange CoLo</t>
  </si>
  <si>
    <t xml:space="preserve">Picton Chorus Exchange </t>
  </si>
  <si>
    <t>Awaiting dish position conformation from Chorus.  Date changed to align with Mt Freeth build dates.  6 March - Chorus requested a full drawing.  Ownership of pole in compound unknown we will have to press on with building mounted pole.  Downer will install on variation to the Mt Freeth construction</t>
  </si>
  <si>
    <t>Chorus PN-Picton Exchange 14 Waikawa Rd, Picton 7220</t>
  </si>
  <si>
    <t>Wither Hills</t>
  </si>
  <si>
    <t>GF Near Kordia Site</t>
  </si>
  <si>
    <t>9/5/13: •	Council have requested 2 degrees sign lease first. Lease is with 2 degrees for signing, but is subject to Site Acqu review._x000D_
• COW is in service._x000D_
Progressing Lease execution with Council. CDI issued_x000D_
06.08.14 Site Integrated_x000D_
08.08.14 Co site for VNZ and TNZ in the file. Kordia ? BR asked SS</t>
  </si>
  <si>
    <t>Cob Cottage Road_x000D_
Wither Hills _x000D_
Blenheim</t>
  </si>
  <si>
    <t>Withier Hills  - 02/04/2012</t>
  </si>
  <si>
    <t>Queen Charlotte Sounds</t>
  </si>
  <si>
    <t xml:space="preserve">Coverage Objective_x000D_
------------------------`_x000D_
Cook Stait Ferry Coverage_x000D_
_x000D_
</t>
  </si>
  <si>
    <t>Woodbourne</t>
  </si>
  <si>
    <t>Woodbourne LPR3</t>
  </si>
  <si>
    <t xml:space="preserve">9/5/13: •	Lease is with NZDF for review. They are known for their lack of response!_x000D_
• Bryan is chasing them regularly. </t>
  </si>
  <si>
    <t>Tancred Crescent_x000D_
Woodbourne_x000D_
Blenheim</t>
  </si>
  <si>
    <t>Springlands</t>
  </si>
  <si>
    <t>Supermarket RSR</t>
  </si>
  <si>
    <t>New site - all previous candidates failed.  GHD need to attend site.  RSR site in play, dates pushed out pending budget to build.  Pole change to minimise  deflection delays PD</t>
  </si>
  <si>
    <t>Opposite 128_x000D_
Middle Renwick Road</t>
  </si>
  <si>
    <t>Renwick</t>
  </si>
  <si>
    <t>Seddon</t>
  </si>
  <si>
    <t>VF Colo</t>
  </si>
  <si>
    <t>searches to be completed 5 March - VF colocation to be pursued.  A new nominal for Tx linking to Seddon Chorus exchange will be required.  VF SDP requested. 18 MAr - Structural assessment requested.  2 Apr - assessment passed PDI issued. &amp; May colo application lodged._x000D_
Site dropped from program, lease executed target date pushed out as far as possible without colocation process breach.  we need to decide if we hardmatch or drop site completely by end of Nov Dates amended to reflect that</t>
  </si>
  <si>
    <t>Off Marama Road</t>
  </si>
  <si>
    <t>if under 25m  - 20/02/2015</t>
  </si>
  <si>
    <t>Seddon Exchange colo</t>
  </si>
  <si>
    <t>Tx site for Seddon, we may move to an RSR solution.  RSR solution expensive to build even though rent free.  Exchange mounted antenna option to be pursued.  Current timeframes meet the VF colo option if lease can be agreed.  If we move to GF site timeline for exchange work will be extended</t>
  </si>
  <si>
    <t>Richmond St_x000D_
Seddon</t>
  </si>
  <si>
    <t>Ruapehu District</t>
  </si>
  <si>
    <t>Taumarunui</t>
  </si>
  <si>
    <t xml:space="preserve">Taumarunui </t>
  </si>
  <si>
    <t>23 Jan - RF to review and CDI to be issued_x000D_
06/03 AS - CD approved to issue Rev1_x000D_
16/04 AS: Build instruction issued Waiting on quote from Huawei</t>
  </si>
  <si>
    <t>NATIONAL_PARK</t>
  </si>
  <si>
    <t xml:space="preserve">Taumarunui _x000D_
36 Miriama Street  </t>
  </si>
  <si>
    <t>Taumarunui South</t>
  </si>
  <si>
    <t>GF VF co-site</t>
  </si>
  <si>
    <t>1/05 AS GF co-site</t>
  </si>
  <si>
    <t>Burnand Road _x000D_
Tamunurui</t>
  </si>
  <si>
    <t>Template lease docs and plans with LO.  - 16/06/2015</t>
  </si>
  <si>
    <t>Ruapehu</t>
  </si>
  <si>
    <t xml:space="preserve">•	2 panel antennas per sector (Azimuths 050, 170, 290) Likely antennas will be 2 x Kathrein 80010456 and 1 x Kathrein 742 266, the second set of antennas are likely to be 2.6m x 200mm x 380mm 51Kg each_x000D_
•	4 RRU (Remote Radio Units) per sector mounted within a 5m cable length of the antenna (the closer the better) 610 x 380 x 200mm  22Kg._x000D_
•	Fibre and DC power cable to each RRU. </t>
  </si>
  <si>
    <t>Whakapapa Ski Field</t>
  </si>
  <si>
    <t>Turoa Ski Field</t>
  </si>
  <si>
    <t>Ohakune</t>
  </si>
  <si>
    <t>Ohakune VNZ Co-Lo</t>
  </si>
  <si>
    <t>10/03 -  VF co-lo approval awaited_x000D_
19/03 AS: VF preliminary approval received, Acceptance sent back to Jordan, Planner instructed to file resource sonsent, CDI issued to GHD. Jordan asked to initiate lease/paper work and complete acqusition._x000D_
16/04 AS: Liz working on sub-lease with VF, CD due 24/04</t>
  </si>
  <si>
    <t>Ratamaire Rd,_x000D_
Ohakune</t>
  </si>
  <si>
    <t>Waiouru</t>
  </si>
  <si>
    <t>Waiouru VNZ Co-Lo</t>
  </si>
  <si>
    <t>09/03 AS: PD Rev 3 requested, on receipt need to submit VF co-lo application_x000D_
19/03 AS: VF co-lo submitted over to Jordan_x000D_
13/04 AS: VF Co-lo CDI issued_x000D_
16/04 AS: PD &amp; CD issued_x000D_
16/04AS: Liz is working on sub-lease with VF</t>
  </si>
  <si>
    <t>North Island, State Highway 1, Waiouru</t>
  </si>
  <si>
    <t>Ruapehu TX only</t>
  </si>
  <si>
    <t>Wanganui CBD (Main HUB)</t>
  </si>
  <si>
    <t>76 Guyton Street</t>
  </si>
  <si>
    <t>Wanganui</t>
  </si>
  <si>
    <t>2011-03-22</t>
  </si>
  <si>
    <t>Contact Brendan &amp; Sue Brosnahan (Chaineys Buildings Ltd) 0274420061. burrentals@hotmail.com. 76 Guyton Ave, Wanganui.</t>
  </si>
  <si>
    <t>76 Guyton Street _x000D_
Wanganui</t>
  </si>
  <si>
    <t>Not in heritage overlay - should be good  - 01/04/2011</t>
  </si>
  <si>
    <t>Wanganui North</t>
  </si>
  <si>
    <t>Somme Pde LPR</t>
  </si>
  <si>
    <t>2011-04-19</t>
  </si>
  <si>
    <t>Somme Parade_x000D_
Wanganui</t>
  </si>
  <si>
    <t>LPR exceeding NES for height and underlying permitted activity so is controlled.  - 06/05/2011</t>
  </si>
  <si>
    <t>Otamatea</t>
  </si>
  <si>
    <t>173 Great North Rd LPR</t>
  </si>
  <si>
    <t>2011-05-03</t>
  </si>
  <si>
    <t>173 Great North Road</t>
  </si>
  <si>
    <t>Castlecliff</t>
  </si>
  <si>
    <t>Kirk Street WDC land</t>
  </si>
  <si>
    <t>jumbo grey</t>
  </si>
  <si>
    <t>2011-03-25</t>
  </si>
  <si>
    <t>1 Morrison Street,_x000D_
Castlecliff,_x000D_
Wanganui</t>
  </si>
  <si>
    <t>Wanganui Airport</t>
  </si>
  <si>
    <t>Wanganui Airport,  VF Colo (Wanganui Airport)</t>
  </si>
  <si>
    <t xml:space="preserve">State Highway 3,_x000D_
Main Road South,_x000D_
Putiki_x000D_
</t>
  </si>
  <si>
    <t>Bastia Hill</t>
  </si>
  <si>
    <t>Bastia Hill, Bastia Hill</t>
  </si>
  <si>
    <t xml:space="preserve">Contact Srien Fonseca (WDC) 06 3490001_x000D_
Moved out due to RF review possibly try to get TX off_x000D_
</t>
  </si>
  <si>
    <t>Bastia Hill Water Tower,_x000D_
13 Bastia Ave,_x000D_
Wanganui</t>
  </si>
  <si>
    <t>Heritage rules tripped as site is a historic water tower. NZHPT approval will be sought for this design.  - 01/04/2011</t>
  </si>
  <si>
    <t>Blueskin</t>
  </si>
  <si>
    <t>Blueskin, VF Colo (Wanganui West)</t>
  </si>
  <si>
    <t xml:space="preserve">Blueskin Rd,_x000D_
Westmere, _x000D_
Wanganui_x000D_
</t>
  </si>
  <si>
    <t>Ring headframe VF @ 25m  - 22/03/2011</t>
  </si>
  <si>
    <t>Tawhero</t>
  </si>
  <si>
    <t>Victoria Park GF</t>
  </si>
  <si>
    <t>flax green</t>
  </si>
  <si>
    <t>Victoria Park</t>
  </si>
  <si>
    <t>Mast does not comply with structure height condition for open space zone  - 06/05/2011</t>
  </si>
  <si>
    <t>Aramoho</t>
  </si>
  <si>
    <t>GF at Roberts Ave</t>
  </si>
  <si>
    <t>180 Roberts Ave,_x000D_
Wanganui</t>
  </si>
  <si>
    <t>Nearby BCL designation, site will be heavily co-sited.  - 01/04/2011</t>
  </si>
  <si>
    <t xml:space="preserve">Gonville </t>
  </si>
  <si>
    <t>289 Head Rd</t>
  </si>
  <si>
    <t>2011-03-31</t>
  </si>
  <si>
    <t>289 Heads Rd,_x000D_
Wanganui</t>
  </si>
  <si>
    <t>Discretion restricted to height, needs to be well justified.  - 01/04/2011</t>
  </si>
  <si>
    <t>Whangaehu</t>
  </si>
  <si>
    <t>Whangaehu VNZ Co-Lo</t>
  </si>
  <si>
    <t>Rangitikei District</t>
  </si>
  <si>
    <t>11/03 AS : VF site data pack requested._x000D_
20/03 AS datapack received, RF has proposed solution need to run structural assessment</t>
  </si>
  <si>
    <t>FIELDING</t>
  </si>
  <si>
    <t xml:space="preserve">Ratana Rd,_x000D_
Whangaehu_x000D_
</t>
  </si>
  <si>
    <t>Marton</t>
  </si>
  <si>
    <t>unknown</t>
  </si>
  <si>
    <t>Taihape</t>
  </si>
  <si>
    <t>Benson Property</t>
  </si>
  <si>
    <t>8 Oct 2014 - RF to check PD for any minor mods.  If any major issues with VF co-site  RF would like to consider Spark co-site. VF colo hard matched - OK with RF to continue move to CD - CDI issued 5 Jan - CD (and lease) has conflict with location that was used to obtain consent.  Site is subject to RF review and confirmation.  29 Jan - Site confiormed construction dates amended to suit equipment delivery_x000D_
13/08 AS: delay by a week due to power_x000D_
16/04 AS: Waiting on co-lo approval from Chorus for Taihape Exchange co-lo Jordan is chasing it</t>
  </si>
  <si>
    <t>Off Lookout Road_x000D_
Dixon Way_x000D_
Taihape</t>
  </si>
  <si>
    <t>RBI - Marton Central</t>
  </si>
  <si>
    <t>RBI Marton</t>
  </si>
  <si>
    <t>Marton Central,_x000D_
Purakau Street,_x000D_
Marton</t>
  </si>
  <si>
    <t>Taihape Exchange</t>
  </si>
  <si>
    <t>16/05/12 - Amendments received 15/5.  16/5 All good, and request for formal issue made_x000D_
01/06/12 - Chorus colo lodged in OOT by Brett.  Telecom have requested dish is 2m above roof for H+S_x000D_
21/06/12 - James to advise on 2m above roofline irt planning issues - OK_x000D_
27/06/12 - Confirm if TC have given approval. Look at Consent app moving forward._x000D_
24/07/12 - Telecom colo approved, rev 2 drawings issued, consent lodged_x000D_
27/07/12 - Company decision to place site in hardmatch only_x000D_
08/08/12 - WO2 forcasted_x000D_
05/10/12 - Site taken out from Build Programme_x000D_
15 Oct 2014 - Cliff to check status of application WRT restarting.  Colo application re-submitted.  Site requires review and confirmation of the Taihap site before wecontinue with the build of this Tx only site.  Dates changed to aligne with equipment delivery for Taihape cell site</t>
  </si>
  <si>
    <t>23 Kuku Street_x000D_
Taihape</t>
  </si>
  <si>
    <t>Feilding</t>
  </si>
  <si>
    <t>Feilding VF Colo</t>
  </si>
  <si>
    <t>Manawatu District</t>
  </si>
  <si>
    <t>Halcombe Road,_x000D_
Feilding</t>
  </si>
  <si>
    <t>Awahuri</t>
  </si>
  <si>
    <t>Awahuri VF Co-Lo</t>
  </si>
  <si>
    <t>Penny Rd_x000D_
Awahuri</t>
  </si>
  <si>
    <t>Himatangi</t>
  </si>
  <si>
    <t>Himatangi - VF Colo</t>
  </si>
  <si>
    <t>19/12/12 - Drive team advise SOA to Ron B</t>
  </si>
  <si>
    <t>SH1 Omanuka Road_x000D_
Himatangi</t>
  </si>
  <si>
    <t>Bulls</t>
  </si>
  <si>
    <t>Bulls - VF Colo</t>
  </si>
  <si>
    <t>Wightman Road,_x000D_
3402 SH1_x000D_
Ohakea_x000D_
BULLS</t>
  </si>
  <si>
    <t>Feilding Central</t>
  </si>
  <si>
    <t>Steam Rail</t>
  </si>
  <si>
    <t xml:space="preserve">09/03 AS: Gone back to RF for justification on change of Antenna type, soil contamination report and contamination investigation report._x000D_
10/03 AS: Work order 2 issued CDI_x000D_
13/08 AS: Delay by a week due to power </t>
  </si>
  <si>
    <t>28 Gladstone Street_x000D_
Feilding</t>
  </si>
  <si>
    <t>Committee meetings for approval opf plans/leases every third Saturday of each month  - 10/10/2014  - 27/02/2015</t>
  </si>
  <si>
    <t>RBI Himatangi Beach</t>
  </si>
  <si>
    <t>Himitangi Beach RBI</t>
  </si>
  <si>
    <t>16 Oct: Pre-qual &amp; CD1 ordered_x000D_
19 Oct: Planning letter complete_x000D_
6 Dec: VF pre approval obtained_x000D_
7 Dec: ATN &amp; antennas ordered_x000D_
16 Dec: Cabinet PO requested_x000D_
22 Dec: VF PO sent through to order antennas_x000D_
12 Jan: Waiting on Huawei antenna ETA_x000D_
21 Jan: Contractor Tender visit_x000D_
3 Feb: Finalising Contractor quotes. Waiting on VF final approval &amp; antenna quote.</t>
  </si>
  <si>
    <t>Himatangi Beach Road</t>
  </si>
  <si>
    <t>Bunnythorpe</t>
  </si>
  <si>
    <t>Milson</t>
  </si>
  <si>
    <t>VF Colo Milson</t>
  </si>
  <si>
    <t>Palmerston North City</t>
  </si>
  <si>
    <t>2011-03-01</t>
  </si>
  <si>
    <t>Milson Line</t>
  </si>
  <si>
    <t>Discretionary Activity due to height of exisitng VF lattice. No issues anticipated with this one - existing VF site is large.  - 04/03/2011</t>
  </si>
  <si>
    <t>Kelvin Grove</t>
  </si>
  <si>
    <t>Roslyn, VF Colo (Kelvin Grove)</t>
  </si>
  <si>
    <t>2011-02-18</t>
  </si>
  <si>
    <t>Power close at fron section of property. Full headframe replacement</t>
  </si>
  <si>
    <t>Keith Street Kelvin Grove</t>
  </si>
  <si>
    <t>Total height here is 29m - 9m above permitted baseline. Co-lo is to our advantage but looking to bolster application with external consultant's visual assessment from key locations to avoid identification of affected parties._x000D_
  - 18/02/2011</t>
  </si>
  <si>
    <t>Palmerston North Cen(Main HUB)</t>
  </si>
  <si>
    <t>65 Rangitikei St</t>
  </si>
  <si>
    <t xml:space="preserve">65 Rangitikei St_x000D_
Palmerston North_x000D_
</t>
  </si>
  <si>
    <t>Discretionary Activity due to height of exisitng building. No issues  - 04/03/2011</t>
  </si>
  <si>
    <t>Palmerston North (TX HUB)</t>
  </si>
  <si>
    <t>Palmerston North, Ferguson &amp; Ashley St</t>
  </si>
  <si>
    <t>2011-02-22</t>
  </si>
  <si>
    <t xml:space="preserve">Landlord John Farqua 06 3584106 or 021 662203/ Access George Allen 0212290462_x000D_
Structural roof assesment to be done to confirm possition of two sectors. Power at roof._x000D_
Rev 2 Requested_x000D_
</t>
  </si>
  <si>
    <t>Cnr Ferguson &amp; Ashley St,_x000D_
Palmerston North</t>
  </si>
  <si>
    <t>RC required due to building exceeding zone height for buildings. No issues anticipated.  - 18/02/2011</t>
  </si>
  <si>
    <t>Cloverlea</t>
  </si>
  <si>
    <t>Cloverlea, Admiral Plc</t>
  </si>
  <si>
    <t>2011-03-18</t>
  </si>
  <si>
    <t xml:space="preserve">9 Admiral Plc,_x000D_
Cloverlea,_x000D_
Palmerston North_x000D_
</t>
  </si>
  <si>
    <t>Consent req for height - VF site adjacent  - 12/04/2011</t>
  </si>
  <si>
    <t>West End</t>
  </si>
  <si>
    <t>West End, VF Colo (West End)</t>
  </si>
  <si>
    <t>2011-02-24</t>
  </si>
  <si>
    <t>50 West Street</t>
  </si>
  <si>
    <t>Co-lo preferred to another permitted mast so Council backing this consent - not anticipating any issues. _x000D_
Shrouded and colour matched cable tray and antenna extension.  - 24/02/2011</t>
  </si>
  <si>
    <t>Massey University PN Campus</t>
  </si>
  <si>
    <t>Social science tower</t>
  </si>
  <si>
    <t>Linton</t>
  </si>
  <si>
    <t>Linton, VF Colo (Linton)</t>
  </si>
  <si>
    <t>2011-04-01</t>
  </si>
  <si>
    <t>Transformer on site possible capacity.</t>
  </si>
  <si>
    <t>On road to Linton camp</t>
  </si>
  <si>
    <t>Rural permitted height is 15m so co-lo requires RC. Significant existing VF mast so not anticipating any issues. _x000D_
Shrouded cable tray and colour matched.  - 18/02/2011</t>
  </si>
  <si>
    <t>Terrace End</t>
  </si>
  <si>
    <t>Terrace End VF Colo (Terrace End)</t>
  </si>
  <si>
    <t>Compound extention to allow for car park area. Power from road next to VFNZ. Fibre on site be aware</t>
  </si>
  <si>
    <t>242 - 250 Ruahine Street, Terrace End, Palmerston North</t>
  </si>
  <si>
    <t>VF site is slimline pole @ 20m. Our colo will add approx 3-4m so discretionary activity by some margin (14m). Will likely seek to use external visual assessment to bolster the application and reduce chances of affected parties being notified. Council land also adjacent.  - 18/02/2011</t>
  </si>
  <si>
    <t>Coronation Park</t>
  </si>
  <si>
    <t>Holden Corner Floodlight Replacement</t>
  </si>
  <si>
    <t>Holden Corner_x000D_
541-543 Cnr Tremaine Ave/Rangitikei Line_x000D_
Coronation Park,_x000D_
Palmerston North</t>
  </si>
  <si>
    <t>Permitted activity proposed here. Replacement of exisiting car yard floodlight. _x000D_
Require painted grey and no climbing pegs - cherry picker access so no issues with this.  - 24/02/2011</t>
  </si>
  <si>
    <t>Hokowhitu</t>
  </si>
  <si>
    <t>LPR at Roundabout</t>
  </si>
  <si>
    <t>Lightpole at corner of Pahiatua St/Albert St southside_x000D_
Hokowhitu_x000D_
Palmerston North</t>
  </si>
  <si>
    <t>NES LPR with cabinets in private property  - 05/07/2012</t>
  </si>
  <si>
    <t>Takaro</t>
  </si>
  <si>
    <t>Manawatu Trotting Club VF Colo</t>
  </si>
  <si>
    <t>Long Power run (180m). Would require a services markout to be recorded on the PD</t>
  </si>
  <si>
    <t>401 Poineer Hwy,_x000D_
Takaro,_x000D_
Palmerston North</t>
  </si>
  <si>
    <t>Rural zone so 15m permitted height is exceeded and RC required. Not anticipating any issues due to significant existing VF structure and location away from residences._x000D_
Cable tray shrouded and colour matched.  - 18/02/2011</t>
  </si>
  <si>
    <t>Palmerston North</t>
  </si>
  <si>
    <t>Fitzherbert</t>
  </si>
  <si>
    <t>Turitea TNZ Colo</t>
  </si>
  <si>
    <t>2011-07-08</t>
  </si>
  <si>
    <t>Turitea TNZ COLO,_x000D_
Pacific Drive, Fitzherbert,_x000D_
Palmerston North</t>
  </si>
  <si>
    <t>Telecom designation number 22, radiocommunication and telecommunications purposes. Telecom didn't agree to do OPW so RC with s176 it is.  - 09/09/2011</t>
  </si>
  <si>
    <t>Palmerston North Air</t>
  </si>
  <si>
    <t>28 Armstrong Street</t>
  </si>
  <si>
    <t>2011-06-03</t>
  </si>
  <si>
    <t xml:space="preserve">28 Armstrong Street_x000D_
Palmerston North </t>
  </si>
  <si>
    <t>Ashhurst</t>
  </si>
  <si>
    <t>OnTrack Monopole</t>
  </si>
  <si>
    <t>Railway Site,_x000D_
Railway corridor,_x000D_
York Street,_x000D_
Ashhurst</t>
  </si>
  <si>
    <t>ood permitted baseline here and co-location, but res in clsoe proximity and potential issues with limited notification.  - 01/04/2011</t>
  </si>
  <si>
    <t>Awapuni South</t>
  </si>
  <si>
    <t>Dr Ting</t>
  </si>
  <si>
    <t>2011-06-10</t>
  </si>
  <si>
    <t>College St_x000D_
Awapuni_x000D_
Palmerston North</t>
  </si>
  <si>
    <t>RBI - Ashurst</t>
  </si>
  <si>
    <t>Hokowhitu University</t>
  </si>
  <si>
    <t>RF Engineer - Chris Rowley._x000D_
10/2/16 - Site search brief issued</t>
  </si>
  <si>
    <t>NOR</t>
  </si>
  <si>
    <t>Tararua District</t>
  </si>
  <si>
    <t>Dannevirke</t>
  </si>
  <si>
    <t>Dannervirke VNZ CoLo</t>
  </si>
  <si>
    <t xml:space="preserve">Rule Road, _x000D_
Dannevirke_x000D_
</t>
  </si>
  <si>
    <t>Wharite</t>
  </si>
  <si>
    <t>Wharite - Kordia Colo</t>
  </si>
  <si>
    <t>WAIRARAPA</t>
  </si>
  <si>
    <t>Designated Kordia site, their OPW  - 26/11/2012</t>
  </si>
  <si>
    <t>Pahiatua</t>
  </si>
  <si>
    <t>Paihiatua - VF Colo</t>
  </si>
  <si>
    <t>Pahiatua PIA_x000D_
West Road_x000D_
Mangatainoka</t>
  </si>
  <si>
    <t>Levin</t>
  </si>
  <si>
    <t>Levin VF Colo</t>
  </si>
  <si>
    <t>Horowhenua District</t>
  </si>
  <si>
    <t>Gladstone Road_x000D_
Levin</t>
  </si>
  <si>
    <t>Tararua Range Outstanding Natural Landscape and breaches permitted height of 3m.  - 26/04/2011</t>
  </si>
  <si>
    <t>Tokomaru</t>
  </si>
  <si>
    <t>VFNZ Tokomaru Colo</t>
  </si>
  <si>
    <t>2011-07-12</t>
  </si>
  <si>
    <t>113-135 Williams Rd_x000D_
Tokomaru Rural</t>
  </si>
  <si>
    <t>Within Hill Country High Amenity Landscape - PC22  - 26/04/2011</t>
  </si>
  <si>
    <t>Levin Central (Main HUB)</t>
  </si>
  <si>
    <t>Levin Central VF Colo</t>
  </si>
  <si>
    <t>249-255 Oxford Street,_x000D_
Levin</t>
  </si>
  <si>
    <t>Exceeds height control for masts in the COmmercial zone so requires consent. Discretion limited to areas of non-compliance so will need to justify height  - 12/04/2011</t>
  </si>
  <si>
    <t>Pukehou</t>
  </si>
  <si>
    <t>Pukehou Telecom Colo</t>
  </si>
  <si>
    <t>Transmission only site for Manukau Straights</t>
  </si>
  <si>
    <t>Manakau Straigh</t>
  </si>
  <si>
    <t>Manakau GF</t>
  </si>
  <si>
    <t>This site is dependent on the Pukehou Telecom Repeater</t>
  </si>
  <si>
    <t>962 Levin South Rd,_x000D_
Levin</t>
  </si>
  <si>
    <t>Foxton</t>
  </si>
  <si>
    <t>Watertower</t>
  </si>
  <si>
    <t>Foxton Watertower,_x000D_
Harbour Street,_x000D_
Foxton</t>
  </si>
  <si>
    <t>Exceeds residential height limit of 13.5m.  - 26/04/2011</t>
  </si>
  <si>
    <t>Transmission Hub only</t>
  </si>
  <si>
    <t>Cellutronics 008</t>
  </si>
  <si>
    <t>Jongeneel transport_x000D_
104 Hoggs Road, Ohau, Levin. _x000D_
Contact: Sarah (or Renee) 0-6-367 2130 or 027 5147782) (also 027 442 4019)_x000D_
On air 30 May 2013</t>
  </si>
  <si>
    <t>Levin South</t>
  </si>
  <si>
    <t>Levin South - Crightons</t>
  </si>
  <si>
    <t>HARD MATCH ONLY_x000D_
08.08.14 Stefan has done site search. 1 candidate identified. Landlord willing._x000D_
Stefan to speak to Vaughan to see when we can Caravan_x000D_
Caravan is complete, all agree this is the best site._x000D_
PDI issued._x000D_
13/08 AS Delay by a week due to power_x000D_
16/04: TX PO raised waiting for Huawei equipment's to turn up._x000D_
19/03: need to put tender out_x000D_
Vaughan terms agreed for rental at $7k.  Lease progressing well._x000D_
CD to comence after geotech and contamination report Geotech drill 29th Oct.  4 Nov lease with LO for signature.  6 Jan requires lease completion and approval to build</t>
  </si>
  <si>
    <t>Coventry Street_x000D_
Levin</t>
  </si>
  <si>
    <t>Shannon RBI</t>
  </si>
  <si>
    <t>Rapid Access RBI site. Construction start is blind guess_x000D_
TX ordered 3 June. _x000D_
3 June: POR issued_x000D_
RFS date 23 July._x000D_
19 June: VF approval to build received_x000D_
23 June: TX CX Config issue so TX delivery failed. Retry 27th July._x000D_
31 July: Integration planned_x000D_
20 July: Equip delivered &amp; build started_x000D_
23 July: Fibre &amp; power delivered, TX integration failed_x000D_
24 July TX issue fixed_x000D_
31 July: Integration re-scheduled_x000D_
4 Aug: Ret motor issue. Vol4 data incomplete. _x000D_
10 Aug: Major snag with clock/ATN. With Huawei to fix.</t>
  </si>
  <si>
    <t>State Highway 57</t>
  </si>
  <si>
    <t>Mt Hikurangi</t>
  </si>
  <si>
    <t>Far North</t>
  </si>
  <si>
    <t>The primary requirement is to mitigate roaming cost. Site therefore needs to provide the same coverage as Vodafone to do this.</t>
  </si>
  <si>
    <t xml:space="preserve">_x000D_
 </t>
  </si>
  <si>
    <t>Kaikohe</t>
  </si>
  <si>
    <t>Kaikohe GF - Co site VNZ</t>
  </si>
  <si>
    <t>Huawei Build PO 35102_x000D_
Have VNZ co site approval. _x000D_
RMA CONDITIONS ONEROUS_x000D_
# 3 : Power route - Archaelogical assesment required VERY IMPORTANT - Please read full conditions._x000D_
# 4 : Earthworks and excavation conditions - VERY IMPORTANT - Please read full conditions_x000D_
# 5 : Vegetation and re establishment_x000D_
18.12.2014 Steve Esther has requested info from North Power - to get quote and scope in New Year_x000D_
25/2/15 - RF specs supplied,  TX specs issued_x000D_
3/3/15 S127 for change to pile to be lodged by end of week 13 March_x000D_
25/3/15 - S127 lodged 16 March - small risk with being referred to Heritage NZ.  Build is about to start,8 April_x000D_
12/05/15 - Power ready to upgrade. Xformer to deliver. Pilecap poured. Rock struck during piling (Variation). Pole up WC 25/5, Integrate maybe wc 8/6_x000D_
26/05/15 - Ron to lodge CR for integration (When date known)_x000D_
03/06/15 - Feeder sweeps to be reviewed by RF. Need VF letter for power connection to their transformer_x000D_
23/06/15 - Integrate 29/6  CR 45055. Drive test resources booked for week 13 July_x000D_
20/07/15 - Feeders replaced, POwer on , Vol 4 in for review - some faults</t>
  </si>
  <si>
    <t>NORTHLAND</t>
  </si>
  <si>
    <t>Remuera Settlers Road</t>
  </si>
  <si>
    <t>Sent to FNDC on 6.11.2012 to Pat Killara   - 08/11/2012</t>
  </si>
  <si>
    <t>Russell</t>
  </si>
  <si>
    <t xml:space="preserve">Russell GF </t>
  </si>
  <si>
    <t>T2 15 UF LTD</t>
  </si>
  <si>
    <t xml:space="preserve">01.12.2014 Have JDA / Media Works, Radio Works cosite approval - we need to take their wooden pole down and place their equipment on ours._x000D_
4/11/15 - Working with Chorus to try getting fibre delivered earlier. Agreement reached with owners on supplying power to a pillar for their future. Also Manuka fence required_x000D_
24/11/15 - Maybe issue with interference to Mediaworks STL . needs careful powering up._x000D_
30/11/15 - Vol 4 received.  FM antenna to be relocated_x000D_
_x000D_
_x000D_
</t>
  </si>
  <si>
    <t>BAY_OF_ISLANDS</t>
  </si>
  <si>
    <t>Flagstaff Road_x000D_
Russell</t>
  </si>
  <si>
    <t>Designation BC230  - 05/04/2012</t>
  </si>
  <si>
    <t>Russell East</t>
  </si>
  <si>
    <t>Russell East._x000D_
Access via Russell Heights Road._x000D_
Option A: Co-site on 15m TNZ. Pole TNZ  is wood. Suggest a swap out and a 15m spider armed pole so all can get on etc. (Good location - covering Russell, Paroa bay to the east and the Bays out West also Pahia area).   Grid: E2614096 N6659012_x000D_
Option B: GF Pole option within same compound Grid: E2614096 N6659012_x000D_
_x000D_
SITE NOT REQUIRED IF NTH-001-008 RUSSELL SECURED.</t>
  </si>
  <si>
    <t>Kerikeri</t>
  </si>
  <si>
    <t>Kerikeri GF</t>
  </si>
  <si>
    <t>Huawei Build PO 35468_x000D_
12/05/15 - 40m track required. Owner OK to leave in. Power SFA requested and letter for Lines Company_x000D_
26/05/15 - Slab pour Fri. 6 June ready for TI. Weather dealys. Tower up 9 June, TI 10 June_x000D_
16/06/15 - Power...Letter for Top Energy (done)_x000D_
07/07/15 - Site Integrated on Generator. Ron sorting power meter issue with AMS/Meridian.  9/7 - go with external meter housing_x000D_
8/7 Duco to supply final parts for mW mounts, that were missed_x000D_
14/07/15 - Integrated on generator. Power on 21 July</t>
  </si>
  <si>
    <t>Maungakeretu Road_x000D_
KERIKERI</t>
  </si>
  <si>
    <t>2130003-RMACOC  - 07/08/2012</t>
  </si>
  <si>
    <t>Kerikeri Centre</t>
  </si>
  <si>
    <t>Kerikeri Center Firestone</t>
  </si>
  <si>
    <t>Huawei build - PO 35496 issued 13/5_x000D_
04/05/15 - Specs in place, Huawei/Skycomms to start construction_x000D_
13/05/15 - Metalwork underway_x000D_
26/05/15 - Fibre duct in. Duco to advise steel delivery. Ron to send 12 FSJ4-50 connectors. Power from Transformer_x000D_
04/06/15 - Starting on site 8 June. Metalwork arrives 6 June_x000D_
16/06/15 - Fibre duct in, fibre 26/6, power next week. Integrate 29/6_x000D_
08/07/15 - Site Integrated on Generator. Ron sorting power meter issue with AMS/Meridian.  9/7 - go with external meter housing_x000D_
14/07/15 - Power on 16/07, Vol 4 to be submitted_x000D_
20/07/15 - Vol 4 submitted</t>
  </si>
  <si>
    <t>4 Hobson Ave_x000D_
Kerikeri</t>
  </si>
  <si>
    <t>Kerikeri Inlet</t>
  </si>
  <si>
    <t>KeriKeri Inlet</t>
  </si>
  <si>
    <t>02/10/15 - Site to HARDMATCH ONLY - not build_x000D_
_x000D_
17/2/15 - Noted from James that Power may require Archeological supervision at time of build_x000D_
29/04/15 - Build instruction issued.  RF specs issued - TX specs required (issued 8/5)_x000D_
25/05/15 - ALL WORKS ON SITE TO STOP.  Archaelogical find during geotech, so will need full assessment, possible relocation (or another site) or approval to continue._x000D_
03/06/15 - Archaeologist and Iwi to be engaged (Ron)_x000D_
07/07/15 - Report received. best option is to continue with location, but will require sign-off by Heritage NZ and IWI.  Ben assisting with IWI engagement_x000D_
14/07/15 - Working on keeping site in same location. Iwi meeting next week_x000D_
4/11/15 - Ron still to find time to complete build process report for HNZ and Ngati Wai</t>
  </si>
  <si>
    <t xml:space="preserve">236 Redcliffs Road_x000D_
KeriKeri_x000D_
</t>
  </si>
  <si>
    <t>Haruru</t>
  </si>
  <si>
    <t>Haruru GF Co-site</t>
  </si>
  <si>
    <t>02/10/15 - Site to HARDMATCH ONLY - Not Build_x000D_
_x000D_
03/06/12 - Lease terms agreed. lease dates bought forward. Look to issue CDI end June, but geotech will not be able to access till early July_x000D_
23/06/15 - Lease signed. GHD access 01/02 July.  Will need in future to daisy chain locks on gate_x000D_
09/07/15 - Co-site applications lodged - VF approved 10/8_x000D_
04/08/15 - S92 from Council - Heritage NZ and Iwi_x000D_
18/08/15 - Site consultation with Heritage NZ and Iwi 2-3 Sept_x000D_
09/09/15 - Consultation put on hold until better weather for access</t>
  </si>
  <si>
    <t>333 Puketona Rd</t>
  </si>
  <si>
    <t>Kawakawa</t>
  </si>
  <si>
    <t>Kawakawa Vodafone Co Lo</t>
  </si>
  <si>
    <t>18/06/15 - VF approval to build received.  Huawei still to provide pricing_x000D_
09/09/15 - Restart on site next week.  Cabinets in, Power ordered, Integrate CR 21-25 Sept_x000D_
16/09/15 - Earthing and power complete.  Ringframe next week if weather OK._x000D_
24/09/15 - Ringframe helicoptered in. Power will be connected 8 Oct. VF CR raised_x000D_
02/10/15 - Integrated. Needing power next week_x000D_
12/10/15 - Ready to go live Wed night</t>
  </si>
  <si>
    <t>McIntyre Road</t>
  </si>
  <si>
    <t>pERMITTED TO 20M (tbc) Could be non-complying in coastal landscape as of 5.4.12  - 05/04/2012_x000D_
Discretionary Activity - exceeds sunlight recession plane, impermeable surface area and height - AT, 4.9.12  - 04/09/2012</t>
  </si>
  <si>
    <t>Kawakawa East</t>
  </si>
  <si>
    <t>Kawakawa East VF Co-Lo</t>
  </si>
  <si>
    <t>28/9/15 - Build approval received and forwarded_x000D_
02/10/15 Build started._x000D_
24/11/15 - Still no confirmed date from Chorus for fibre - revised dates to 4 Dec_x000D_
30/11/15 - RQ if fibre is 14 Dec, and Chorus trying to deliver same day_x000D_
7/12/15 - Chorus fibre delivered!!</t>
  </si>
  <si>
    <t>VF Colocation_x000D_
Lemon Farm_x000D_
Whangae Road_x000D_
Kawakawa</t>
  </si>
  <si>
    <t>Paihia</t>
  </si>
  <si>
    <t>Paihia_x000D_
Option A: 12m Rooftop Cosite with Vodafone , Opposite Ferry Building Paihia. Grid: E2610124  N6657123_x000D_
Option B: Colo on TNZ unfinished 10m pole at Exchange Building in William Street. Grid: E2610004 N6656946_x000D_
Option C: GF Pole in on of the Industrial yards - several options Grid: E2610144  N6657113</t>
  </si>
  <si>
    <t>Opua</t>
  </si>
  <si>
    <t>Opua - VF Co-lo</t>
  </si>
  <si>
    <t>02/10/15 - Site to HARDMATCH ONLY - not build programme_x000D_
_x000D_
22/05/15 - Colocation application lodged with VF_x000D_
11/06/15 - VF rejected colocation due to RF concerns on placement of TMA's.  Plans marked up for PD revision_x000D_
23/06/15 - Revised PD's issued - Ron to relodge application - done 26/6_x000D_
30/06/15 - Pushed out RMA dates due to site risk. Need to work to pull back as we go forward as site critical for Xmas_x000D_
21/07/15 - Preliminary Approval received. Visual assessment due today_x000D_
01/09/15 - Terms agreed, subject to VF agreement_x000D_
22/09/15 - VF agreed on terms. With owners legal review_x000D_
4/11/15 - some issues with Owner and Top Energy access for power.  Go slow for 2 Degrees since not in immediate build programme</t>
  </si>
  <si>
    <t>206 Aucks Rd, Opua</t>
  </si>
  <si>
    <t>Paihia - VNZ CO SITE</t>
  </si>
  <si>
    <t>18/08/15 - PO 36686 issued to Huawei/Downers.  Downers to plan pre-start meeting and advise date/time. Graham dropping off pre-build letters_x000D_
25/08/15 - Pre-start meeting 28 August.  Metalwork underway_x000D_
24/09/15 - Build underway. Some issues with mounts and getting cables through building. GHD reviewing design on site_x000D_
24/09/15 CR 47390 raised for integration 12-30 Oct_x000D_
29/09/15 - Some issues getting cables through building. GHD on site and issues well underway to being sorted_x000D_
14/10/15 - Power this week, Fibre 19, Integrate with Vol 4 by 22/10_x000D_
19/10/15 - still chasing property owner fro permission to connect power_x000D_
4/11/15 - Power on, site integrated, still waiting for Volume 4</t>
  </si>
  <si>
    <t>Same building as Vodafone,_x000D_
Paihia</t>
  </si>
  <si>
    <t>Lodged COC application on the 12.9.2012 with Rev 1 plans.   - 12/09/2012</t>
  </si>
  <si>
    <t>Orongo Bay</t>
  </si>
  <si>
    <t xml:space="preserve">Orongo Bay_x000D_
TNZ Monopole. Good location. Access is a problem._x000D_
Option A: 15m Pole Colocate with TNZ some modification to fit a hoop or spider arm might be required. Grid: as above._x000D_
Option B: GF option with same compound. Grid: as above_x000D_
</t>
  </si>
  <si>
    <t>RBI - Houhora Central</t>
  </si>
  <si>
    <t>Kaitaia</t>
  </si>
  <si>
    <t>Kaitaia GF</t>
  </si>
  <si>
    <t>Huawei Build PO35496 issued 13/5_x000D_
18.12.14 CD Issued. Ready to tender. COW placement upgraded the T/F - SO power is sorted._x000D_
22/04/15 - Build cost accepted and Huawei/Skycomms instructed to start build_x000D_
26/05/15 - Build underway, inspection Thurs (Chris to attend)_x000D_
16/06/15 - Pole delivery 18/6, fibre next week, 50 ohm earth with just pegs. Integrate 1/7_x000D_
07/07/15 - Site Integrated on Generator. Ron sorting power meter issue with AMS/Meridian.  9/7 - go with external meter housing_x000D_
14/07/15 Power going on today.  kevin to manage site to air, COW to be removed 24/7</t>
  </si>
  <si>
    <t>Korimako Road_x000D_
Kaitia</t>
  </si>
  <si>
    <t>Pat Killalea, Principal Planner_x000D_
Far North District Council _x000D_
t: 021.927.419  - 28/06/2012</t>
  </si>
  <si>
    <t>Whangaroa</t>
  </si>
  <si>
    <t>Coopers Beach</t>
  </si>
  <si>
    <t>Coopers Beach VF COLO</t>
  </si>
  <si>
    <t>31/07/15 - PO6 36531 issued. Sky can start metalwork. Clock stopped until access granted_x000D_
20/10/15 - Site built Vol 4 in, No power and no date for power yet_x000D_
4/11/15 - Power now scheduled for 19 November!!!.  BER test still to come_x000D_
30/11/15 - Power Transformer upgrade done. Power by 4 Dec hopefully_x000D_
7/12/15 - Power 8 Dec. 24 Hr BER 9/10 Dec, Vol 4 10/11 Dec  SOA next week</t>
  </si>
  <si>
    <t>VF Colocation_x000D_
Waiaua Road,_x000D_
Hihi_x000D_
Far North District</t>
  </si>
  <si>
    <t>Tutukaka</t>
  </si>
  <si>
    <t>Kaikohe TX site</t>
  </si>
  <si>
    <t>Kaikohe Exchange</t>
  </si>
  <si>
    <t>PO35743 issued 20/5/15_x000D_
13/5/15 - Final approval received (1 day!). Steelwork underway. Quote supplied and approved. Huawei to issue Docs for PO_x000D_
12/05/15 - Quote with Huawei to process._x000D_
26/05/15 - Rack supplied. Visionstream calling for coax (Skcomms will supply). Backhaul due Fri_x000D_
04/06/15 - Chorus pushed Fibre RFS from 29/5 to 26/6 (without consultation). requested to bring forward asap_x000D_
15/06/15 - Rack installed, powered up. RTN in cabinet. Issues with MW mount to be resolved_x000D_
07/07/15 - link in place with Kaikohe site integrated. Skycomms to confer with GHD that alternative mount build is acceptable</t>
  </si>
  <si>
    <t>REF: 2130025-RMALUC  - 24/08/2012</t>
  </si>
  <si>
    <t>KeriKeri TX only site</t>
  </si>
  <si>
    <t>Kerikeri Exchange</t>
  </si>
  <si>
    <t>Huawei Build PO 35486_x000D_
11/3/15 - Equip arrives 02/04. Chorus to install rack, Fibre backhaul RFS 16/04, Huawei to install CX and commission week 20 April_x000D_
22/04/15 - Build price confirmed to Huawei/Skycomms.  Huawei request to shift rack to Chorus and CX to office for pre-confiq_x000D_
04/04/15 - Rack with Chorus, CX install 1 May.  Huawei to issue MOP etc for CR_x000D_
26/05/15 - Testing completed, L3 all good. Vol 4 to be supplied_x000D_
03/06/15 - Vol 4 received and in acceptance phase</t>
  </si>
  <si>
    <t>Kerikeri Exhange_x000D_
Hobson St_x000D_
Kerikeri</t>
  </si>
  <si>
    <t>Kaitaia TX Only</t>
  </si>
  <si>
    <t>Kaitaia TX only site</t>
  </si>
  <si>
    <t>9 Puckey Avenue, Kaitaia, Northland, New Zealand</t>
  </si>
  <si>
    <t>Coopers Beach Exchange</t>
  </si>
  <si>
    <t>18/05/15 - Preliminary approval received. lease accepted. Jordan lodging for final approval with RMA_x000D_
28/05/15 - 2D has approved Chorus build and requested for 1/8 start. Fibre 15/8 RFS_x000D_
16/06/15 - Final TX specs required_x000D_
23/06/15 - Ron to obtain Packing list so Girma can select items for Chorus/Visionstream to install - done and sent to Huawei_x000D_
30/7/15  PO 36531 issued to Skycomms for build_x000D_
04/08/15 - Skycomms to do Chorus project plan_x000D_
13/08/15 - Project Plan lodged with Chorus.  Approved by 17.8. All go for Sky_x000D_
25/08/15 - Pole received. Need RG8 for Visionstream_x000D_
16/9/15 - Fibre in, service given.  Hole drilled for pole.  RG8 delivered. Visionstream to do rack etc.</t>
  </si>
  <si>
    <t>18 Wrathall Road _x000D_
Mangonui</t>
  </si>
  <si>
    <t>Minor infringements of building coverage and impermeable area  - 24/03/2015</t>
  </si>
  <si>
    <t>Cape Karikari</t>
  </si>
  <si>
    <t>Karikari VF Colocation</t>
  </si>
  <si>
    <t xml:space="preserve">02/10/15 - Site to HARDMATCH ONLY - not in build programme_x000D_
_x000D_
14/4/15 - Caravanned. VF colo best option, with own greenfield also done.  Power to site needs to be investigated as if this needs to come from the Winery transformer, the costs will be high._x000D_
11/05/15 - GHD advised structural pass (0.84d deflection)_x000D_
21/08/15 - Preliminary approval received.  Need decision from Business, whether to continue with this site (is it in 2016 build?)_x000D_
19/06/15 - Not in 2015/2016 programme. Landbank site - so Consent/Lease_x000D_
29/09/15 - Melissa will do review of Plan Change to see if any impact_x000D_
_x000D_
</t>
  </si>
  <si>
    <t>Maungataniwha (Kordia G2)</t>
  </si>
  <si>
    <t>Kordia Maungataniwha</t>
  </si>
  <si>
    <t>PO 35727 issued to Huawei 20/05/15_x000D_
20/07/15 - kORDIA REVISED DATES RECEIVED - Delays with metalwork and access_x000D_
12/08/15 - Kordia plan has TI complete 4/9, Integrated 10/9_x000D_
01/09/15 - Kordia still have not started on site_x000D_
14/09/15 - S1+3 antennas in, Cabinets in and cabled. Power to go on, link being installed_x000D_
24/09/15 - CR for linking to Kaitia done for 28/9-02/10 . Integration CR46524 for 28/9 - 2/10</t>
  </si>
  <si>
    <t>off Iwitaua Road_x000D_
Maungamuka_x000D_
Northland</t>
  </si>
  <si>
    <t>Ahipara (Kordia G4)</t>
  </si>
  <si>
    <t>Kordia Ahipara</t>
  </si>
  <si>
    <t>PO 35695 issued 20/5/15_x000D_
22/06/15 - Dates from Kordia supplied and updated - will need review to bring in better_x000D_
20/07/15 - Dates revised by Kordia - delays with metalwork_x000D_
12/08/15 - Kordia revised dates 15/9 TI Complete, 17/9 Integration, 24/9 Vol 4_x000D_
01/09/15 - Kordia still not started on site_x000D_
29/09/15 - Working on site. Build largely completed. Link alignment and site integration 5-10 Oct</t>
  </si>
  <si>
    <t>16-24  Roma Road _x000D_
Ahipara_x000D_
Northland</t>
  </si>
  <si>
    <t>Pakaraka</t>
  </si>
  <si>
    <t>Pakaraka Candidate for Forecasting</t>
  </si>
  <si>
    <t>02/10/15 - Site removed from Acquisition programme - HOLD ALL WORKS_x000D_
_x000D_
01/09/15 - Kevin to issue search ring by Wed 2/9_x000D_
1/09/15 - VF Site Datapack received_x000D_
19/06/15 - Set up caravan_x000D_
29/09/15 - Advised to hold on site</t>
  </si>
  <si>
    <t>Whangarei</t>
  </si>
  <si>
    <t>Whangarei Central</t>
  </si>
  <si>
    <t>Whangarei Central_x000D_
Whangarei_x000D_
Option A: VNZ 12m Co-site on rooftop  Grid: 26299981  6607131 (Not great - prefer the TNZ option located at the TNZ Exchange just North of this location)_x000D_
Option B: TNZ option under NTH 002-017 Whanageria North: Grid: see NTH 002-017 Whanageria North_x000D_
Option C: 15/20m GF Pole option on one of the Industrial addresses - plenty of options. Grid: E2629901 N6607131</t>
  </si>
  <si>
    <t>Otaika</t>
  </si>
  <si>
    <t>VF Co-lo</t>
  </si>
  <si>
    <t>2010-02-10</t>
  </si>
  <si>
    <t>Vodafone have a 20.5m Type H pole with estimated 71% spare capacity, VF ref: WID. Ring frame on existing. Telecom have 3phase power plinth in their compound._x000D_
Site Visit : 26.02.2012. Structural Passed. Good co lo option. Caravan planned 08.02.2011 _x000D_
10.02.11 Caravan completed. WO1 issued. Await plans 01 March 2011_x000D_
01.03.2011 - Rev 0 plans received, circulation complete will be forwarded to Infratel 02.03.2011. PD's issued, VNZ full application to be submitted. VNZ Application and RMA SUBMITTED._x000D_
VNZ and RC received. VNZ final approval received.</t>
  </si>
  <si>
    <t>opp 92 High St, Otaika</t>
  </si>
  <si>
    <t>Hikurangi</t>
  </si>
  <si>
    <t>Hikurangi Greenfield</t>
  </si>
  <si>
    <t xml:space="preserve">02/10/15 - Site in BUILD Programme_x000D_
_x000D_
15/06/15 - Require VF co-site approval for All Site Acq Complete.  IWI consultation to be set up (Ron)_x000D_
09/07/15 - Lodges co-site approval and also Tender Instruction_x000D_
04/08/15 - S92 from Council - Heritage NZ and Iwi`_x000D_
05/08/15 - VF Co-site approval received_x000D_
18/08/15 - Iwi consultation when weather better for access. Puit consent on hold. Not build 2015. Withdraw tender instruction._x000D_
22/09/15 - Landscape/visual looks OK.  Iwi sign-off will be required for consent_x000D_
9/2/16 - Iwi consultation on site 22 Feb (planned)_x000D_
</t>
  </si>
  <si>
    <t>Mountain View Road, Huikurangi</t>
  </si>
  <si>
    <t>Kamo North (TX HUB)</t>
  </si>
  <si>
    <t>Kamo North on TNZ land</t>
  </si>
  <si>
    <t>2011-03-15</t>
  </si>
  <si>
    <t>Hub site and given dish requirements not suitable unless pole replaced._x000D_
23.03.2011 Caravaned. LOS cherry pick complete. Site chosen adjacent to trig beacon on TNZ land. WO 1 issued 24.03.2011 boundary survey complete today, await plans. Have RC. TNZ approved Project Plan. Await sub lease from Jon W.</t>
  </si>
  <si>
    <t>231 Purakiore Rd_x000D_
on TNZ land</t>
  </si>
  <si>
    <t>Kamo (TX HUB)</t>
  </si>
  <si>
    <t xml:space="preserve">Kamo </t>
  </si>
  <si>
    <t>24.03.2011 Site moved from behind Super Liquor to where the Pohutukawa tree was. Now out of the way of teh truck delivery to trade entrance to Super Liquor. Landlord happy. Await drawings. 30.03.2011 Boundary servey complete today. Expect plans tomorrow for first review</t>
  </si>
  <si>
    <t>567 Kamo Road</t>
  </si>
  <si>
    <t>sent to Paul Lees &amp; Heather McNeal_x000D_
Whangarei District Council  - 13/05/2011</t>
  </si>
  <si>
    <t>Maunu Hill (TX HUB)</t>
  </si>
  <si>
    <t>AKL-007-106-A, NTH-002-011-A</t>
  </si>
  <si>
    <t>Andrew Potter : Vodafone have a 20m Type A pole with estimated 20% spare capacity, VF ref: MNU. Colo not suitable as our microwave requirements are too large, hub site._x000D_
Barbara R : Site viste 27.01.2011. Structural passed. Good option for co lo. Caravan planned 10.02.2011. WO1 issued 15.02.2011 Planning Drw Rev 0 issied and circulation complete - VNZ aPPLICATION MADE2/3 - wait for letter from LO before lodging consent.  Visual assessment required for this site.</t>
  </si>
  <si>
    <t>28/173 Millington Road, Maunu</t>
  </si>
  <si>
    <t>lodged with Heather McNeal - Consents Manager  - 19/04/2011</t>
  </si>
  <si>
    <t>Otangarei</t>
  </si>
  <si>
    <t>Mt Denby Golf Course</t>
  </si>
  <si>
    <t xml:space="preserve">27.01.2012 VNZ site situated well within high Pine trees on golf course. RF issues and future Tx issues._x000D_
12.05.011 REVISITED. LPR is on NZTA land and has to vested back to council. Have to progress co lo wherever possible (M Goss). WO1 issued. VNZ have right to remove and trim trees. VNZ have requested top spot and provision for larger antenna. Said will go with larger antenna on our RMA if we can have top. Rec VNZ prelim approval </t>
  </si>
  <si>
    <t>Mt Denby Golf Course,_x000D_
Denby Crescent, _x000D_
Tikipunga</t>
  </si>
  <si>
    <t>sent to WDC 12/07/11  - 12/07/2011</t>
  </si>
  <si>
    <t>Kensington</t>
  </si>
  <si>
    <t>2011-02-09</t>
  </si>
  <si>
    <t xml:space="preserve">Andrew Potter : Vodafone have a 13m Type U pole with estimated 94% spare capacity, VF ref: WBP. Double stack proposed. Data pack required. _x000D_
Barbara R : 27.01.2011 Structural passed however Cabinet space is tight at GL. LL suggested lifting cabinets above external WC's - requires steel platform - not ideal._x000D_
Caravan planned for 24.02.2011. Landlord not happy with rental offered. Cant go much more._x000D_
Work Order 1 issued, plans due 17 March. Cabinets to run parrallel with the fence, _x000D_
_x000D_
_x000D_
</t>
  </si>
  <si>
    <t>95 Kamo Road, Kensington</t>
  </si>
  <si>
    <t>Parahaki North</t>
  </si>
  <si>
    <t xml:space="preserve">Parahaki  North,_x000D_
Whangarei._x000D_
(Native Forest, Memorial Drive Highest of Hill Point sort : probably 2G at 1800Mhz site ONLY)_x000D_
Option A: Cosite with TNZ (might be a Kordia Pole) - Only use for GSM  Grid: E2631644 N6608957_x000D_
Option B: GF adjacent to TNZ option Grid:E2631664 N6608987_x000D_
</t>
  </si>
  <si>
    <t>Whangarei (Main HUB)</t>
  </si>
  <si>
    <t>Maori Trust Board Building</t>
  </si>
  <si>
    <t>Barbara R : 26.01.2011 HUB site. Excellent candidate, sufficient room inside + additional small room. Could be used to house the generator. VNZ also investigating generator - possible cost share ? Building manager very positive. Caravan planned 10.02.2011. 01.02.2011 VNZ keen on gen share. VNZ deadline for install 31.03.2011. WO1 Isssued await plans on 01 March. 2d rather share VNZ generator. 2D to put in  proposal to VNZ on sharing - Paul Kinghan has responded in detail to Vodafone._x000D_
Planning Dwg Rev 0 issed and circulation complete. Await drawings</t>
  </si>
  <si>
    <t>1-3 Hunt Street, Whangarei</t>
  </si>
  <si>
    <t>Portland</t>
  </si>
  <si>
    <t>Portland - VF Co-lo</t>
  </si>
  <si>
    <t>02/10/15 - URGENCY for Site to build_x000D_
30/06/15 - Finally got docs from VF_x000D_
31/07/15 - PO 36531 issued for Downers Build. Get underway with metalwork, clock stopped until access available._x000D_
04/08/15 - Delays with Fletcher signing. Downers to do Project plan so we can lodge final and build approval together_x000D_
09/09/15 - Removing from 2015 programme due to issues with Fletchers lease agreements_x000D_
16/09/15 - PO6 withdrawn. Huawei to advise costs to date, metalwork to be stored by 2D, Amend PO_x000D_
4/11/15 - Lease details back with VF. Will retender for build. Chorus advised of revised RFS date_x000D_
8/12/15 - Fletchers not looking responding until into New Year_x000D_
9/2/16 - Head Lease terms agreed. Lease will take 2 months to execute.  Brad requested to look at getting Fletcher lawyers and VF together to finalise lease conditions</t>
  </si>
  <si>
    <t>170 Portland Quarry Road</t>
  </si>
  <si>
    <t>In portland overlay, countryside zone underlying. Existing pole exceeds height limit for zone, requires consent as discretionary activity. AT, 4.9.12  - 04/09/2012</t>
  </si>
  <si>
    <t>Marsden Point</t>
  </si>
  <si>
    <t>Marsden Point VNZ CoLo</t>
  </si>
  <si>
    <t>17/07/15 - VF build approval received_x000D_
18/08/15 - Integrate next week.  Feeders in, Cabs in antennas up mw mount up_x000D_
11/09/15 - Site on air_x000D_
02/10/15 - Feeders to be relocated to enable ladder to be safely used. Skycomms to advise process and timing</t>
  </si>
  <si>
    <t xml:space="preserve">Flyger Road, Ruakaka, Whangarei_x000D_
</t>
  </si>
  <si>
    <t>On designation DW68 (Water), in Notable Landscape Area. Underlying Zoning Countryside. Exceeds height limit, requires consent as a Discretionary activity. AT. 4.9.12.   - 04/09/2012</t>
  </si>
  <si>
    <t>Brynderwyn</t>
  </si>
  <si>
    <t>Brynderwyn VFNZ Co-Lo</t>
  </si>
  <si>
    <t>NTH-002-013-A, NTH-003-010-A</t>
  </si>
  <si>
    <t>17/07/15 - VF build approval received_x000D_
04/08/15 - Cabinets in next week. Crane in when weather OK. Sky to advise prelim dates_x000D_
24/09/14 - Vol4 received. CR in for Monday night to go live_x000D_
28/09/15 - Site on air.  Microwave link still out of spec - monitor and repan_x000D_
02/10/15 - MW has been installed at wrong height. CR required for outage to relocate</t>
  </si>
  <si>
    <t>Artillary Road_x000D_
Off SH_x000D_
Brynderwyn</t>
  </si>
  <si>
    <t>Discretionary Consent -co - lo on VF. VA required. AT 12.9.12.   - 12/09/2012</t>
  </si>
  <si>
    <t>Whangarei Hospital</t>
  </si>
  <si>
    <t>Maunu Road LPR - NZTA</t>
  </si>
  <si>
    <t>2011-04-18</t>
  </si>
  <si>
    <t>Back up. WO1 issued. Cherry Pick to be done. TMP taking long. (15wd) issue WO so that when Cherry pick done we will know which site and can lodge almost immediatly. Cherry Pick complete. This is active candidate_x000D_
11/5/11 - On NZTA land - Andy to get peliminary approval to build at this location</t>
  </si>
  <si>
    <t>168A Maunu Road_x000D_
opposite Hospital Rd and Maunu Road T Junction</t>
  </si>
  <si>
    <t>Lodged 29.8.2011  - 30/08/2011_x000D_
Approved 29.9.11: Council reference CC1100013 P109352  - 03/10/2011</t>
  </si>
  <si>
    <t>Sherwood Rise</t>
  </si>
  <si>
    <t>LPR - Onerahi Rd</t>
  </si>
  <si>
    <t>2011-02-14</t>
  </si>
  <si>
    <t xml:space="preserve">Barbara R : Site vist 26.01.2011 LPR - 3 options. TX to LOS 2-4 Feb - then advise. Have requested info from VNZ re ex clock tower on cnr of Onerahi and Waverley. TX have done LOS. LPR with speed counter on it, is preferred. Caravan 24.02.2011. LOS TO BE REDONE. 09.03 LOS redone. Site good for Tx. WO1 issued. Rev 0 due 23.03 </t>
  </si>
  <si>
    <t xml:space="preserve">opposite 141 Onerahi Road </t>
  </si>
  <si>
    <t>Lodged with Heather McNeal - Consents Manager  - 19/04/2011</t>
  </si>
  <si>
    <t>Whangarei Central North</t>
  </si>
  <si>
    <t xml:space="preserve">Whangarei Central North_x000D_
Whangarei (Might be combined with 002-002 Whangarei Central SR)_x000D_
Option A: 30m TNZ pole atop the Exchange Building. Grid: 2629890 6607256_x000D_
Option B: Use Vodafone Rooftop option - based on NTH 002-002 Whanageria Central. Grid: see NTH 002-002._x000D_
_x000D_
Access: Appointment to get inside Building and therefore Tower required from TNZ. Otherwise Tower easily viewable from car park. _x000D_
</t>
  </si>
  <si>
    <t>Okara Park</t>
  </si>
  <si>
    <t>LPR Stadium</t>
  </si>
  <si>
    <t>2011-05-15</t>
  </si>
  <si>
    <t>LPR is on the otherside of roundabout closer to the stadium. Easier build. Away from power lines. WO1 issued. Drawings on circulation. Simon and Jeff of Whangarei Council - Roads are happy with the position.</t>
  </si>
  <si>
    <t>Okara Park Roundabout_x000D_
Stadium side</t>
  </si>
  <si>
    <t>Maunu Village</t>
  </si>
  <si>
    <t>VF Co-lo Tui Crescent Foodmart</t>
  </si>
  <si>
    <t xml:space="preserve">Andrew Potter : Vodafone have approximate 12m pole, not details on their site database. Order datapack, this is probably going to be our best option._x000D_
Barbara R : VNZ structural passed, will require additional lease area and head frame sawpout. TP allows upto 15m. Site Aqu (Andy) dealt with owner when did VNZ, will make contact. Owner is keen. Doesnt want additional mast, was a bit of hassels with this one. Will need to double stack. WO1 Issued await plans 03 March _x000D_
Rev 0 issued circulation complete. Will be returned to Infratel 02.03.2011_x000D_
16/3 - Mikhail to let team know which tree is in the way. Have approached VNZ and asked that they address the problem (We cant as we dont have legal right to be there) Need this site as its CO LO_x000D_
VNZ have requested we amend the head fram to accomodate there future plans. Vodafone have approved the co location_x000D_
_x000D_
</t>
  </si>
  <si>
    <t>1 Tui Crescent</t>
  </si>
  <si>
    <t>sent up to WDC 12/07/11  - 12/07/2011</t>
  </si>
  <si>
    <t>Tikipunga</t>
  </si>
  <si>
    <t>Vodafone have a 10m Type 356 pole with estimated 16% spare capacity. Dish requirements (1x0.6 and 1x0.3) will more than likley overload tower therefore this option made back-up but datapack to be ordered to double check. 10.02.2011 We will have to double stack RF want 2d on top or it wont be viable. HtBoundary exceeded. Not going to be easy. Rev 1 issued. Application in to VNZ. Landlord has questions / concerns. Vodafone have approved the co location application. Landlord has signed consent and DoV. RMA submitted</t>
  </si>
  <si>
    <t>159 Kiripaka Road_x000D_
Tikipunga_x000D_
Whangarei</t>
  </si>
  <si>
    <t>Limited Notified application lodged on 25.7.11  - 01/08/2011</t>
  </si>
  <si>
    <t>Tutukaka - Spark CO LO</t>
  </si>
  <si>
    <t>30/3/15 - Colo application lodged with Spark_x000D_
11/5/15 - Preliminary approval received. Liz requested cost of rent_x000D_
04/08/15 - S92 from Council - Heritage NZ and Iwi_x000D_
11/08/15 - Spark advised their works on site - looks like clash with our panels. Responded back to Spark_x000D_
18/08/15 - HNZ and IWI consult on site 02 Sept. Then hopefully consent passes_x000D_
29/09/15 - Council have raised another IWI.  Melissa will work with Dane to see if covered by Ngati Wai_x000D_
24/11/15 - Consent in, Spark Build approval received, Build starts 30 Nov_x000D_
7/12/15 - pad in, cabinets down, Power and fibre by 9 Dec, . Problem with space on mast for panels (being sorted), Mediaworks link issue which may prevent GU900 being placed live. Mike Lancaster assisting with solutions</t>
  </si>
  <si>
    <t>Matapuori Road_x000D_
Tutukaka</t>
  </si>
  <si>
    <t>One Tree Point</t>
  </si>
  <si>
    <t>One Tree Point - VNZ RBI</t>
  </si>
  <si>
    <t>11/05/15 - VF Preliminary approval received_x000D_
07/08/15 - Final approval received.  Quote received, POR raised_x000D_
24/08/15 - VF Approval to Build received_x000D_
13/10/15 - Site integrated_x000D_
4/11/15 - Fibre link has very high loss, and minimal margin. Chorus working on_x000D_
10/11/15 - Link now has sufficient margin and Site is on air</t>
  </si>
  <si>
    <t>RBI Colocation_x000D_
78 Marsden Bay Drive_x000D_
One Tree Point_x000D_
Marsden Point</t>
  </si>
  <si>
    <t>Whangaruru</t>
  </si>
  <si>
    <t>Whangaruru Co-Site</t>
  </si>
  <si>
    <t>02/10/15 - Site to HARDMATCH ONLY - not in build_x000D_
_x000D_
23/06/15 - IWI consultation required - could lodge consent end July_x000D_
09/07/15 - Lease in with 2D to sign. Co-site applications lodged_x000D_
04/08/15 - VF cosite approval received_x000D_
18/08/15 - On site IWI and HNZ consultation 02 Sept. Consent lodge delay till then_x000D_
9/2/16 - planning for Iwi consultation 23 Feb</t>
  </si>
  <si>
    <t>Access off _x000D_
Peach Orchard Road_x000D_
Whangaruru</t>
  </si>
  <si>
    <t>Kaipara</t>
  </si>
  <si>
    <t>Mangawhai</t>
  </si>
  <si>
    <t>Mangawhai Green Field</t>
  </si>
  <si>
    <t>Huawei Build PO 35468_x000D_
This site MUST be pegged before commencement. Fence is NOT the boundary. Also note the power route easement in the road. Need to do cosite with TNZ_x000D_
11/05/15 - Design issue with GHD to resolve - site not flat as per CD's.  Could be an issue getting rigs and trucks to site_x000D_
26/05/15 - need break in weather to continue build as road is getting chopped up. Retaining wall and site prep done_x000D_
07/07/15 - Ready to pour Cap and slab. Pwr and Fibre going in_x000D_
04/08/15 - Pole in, fibre next week . Power next week. Integration12-14 Aug_x000D_
13/08/15 - Site Integrated and Vol 4 submitted_x000D_
19/08/15 - SOA</t>
  </si>
  <si>
    <t>Cove Road</t>
  </si>
  <si>
    <t>Dargaville</t>
  </si>
  <si>
    <t>Dargaville - VNZ CO LO</t>
  </si>
  <si>
    <t>19/2/15 - Vodafone CoLo Preliminary approval granted._x000D_
13/10/15 - Head lease and VF signing end of next week - looking more positive_x000D_
4/11/15 - Decision required on progressing forward.  COW only mitigating 50%, has customer issues, and also neighbour not happy._x000D_
09/11/15 - Governance approved site to progress and build asap_x000D_
17/11/15 - Committee meeting 15 Dec to do the VF lease sign approval, then our can be done.  Consent lodge as soon as Ben supplies cheque_x000D_
9/2/16 - Took till Xmas to get Council to approve officers to sign lease. Council suggested to Museum that they should go for more lease $$$.  Under negotiation, which has caused dates to be pushed out</t>
  </si>
  <si>
    <t>Mt Wesley Coast Road_x000D_
at the Dargaville Museum</t>
  </si>
  <si>
    <t>Property is leasehold. Lessor Kaipara District Council._x000D_
Lease has expired and to be settled between the parties. Late 2015_x000D_
VDF lease agreement expiring  - 13/05/2015</t>
  </si>
  <si>
    <t>RMA TBC - Permitted if complies with 18.5  - 05/04/2012_x000D_
In Designation and notable landscape area. Existing structure is 25.7m and exceeds permitted height limit and requires consent as a discretionary activity. AT - 4.9.12. _x000D_
  - 04/09/2012</t>
  </si>
  <si>
    <t>Horokaka</t>
  </si>
  <si>
    <t>Horokaka - KORDIA</t>
  </si>
  <si>
    <t>PO 35727 issued to Huawei 20/05/15_x000D_
01/09/15 - Linking to Marsden Point. Kordia still not started on site_x000D_
24/09/15 - Girma raising BoQ for hi-wind speed capable MW dish for Horokaka_x000D_
29/09/15 - Revised dates from Kordia. Expecting to integrate 22 Oct_x000D_
4/11/15 - revised integration 12 Nov. Dates revised_x000D_
19/11/15 - Kordia have revised dates due to limited resources_x000D_
7/12/15 - Vol4 received and in process</t>
  </si>
  <si>
    <t>O`Carroll Road,_x000D_
Maungakaramea_x000D_
Northland</t>
  </si>
  <si>
    <t>Kaiwaka</t>
  </si>
  <si>
    <t>Kaiwaka - VF Colo</t>
  </si>
  <si>
    <t>03/06/15 - Colo Preliminary approval received_x000D_
24/11/15 - Power to come. Build complete. Link to BER_x000D_
30/11/15 - Link BER'ed. Power by 4 Dec, then integrate_x000D_
7/12/15 - Faulty fibre to RRU (replaced), testing, Vol 4 before end of week</t>
  </si>
  <si>
    <t>Vodafone Colocation_x000D_
Giles Farm_x000D_
Pukenui Hill,  SH1_x000D_
Kaiwaka</t>
  </si>
  <si>
    <t>Ruawai</t>
  </si>
  <si>
    <t>22 Oct: RF search ring requested_x000D_
12 Nov: SDP received_x000D_
17 Nov: Co-lo &amp; GF options available. Assess on caravan_x000D_
2 Dec: Fibre pre qual ordered. _x000D_
8 Dec: Antennas ordered_x000D_
21 Jan: PD distributed. GF PD requested. _x000D_
2 Feb: Co-lo lodged. Co-site application drafted. Structural assessment submitted to VF._x000D_
10 Feb: GF option PD's drafted. Awaiting comments</t>
  </si>
  <si>
    <t>Gallie Road_x000D_
Ruawai</t>
  </si>
  <si>
    <t>Central Otago</t>
  </si>
  <si>
    <t>Clyde</t>
  </si>
  <si>
    <t>Clyde Greenfield</t>
  </si>
  <si>
    <t>Could be an expensive build. Most of the track is public, last section is Telecoms.  Requires extra battery cabinet. 16/7 Lease sent to LL Fri 13th - SA. 23/7 Should be ready by 15 Aug.  13/8 Needs LL to re-sign.   (8 Oct 2014) - RF to review PD, may need antenna type amendment and azimuth tweaks.  PM to re-visit power connection cost.  Tx to re visit fibre connection.  FO looks good, Trans upgrade $6k.  CDI issued.  12 Nov - Tx re-checking FO cost.  Site subject to RF redesign.  29 Jan - site confirmwed dates changed to align with expected Huawei equipment delivery</t>
  </si>
  <si>
    <t>OTAGO</t>
  </si>
  <si>
    <t>Hawksburn Road_x000D_
Clyde</t>
  </si>
  <si>
    <t>Slippage rules don't apply  - 17/05/2012</t>
  </si>
  <si>
    <t>Springvale</t>
  </si>
  <si>
    <t>Springvale VF colo</t>
  </si>
  <si>
    <t>Permitted if &lt;20m. Flat ground easy access, VF lease expires May 2015. 23/05 Awaiting structural reassessment.  Requires extra battery cabinet. 28/05 Colo app submitted. Lightening rod exceeds permitted height. 02/07 Need DoV for Vf for our Lease. 23/7 New Wo2 required for additional PSU. 6/08 Confirm approach with LL._x000D_
30 Apr 2015 colo application submitted DMR to Clyde.  12 May Preliminary acceptance received._x000D_
Lease delayed due to VF releasing terms.  Vol4 date pushed out as lease delay prevented submission of Project Plan</t>
  </si>
  <si>
    <t>Off Ferris Road_x000D_
Alexdendra</t>
  </si>
  <si>
    <t>Permitted if &lt;20m  - 17/05/2012</t>
  </si>
  <si>
    <t>Cromwell</t>
  </si>
  <si>
    <t>Cornish Point</t>
  </si>
  <si>
    <t>Site has room to construct monpole and accomodate COW at the same time if required.  Current COW location agreement (inside Telecom lease are) expires Jan 2013.  We may have to relocate the COW to new lease area.</t>
  </si>
  <si>
    <t>Off Cornish Point Road_x000D_
Cromwell</t>
  </si>
  <si>
    <t>Cromwell Exchange Tx only</t>
  </si>
  <si>
    <t>Tx only site</t>
  </si>
  <si>
    <t>Tarras</t>
  </si>
  <si>
    <t xml:space="preserve">Vf colo is active but may fail, GF options sketched but will be awkward.  28 April Kordia own the IP on the tower and will have to undertake structural assessment - in progress_x000D_
4 Jun - May delay colocation application and all dates thereafter as acceptance will time expire after 120 days.  Site in jeopardy WRT structural assessment - design input required.  Rethink required on site design, dates pushed to accommodate 14 Aug - New design referred back to Kordia for assessment.  Site will not be delivered in 2015 - #106 Oct - Solution agreed with VF, mast to be detailed and assessed by GHD, new PD in play_x000D_
</t>
  </si>
  <si>
    <t>Tarras hill _x000D_
off Jolly Road SH 8A</t>
  </si>
  <si>
    <t>up to 20m  - 22/02/2015._x000D_
  - 22/02/2015</t>
  </si>
  <si>
    <t>Obelisk (BCL)</t>
  </si>
  <si>
    <t>RBI - Naseby</t>
  </si>
  <si>
    <t>Ranfurly</t>
  </si>
  <si>
    <t>Korida colo, plenty of space on mast and in building.  Likley DMR link to Clyde via 1.8m dishes if Clyde can support one.  7 Apr - colo application lodged.  18 May - still await Korida response.  Price received and accepted, Kordia cannot build until mid Aug. 4 Jun - continue to hard match and ensure all arrangement made but build will likely be delayed until 2016.  Date pushed out accordingly</t>
  </si>
  <si>
    <t>Little Mount Ida</t>
  </si>
  <si>
    <t>Kordia responsibility  - 19/05/2015</t>
  </si>
  <si>
    <t>Peninsula Hill</t>
  </si>
  <si>
    <t>Queenstown</t>
  </si>
  <si>
    <t>Hub Site</t>
  </si>
  <si>
    <t xml:space="preserve">Deer Park Heights_x000D_
432 Peninsula Road_x000D_
Peninsula Hill_x000D_
Queenstown_x000D_
</t>
  </si>
  <si>
    <t>Gondola</t>
  </si>
  <si>
    <t>In Build. 2 Sectors initially. Sector 3 to be advised.  S127: RMA access tidy up.</t>
  </si>
  <si>
    <t xml:space="preserve">Skyline Restaurant/Gondola_x000D_
Bob's Peak_x000D_
Brecon Street_x000D_
Queenstown_x000D_
</t>
  </si>
  <si>
    <t>Coronet Peak</t>
  </si>
  <si>
    <t>Coronet</t>
  </si>
  <si>
    <t>Land owner wants build in January 10, but will allow start in December, providing ground is solid enough for the plant.  December dates at risk to the weather.  (P Bunnage)</t>
  </si>
  <si>
    <t>Coronet Peak Ski Area_x000D_
Coronet Peak Road_x000D_
Queenstown</t>
  </si>
  <si>
    <t>Queenstown Kordia POP</t>
  </si>
  <si>
    <t>Kordia POP</t>
  </si>
  <si>
    <t>1 Isle Street_x000D_
Queenstown _x000D_
Otago</t>
  </si>
  <si>
    <t>Frankton</t>
  </si>
  <si>
    <t>Awaiting update on snags.  We need the acceptance report from Aurecon to complete Kerry's report.</t>
  </si>
  <si>
    <t>Transpower site_x000D_
93 Frankton - Ladies Mile Highway_x000D_
Frankton_x000D_
Otago</t>
  </si>
  <si>
    <t>Shotover</t>
  </si>
  <si>
    <t>Arrowtown Basin</t>
  </si>
  <si>
    <t>perhaps future highway linking site between QNT and Cromwell</t>
  </si>
  <si>
    <t>Kadrona Ski Fields</t>
  </si>
  <si>
    <t>Arrowtown</t>
  </si>
  <si>
    <t>Glencoe Station TCNZ Cosite</t>
  </si>
  <si>
    <t>03/10 Peninsula hill dish to be shown on asbuilts. 30/01 Fishnet want to colocate. 03/04 Peter proposed site move closer and down towards TC pole. Chris Adams to visit with Peter M to review concept. 16/04 HW to cxonfirm if skycomms will build. Need revised PD asap. Build and geotech not to commence until details confirmed with Council. 01/05 Delta independent fuse only. Topo survey required to peg ground. Peter to arrange access for geotech. Construction could be achieved using helicopters and concrete pump, therefore no access track required. Peter to find out pole weight and costs.  Build not likely to commence until Sept. 23/7DOV signed &amp; S127 approved.  Finalise CD's.</t>
  </si>
  <si>
    <t>Glencoe Station_x000D_
Off Glencoe Road_x000D_
Arrowtown</t>
  </si>
  <si>
    <t>Cardrona Valley</t>
  </si>
  <si>
    <t>Marketing reqested this Nominal - exact reason not known to RF</t>
  </si>
  <si>
    <t>Wanaka</t>
  </si>
  <si>
    <t>Wanaka VF colo</t>
  </si>
  <si>
    <t>Controlled if &lt; 15m. Requires extra battery cabinet. Local planner prefers colo. 29/05 SA - continuing negotiations. 02/07 On hold as Vf do not know if they can sub-let. Jason will assist with land acquisition from Telecom.  16/7 Vf now off-hold.  LL consent required to continue, response expected this wk. 13/8 Still waiting for Vf docs. 20/8 Legal review taking a long time. 3/9 Next council meeting 2nd Oct. 17/9 Additional form for LL to sign.  Chorus need to swap PSU for fibre modem to a DC-DC type before site can go live</t>
  </si>
  <si>
    <t>Off Cardrona Valley Road</t>
  </si>
  <si>
    <t>Controlled if &gt;15m  - 17/05/2012</t>
  </si>
  <si>
    <t>Wanaka Central</t>
  </si>
  <si>
    <t>Council Car Park</t>
  </si>
  <si>
    <t>03/04 high SSLU. Requires extra battery cabinet. Next comittee meeting 16/8 but lease can progress some before hand. 29/05 not dependent on 070-011 for tx.  Requires boundary and GPR survey. 02/07 Lease terms unacceptable "Termination on Development".  Need lease before RC lodge. 16/7 Next Council meeting 2/10. 27/8 Monitor council proceedings.</t>
  </si>
  <si>
    <t>Car Park_x000D_
Brownstone St_x000D_
Wanaka</t>
  </si>
  <si>
    <t>Kadrona</t>
  </si>
  <si>
    <t>Church Street</t>
  </si>
  <si>
    <t>15 Oct, pre tender visit to site has been made with PD, once CD is complete pricing can be requested</t>
  </si>
  <si>
    <t>11 - 17 Church Street _x000D_
Queenstown</t>
  </si>
  <si>
    <t xml:space="preserve">Queenstown Exchange </t>
  </si>
  <si>
    <t>Chorus - TX Only site</t>
  </si>
  <si>
    <t>No caravan, WO1, PD or CD required colocation inside Telecom exchange for a CX-600 rack only</t>
  </si>
  <si>
    <t>11A Camp Street_x000D_
Queenstown_x000D_
Queenstown Lakes</t>
  </si>
  <si>
    <t>Taieri Plains</t>
  </si>
  <si>
    <t>Airport TC Cosite</t>
  </si>
  <si>
    <t>Dunedin</t>
  </si>
  <si>
    <t>2011-05-13</t>
  </si>
  <si>
    <t>Liz to follow up shared facilities agreement with TC. It won't be required to resolve this before FAC.  27/02 Shared access track agreement delayed due to Telecom / Chorus split - Liz. 01/05 FAN due soon.</t>
  </si>
  <si>
    <t>909 Allanton Waihola Road_x000D_
RD2_x000D_
Mosgiel</t>
  </si>
  <si>
    <t>Airport Zone maimum height 10m, additional height is discretionary, up to 3m Dish is permitted. CAA will need to be approached for consent - umlikely to be an issue.  - 24/03/2011</t>
  </si>
  <si>
    <t>Abbotsford</t>
  </si>
  <si>
    <t>Church Hill Rd</t>
  </si>
  <si>
    <t>Rail lock has been modified. 01/05 No further complaints from neighbour. FAN due soon.</t>
  </si>
  <si>
    <t>Church Hill Road</t>
  </si>
  <si>
    <t>Brighton</t>
  </si>
  <si>
    <t xml:space="preserve">Coverage to the township of Brighton and the surrounding area._x000D_
Consider co-location with Telecom._x000D_
_x000D_
Consider a new structure. </t>
  </si>
  <si>
    <t>Mosgiel Town</t>
  </si>
  <si>
    <t>127 Gordon Road</t>
  </si>
  <si>
    <t>Link to Halfway bush site requires equipment that is currently installed elsewhere. 07/02 Wait until Carisbrook + St Kilda are live until TX equip can be redeployed as per original plan for Mt Cargill. 07/05 construction starts this week.</t>
  </si>
  <si>
    <t>127 Gordon Road,_x000D_
Mosgiel</t>
  </si>
  <si>
    <t>Permitted activity if mast is not taller then 12m and cabinets meet noise requirements distances for 40dBA - is a house 25m to the North on landowners land - may need affected party approval if breech 12m in height, also nearby house 30m to the South East  - 24/03/2011</t>
  </si>
  <si>
    <t>Mosgiel Hill</t>
  </si>
  <si>
    <t>Saddle Hill Rd RSR</t>
  </si>
  <si>
    <t>16/04 SPM to chase Chris on slope stability risk. 01/05 Skycomms looking for drilling company with required equipment to bore 600mm hole through rock.</t>
  </si>
  <si>
    <t>Opposite Vodafone Site_x000D_
Saddle Hill Rd_x000D_
Mosgiel_x000D_
Dunedin</t>
  </si>
  <si>
    <t>NES/DCC CoC in Visual Protection Area  - 20/01/2012</t>
  </si>
  <si>
    <t>Musselburgh</t>
  </si>
  <si>
    <t>Orari Street</t>
  </si>
  <si>
    <t>T2 25 UF Plus</t>
  </si>
  <si>
    <t>On air. Some works like bollards to be completed.</t>
  </si>
  <si>
    <t>16 Orari Street_x000D_
Musselburgh_x000D_
Dunedin</t>
  </si>
  <si>
    <t>Good site  - 11/07/2011</t>
  </si>
  <si>
    <t>St Kilda</t>
  </si>
  <si>
    <t>Forbury Park Rooftop</t>
  </si>
  <si>
    <t>Peter working with Alex on earthing solution. 16/04 Solution must match PD. 23/04 Peter M still waiting for CD - may not meet SOA date. 01/05 manufacture of steel work may delay progress. Vol4 would be needed by 08/06 to be drivetested in time. 07/05 construction starts this wek. Peter M trying to get better price for Monkey Toe</t>
  </si>
  <si>
    <t>Fourbury Park Raceway_x000D_
Victoria Road_x000D_
Dunedin</t>
  </si>
  <si>
    <t>MacAndrew Bay</t>
  </si>
  <si>
    <t>Vodafone Colo</t>
  </si>
  <si>
    <t>ok</t>
  </si>
  <si>
    <t>420 Highcliffe Road_x000D_
Dunedin</t>
  </si>
  <si>
    <t>Site located on a VPA area, colo is an excellent option in terms of minimising visual impacts on the site - DCC town planning definitly in favor of no additional masts on the property  - 08/04/2011</t>
  </si>
  <si>
    <t>Dunedin CBD North</t>
  </si>
  <si>
    <t>26/03 FAN delayed due to design snags</t>
  </si>
  <si>
    <t>Westpac Bldg_x000D_
106 George St_x000D_
Dunedin, 9016</t>
  </si>
  <si>
    <t>Discretionary as above maximum build height (17m) and also within Heritage Precinct (Discretionary). Planners happy with proposal proving they dishes are kept away from the parapets and do not extend above the height of the existing structure or other RF equipment. Colour coding required. Intelligent designs preferred in terms of visual impacts please. THIS WILL ALSO NEED TO GO BEFORE THE HERITAGE PLANNERS!!!!! at REV0  - 24/03/2011</t>
  </si>
  <si>
    <t>Dunedin CBD South (Main HUB)</t>
  </si>
  <si>
    <t>John Wickliffe Building</t>
  </si>
  <si>
    <t>20/02 agreement in writing to be sought before painting is carried out. 05/03 Hatch to be installed -ongoing. 19/03 Jason B is working on terms of agreement. 03/04 2d agree to be responsible for the guarrantee from the painter and ongoing maintenance but Peter M to arrange initial paint job after clarifying quote. Cost to be forwarded to 2d as a variation. 01/05 Paint worst parts before winter. Fast track agreement then paint remainder with scaffolding and traffic management.</t>
  </si>
  <si>
    <t>TCL</t>
  </si>
  <si>
    <t>265 Princes St._x000D_
Dunedin, 9016</t>
  </si>
  <si>
    <t>Discretionary as above maximum build height (17m) and also within South Octagon Precinct (Discretionary). Planners happy with proposal proving they dishes are kept away from the parapets and do not extend above the height of the existing structure or other RF equipment. Colour coding required. Intelligent designs preferred in terms of visual impacts please.  - 24/03/2011</t>
  </si>
  <si>
    <t>Carisbrook</t>
  </si>
  <si>
    <t>Kiwi Rail GF</t>
  </si>
  <si>
    <t>MW reconfig once St Kilda comes online.</t>
  </si>
  <si>
    <t>Kiwi Rail _x000D_
Hillside Road_x000D_
Dunedin</t>
  </si>
  <si>
    <t>Good option as in Industrial 1 area - would be good to keep mast below 25m, ensure cabinet locations comply with noise to boundary requirements   - 08/04/2011</t>
  </si>
  <si>
    <t>Signal Hill</t>
  </si>
  <si>
    <t>Coverage to the Area around Signal Hill. Coverage to Normanby, Upper Junction and Otago Harbour._x000D_
Consider co-location will Telecom.</t>
  </si>
  <si>
    <t>Gowland Street</t>
  </si>
  <si>
    <t>cnr Gowland and Albany St</t>
  </si>
  <si>
    <t>Port Chalmers</t>
  </si>
  <si>
    <t>Telecom Cosite GF</t>
  </si>
  <si>
    <t>Blueskin Road_x000D_
Port Chalmers</t>
  </si>
  <si>
    <t>Council less supportive of this option than colo with TCNZ._x000D_
- Maximum Height: (16m)_x000D_
- Setbacks: 20m front/rear boundary, 6m side boundary (applies only to cabinets masts can be at any distance)_x000D_
- Max Dish Diameter: (1.2m) _x000D_
- Maximum Panel Antenna Surface Area: (1.2m2)_x000D_
- Max Cabinet Dimension: (2m high, 10m2)_x000D_
- Maximum mast diameters: (1.5m dia up to 10m, 0.75m dia above 10m)_x000D_
- Radio frequency standards: As normally required - no issues with public or third party access_x000D_
- Existing consent to consider: Existing Vodafone Mast_x000D_
- Applicable additional overlay rules? VPA _x000D_
  (Visual Protection Area – all dimensions Discretionary in terms of Visual Appearance/design/location- existing permitted baselines of limited weight)_x000D_
  - 08/04/2011  - 22/06/2011</t>
  </si>
  <si>
    <t>Mt Cargill</t>
  </si>
  <si>
    <t>Mt Cargill, Cowan Road_x000D_
Dunedin</t>
  </si>
  <si>
    <t>Kordia in house  - 08/04/2011</t>
  </si>
  <si>
    <t>Waitati</t>
  </si>
  <si>
    <t>Coverage to Waitati &amp; surrounding area._x000D_
Consider Telecom co-location. Consider 20m new pole.</t>
  </si>
  <si>
    <t>Leith Valley</t>
  </si>
  <si>
    <t>Vodafone Colo Cowan Road</t>
  </si>
  <si>
    <t>Off Cowan Rd, Leith Valley_x000D_
Dunedin</t>
  </si>
  <si>
    <t>Double stack head frame colo on existing Vodafone 15m monopole, breaches maximum height for Zone of 16m (approx. height of ptroposal 17-18m). VPA overlay (Discretionary), colour coding with existing mast to match VF required.  - 24/03/2011</t>
  </si>
  <si>
    <t>Highcliff Rd</t>
  </si>
  <si>
    <t>Coverage to the SW , West &amp; East of this site._x000D_
Consider water tank on the hilltop as the nominal location. New structure required.</t>
  </si>
  <si>
    <t>Balaclava</t>
  </si>
  <si>
    <t>Kaikorai Valley Properties West</t>
  </si>
  <si>
    <t>Jason to confirm plant care arrangement. 16/04 Pines to be planted in winter.</t>
  </si>
  <si>
    <t>19 Boundary Rd,_x000D_
Balaclava,_x000D_
Dunedin</t>
  </si>
  <si>
    <t>Permitted activity, recommending that mast be painted green to blend in with proposed Douglas Fir plantings once 4 years old - mitigate interferance of neighbouring house view of non built environmnetal structures  - 12/07/2011</t>
  </si>
  <si>
    <t>Kaikorai</t>
  </si>
  <si>
    <t>Highgate Stuart Rd junction</t>
  </si>
  <si>
    <t>Roadside reserve _x000D_
Junction of Highgate and Stuart St_x000D_
North East of Highgate roundabout</t>
  </si>
  <si>
    <t>Brockville</t>
  </si>
  <si>
    <t>VF closure notice received.</t>
  </si>
  <si>
    <t>Off Marshall Street,_x000D_
Brockville/Bradford_x000D_
Dunedin</t>
  </si>
  <si>
    <t>Halfway Bush</t>
  </si>
  <si>
    <t>Halfway Bush (Tx Hub)</t>
  </si>
  <si>
    <t>26/03 earthing pit work to be completed to LL satisfaction.</t>
  </si>
  <si>
    <t>Halfway Bush Rd_x000D_
West Dunedin</t>
  </si>
  <si>
    <t>Discretionary due to VPA location, planners appear happy with 12m mast with smallest possible dishes, landowner on the Western side of the road is not deemed affected, however Houses in distance to the east are potentially. 12m colour coded mast with 2x600mm dishes would be a good visual solution if possible.  - 24/03/2011</t>
  </si>
  <si>
    <t>Corstorphine</t>
  </si>
  <si>
    <t>Clemiston Ave &amp; Corstorphine St Junction LPR</t>
  </si>
  <si>
    <t>ok. DCC have inspected. Site is showing an alarm to be sorted.</t>
  </si>
  <si>
    <t>Junction of Clermiston and_x000D_
Corstorphine St_x000D_
Dunedin</t>
  </si>
  <si>
    <t>NES compliant appliocation providing highest point of proposal is no more the the lesser of 30% or 3m higher than the existing structure, the new mast is no more than 50% more than the existing mast's diameter, NES compliant Cabinet design is installed, NES Katherine 1.9m antennas are used along with NES compliant 300mm microwaves and microwaves do not stick out more then 600mm from the centre of the mast respectively.  Looks like a good option as cabinets are mkore than 4m away from a habitable residential unit.  - 24/03/2011</t>
  </si>
  <si>
    <t>Andersons Bay</t>
  </si>
  <si>
    <t>Independent GF</t>
  </si>
  <si>
    <t>Plants to be completed</t>
  </si>
  <si>
    <t>Cnr Somerville St &amp; Silverton St_x000D_
Andersons Bay_x000D_
Dunedin</t>
  </si>
  <si>
    <t>NES cabinets CoC and Council Plan Mast CoC   - 11/07/2011</t>
  </si>
  <si>
    <t>Mornington</t>
  </si>
  <si>
    <t>Mailer Street LPR</t>
  </si>
  <si>
    <t>ok.</t>
  </si>
  <si>
    <t>Mailer St_x000D_
Dunedin</t>
  </si>
  <si>
    <t>Helensburgh</t>
  </si>
  <si>
    <t>Transpower Cosite</t>
  </si>
  <si>
    <t>48 Wakari Rd_x000D_
Helensburgh_x000D_
Dunedin</t>
  </si>
  <si>
    <t xml:space="preserve">Airport Terminal </t>
  </si>
  <si>
    <t>Carpark Monopole GF</t>
  </si>
  <si>
    <t>blackbean green</t>
  </si>
  <si>
    <t>OTG-071-001-C, OTG-071-022-A</t>
  </si>
  <si>
    <t>Dunedin International Airport</t>
  </si>
  <si>
    <t>Good option from a planning perspective - design need to consider landowner preferences - CAA likely affected party  - 08/04/2011</t>
  </si>
  <si>
    <t>Waikouaiti</t>
  </si>
  <si>
    <t>North East Valley</t>
  </si>
  <si>
    <t>Great King Street</t>
  </si>
  <si>
    <t>Great King Street,_x000D_
North Valley East,_x000D_
Dunedin</t>
  </si>
  <si>
    <t>Dunedin Stadium (TX HUB)</t>
  </si>
  <si>
    <t>Kiwirail (HUB)</t>
  </si>
  <si>
    <t>Kiwirail,_x000D_
Behind 3 Wickliffe Street,_x000D_
Dunedin</t>
  </si>
  <si>
    <t>CoC  s.176 required from Transit not yet supplied will need before approval - 11/08/2011   - 11/08/2011</t>
  </si>
  <si>
    <t>Maori Hill</t>
  </si>
  <si>
    <t>Highgate &amp; Drivers Rd RSR</t>
  </si>
  <si>
    <t>Junction of Highgate and Drivers Road_x000D_
Adjacent to DCC reservoir</t>
  </si>
  <si>
    <t>Forsyth Barr Stadium</t>
  </si>
  <si>
    <t>Stadium RSR</t>
  </si>
  <si>
    <t>Will need council arborist to determine if site can be built in close proximity to park reserve trees.  Council will need to be convinced there is enough space left on the foot path.  16/7 PD required, prior to Council Arborist input.  Boundary survey required. 13/8 Drawings with council roading &amp; arborist. 27/8 Speak to DCC for right approach to hardmatch. 3/9 George to approve extended slit trench._x000D_
SITE on HOLD requires boundary survey to hard match</t>
  </si>
  <si>
    <t>Union St_x000D_
Dunedin</t>
  </si>
  <si>
    <t>Permitted if &lt;12m  - 27/06/2012</t>
  </si>
  <si>
    <t xml:space="preserve">North Dunedin </t>
  </si>
  <si>
    <t>North Dunedin</t>
  </si>
  <si>
    <t>Pole shifted to be more inline with cabinets. BER testing to be done on battery power. 07/05 Integrated and waiting for Vol 4._x000D_
18/05/12 - PAD submitted and PAC scheduled for 01/06/12 (Ron B)</t>
  </si>
  <si>
    <t>Cumberland St_x000D_
Oppsosite North Ground</t>
  </si>
  <si>
    <t>Lodged before s.176 issued by Transit NZ  - 11/08/2011</t>
  </si>
  <si>
    <t>University campus</t>
  </si>
  <si>
    <t>Poly Tech - Block H</t>
  </si>
  <si>
    <t>Good roof top option, some structural input required and finalising design for Poly.  Proposal sent to Poly for comment prior to WO1 and PD._x000D_
Jan 2013 Re-design required placing panels on parapet walls, vists scheduled 30 Jan, PD lease and RMA all delayed due to re-design.</t>
  </si>
  <si>
    <t>Otago Polytechnic_x000D_
Block H_x000D_
Forth Street_x000D_
Dunedin</t>
  </si>
  <si>
    <t>Waikouaiti GF</t>
  </si>
  <si>
    <t>2012-03-15</t>
  </si>
  <si>
    <t>Flat ground not likely to require any retaining structure, room for pad or pile which ever is cheaper. 14/05 Rob to draft RC. Cosite application lodged 12 Jun for TC and VF._x000D_
26 Jan - Rf to review and CDI to be issued.  Review complete dates aligned with expected Hauwei equipment delivery.  30 Jul - 20 days added to Vol4 date from civil complete to late Chorus fibre delivery (Phil)</t>
  </si>
  <si>
    <t>Off Quarry Road_x000D_
Waikouaiti</t>
  </si>
  <si>
    <t>Clutha</t>
  </si>
  <si>
    <t>Balclutha</t>
  </si>
  <si>
    <t>Chorus Colo</t>
  </si>
  <si>
    <t>Tower in exchange grounds belongs to Chorus making this candidate active over a GF.  GHD need top assess tower for structural capacity.  4 Jun Continue to hard match Chorus colo still possible to construct in year #90 on the build list - to be SOA in 2015. Oct - site removed from build list, hardmatch only, dates pushed out.  Need to hang in with Chorus application as long as we can before it is cancelled</t>
  </si>
  <si>
    <t>James St_x000D_
Balclutha</t>
  </si>
  <si>
    <t>Milton</t>
  </si>
  <si>
    <t>Milton GF</t>
  </si>
  <si>
    <t>Flat ground unlikley to need any in ground retaining structure. Access OK and may be farmer owned.  Plenty of room for lease area to cater for cheapest foundation option. Cosite applications completed 12 Jun.  16/7 Owner does not own below the surface (mineral coy have rights).  26 Jan - Rf to review and CDI to be issued.  Review complete - antenna changes will trigger minor lease/consent amendment.  Dates accomodate Huawei equipment delivery date.16 Jul - 13 days added to Vol4 date from civil complete to late Chorus fibre delivery (Phil) + 5 days added for LO preventing build start.</t>
  </si>
  <si>
    <t>Off McNeil Road_x000D_
Milton</t>
  </si>
  <si>
    <t>RBI - Owaka</t>
  </si>
  <si>
    <t>Kaltangata</t>
  </si>
  <si>
    <t>This is RBI site - expression of interest only</t>
  </si>
  <si>
    <t>Fonterra Edendale</t>
  </si>
  <si>
    <t>Scenic Reserve Road</t>
  </si>
  <si>
    <t>Southland District</t>
  </si>
  <si>
    <t xml:space="preserve">new candidate for forecasting as Fonterra candidate is not possible.  SMT to meet with Fonterra_x000D_
</t>
  </si>
  <si>
    <t>25 Scenic Reserve Road</t>
  </si>
  <si>
    <t>Discretionary if over 20m  - 20/02/2015</t>
  </si>
  <si>
    <t>Winton</t>
  </si>
  <si>
    <t>Green Field</t>
  </si>
  <si>
    <t>7 Sept - PD delay has shifted SOA into Feb 2016</t>
  </si>
  <si>
    <t>SOUTHLAND</t>
  </si>
  <si>
    <t>Off Sinclair Road_x000D_
Winton</t>
  </si>
  <si>
    <t>RBI - Centre Hill</t>
  </si>
  <si>
    <t>RBI - Mt Prospect</t>
  </si>
  <si>
    <t>RBI - Stewart Island</t>
  </si>
  <si>
    <t>RBI - Mt Prospect Te Anau</t>
  </si>
  <si>
    <t>Te Anau</t>
  </si>
  <si>
    <t>Te Anau Town</t>
  </si>
  <si>
    <t>Requires extra battery cabinet. 29/05 PD rev2 to include planting for RC. 02/07 T.P. to work with Council regarding neighbours._x000D_
8 Oct 2014 - RF to confirm this is the best location if VF colo becomes an option - site visit required, planned for week ending 24 Oct._x000D_
This is not prefered location (Now Woosh) but is hard matched await direction - CDI issued for this site.  Tx rechecking FO cost.  Site subject to RF review and confirmation - construction dates could slip.  26 Jan - site back in build list.  Date align with Huawei equipment delivery.  16 July - 12 days added to Vol 4 date due to late fibre from Chorus</t>
  </si>
  <si>
    <t>4 Snodgrass Road_x000D_
Te Anau</t>
  </si>
  <si>
    <t>Riverton</t>
  </si>
  <si>
    <t>Vodafone Co-Lo</t>
  </si>
  <si>
    <t xml:space="preserve">DMR link to Invercargill has risk with multipath over the water, Riverton will be a fibre connection. </t>
  </si>
  <si>
    <t>Off Lex Street_x000D_
Riverton_x000D_
Southland</t>
  </si>
  <si>
    <t>Woodlands</t>
  </si>
  <si>
    <t>Woosh Colo</t>
  </si>
  <si>
    <t>2 Oct Structural assessment underway, if result is positive caravan date could be claimed</t>
  </si>
  <si>
    <t>Gore</t>
  </si>
  <si>
    <t>Gore GF</t>
  </si>
  <si>
    <t>Gore District</t>
  </si>
  <si>
    <t>VF site no longer the best option - no future capacity available and no LOS to Gore Exchange.  Clearspan issues could delay lease.  7 Aug Geotech delays CD</t>
  </si>
  <si>
    <t>Millane Road_x000D_
Gore</t>
  </si>
  <si>
    <t>Gore Exchange Tx only</t>
  </si>
  <si>
    <t>Gore Exchange TX only</t>
  </si>
  <si>
    <t>Ed to check process with Chorus, confirm no resource consent issue for new dish.  Include mount design detail in Wo2. 08/10 Drawing required for Resource Consent._x000D_
19 Mar - site bought back into project due to loss of Edendale Fronterra._x000D_
Requires assessment of structure by GHD and rigger.  Site must be on air prior to Gore site 20 Nov.  No TI issued, work priced as part of Gore site build</t>
  </si>
  <si>
    <t>Corner of SH1 and_x000D_
Civic Ave_x000D_
Gore</t>
  </si>
  <si>
    <t>Mataura</t>
  </si>
  <si>
    <t>Mataura VF Colo</t>
  </si>
  <si>
    <t>VF colo likely possible but Woosh is prefered location. TP status awaiting Council response_x000D_
8 Oct 2014 - RF need to visit site, VF colo may be better than Woosh colo.  Data pack to be requested after visit on 23 Oct._x000D_
VF colo preferd Phil to order data pack- Ordered.  11 Nov SDP Rx'd RF and Tx input underway for structraul assessment.  Assessment passed, may move to PDI without site visit - PDI issued. 6 Jan, Tx options under review, site is subject to Rf review and confirmation._x000D_
16 March - PD and strructural assessmnet to be reviewed - new Tx plan in place.  9 Apr - Site solution locked in, Site will need Gore and Gore Exchange for Tx.  21 Apr colo application submitted.  Prelim approval 4 May.  4 Jun Lease delayed waiting for VF terms.  27 July - Lease docs from VF are incorrect and have been sent back - this delays lease executed</t>
  </si>
  <si>
    <t>Perkins Road_x000D_
Matuara</t>
  </si>
  <si>
    <t>Hedgehope</t>
  </si>
  <si>
    <t>Chorus co-lo</t>
  </si>
  <si>
    <t>Access off 1197 Waimea Highway at Otamita</t>
  </si>
  <si>
    <t>Waikiwi</t>
  </si>
  <si>
    <t>Waikiwi GF</t>
  </si>
  <si>
    <t>Invercargill City</t>
  </si>
  <si>
    <t>snag clearance.</t>
  </si>
  <si>
    <t>29 Preston Road,_x000D_
Invercargill</t>
  </si>
  <si>
    <t>• Riverine Inundation Level 1_x000D_
• Low degree of risk in sea level rise storm surge event_x000D_
• Located  - 08/04/2011</t>
  </si>
  <si>
    <t>Invercargill</t>
  </si>
  <si>
    <t>OnTrack monopole (HUB)</t>
  </si>
  <si>
    <t>Lighting design with HG - costs and timeline from skycomms.  Generator to be installed but held up with legal - ongoing. 01/05 waiting for Wayne's response on lighting for KWR.</t>
  </si>
  <si>
    <t>Opposite 70 Liddel Street_x000D_
Invercargill</t>
  </si>
  <si>
    <t>over the permitted height limit (28m)  - 27/05/2011</t>
  </si>
  <si>
    <t>Avenal</t>
  </si>
  <si>
    <t>Avenal VF colo</t>
  </si>
  <si>
    <t>2011-08-22</t>
  </si>
  <si>
    <t>Agreed with VF as part of Colo approval that this will be a power down site when they require access,  due to plumes &amp; ladder access (BS).</t>
  </si>
  <si>
    <t>Cnr Beatrice St and Bill Richardson Drive_x000D_
Invercargill</t>
  </si>
  <si>
    <t>Invercargill South</t>
  </si>
  <si>
    <t>Super Liquor Colo</t>
  </si>
  <si>
    <t>snag clearance</t>
  </si>
  <si>
    <t>Super Liquor_x000D_
406 Elles Road_x000D_
Invercargill</t>
  </si>
  <si>
    <t>Within the approach slope to Invercargill Airport  - 08/04/2011_x000D_
_x000D_
antennas above permitted height limit  - 29/04/2011</t>
  </si>
  <si>
    <t>Heidelberg</t>
  </si>
  <si>
    <t>Pomona St RSR</t>
  </si>
  <si>
    <t>2011-07-27</t>
  </si>
  <si>
    <t>Pomona Street (Opposite Centre St)_x000D_
Invercargill</t>
  </si>
  <si>
    <t>Invercargill SW</t>
  </si>
  <si>
    <t>RSR Invercargill SW</t>
  </si>
  <si>
    <t>Cnr of Vyner Rd &amp; Taiepa_x000D_
Invercargill</t>
  </si>
  <si>
    <t>Non complying NEs site, Discretionary Activity due to height of structure and within an Outstanding Landscape Area. _x000D_
Within the approach slope to Invercargill Airport_x000D_
• Located within Outstanding Natural Feature and Landscape  - 08/04/2011  - 06/05/2011</t>
  </si>
  <si>
    <t>The Bluff</t>
  </si>
  <si>
    <t>Bluff Ports GF</t>
  </si>
  <si>
    <t>DoV is with legal review. 16/04 PAD due.</t>
  </si>
  <si>
    <t>Island Harbour_x000D_
Off Shannon Street_x000D_
Bluff_x000D_
Southland</t>
  </si>
  <si>
    <t>Strathern</t>
  </si>
  <si>
    <t>Strathern GF Harvey Tanks</t>
  </si>
  <si>
    <t>Otepuni Avenue_x000D_
Invercargill</t>
  </si>
  <si>
    <t>Waihopai</t>
  </si>
  <si>
    <t>VF Colo Waihopai</t>
  </si>
  <si>
    <t>01/05 Council have refused consent uintil at least June. Jaco and Stuart to check costs for colo &amp; if relocated link is required.</t>
  </si>
  <si>
    <t>Racecourse Rd_x000D_
Invercargill</t>
  </si>
  <si>
    <t>Versatile Soils  - 08/04/2011</t>
  </si>
  <si>
    <t>Gladstone</t>
  </si>
  <si>
    <t>Grasmere</t>
  </si>
  <si>
    <t xml:space="preserve">Richmond </t>
  </si>
  <si>
    <t>Saint Andrews St pole Tavern RSR</t>
  </si>
  <si>
    <t>Link to Strathern.</t>
  </si>
  <si>
    <t>St Andrew Street_x000D_
Invercargill</t>
  </si>
  <si>
    <t>Within the Airport approach slopes  - 08/04/2011</t>
  </si>
  <si>
    <t>Kingswell</t>
  </si>
  <si>
    <t>Rosedale - Hardmatch</t>
  </si>
  <si>
    <t>Invercargill Temporary Link</t>
  </si>
  <si>
    <t>RBI - Lorneville</t>
  </si>
  <si>
    <t>Lorneville RBI</t>
  </si>
  <si>
    <t>19 Oct: Awaiting RF design &amp; co-lo/site forms to be completed_x000D_
20 Oct: Fibre ordered. RFS 19 Jan_x000D_
22 Oct: Draft planning letter &amp; lodge co-lo application_x000D_
5 Dec: VF pre approval granted_x000D_
7 Dec: ATN ordered. Antenna quote ordered_x000D_
21 Jan: Waiting on VF approval &amp; HW antenna ETA._x000D_
26 Jan: Project Plan submitted to VF._x000D_
29 Jan: Build approval received_x000D_
10 Feb: CX Config raised for 17th Feb</t>
  </si>
  <si>
    <t>49 Wallacetown-Lorneville Highway</t>
  </si>
  <si>
    <t>Equinix</t>
  </si>
  <si>
    <t>Sydney, Australia</t>
  </si>
  <si>
    <t>New Plymouth East</t>
  </si>
  <si>
    <t>316 Devon Street East</t>
  </si>
  <si>
    <t>New Plymouth</t>
  </si>
  <si>
    <t>NEW_PLYMOUTH</t>
  </si>
  <si>
    <t>Transfield House</t>
  </si>
  <si>
    <t>Transfield House_x000D_
21-35 Gill Street_x000D_
New Plymouth</t>
  </si>
  <si>
    <t>Fitzroy New Plymouth</t>
  </si>
  <si>
    <t>Fitzroy New Plymouth,489a Devon Street East</t>
  </si>
  <si>
    <t>489a Devon Street East, Fitzroy, New Plymouth</t>
  </si>
  <si>
    <t>Status may be permitted depending on height requirements and pole design. To be confirmed following line of sight.   - 20/02/2012</t>
  </si>
  <si>
    <t>Telecom Exchange Tx HUB</t>
  </si>
  <si>
    <t>New Plymouth Telecom TX Hub</t>
  </si>
  <si>
    <t xml:space="preserve">TNZ Building Number 20625        _x000D_
92-96 LIARDET ST              _x000D_
MARSLAND HILL               _x000D_
NEW PLYMOUTH DISTRICT_x000D_
</t>
  </si>
  <si>
    <t>Welbourn</t>
  </si>
  <si>
    <t>Welbourne, LPR Coronation Ave</t>
  </si>
  <si>
    <t>Coronation Ave</t>
  </si>
  <si>
    <t>Vogeltown</t>
  </si>
  <si>
    <t>Carrington Street, Transpower</t>
  </si>
  <si>
    <t>Could potentially be permitted if restrict height/slim mast design.   - 20/02/2012</t>
  </si>
  <si>
    <t>Westown</t>
  </si>
  <si>
    <t xml:space="preserve">Westown, Yarrow Stadium Greenfield </t>
  </si>
  <si>
    <t>Maratahu Street</t>
  </si>
  <si>
    <t>Options in stadium will both trigger consent requirements (floodlight and LPR).   - 20/02/2012</t>
  </si>
  <si>
    <t>Blagdon Hill</t>
  </si>
  <si>
    <t>Spotwood, Telecom Colo South Road, (CBLA)</t>
  </si>
  <si>
    <t>91a South Rd,_x000D_
New Plymouth</t>
  </si>
  <si>
    <t>_x000D_
 Moturoa. Power plant chimney stack where VNZ is.</t>
  </si>
  <si>
    <t>Hurdon</t>
  </si>
  <si>
    <t>LPR Cnr Wallath &amp; Tukapu</t>
  </si>
  <si>
    <t>Cnr Wallath Rd and Tukapu Street</t>
  </si>
  <si>
    <t>Waitara West</t>
  </si>
  <si>
    <t>_x000D_
 Waitara</t>
  </si>
  <si>
    <t>Port Taranaki</t>
  </si>
  <si>
    <t>Coverage Objective:_x000D_
Marine coverage to the north.  Umbrella coverage along coastlines to the east and southwest._x000D_
_x000D_
Proposed panel antennas at top of chimney.  VF already present.  May need to go above VF on pole mounts if space is an issue._x000D_
_x000D_
G1800MHz only.</t>
  </si>
  <si>
    <t>Highlands Park</t>
  </si>
  <si>
    <t xml:space="preserve">Coverage Objective:_x000D_
Residential area of Highlands Park_x000D_
_x000D_
Potential Candidate:  Kordia Pole in warehouse grounds.  Need 25m.  This location affords natural isolation from TNK-033-006._x000D_
_x000D_
Backup could be LPR on residential street at higher elevation._x000D_
</t>
  </si>
  <si>
    <t>Bell Block</t>
  </si>
  <si>
    <t>Hookers Greenfield</t>
  </si>
  <si>
    <t>24 Paraite Rd Bell Block</t>
  </si>
  <si>
    <t>Waitara</t>
  </si>
  <si>
    <t>Waitara, VF Colo (Waitara)</t>
  </si>
  <si>
    <t>15 Borthwick Street_x000D_
New Plymouth</t>
  </si>
  <si>
    <t>Co-lo likely to trigger consent requirement if addtional height required.   - 20/02/2012</t>
  </si>
  <si>
    <t>Lepperton</t>
  </si>
  <si>
    <t>Coverage Objective:_x000D_
SH3A north and south.  Rural residences in area._x000D_
_x000D_
TNZ colo at minimum 20m or GF at minimum 20m in similar location.</t>
  </si>
  <si>
    <t>New Plymouth Airport</t>
  </si>
  <si>
    <t>Coverage Objective:_x000D_
New Plymouth airport and road links to SH3._x000D_
_x000D_
GF at 20m preferred.</t>
  </si>
  <si>
    <t xml:space="preserve">RBI - Carrington Rd </t>
  </si>
  <si>
    <t>RBI - Oakura</t>
  </si>
  <si>
    <t>Spotswood West</t>
  </si>
  <si>
    <t>Power Company</t>
  </si>
  <si>
    <t>Inglewood</t>
  </si>
  <si>
    <t>Inglewood VF Colo</t>
  </si>
  <si>
    <t>5 Humphries Street_x000D_
Inglewood</t>
  </si>
  <si>
    <t>Stratford District</t>
  </si>
  <si>
    <t>Stratford</t>
  </si>
  <si>
    <t>End Electrical</t>
  </si>
  <si>
    <t>AS: CDI ussued</t>
  </si>
  <si>
    <t>38 Miranda Street, Stratford</t>
  </si>
  <si>
    <t>Te Maunga o Taranaki</t>
  </si>
  <si>
    <t>Egmont Aviation Migration</t>
  </si>
  <si>
    <t>8 Oct 2014 - SA to reforecast lease, TP to re forecast RMA.  Dialogue with Airways, DoC and local Iwi to be re-established.  Reveion to PD under review, Cliff to check original Tx plan.  _x000D_
28 Oct SA re-establishing contacts- some advice from ex WLG Pm on how to approach the task has been recieved.  Site subject to RF review and confirmation_x000D_
09/03 AS: John has resumed talks with IWI &amp; Doc. will come up with update_x000D_
3/2/15 - pursuing spark co-lo_x000D_
11/03 - Going with GF at IWI/Doc location, Rob/John have resumed talks with Iwi guys for approval on proposed GF solution</t>
  </si>
  <si>
    <t>O</t>
  </si>
  <si>
    <t>Airways location</t>
  </si>
  <si>
    <t>Council previously thought this would be Discretionary. Council have since confirmed this should be permitted.  - 16/03/2015</t>
  </si>
  <si>
    <t>South Taranaki District</t>
  </si>
  <si>
    <t>Waverley</t>
  </si>
  <si>
    <t>Hawera</t>
  </si>
  <si>
    <t>Hawera Water Tower Co Site</t>
  </si>
  <si>
    <t>55 High Street,_x000D_
Hawera</t>
  </si>
  <si>
    <t>11/03 AS VF site datapack requested, Chris to issue brief in parallel for back up option_x000D_
20/03 AS SDP received Chris need to evaluate RF solution on VF co-lo, Natasha on site visits to come up with VF co-site or other back up</t>
  </si>
  <si>
    <t>Upper Herengawe Road, Waverly</t>
  </si>
  <si>
    <t>Thames Coromandel District</t>
  </si>
  <si>
    <t>Coromandel Township</t>
  </si>
  <si>
    <t>Coromandel Township Greenfield</t>
  </si>
  <si>
    <t>01/02/12 - PD's had been done in 2008 - look at option etc on site visit next week_x000D_
16/02/12 - Telecom have designated area, and if within this designation, then planning wise will be permissive_x000D_
16/1/15 - plans with Brad &amp; James - negotiations with DOC underway_x000D_
3/2/15 - now pursuing spark co-lo will keep this as a back up_x000D_
25.2.15 - Brad &amp; James to meet tomorrow to work through proposal _x000D_
10/3/15 - Brad drafting concession application_x000D_
1/4/15 - concession application submitted to DoC_x000D_
15/7/15 - all cosite applications lodged</t>
  </si>
  <si>
    <t>COROMMANDEL</t>
  </si>
  <si>
    <t>Kaipawa Trig Track,_x000D_
off Kennedy Bay Rd,_x000D_
Coromandel</t>
  </si>
  <si>
    <t>- Sent Co-site applications to Spark, Chorus (Jordan), Vodafone, Police and Coast Guard._x000D_
_x000D_
Police have approved  - 20/07/2015</t>
  </si>
  <si>
    <t>Matarangi</t>
  </si>
  <si>
    <t>VF Co-Lo</t>
  </si>
  <si>
    <t xml:space="preserve">18.5.15 - VF co-lo application submitted_x000D_
13.08.15 - updated VF application submitted_x000D_
3/9/15 - received VF prelim approval based on carousal headframe design. </t>
  </si>
  <si>
    <t>Whitianga</t>
  </si>
  <si>
    <t>Kordia Mast</t>
  </si>
  <si>
    <t xml:space="preserve"> (VF SDP ordered 23/1/12 but site not available from VF)_x000D_
23/03/12 - pole confirmed as Kordia. Colo application done.  Kelly to confirm if cabinet area will be Kordia Lease or with owner direct_x000D_
22/05/12 - WO1 issued and lease terms agreed with Kordia. Drawings issued. Site cannot be built until Sep/Oct when Analogue TV turned off and mast space availablerogressing_x000D_
24/05/12 - Kordia RMA application _x000D_
05/10/12 - Site taken out from Build Programme</t>
  </si>
  <si>
    <t>Off SH25_x000D_
Whitianga North</t>
  </si>
  <si>
    <t>Whitianga Central</t>
  </si>
  <si>
    <t>Telecom land - Greenfield</t>
  </si>
  <si>
    <t>, with delays in lease/RMA and 3 week period for Project Plan approval and CR_x000D_
30/10/12 - Delays with leasing/access issues.  Construction dates and Chorus fibre dates reforecast. Huawei will request PAC extension._x000D_
08/01/13 - Will be hearing. Notice closes Feb, then hearing, then appeal period, so construction probably cannot start till April_x000D_
14/02/13 - WO2 cancelled_x000D_
16/1/15 - site is ready to build in March 2015, pole and equipment ordered _x000D_
28/01/15 - slope stability investigation scheduled for 29/1/15 - LO permission has been sought_x000D_
15.3.15 - RFS date 08/4/15_x000D_
9/3/15 - pre start meeting on 18 March - ROW access owners have been invited</t>
  </si>
  <si>
    <t>Dacy Property_x000D_
Purangi Road_x000D_
Maramaratotara Bay</t>
  </si>
  <si>
    <t>Hahei</t>
  </si>
  <si>
    <t>Hahei VNZ Colocate</t>
  </si>
  <si>
    <t xml:space="preserve">10/02/12 - Site visited. Steep access last 300m. VF is a triangular guyed mast. Need to look at options here as no space for 3rd mast on site. If VF power not available, will need to run power in cable tray down hill to township_x000D_
01/06/12 - Structural received. Docs sent to Liz to lodge colo application 5 June_x000D_
14/06/12 - VF requested 2D to relook at colo. Their additional antennas push 2D further down due to rigging issues on mast. Trevor requested to look at options, which may include relocating nominal_x000D_
02/07/12 - Teleconference with GHD to look at options of mounting antennas using out-riggers or similar. GHD to come back within week or so with options._x000D_
03/07/12 - Reforcasted dates_x000D_
05/10/12 - Site taken out from Build Programme_x000D_
29/1/15 - site back in programme, VF co-lo applicaiton ready to submit_x000D_
2/2/15 - co-lo application submitted_x000D_
23.2.15 - Trevor provided possible location for own GF site on lower hilltop._x000D_
3/3/15 - look at own GF as back up on same privately owned land on 11th - 12th March site visits_x000D_
10/3/15 - fibre feasibility done - $20k - could do this if MW compromises the structural co-lo option_x000D_
27/5/15 - updated co-lo application submitted - includes tower strengthening proposal and MW for linking - fibre has been determined as not feasible._x000D_
26/8/15 - VF have agreed we can open negotiations with LO again </t>
  </si>
  <si>
    <t>Lees Road_x000D_
Hahei</t>
  </si>
  <si>
    <t>Pauanui</t>
  </si>
  <si>
    <t>Pauanui/Tairua TNZ Colocate</t>
  </si>
  <si>
    <t>01/02/11 - Paul Road, Off SH 25 North, Tairua, was a candidate in 2008. PD's done for colocation on Telecom lattice mast   _x000D_
09/04/12 - Rev 0.1 received,  Rev4 for issue received 11/04/12_x000D_
12/04/12 - Rev 4 drawings issued._x000D_
30/04/12 - Telecom/Chorus received colo application_x000D_
04/05/12 - Need Telecom Designation process - Ron to discuss with Barbara on this use, or to use process done at Tauranga_x000D_
14/06/12 - Chasing colo approval. Resource Consent drafted and ready to go_x000D_
21/06/12 - Preliminary approval received. rental high per month. Still chasing where their diesol tank is for consent lodgement_x000D_
08/08/12 - WO2 forcasted_x000D_
05/10/12 - Moved out of build programme</t>
  </si>
  <si>
    <t>Paul Road_x000D_
Off SH 25 North_x000D_
Tairua_x000D_
Coromandel</t>
  </si>
  <si>
    <t>Pauanui South</t>
  </si>
  <si>
    <t>Pauanui South GF</t>
  </si>
  <si>
    <t xml:space="preserve">23/08/12 - Coastal Boundary plan to be superimposed on PDs_x000D_
05/10/12 - Moved out of build programme_x000D_
17/12/12 - RMA granted_x000D_
29/1/15 - back in programme - contact to be made with LO to see if they are still keen_x000D_
5/2/15 - check linking - is it dependant on another site_x000D_
18.2.15 - Brad to contact Matariki to see if they are willing to re-look at our proposal_x000D_
25.2.15 - check with Trevor re location still ok before Brad to make contact with Matariki_x000D_
26.2.15 - Trevor good with location PD's with design for up rev _x000D_
2/3/15 - PD up revs issued, with Brad to contact Matariki_x000D_
10/3/15 - Matariki have acknowledged receipt of our proposal_x000D_
18.5.15 - tender instruction issued to Huawei_x000D_
</t>
  </si>
  <si>
    <t xml:space="preserve">Trig Rd_x000D_
Off Forestry Rd,_x000D_
off Hikua Settlement Rd,_x000D_
Pauanui </t>
  </si>
  <si>
    <t>Onemana</t>
  </si>
  <si>
    <t>Onemana Greenfield</t>
  </si>
  <si>
    <t>Whangamata South</t>
  </si>
  <si>
    <t>Whangamata South Greenfield</t>
  </si>
  <si>
    <t>18/03/13 - Sangs to clear and PSVP to pass before FAN issue_x000D_
27/06/13 - FAC signed</t>
  </si>
  <si>
    <t>Tairua Road_x000D_
Whangamata South</t>
  </si>
  <si>
    <t>Thames</t>
  </si>
  <si>
    <t>Thames Hospital</t>
  </si>
  <si>
    <t>18/03/13 - Snags to clear for FAN issue_x000D_
21/06/13 - FAC signed</t>
  </si>
  <si>
    <t>Mackay Street_x000D_
Thames</t>
  </si>
  <si>
    <t>Whangamata</t>
  </si>
  <si>
    <t>Preece Point</t>
  </si>
  <si>
    <t>Preece Point RBI</t>
  </si>
  <si>
    <t>17.2.15- VF co-lo data pack requested, site search brief sent to Brad _x000D_
3/3/15 - received data pack from VF - looks like 3 x antenna positions available._x000D_
10/3/15 - visiting site 12th March - have sent notification to LO_x000D_
30/4/15 - RBI co-lo application submitted to VF _x000D_
7/5/15 -  Tender instruction given_x000D_
10/7/15 - awaiting VF final approval_x000D_
14/7/15 - have received final VF approval and approval to build</t>
  </si>
  <si>
    <t>955 Preeces Point Rd,_x000D_
Coromandel</t>
  </si>
  <si>
    <t>Tairua Township</t>
  </si>
  <si>
    <t>Opito Bay</t>
  </si>
  <si>
    <t>new</t>
  </si>
  <si>
    <t>Hauraki District</t>
  </si>
  <si>
    <t>Mangatarata</t>
  </si>
  <si>
    <t>2012-08-21</t>
  </si>
  <si>
    <t>11 snags open and FAC date moved out, Alan aiming to have snag free by 5 April so 10 working days allowed for FAN signoff._x000D_
28/06/13 - FAC signed</t>
  </si>
  <si>
    <t>AUCKLAND_HAMILTON_SH27</t>
  </si>
  <si>
    <t>3817 State Highway 2,_x000D_
Managatarata</t>
  </si>
  <si>
    <t>Council Ref: 205.2012.00000058.001  - 30/07/2012</t>
  </si>
  <si>
    <t>Paeroa</t>
  </si>
  <si>
    <t>Paeroa, VNZ Co-Site</t>
  </si>
  <si>
    <t>18/03/13 - Snags to clear and pSVP to pass before FAN issue_x000D_
06/06/13 - FAC Signed</t>
  </si>
  <si>
    <t>Aorangi Rd,_x000D_
Paeroa</t>
  </si>
  <si>
    <t>Waihi</t>
  </si>
  <si>
    <t>Waihi Greenfield</t>
  </si>
  <si>
    <t>18/03/13 - Snags to clear for FAN issue_x000D_
23/04/13 - FAN in sign off_x000D_
03/05/13 - FAC signed</t>
  </si>
  <si>
    <t>Rifle Range Road_x000D_
Waihi</t>
  </si>
  <si>
    <t>Waihi East</t>
  </si>
  <si>
    <t xml:space="preserve">Waihi East - VF Co-lo </t>
  </si>
  <si>
    <t>18/03/13 - Snags to clear and pSVP to pass before FAN issue_x000D_
31/05/13 - FAC signed</t>
  </si>
  <si>
    <t>Everitt Property_x000D_
Everitt Road_x000D_
Waihi</t>
  </si>
  <si>
    <t>Ngatea</t>
  </si>
  <si>
    <t>Kopu</t>
  </si>
  <si>
    <t>RBI - Turua</t>
  </si>
  <si>
    <t>Turua RBI</t>
  </si>
  <si>
    <t>8 Oct: Site data pack received_x000D_
16 Oct: VF co-lo &amp; Spark co-site lodged &amp; Pre-qual requested. CD1 requested._x000D_
19 Oct: Letter to planner drafted. Will be sent when VF advises LO of co-lo request._x000D_
22 Oct: LO letter drafted to send when prelim VF approval granted._x000D_
29 Oct: CD rev1 issued for review_x000D_
8 Dec: Waiting on build quote so I can raise PO6_x000D_
5 Dec: ATN ordered, RFS set, Antenna quote requested. _x000D_
12 Jan: Waiting on ETA for Huawei antennas_x000D_
3 Feb: PO6 issued. Waiting on antennas. Construction start 22 Feb. RFS 23 Feb_x000D_
10 Feb: CX Config raised for 17th Feb</t>
  </si>
  <si>
    <t>58 Orchard East Road</t>
  </si>
  <si>
    <t>RBI - Karangahake</t>
  </si>
  <si>
    <t>Karangahake RBI</t>
  </si>
  <si>
    <t>Kaihere</t>
  </si>
  <si>
    <t>8 snags open and not addressed, reforecasted._x000D_
09/04/13 - No FAN yest.  FAC reforecasted_x000D_
28/06/13 - FAC signed</t>
  </si>
  <si>
    <t>1046 SH27_x000D_
Ngatea_x000D_
RD1_x000D_
Waikato</t>
  </si>
  <si>
    <t>Council Ref: 205.2012.00000056.001  - 30/07/2012</t>
  </si>
  <si>
    <t>Whiritoa South</t>
  </si>
  <si>
    <t>Waikato District</t>
  </si>
  <si>
    <t>Te Kauwhata</t>
  </si>
  <si>
    <t>Te Kauwhata Straights</t>
  </si>
  <si>
    <t>VF Co-lo Te Kauwhata Straights</t>
  </si>
  <si>
    <t>Prelim approval received and lease terms agreed with LO._x000D_
Linking dependant on Huntly East_x000D_
AP/business to advise if "LO hold" letters ready to be sent or not....._x000D_
29/1/15 - back in programme, check design ok and re-activate/resend VF co-lo application_x000D_
23.2.15 - up rev red lines on plans with design - VF Co-lo application ready to submit when plans issued_x000D_
27.2.15 - VF co-lo application submitted_x000D_
15.4.15 - Prelim approval received_x000D_
20.4.14 - CDI issued_x000D_
7/5/15 - Tender instruction issued to Huawei</t>
  </si>
  <si>
    <t>AUCKLAND_HAMILTON_SH1_S</t>
  </si>
  <si>
    <t>2481 State Highway 1,_x000D_
Te Kauwhata Straights,_x000D_
Waikato</t>
  </si>
  <si>
    <t>Council Ref LUC0270/12.  - 19/07/2012</t>
  </si>
  <si>
    <t>Huntly East</t>
  </si>
  <si>
    <t>No rights for fibre._x000D_
6 month commencement and payment tied in for 6 year terms_x000D_
LO to divert existing access track, payment requierd._x000D_
VF and Police co-site approval, also Police approval to share power._x000D_
Visual assessment required Council extension agreed until 22 January._x000D_
05/08/13 - Power on 15 August. Rest of site will be completed by then.</t>
  </si>
  <si>
    <t>747-763 Rutherford Rd,_x000D_
Taupiri</t>
  </si>
  <si>
    <t>Council Ref LUC0156/13 and being processed by Opus  - 12/11/2012</t>
  </si>
  <si>
    <t>Huntly</t>
  </si>
  <si>
    <t>VF and TNZ co-sites approved_x000D_
HAIL activity site - excavated soil to be removed._x000D_
15/6/13 - civil works sarted_x000D_
06/12/13 - FAC signed</t>
  </si>
  <si>
    <t>208 Riverview Rd_x000D_
Huntly_x000D_
Waikato</t>
  </si>
  <si>
    <t>Council Ref LUC0062/13  - 25/09/2012</t>
  </si>
  <si>
    <t>Whatawhata</t>
  </si>
  <si>
    <t>VF Co-lo Whatawhata</t>
  </si>
  <si>
    <t>6 open snags. VF closure documentation and GHD drawings. Chorus to re-install fibre boxes. Genny inlet hatch also on tracker as open, do we agree this can now be closed as a Huawei snag?_x000D_
23/04/13 - FAC in sign off_x000D_
01/05/13 - FAC signed</t>
  </si>
  <si>
    <t>AUCKLAND_HAMILTON_SH1_N</t>
  </si>
  <si>
    <t xml:space="preserve">111 Cemetery Road_x000D_
Whatawhata_x000D_
Hamilton_x000D_
</t>
  </si>
  <si>
    <t>Council Ref: LUC0031/12  - 14/11/2011</t>
  </si>
  <si>
    <t>Raglan</t>
  </si>
  <si>
    <t>VF &amp; TNZ co-sites approved_x000D_
Linking to Raglan Telecom exchange_x000D_
Site Half integrated. Huge issues. Had Transfield send Gary Ward to assist. Still unable to get the site up._x000D_
15.09.14 Sending Rudolph down to try on 16.09.2014.</t>
  </si>
  <si>
    <t>RAGLAN</t>
  </si>
  <si>
    <t>430 Te Hutewai Road_x000D_
Waikato</t>
  </si>
  <si>
    <t>Council Ref LUC0113/13  - 12/11/2012</t>
  </si>
  <si>
    <t>Taupiri</t>
  </si>
  <si>
    <t>Taupiri Greenfield</t>
  </si>
  <si>
    <t>Historic lease still active. New plans singed off by LO._x000D_
VF Co-site approved, SFA for power if required_x000D_
28/1/15 - CDI issued 21/1/15 - fibre feasability underway_x000D_
9/3/15 - cabs &amp; TX ordered, pole order underway awaiting PO approval, antenna order with Huawei_x000D_
7/5/15 - PO6 for build approved and sent to Huawei_x000D_
10/7/15 - awaiting VF decision on power share</t>
  </si>
  <si>
    <t>698 Hakarimata Rd,_x000D_
Taupiri</t>
  </si>
  <si>
    <t>Council Ref LUC0246/12  - 12/06/2012</t>
  </si>
  <si>
    <t>Te Kowhai</t>
  </si>
  <si>
    <t>Te Kowhai Greenfiled</t>
  </si>
  <si>
    <t>HAIL activity site - excavated soil to be removed._x000D_
$5k one-off payment on commencement, 12 months._x000D_
26/8/15 - TX to be confirmed then CDI can be issued. Lease is in holding rent - will commence to full rent when we schedule geotech._x000D_
23/9/15 - CDI issued</t>
  </si>
  <si>
    <t>6126 SH1_x000D_
Horotiu</t>
  </si>
  <si>
    <t>Council Ref LUC0119/13  - 12/11/2012</t>
  </si>
  <si>
    <t>Gordonton</t>
  </si>
  <si>
    <t>VF Co-lo Gordonton</t>
  </si>
  <si>
    <t>6 open snags. VF closure documentation and GHD drawings. Chorus to re-install fibre boxes. Genny inlet hatch also on tracker as open, do we agree this can now be closed as a Huawei snag?_x000D_
23/04/13 - FAN in sign off - still need AB_x000D_
16/05/13 - FAC signed</t>
  </si>
  <si>
    <t>Ballard Prop. Ballard Rd, Gordonton</t>
  </si>
  <si>
    <t>Council Ref: LUC0027/12  - 06/09/2011</t>
  </si>
  <si>
    <t>Matangi</t>
  </si>
  <si>
    <t>26/8/15 - Tim confirmed RT site is the active one to persue - Matt to contact LO_x000D_
11/1/16 - VF &amp; Spark co-site applications submitted</t>
  </si>
  <si>
    <t>Cnr Good St &amp; Tauwhare Rd,_x000D_
Matangi</t>
  </si>
  <si>
    <t>Tamahere</t>
  </si>
  <si>
    <t>SSLU completed_x000D_
Boundary survey completed and slightly off fence line._x000D_
23/9/15 - CDI issued to Ritchie.</t>
  </si>
  <si>
    <t>HAMILTON_ROTORUA</t>
  </si>
  <si>
    <t>25 Tamahere Drive_x000D_
Tamahere</t>
  </si>
  <si>
    <t>Council Ref LUC2053/12  - 12/06/2012</t>
  </si>
  <si>
    <t>Meremere Straights</t>
  </si>
  <si>
    <t>Ngaruawahia</t>
  </si>
  <si>
    <t>VF Co-lo Ngaruawahia</t>
  </si>
  <si>
    <t>Prelim approval received 9 July 2012_x000D_
AP/business to advise if "LO hold" letters ready to be sent or not....._x000D_
awaiting VF datapack - 30/10/14_x000D_
16/1/15 - VF co-lo applicaiton submitted 16/12/14, awaiting feedback_x000D_
19/2/15 - received prelim approval_x000D_
25.2.15 - Brad to approach LO regarding sub-lease - ready to submit CDI &amp; RC_x000D_
3/3/15 - lease executed will take some time - hold RC submission until terms agreed, CDI issued - GHD to get to Rev0 then hold until pole information etc is available and lease terms agreed. If VF don't have pole info we'll have to send rigger to site for measure ups._x000D_
9/3/15 - only TX equipment on order - PO still to be approved.</t>
  </si>
  <si>
    <t>Ngaruawahia_x000D_
Brownlee Ave_x000D_
Waikato</t>
  </si>
  <si>
    <t>Ohinewai</t>
  </si>
  <si>
    <t>Maramarua</t>
  </si>
  <si>
    <t>11 snags open and not addressed, reforecasted._x000D_
01/05/13 - No FAN yet.  FAC reforecasted_x000D_
09/07/13 - FAC signed</t>
  </si>
  <si>
    <t>227 Rataroa Road_x000D_
Miranda_x000D_
Maramarua</t>
  </si>
  <si>
    <t>Site is within Ridgeline Policy Area  - 06/08/2012_x000D_
Council Ref LUC0049/13.  - 07/09/2012</t>
  </si>
  <si>
    <t>RBI - Newstead Central</t>
  </si>
  <si>
    <t>Tamahere East (SH1)</t>
  </si>
  <si>
    <t>RBI - Eureka</t>
  </si>
  <si>
    <t>Eureka</t>
  </si>
  <si>
    <t>1 snag remaining for disimilar metals - do we have resolution to close this snag? VF closure documentation - waiting for Mystery creek test to be approved by VF before submitting the other._x000D_
09/04/13 - FAN in circulation. NOC, TX, Ops and Vicente to sign_x000D_
10/04/13 - FAC signed</t>
  </si>
  <si>
    <t>1681 SH26/Morrinsville road_x000D_
Eureka_x000D_
Hamilton</t>
  </si>
  <si>
    <t>RBI SIte  - 28/06/2012</t>
  </si>
  <si>
    <t>RBI - Puketaha</t>
  </si>
  <si>
    <t>Puketaha</t>
  </si>
  <si>
    <t>Snag remaining for disimilar metals - do we have resolution to close this snag? ALso ALD alarm snag to be closed by Huawei. VF closure documentation - waiting for Mystery creek test to be approved by VF before submitting the other._x000D_
19/04/13 - FAN in sign off _x000D_
29/04/13 - ALD Alarms issued to be resovled sign off halted_x000D_
01/08/13 - FAC signed</t>
  </si>
  <si>
    <t>601 Puketaha Road_x000D_
Puketaha_x000D_
Hamilton</t>
  </si>
  <si>
    <t>RBI - Te Kowhai West</t>
  </si>
  <si>
    <t>Te Kowhai West - RBI</t>
  </si>
  <si>
    <t>RBI forecast for lease end of June 2013 and RC only end September 2013 so no good for our T3 program._x000D_
Moved to Tier 9 19/03/2012._x000D_
25 Nov: TI issued &amp; site visited_x000D_
8 Dec: co-lo sent_x000D_
8 Dec: ATN ordered &amp; antenna quote sent. Contractor quotes due 11 Dec._x000D_
12 Jan: Waiting on VF approval &amp; antenna quote. Need Huawei antenna ETA._x000D_
3 Feb: Finalising Contractor quotes. Waiting on VF pre-approval &amp; antenna quote.</t>
  </si>
  <si>
    <t>327 Bedford Road, Te Kowhai</t>
  </si>
  <si>
    <t>RBI - Pukemiro</t>
  </si>
  <si>
    <t>Pukemiro RBI</t>
  </si>
  <si>
    <t>15 Oct: SDP requested_x000D_
16 Oct: Pre-qual requested_x000D_
22 Oct: CD1 requested_x000D_
5 Dec: On hold - as-builts incorrect_x000D_
12 Jan: Need scan of as-built info from VF. Submit revised RF design ASAP. Escalate._x000D_
1 Feb: RF design submitted. Waiting on VF pre- approval.</t>
  </si>
  <si>
    <t>1534 Rotowaro Road, _x000D_
Huntly</t>
  </si>
  <si>
    <t>RBI - Whatawhata West</t>
  </si>
  <si>
    <t>RBI Whatwhat West</t>
  </si>
  <si>
    <t>RBI forecast for lease end of September 2013 and RC only October 2013 so no good for our T3 program._x000D_
Moved to Tier 9 19/03/2012._x000D_
7/10/15 - received data pack</t>
  </si>
  <si>
    <t>RBI - Te Uku</t>
  </si>
  <si>
    <t>Vodafone Co-site approved_x000D_
16/1/15 - awaiting CD1 issue_x000D_
9/3/15 - all equipment and pole are ordered</t>
  </si>
  <si>
    <t>21 Percy Graham Drive,_x000D_
Tuakau</t>
  </si>
  <si>
    <t>Council Ref LUC0022/13  - 28/09/2012</t>
  </si>
  <si>
    <t>Raglan TNZ Exchange TX Only</t>
  </si>
  <si>
    <t>TX site</t>
  </si>
  <si>
    <t xml:space="preserve">Ryan to submit application through Liz._x000D_
07.10.14 BR contacted Garu Qui at Telecom requesting any info on the outstanding lease._x000D_
_x000D_
</t>
  </si>
  <si>
    <t>9 Wainui road_x000D_
Raglan</t>
  </si>
  <si>
    <t>Council Ref LUC0107/13_x000D_
Application processed by Opus on behalf of Council.  - 30/10/2012</t>
  </si>
  <si>
    <t>Tahuna</t>
  </si>
  <si>
    <t>Matamata-Piako District</t>
  </si>
  <si>
    <t>5 snags still be be addressed, all design_x000D_
09/04/13 - No FAN yet.  FAC reforecasted_x000D_
01/05/13 - No FAN yet.  FAC reforecasted_x000D_
29/05/13 - FAC signed</t>
  </si>
  <si>
    <t>609 Quine Rd,_x000D_
Tahuna,_x000D_
Waikato</t>
  </si>
  <si>
    <t>Council Ref 103.2012.10498  - 31/05/2012  - 07/06/2012</t>
  </si>
  <si>
    <t>Morrinsville</t>
  </si>
  <si>
    <t>9 snags still be be addressed, design and photos_x000D_
01/05/13 - No FAN yet.  FAC reforecasted_x000D_
17/05/13 - FAC signed</t>
  </si>
  <si>
    <t>Cnr Kuranui &amp; Scott Rds,_x000D_
Morrinsville</t>
  </si>
  <si>
    <t>CoC application posted to MPDC._x000D_
2/7 Rev2 plans emailed to planner.  - 05/07/2012  - 13/07/2012</t>
  </si>
  <si>
    <t>Matamata</t>
  </si>
  <si>
    <t>Matamata Greenfield</t>
  </si>
  <si>
    <t>19 Arawa Street,_x000D_
Matamata</t>
  </si>
  <si>
    <t>Council Ref 103.2012.10557  - 17/09/2012</t>
  </si>
  <si>
    <t>Te Aroha</t>
  </si>
  <si>
    <t>6 snags still be be addressed, all design_x000D_
09/04/13 - No FAN yet.  FAC reforecasted</t>
  </si>
  <si>
    <t>24 Lawrence Avenue, Te Aroha, Waikato</t>
  </si>
  <si>
    <t>Council Ref: 103.2012.10524  - 25/07/2012</t>
  </si>
  <si>
    <t>RBI -  Tatuanui</t>
  </si>
  <si>
    <t>Tamihana</t>
  </si>
  <si>
    <t>5 snags still be be addressed, all design_x000D_
09/04/13 - No FAN yet.  FAC reforecasted_x000D_
23/04/13 - FAN in sign off - PS3 still required_x000D_
17/05/13 - FAC signed</t>
  </si>
  <si>
    <t>128 Kirk rd_x000D_
Richmond Downs</t>
  </si>
  <si>
    <t>Site within Matamata Airport Height Controls Surfaces. Height needed in the Motriki Datum.  - 08/08/2012_x000D_
Council Ref 103.2012.10543  - 23/08/2012</t>
  </si>
  <si>
    <t>Omahine</t>
  </si>
  <si>
    <t>Difficult LO asking high rental - see Erwin's report on this sites importance taking high rental into consideration._x000D_
LO wants minimum $20k, lease escalation done for high rental but LO thinks he has the next Sky Tower!_x000D_
Consent lodged_x000D_
17.2.14 - site search brief issued to Brad, VF co-lo data pack requested_x000D_
23.2.15 - own site is preferred with Kordia Kaimai site as a back - up. Will need to visit area _x000D_
5.3.15 - send Kordia Kaimai proposal to Shane for pricing - will weigh this up against the high rental LO is asking for our own GF site._x000D_
10/3/15 - site visit on 11th March, need to pick up/return key from/to the Swaps in Matamata _x000D_
note: Kordia Kaimai site is actually a Chorus tower - Jordan has requested a data pack - same LO on same ridge._x000D_
16/5/15 -  cosite application sent to VF_x000D_
8/9/15 - site build on hold due to LO concerns re lambing and road conditions</t>
  </si>
  <si>
    <t>3159 SH29 Lower Kaimai,_x000D_
Waikato</t>
  </si>
  <si>
    <t>Swap property subject to a Development Concept Plan, mainly for network utilities  - 15/08/2012_x000D_
Council Ref 103.2012.10605  - 17/12/2012</t>
  </si>
  <si>
    <t>Waharoa Transport Repeater</t>
  </si>
  <si>
    <t>Matamata MW only site</t>
  </si>
  <si>
    <t>RBI - Manawaru</t>
  </si>
  <si>
    <t>Manawaru RBI</t>
  </si>
  <si>
    <t>Pukete North</t>
  </si>
  <si>
    <t>Vodafone Colo Pukete North 86 Maui St</t>
  </si>
  <si>
    <t>Hamilton</t>
  </si>
  <si>
    <t>2010-02-08</t>
  </si>
  <si>
    <t>Final approval received from VF. Antenna amendment approved by VF and COC done.</t>
  </si>
  <si>
    <t>Voda Colo, North Pukete, _x000D_
86 Maui St_x000D_
Hamilton</t>
  </si>
  <si>
    <t>Dinsdale</t>
  </si>
  <si>
    <t>2010-06-24</t>
  </si>
  <si>
    <t>Hardmatched. Lease and consent used 3.0m cabinet layout.</t>
  </si>
  <si>
    <t>Road Reserve,_x000D_
outside 247 Killarney Rd</t>
  </si>
  <si>
    <t>Resource No. 10/2010/21470/001 (38/1/4345)  - 28/07/2010</t>
  </si>
  <si>
    <t>Te Rapa North</t>
  </si>
  <si>
    <t>Te Rapa North - voda colo</t>
  </si>
  <si>
    <t>55 Pukete Rd _x000D_
Te Rapa</t>
  </si>
  <si>
    <t>Chartwell Square (TX HUB)</t>
  </si>
  <si>
    <t>Chartwell Square - Hukanui Rd</t>
  </si>
  <si>
    <t>2010-04-23</t>
  </si>
  <si>
    <t>HUB SITE._x000D_
In signoff with 2degrees, then Westfield to sign.</t>
  </si>
  <si>
    <t>Chartwell Shopping Centre_x000D_
Hukanui Road_x000D_
Hamilton</t>
  </si>
  <si>
    <t>Permitted to 5.00 ARH  - 20/05/2010</t>
  </si>
  <si>
    <t>Livingstone</t>
  </si>
  <si>
    <t>Vodafone co-lo</t>
  </si>
  <si>
    <t>88 Avalon Dr, Nawton,_x000D_
Hamilton</t>
  </si>
  <si>
    <t>Council COC Reference: 010/2010/21266  - 12/05/2010</t>
  </si>
  <si>
    <t>Flagstaff</t>
  </si>
  <si>
    <t>Flagstaff Floodlight pole</t>
  </si>
  <si>
    <t>Flagstaff Shopping Centre  flood light pole_x000D_
1158 River Rd</t>
  </si>
  <si>
    <t>Claudelands</t>
  </si>
  <si>
    <t>On Track - 778 Heaphy Rd</t>
  </si>
  <si>
    <t>Hardmatched with old antennas. Lease varitation and COC complete.</t>
  </si>
  <si>
    <t>778 Heaphy Rd</t>
  </si>
  <si>
    <t>Council COC Reference: 010/2010/21284  - 24/05/2010</t>
  </si>
  <si>
    <t>Waikato University</t>
  </si>
  <si>
    <t>Waikato Uni - LPR #1</t>
  </si>
  <si>
    <t>Hard matched but plans to be swapped out by Council for lease and consent due to cabinet extension (drawings done). Requires a S127 due to both VF and 2degrees cabinets in frontage, permitted but underlying activity controlled therefore S127.</t>
  </si>
  <si>
    <t>Roading Reserve 136 Hillcrest Rd</t>
  </si>
  <si>
    <t>Land Use Resource Consent Ref: 010/2010/21283 - (38/1/4329)  - 25/05/2010</t>
  </si>
  <si>
    <t>Nawton</t>
  </si>
  <si>
    <t xml:space="preserve">Nawton - Shopping Centre </t>
  </si>
  <si>
    <t>2010-02-15</t>
  </si>
  <si>
    <t>Hardmatched with old antennas. Lease variation with LO for approval &amp; waiting COC from Council (had ref to wrong height and VF). Historic Rev1 CD, needs an uprev to Rev2.</t>
  </si>
  <si>
    <t>Grandview Rd intersection with Hyde Avenue_x000D_
Hamilton</t>
  </si>
  <si>
    <t>Permitted to 15.00 AGL  - 20/05/2010  - 21/02/2011</t>
  </si>
  <si>
    <t>Hamilton CBD North</t>
  </si>
  <si>
    <t>Opus Building</t>
  </si>
  <si>
    <t>2010-07-05</t>
  </si>
  <si>
    <t>Hardmatched</t>
  </si>
  <si>
    <t>28 Harwood Street</t>
  </si>
  <si>
    <t>Hamilton Central</t>
  </si>
  <si>
    <t>Hamilton Central - 41 Hood St</t>
  </si>
  <si>
    <t>Hard matched</t>
  </si>
  <si>
    <t xml:space="preserve">Tournament Carpark_x000D_
41 Hood Street_x000D_
Hamilton Central_x000D_
</t>
  </si>
  <si>
    <t>Councils Reference 10.2010.21208.001  - 29/04/2010</t>
  </si>
  <si>
    <t>Waikato Hospital (TX HUB)</t>
  </si>
  <si>
    <t>Waikato Hospital</t>
  </si>
  <si>
    <t>beige</t>
  </si>
  <si>
    <t>HUB SITE (back-up socket)_x000D_
Hard matched</t>
  </si>
  <si>
    <t>Rooftop Elizabeth Rothwell Building_x000D_
Waikato Hospital Hamilton</t>
  </si>
  <si>
    <t>Enderley</t>
  </si>
  <si>
    <t>Enderly - RSR outside Shell</t>
  </si>
  <si>
    <t>Hard matched but plans to be swapped out by Council for lease and consent due to cabinet extension (drawings done).</t>
  </si>
  <si>
    <t>outside Shell,_x000D_
243 Peach Grove Rd</t>
  </si>
  <si>
    <t>LPR Permitted Activity under NES</t>
  </si>
  <si>
    <t>Glenview</t>
  </si>
  <si>
    <t>2010-02-24</t>
  </si>
  <si>
    <t>Cnr Resthill Cres &amp; Macdonald Road,_x000D_
Hamilton</t>
  </si>
  <si>
    <t>Activity Controlled under the NES.</t>
  </si>
  <si>
    <t>Te Rapa</t>
  </si>
  <si>
    <t xml:space="preserve">11A Norris Avenue, Hamilton </t>
  </si>
  <si>
    <t>COC File Ref: 010/2010/21323 (35/1/477)  - 02/06/2010</t>
  </si>
  <si>
    <t>Rototuna East</t>
  </si>
  <si>
    <t>Rototuna East Vodafone Co-lo</t>
  </si>
  <si>
    <t>Final approval received from VF. Antenna change incorporated with additional microwave. S127 approved for extra dish and antenna size increase.</t>
  </si>
  <si>
    <t xml:space="preserve">Gordonton Rd </t>
  </si>
  <si>
    <t>Resource Consent Ref 010.2010.21239 - (38/1/4335)  - 20/05/2010</t>
  </si>
  <si>
    <t>Hamilton Alma</t>
  </si>
  <si>
    <t>Aim to provide GSM900 voice and U2100 services to indoor levels._x000D_
Hamilton Alma._x000D_
(Renamed "Hamilton Alma"  co-ords: 2711228 &amp; 6377172   20m . 15th Sept 09 RH)_x000D_
ONLY RESURRECT THIS SR NUMBER IF WKT-016-023 Ward St  (The Tx Hub) is not available to RF)_x000D_
Based on Vodafones 40m Rooftop option at Tompkins Wake Building (Westpac) Alma Street._x000D_
Option A: Voda on Tompkins Wake Building 50m, Alma St.        Grid: 2711165 6077102_x000D_
Option B: IBIS Hotel, Alma St 50m                                          Grid: 2711230 6077180_x000D_
Option C: Nesquirt Option: Centre Place,501 Victoria St            Grid: 2711129 6377175_x000D_
Option D: Nesquirt Option: Downtown Plaza,Ward Street &amp; Corner Worley Place. Grid: 2711056 6377043_x000D_
Option E: Nesquirt Option: Hamilton Central,Bryce Street  Grid: 2710961  6377137</t>
  </si>
  <si>
    <t>Whitiora</t>
  </si>
  <si>
    <t>Whitiora  RSR</t>
  </si>
  <si>
    <t>RSR Junc TeRapa Rd &amp; Victoria St</t>
  </si>
  <si>
    <t>LPR Permitted under the NES.  - 22/04/2010</t>
  </si>
  <si>
    <t>Maeroa</t>
  </si>
  <si>
    <t xml:space="preserve">Norton Rd Industrial </t>
  </si>
  <si>
    <t>Hardmatched with old antennas. Lease variation complete, waiting COC from Council.</t>
  </si>
  <si>
    <t>Norton Rd</t>
  </si>
  <si>
    <t>Hamilton South East</t>
  </si>
  <si>
    <t>Hamilton SE Vodafone co-lo</t>
  </si>
  <si>
    <t>Final approval received from VF. Antenna amendment approved by VF and S127 done.</t>
  </si>
  <si>
    <t>Riverlea Rd., Hamilton South East</t>
  </si>
  <si>
    <t>Resource Consent Reference: 010.2010.21261 -- (37/1/3808)  - 13/05/2010</t>
  </si>
  <si>
    <t>Dinsdale South</t>
  </si>
  <si>
    <t>279 Kahikatea Rd</t>
  </si>
  <si>
    <t>2010-04-08</t>
  </si>
  <si>
    <t>Hardmatched with old antennas. Lease variation completed, Sean doing COC.</t>
  </si>
  <si>
    <t>Council COC reference: 010/2010/21264  - 12/05/2010</t>
  </si>
  <si>
    <t>Hillcrest  -  Water Tower Co Site</t>
  </si>
  <si>
    <t xml:space="preserve">Hard matched. Lease completed with new antenna, waiting COC from Council._x000D_
</t>
  </si>
  <si>
    <t>Hillcrest_x000D_
Water Tower Co Site_x000D_
Hillcrest Bowling Club_x000D_
Cambridge Road_x000D_
Hamilton</t>
  </si>
  <si>
    <t>Ward St (Main HUB)</t>
  </si>
  <si>
    <t>Ward St Hub</t>
  </si>
  <si>
    <t>2010-03-18</t>
  </si>
  <si>
    <t>HUB SITE using Telstraclear back-up generator.</t>
  </si>
  <si>
    <t>48 Ward Street Hamilton</t>
  </si>
  <si>
    <t>Activity status for s127 is Discretionary  - 30/04/2010. Ref 37/1/3571C.  - 22/09/2010</t>
  </si>
  <si>
    <t>Rototuna</t>
  </si>
  <si>
    <t>Horsham Downs LPR - Sudbury Ct</t>
  </si>
  <si>
    <t>brunswick green</t>
  </si>
  <si>
    <t>2010-08-17</t>
  </si>
  <si>
    <t>RF pref over RT._x000D_
Hard matched but plans to be swapped out by Council for lease and consent due to cabinet extension (drawings done).</t>
  </si>
  <si>
    <t>Cnr Thomas Rd &amp; Sudbury Ct,_x000D_
Hamilton</t>
  </si>
  <si>
    <t>Fairfield</t>
  </si>
  <si>
    <t xml:space="preserve">RSR outside Church </t>
  </si>
  <si>
    <t>Hard matched on smaller cabinet layout. Lease variation with Church to sign and S127 (noise) sent to Council.</t>
  </si>
  <si>
    <t>between 1087 &amp; 1095 Heaphy Tce (out side the Church),_x000D_
Hamilton</t>
  </si>
  <si>
    <t>Land Use Consent 10.2010.00021282 - (37/1/3812)  - 26/05/2010</t>
  </si>
  <si>
    <t>Nawton West</t>
  </si>
  <si>
    <t>Aim to provide GSM900 voice and U2100 services to indoor levels._x000D_
Nawton West._x000D_
Greenfield based on either a GF Pole or LP replacement</t>
  </si>
  <si>
    <t xml:space="preserve">Western Heights </t>
  </si>
  <si>
    <t>Western Heights - TNZ co-lo</t>
  </si>
  <si>
    <t>Final approval received. Stage 4 next which requires project plan.</t>
  </si>
  <si>
    <t>Reservoir Newcastle Rd</t>
  </si>
  <si>
    <t>Te Rapa  West</t>
  </si>
  <si>
    <t>Aim to provide GSM900 voice and U2100 services to indoor levels._x000D_
Te Rapa West - not Tier 2</t>
  </si>
  <si>
    <t>Western Heights 3G</t>
  </si>
  <si>
    <t xml:space="preserve">Aim to provide U2100 services to indoor levels._x000D_
Western Heights 3G_x000D_
3G only this site: 2 sector (North South) GF arrangement next to Vodafones similar site layout using the Water Board Brick structure near the gate entrance to the main Water Board Compound._x000D_
2G to go on the higher location (see separate site WKT-016-027) using the existing Square Tower colo with others._x000D_
Option A: 3G only  Cell Spilt  3G to go with Vodas 3G on the block at street level on Newcastle Road  Grid: 2706977 6376329_x000D_
(2G only is under WKT-016-027 located in the upper part of the compound)_x000D_
</t>
  </si>
  <si>
    <t>South Chartwell</t>
  </si>
  <si>
    <t>Aim to provide GSM900 voice and U2100 services to indoor levels._x000D_
South Chartwell._x000D_
15m Greenfield Pole - only location is River Road Foodmarket Shops cnr of River Rd and Donny Rd.</t>
  </si>
  <si>
    <t>Melville</t>
  </si>
  <si>
    <t>Aim to provide GSM900 voice and U2100 services to indoor levels._x000D_
Melville._x000D_
Based on 25m Vodo Pole colo._x000D_
Also a nearby Whoosh unbuilt option at rear 91 Kahikatea Drive._x000D_
Option A: Colo on Vodafone 25m Pole with spider Arms, Gallager Management.  (Preferred)    Grid: 2709988 6374147_x000D_
Option B: On rear of Metalled area back left area (2degrees Leased, 91 Kahikatea Drive)                  Grid: 2710188  6374493_x000D_
Option C: 20m GF Pole Adjacent part of Field owned by Gallagher         Grid: 2709988 6374147_x000D_
_x000D_
After site search 25-27 Nov 09:_x000D_
Option A: VFNZ co-lo</t>
  </si>
  <si>
    <t>Chedworth Park</t>
  </si>
  <si>
    <t>Crosby Rd Water Tower</t>
  </si>
  <si>
    <t xml:space="preserve">opp 89 Crosby Rd </t>
  </si>
  <si>
    <t xml:space="preserve">Fitzroy </t>
  </si>
  <si>
    <t xml:space="preserve">Aim to provide GSM900 voice and U2100 services to indoor levels._x000D_
Fitzroy ._x000D_
Greenfield site. </t>
  </si>
  <si>
    <t>Hamilton East</t>
  </si>
  <si>
    <t xml:space="preserve">Intersection of Grey &amp; Naylor </t>
  </si>
  <si>
    <t>Hardmatched with old antennas on RC consent only, waiting COC from Council.</t>
  </si>
  <si>
    <t>134 Grey Street,_x000D_
Hamilton</t>
  </si>
  <si>
    <t>Council COC Reference: 010/2010/21263  - 12/05/2010</t>
  </si>
  <si>
    <t>Lugton Park</t>
  </si>
  <si>
    <t>LPR - across rd from carpark</t>
  </si>
  <si>
    <t>2010-04-22</t>
  </si>
  <si>
    <t>Lugton Park_x000D_
Opposite 147 Old Farm Rd,_x000D_
Hamilton</t>
  </si>
  <si>
    <t>Land Use Resource Consent 010.2010.21349 - (38/1/4337)  - 03/06/2010</t>
  </si>
  <si>
    <t>Fairview Downs</t>
  </si>
  <si>
    <t xml:space="preserve">Raymond Park LPR </t>
  </si>
  <si>
    <t xml:space="preserve">Hard matched. Lease has larger cabinets but requires new consent._x000D_
</t>
  </si>
  <si>
    <t>opp cnr Raymond St and Saraindah</t>
  </si>
  <si>
    <t>RMA status under the NES is for a Controlled Activity.</t>
  </si>
  <si>
    <t xml:space="preserve">Aim to provide GSM900 voice and U2100 services to indoor levels._x000D_
Silverdale._x000D_
20m Greenfield option based on shops at Silverdale Shopping Center or a Lightpole replacement </t>
  </si>
  <si>
    <t>Frankton Kordia co-lo</t>
  </si>
  <si>
    <t>Antenna change to Kathrein 742225, no new RC required. Schedule received from Kordia and with 2degrees for signing.</t>
  </si>
  <si>
    <t>Hamilton Station Fraser St</t>
  </si>
  <si>
    <t>Deanwell</t>
  </si>
  <si>
    <t>VF Co-lo Deanwell</t>
  </si>
  <si>
    <t>154 Collins Rd</t>
  </si>
  <si>
    <t>Waikato University 2</t>
  </si>
  <si>
    <t>Waikato Uni - LPR #2</t>
  </si>
  <si>
    <t>Cnr Hillcrest &amp; Silverdale Rds,_x000D_
Hamilton</t>
  </si>
  <si>
    <t>Land Use Consent Ref: 10.2010.21345 (38/1/4336)  - 18/06/2010</t>
  </si>
  <si>
    <t>Rototuna North</t>
  </si>
  <si>
    <t xml:space="preserve">LPR </t>
  </si>
  <si>
    <t>cnr Resolution Drive &amp; Borman Rd,_x000D_
Hamilton</t>
  </si>
  <si>
    <t>Application reference 010.2010.21535 (35/1/483)  - 22/07/2010</t>
  </si>
  <si>
    <t>Hamilton TNZ Exchange TX Only</t>
  </si>
  <si>
    <t>TX Site</t>
  </si>
  <si>
    <t>RACK SPACE ONLY._x000D_
Will only be required once site number increase, i.e. after 2012 build period.</t>
  </si>
  <si>
    <t xml:space="preserve">Hamilton Disaster Recovery </t>
  </si>
  <si>
    <t>DR site</t>
  </si>
  <si>
    <t>SOA and PAC date entered so Finance can recognise site (RB 11 Mar 2014)</t>
  </si>
  <si>
    <t>1 Princess Street _x000D_
Hamilton Central_x000D_
Hamilton</t>
  </si>
  <si>
    <t>Hamilton Chorus Co-lo</t>
  </si>
  <si>
    <t>Hamilton Chorus TX only</t>
  </si>
  <si>
    <t>Waikato Hospital expansion</t>
  </si>
  <si>
    <t>Hague Street Carpark</t>
  </si>
  <si>
    <t>19.02.15 - Hospital contact on AL will arrange caravan for week beginning 2nd March</t>
  </si>
  <si>
    <t>Hague Street Carpark,_x000D_
Waikato Hospital,_x000D_
Hamilton</t>
  </si>
  <si>
    <t>Mystery Creek</t>
  </si>
  <si>
    <t>Waipa District</t>
  </si>
  <si>
    <t>Cambridge</t>
  </si>
  <si>
    <t>Cambridge - GF</t>
  </si>
  <si>
    <t>6 month commencement._x000D_
13.02.14 - BR and team to visit Monday 24.02.14 _x000D_
19.02.14 - Existing pole in stock to be used - LC/008/03/26_x000D_
24.02.14 - Team visited site. CDI issued._x000D_
10.03.14 Await CD's. Geo Tech done. Boundry to  be pegged 12.03.14._x000D_
24.03.14 Chris and Ritchie to revisit site today. 3 sets of pipes under propoded site. Need to establish depth and diameter - may require design change to foundations._x000D_
Earth resesitivity exceeds 10 ohms - Alex looking into solution_x000D_
01.04.14 Small private sewer pipe needs to be relocated, Ritchie looking into it. Alex advises we need quite a bit of earthing to bring down the levels. Meeting with Sue and her husband on Friday to go over the plans.</t>
  </si>
  <si>
    <t>32 Lake St_x000D_
Cambridge</t>
  </si>
  <si>
    <t>Council Ref LU/0135/12  - 17/10/2012</t>
  </si>
  <si>
    <t>Karapiro</t>
  </si>
  <si>
    <t>5 snags still be be addressed, design, feeder chain and photos required of S2 azimuth change_x000D_
09/04/13 - No FAN yet.  FAC reforecasted</t>
  </si>
  <si>
    <t>Gudex Rd,_x000D_
Sanitorium Hill,_x000D_
Cambridge</t>
  </si>
  <si>
    <t>Council Ref PG/0023/12  - 29/06/2012</t>
  </si>
  <si>
    <t>Lake Karapiro</t>
  </si>
  <si>
    <t>VF Co-lo Lake Karapiro</t>
  </si>
  <si>
    <t>VF data pack requested in Oct_x000D_
21/10/15 - VF data pack received_x000D_
22/1/16- VF Colo application submitted</t>
  </si>
  <si>
    <t xml:space="preserve">1507 Maungatautari Rd,_x000D_
Lake Karapiro_x000D_
Cambridge_x000D_
</t>
  </si>
  <si>
    <t>Kihikihi</t>
  </si>
  <si>
    <t>Co-Site VF</t>
  </si>
  <si>
    <t xml:space="preserve">8 snags still be be addressed, design, locks and cabinet touch up._x000D_
09/04/13 - No FAN yet.  FAC reforecasted_x000D_
31/05/13 - FAC signed </t>
  </si>
  <si>
    <t>HAMILTON_TEKUITI</t>
  </si>
  <si>
    <t>44 Puahue Rd_x000D_
Kihikihi</t>
  </si>
  <si>
    <t>Council Ref PG/0025/12._x000D_
Parts of site tagged by Waipa DC as being subject to previous effluent disposal and therefore contaminated.  - 19/07/2012</t>
  </si>
  <si>
    <t>Te Awamutu</t>
  </si>
  <si>
    <t>Te Awamutu water tank</t>
  </si>
  <si>
    <t>Back and forth on CD detail means meeting now delayed until March._x000D_
18/03/13 - Raj will look after this site for Andrew.  WO2 issued, and TCF letters to be dropped this week_x000D_
21/03/13 - Chorus advised of revised RFS dates_x000D_
26/03/13 - need urgent resolution for lease signing_x000D_
22/05/13 - Lease excuted civil start 28/5 forcasted_x000D_
04/07/13 - SOA_x000D_
23/07/13 - PAC signed_x000D_
12/12/13 - FAC signed</t>
  </si>
  <si>
    <t>31 Greenhill Drive _x000D_
Waipa_x000D_
Te Awamutu</t>
  </si>
  <si>
    <t>Council Ref LU/0101/12  - 23/08/2012</t>
  </si>
  <si>
    <t>(formerly WKT-016-014.)   Deanwell._x000D_
Based on Voda 20m Pole colo._x000D_
Option A: Colo on Voda 20m Pole with spider Arms, Anglo Ind Park   Grid: 2709893  6373289 _x000D_
Option B: 20m GF Pole Same Industral Park - Several GF options       Grid; 2709873 6373269_x000D_
_x000D_
After site search 25-27 Nov 09:_x000D_
Option A: VFNZ co-lo</t>
  </si>
  <si>
    <t>Rukuhia</t>
  </si>
  <si>
    <t>SH 3 Ohaupo Rd</t>
  </si>
  <si>
    <t>2010-04-14</t>
  </si>
  <si>
    <t>Hardmatched with new antenna for RC, lease variation signed by LO, just needs trustees signature.</t>
  </si>
  <si>
    <t>SH 3 Ohaupo Rd near Raynes Rd junction</t>
  </si>
  <si>
    <t>Hamilton Airport</t>
  </si>
  <si>
    <t>Hamilton Airport adjacent to Motels</t>
  </si>
  <si>
    <t>2010-05-26</t>
  </si>
  <si>
    <t>adjacent to Motels</t>
  </si>
  <si>
    <t>Cambridge South</t>
  </si>
  <si>
    <t>RBI - Mystery Events Centre</t>
  </si>
  <si>
    <t>RBI Mystery Creek</t>
  </si>
  <si>
    <t>2 snags remaining;_x000D_
VF closure documentation, this site was the test site, waiting for VF to confirm OK before sending the others_x000D_
Dissimilar metals which can hopefully be removed as a snag._x000D_
09/04/13 - FAN with NOC and Vicente for signing_x000D_
12/04/13 FAC signed</t>
  </si>
  <si>
    <t>Gate 2_x000D_
125 Mystery Vreek Road_x000D_
Ohaupo_x000D_
Hamilton</t>
  </si>
  <si>
    <t>RBI - Ngahinapouri</t>
  </si>
  <si>
    <t>New forcast relevant facility from Vodafone 4 October_x000D_
Downgraded to Hardmatch._x000D_
19.02.15 - resubmitted RBI application to VF with antenna change to 266 and 6 feeders._x000D_
19.2.15 - received the schedule of site specific conditions from VF and the RBI charges_x000D_
25.2.15 - ready for contractor to submit Project Plan - to note on plan 2nd set on antenna will not be installed on day 1._x000D_
9/3/15 - only the TX equipment has a POR raised for this - awaiting PO approval_x000D_
27/3/15 - antenna still to be ordered - all other equipment ordered (due mid June) - awaiting TX specs then will submit BI to Huawei_x000D_
1/4/15 - BI sent to Huawei _x000D_
1/5/15 - PP submitted to VF_x000D_
7/5/15 - POR for build submitted 5/5 - awaiting PO6 approval</t>
  </si>
  <si>
    <t>1447 Kakaramea Road_x000D_
Ngahinapouri</t>
  </si>
  <si>
    <t>RBI -  Wharepapa South</t>
  </si>
  <si>
    <t>RBI - Te Miro</t>
  </si>
  <si>
    <t>Pukeroro</t>
  </si>
  <si>
    <t>Pukeroro GF</t>
  </si>
  <si>
    <t xml:space="preserve">23/11/15 - not co locatable structurally VF &amp; Spark on same tower, cell site friendly LO, will look for a GF site on same property_x000D_
</t>
  </si>
  <si>
    <t>1628 Cambridge Rd_x000D_
SH1_x000D_
Cambridge</t>
  </si>
  <si>
    <t>Otorohanga District</t>
  </si>
  <si>
    <t>Otorohanga</t>
  </si>
  <si>
    <t>Otorohanga - Ourwhero Road GF</t>
  </si>
  <si>
    <t>28/1/15 - awaiting CD rev1_x000D_
9/3/15 - Cabs and TX ordered, pole PO in sign off, Antenna order with Huawei_x000D_
31/7/15 - site is finished - awaiting Pirongia to finish before integration can be done (linking through Pirongia for TX)</t>
  </si>
  <si>
    <t>78 Ouruwhero Road_x000D_
Otorahanga</t>
  </si>
  <si>
    <t>Council Ref: RM120071  - 26/09/2012</t>
  </si>
  <si>
    <t>Pirongia</t>
  </si>
  <si>
    <t>Pirongia Co-site VF and TNZ</t>
  </si>
  <si>
    <t>VF &amp; TNZ co-site approved_x000D_
Linking to Te Awamutu_x000D_
16/1/15 - Hardmatched site now in roaming program - CDI issued today on Rev2 plans_x000D_
28/1/15 - Fibre feasibility underway_x000D_
9/3/15 - Cabs and TX ordered - pole order in sign off, antenna order with Huawei_x000D_
1/4/15 - BI submitted to Huawei_x000D_
13/7/15 - site hit rock so new design to be confirmed</t>
  </si>
  <si>
    <t>47 Sainsbury Rd,_x000D_
Pirongia,_x000D_
Waikato</t>
  </si>
  <si>
    <t>Council Ref RM120063  - 16/08/2012</t>
  </si>
  <si>
    <t>RBI - Otewa</t>
  </si>
  <si>
    <t>RBI - Maihiihi</t>
  </si>
  <si>
    <t>Tirau</t>
  </si>
  <si>
    <t>Spark Pairere Co-Lo</t>
  </si>
  <si>
    <t>South Waikato District</t>
  </si>
  <si>
    <t>1/12/15 - 1st back up option from RF - pole up to 25m (permitted) currently at 20m</t>
  </si>
  <si>
    <t xml:space="preserve">Off SH1_x000D_
Pairere </t>
  </si>
  <si>
    <t xml:space="preserve">Tirau Township </t>
  </si>
  <si>
    <t>GF - Macmillan Rd</t>
  </si>
  <si>
    <t>Spark SFA for power - will submit co-site application_x000D_
3/12/15 - pole order request to Tim_x000D_
13/1/16 - Spark co-site request submitted</t>
  </si>
  <si>
    <t>15 Macmillan Rd,_x000D_
Tirau</t>
  </si>
  <si>
    <t>Putaruru</t>
  </si>
  <si>
    <t>Taupo Street Commercial</t>
  </si>
  <si>
    <t>15/03/13 - retaining wall to complete, Audit etc_x000D_
18/03/13 - Snags to clear and PSVP to pass before FAN issue_x000D_
26/04/13 - FAN in sign off_x000D_
06/06/13 - FAC signed</t>
  </si>
  <si>
    <t>TOKOROA_TAUPO</t>
  </si>
  <si>
    <t>23 Taupo Street,_x000D_
Putaruru</t>
  </si>
  <si>
    <t>Waiohotu</t>
  </si>
  <si>
    <t>Lichfield</t>
  </si>
  <si>
    <t>Tokoroa</t>
  </si>
  <si>
    <t>Colson Hill Greenfield</t>
  </si>
  <si>
    <t>18/03/13 - snags to clear for FAN issue_x000D_
01/05/13 - No FAN yet.  FAC reforecasted_x000D_
07/06/13 - FAC Signed</t>
  </si>
  <si>
    <t>Colson Hill_x000D_
Tokoroa</t>
  </si>
  <si>
    <t>Kinleith</t>
  </si>
  <si>
    <t>Kinleith - VF Co-lo</t>
  </si>
  <si>
    <t xml:space="preserve">VF Datapack requested in Oct_x000D_
27/04/12 - Rev1 drawings received and in for final sign-off for release_x000D_
02/05/12 - Drawings OK. GHD requested to issue files for formal release Rev 1_x000D_
25/05/12 - Requested updated datapack from VF with their reserved antenna locations_x000D_
14/06/12 - revised design with extended headframe. Structural OK, drawings to issue_x000D_
18/06/12 - Colocation application lodged with VF for extended mast_x000D_
17/07/12 - Preliminary approval received from VF_x000D_
30/10/15 - have 2012 data pack - will up rev drawings with new antenna type and resubmit VF co-lo application._x000D_
1/12/15 - post caravan  27th Nov this is still preferred site - will request drawing up rev for VF co-lo application submission early 2016_x000D_
18/12/15 - VF co-lo application submitted_x000D_
</t>
  </si>
  <si>
    <t>Forestry Rd_x000D_
off SH1_x000D_
Kinleith</t>
  </si>
  <si>
    <t>RBI - Mangakino Central</t>
  </si>
  <si>
    <t>Tokoroa Sth</t>
  </si>
  <si>
    <t>GF - Blain Farm</t>
  </si>
  <si>
    <t xml:space="preserve">16/1/15 - ready to build when budget approved.  Will need to order pole and equipment _x000D_
6.3.15 - fibre cost over $50k - MW only site, BoQ's underway for all equipment_x000D_
27/3/15 - cabs, pole and TX equipment ordered - still need to order the antenna_x000D_
1/4/15 - BI gone to Graham today_x000D_
10/4/15 - sent quote request to Maser for antenna_x000D_
</t>
  </si>
  <si>
    <t>2681 Old Taupo Rd,_x000D_
Tokoroa</t>
  </si>
  <si>
    <t>Te Kuiti</t>
  </si>
  <si>
    <t>Te Kuiti Greenfield</t>
  </si>
  <si>
    <t>Waitomo District</t>
  </si>
  <si>
    <t>VF co-site approved subject to SFA being required for power_x000D_
Linking dependant on Te Awamutu_x000D_
POLE STAND SAT 23 AUG_x000D_
Tried for 3 days to integrate - huge issues. Had Reggie from T/F assisting._x000D_
15.09.014 Rudolph to go down and integrate.</t>
  </si>
  <si>
    <t>153 Gadsby Rd, Waikato</t>
  </si>
  <si>
    <t>RBI - Benneydale</t>
  </si>
  <si>
    <t>RBI - Mokau North</t>
  </si>
  <si>
    <t>Tuhingamata - Kordia</t>
  </si>
  <si>
    <t>Tuhingamata Kordia co-lo</t>
  </si>
  <si>
    <t>Taupo District</t>
  </si>
  <si>
    <t>18/03/13 - FAN in sign-off process_x000D_
09/04/13 - Drwgs and Files do not match. FAC reforecasted</t>
  </si>
  <si>
    <t>Blueridge Drive,_x000D_
Acacia Bay,_x000D_
Taupo</t>
  </si>
  <si>
    <t xml:space="preserve">Taupo CBD </t>
  </si>
  <si>
    <t>116 Spa Road</t>
  </si>
  <si>
    <t>18/03/13 - Shroud to be fitted and earth in tower to clear before issue FAN_x000D_
09/04/13 - No FAN yet.  FAC reforecasted_x000D_
01/05/13 - No FAN yet.  FAC reforecasted</t>
  </si>
  <si>
    <t>116 Spa Road_x000D_
Taupo</t>
  </si>
  <si>
    <t>Certificate of Compliance Ref: RM110085  - 30/05/2011</t>
  </si>
  <si>
    <t>Taupo East - Main Hub</t>
  </si>
  <si>
    <t>32 Manuka Street</t>
  </si>
  <si>
    <t>07/03/12 - Site on Air_x000D_
09/04/13 - No FAN yet.  FAC reforecasted.  Requiring documentation on generator install, updated drawings and documents, CoC's required_x000D_
01/05/13 - No FAN yet.  FAC reforecasted</t>
  </si>
  <si>
    <t>32 Manuka Street_x000D_
Taupo</t>
  </si>
  <si>
    <t>Council Ref: RM110203  - 31/10/2011</t>
  </si>
  <si>
    <t>Rainbow Point</t>
  </si>
  <si>
    <t>Water Tank location in Garden Area accessed on cnr Hyde Ave &amp; Shepherd Rd._x000D_
_x000D_
Coverage to residential areas_x000D_
_x000D_
- Waipahihi_x000D_
- Gradwell_x000D_
- Richmond Heights_x000D_
- Two Mile Bay</t>
  </si>
  <si>
    <t>Acacia Bay</t>
  </si>
  <si>
    <t>LPR Mapara Ave - HARD MATCH ONLY</t>
  </si>
  <si>
    <t xml:space="preserve">28/10/11 - Site now ready for construction_x000D_
18/11/11 - emails and calls received this week from Mr and Mrs Irons (neighbouring property). Info sent. They have contacted Council. Ongoing._x000D_
22/11/11 - CD0 in circulation today_x000D_
07/12/11 - CD's all completed.  Site removed from build programme. Stay at hard match_x000D_
._x000D_
</t>
  </si>
  <si>
    <t>LPR_x000D_
outside 82 Mapara Ave_x000D_
Acacia Bay_x000D_
Taupo</t>
  </si>
  <si>
    <t>Council Ref: RM110131  - 15/09/2011</t>
  </si>
  <si>
    <t>Nukuhau</t>
  </si>
  <si>
    <t>65 Watene Lane - HARD MATCH ONLY</t>
  </si>
  <si>
    <t>14/11/11 - Joelyn advised to commence lease 1/12 if not already done_x000D_
07/12/11 - CD's completed. Site now removed from Build programme and will be hard match only</t>
  </si>
  <si>
    <t>65 Watene Lane_x000D_
Acacia Bay_x000D_
Taupo</t>
  </si>
  <si>
    <t>Refer: RM110058  - 02/05/2011</t>
  </si>
  <si>
    <t>Taupo Downtown</t>
  </si>
  <si>
    <t>Veitch Morrison GF</t>
  </si>
  <si>
    <t>28/10/11 - Huawei have been requested to build before Xmas as part of capacity for holiday period_x000D_
14/11/11 - Lease commenced Nov_x000D_
15/12/11 - Site under construction. Pole up, cabinets in</t>
  </si>
  <si>
    <t>Gallagher St_x000D_
behind Veitch Morison Valuers Ltd, 29 Heuheu Street_x000D_
Taupo</t>
  </si>
  <si>
    <t>Permitted height 15m.  - 21/03/2011_x000D_
Council Ref: RM110090  - 15/06/2011</t>
  </si>
  <si>
    <t>Anderderson Property</t>
  </si>
  <si>
    <t>18/03/13 - ELFI to be closed before FAN issue_x000D_
09/04/13 - FAN in circulation. Issues in NOC. Field Ops, TX and Vicente to sign_x000D_
10/04/13 - FAC signed</t>
  </si>
  <si>
    <t>93 Tauhara Road_x000D_
Taupo</t>
  </si>
  <si>
    <t>Taupo Central</t>
  </si>
  <si>
    <t>Baptist Church - HARD MATCH ONLY</t>
  </si>
  <si>
    <t>07/12/11 - CD's all completed. Site removed from build programme. Hard match only. Need to decide before lease commencement, if to hold site or not.</t>
  </si>
  <si>
    <t>Baptist Church_x000D_
3 Taupo View Road_x000D_
Taupo</t>
  </si>
  <si>
    <t>Council Ref: RM110092  - 15/06/2011</t>
  </si>
  <si>
    <t>Hilltop</t>
  </si>
  <si>
    <t xml:space="preserve">Nominal is based on Shopping Centre at the corner of Taharepa rd &amp; Rokino Rd._x000D_
_x000D_
Coverage to _x000D_
- Hilltop residential area._x000D_
- Areas between this site and Lake Taupo._x000D_
</t>
  </si>
  <si>
    <t>Waipahihi</t>
  </si>
  <si>
    <t>Storage Bins</t>
  </si>
  <si>
    <t>03/11/11 - CD0 redlines sent back 3/11_x000D_
14/11/11 - Joelyn advised to commence lease 1/12 if not already done_x000D_
10/02/11 - Cabinets in, pole goes up next week. Looking OK for SOA end Feb_x000D_
14/02/12 - Pole up this week.  Link still needs to be released from use at Taupo CBD. Look at installing 22/02._x000D_
07/03/12 - Site on Air</t>
  </si>
  <si>
    <t>Access off SH5 near Hilton Lake Hotel_x000D_
SH5_x000D_
Taupo</t>
  </si>
  <si>
    <t>Consent No. RM110116  - 12/07/2011</t>
  </si>
  <si>
    <t>Taupo Airport</t>
  </si>
  <si>
    <t>10/02/12 - Pole up, cabinets in, integrating 13 Feb._x000D_
14/02/12. Site needs to be integrated through Taupo Hub, which is not available until 18 Feb. Vol 4 on 22/02_x000D_
07/03/12 - Site on Air</t>
  </si>
  <si>
    <t>Taupo Airport_x000D_
opp Sky Diving Operations_x000D_
Taupo</t>
  </si>
  <si>
    <t>Taupo Ref: RM110123  - 28/07/2011</t>
  </si>
  <si>
    <t>Kinloch</t>
  </si>
  <si>
    <t>Kinloch - VF Co-lo</t>
  </si>
  <si>
    <t>23/03/12 - Caravanned and Rf have done prelim coverage check. OK to proceed_x000D_
13/04/12 - Rev0 drawings received_x000D_
27/04/12 - Redline drawings returned to GHD_x000D_
07/05/12 - Redlines sent back for processing with revised options for RF to work with additional VF antennas_x000D_
16/-5/12 - Drws received 14/5, and on 16.5 request made for formal issue. All good_x000D_
25/05/12 - Structural requested with revised antenna locations and load_x000D_
01/06/12 - Structural received. Ron to lodge VF Colo app_x000D_
18/06/12 - Colocation document done - need structural to include the 3 additional VF antennas_x000D_
16.2.15 - VF site data pack requested_x000D_
19.2.15 - Trevor to provide site search brief - will get VF co-lo plans up rev'd with 4 port antenna and get the co-lo application underway - plans with ghd to up rev_x000D_
27.2.15 - application with Trev &amp; Brett to confirm_x000D_
2/3/15 - VF col-lo application submitted_x000D_
20/4/13 - CDI issued_x000D_
17/8/15 - received VF approval to build - clock has started on this site.</t>
  </si>
  <si>
    <t>259 Whakaroa Road_x000D_
Taupo</t>
  </si>
  <si>
    <t>Maroanui</t>
  </si>
  <si>
    <t>Maroanui - VF Co-lo</t>
  </si>
  <si>
    <t>18/03/13 - JPG photo for AB required, then FAC will be ready for signing_x000D_
19/03/13 - All signed ready for FAC_x000D_
25/03/13 - FAC signed</t>
  </si>
  <si>
    <t>Lookout Rd, Maroanui,_x000D_
Taupo</t>
  </si>
  <si>
    <t>Council Ref: RM110159  - 09/09/2011</t>
  </si>
  <si>
    <t>Wairakei - VF Co-lo</t>
  </si>
  <si>
    <t>12/06/12 - PAD supplied. Site due to go to air this week_x000D_
14/06/12 - SOA_x000D_
09/04/13 - FAN in circulation. 5 groups to sign_x000D_
10/04/13 FAC signed</t>
  </si>
  <si>
    <t>Aratiatia Station_x000D_
Aratiatia Road_x000D_
Taupo</t>
  </si>
  <si>
    <t>Council Ref - RM110150  - 24/08/2011</t>
  </si>
  <si>
    <t>Turangi</t>
  </si>
  <si>
    <t>Genesis Control Station</t>
  </si>
  <si>
    <t>05/10/12 - Moved out of Build programme_x000D_
16/6/14 - Approved to proceed to CD's_x000D_
16/1/15 - arranged for scrub clearing to be done next week - geotch drilling arranged for week beginning 26th Jan. _x000D_
28/1/15 - awaiting CD1 issue, fibre to be delivered to power station - 2d to arrange IBT to site with build contractors at time of build_x000D_
3/9/15 - all equipment ordered, tender meeting held - awaiting pricing. Fibre delivery at risk - chorus to advise asap. alternative TX solution under proposal._x000D_
13/4/15 - PO6 issued to Huawei</t>
  </si>
  <si>
    <t>Genesis Tokaanu Power station,_x000D_
134 Te Ponanga Saddle Rd (SH47),_x000D_
Turangi</t>
  </si>
  <si>
    <t>Tuhingamata</t>
  </si>
  <si>
    <t>Huka Village</t>
  </si>
  <si>
    <t>Taupo North East</t>
  </si>
  <si>
    <t>Mangakino</t>
  </si>
  <si>
    <t>Mangakino - VF Co-lo</t>
  </si>
  <si>
    <t>WKT-019-007-B, WKT-019-007-B</t>
  </si>
  <si>
    <t>Planning note : Most restrictive site. Colocation will be far better than own site._x000D_
_x000D_
10/11/10 Vodafone datapack received. Looks OK. Structural requested.  Le Blanc triangular slim lattice_x000D_
01/02/12 - Area visited. Unable to get to site (will need full 4wd). Site is high and prominant, and may have soem issues to work through_x000D_
16/02/11 - do pre-plan work and caravan in March when James available for visits. May need helicopter to access._x000D_
25/07/12 - Caravan next week. Teresa will assist. Need to walk last 20min. IWI are OK, but James will need letter for Consent application_x000D_
01/08/12 - WO1 issued_x000D_
23/08/12 - Letter rquired from Hinu that the Ewi were consulted_x000D_
30/08/12 - Structure failed with future VF euipment - Backup option required_x000D_
29/01/15  - PD underway - when issued prepare and sumbit VF co-lo application_x000D_
19.2.15 - awaiting information for VF co-lo application from RF and TX_x000D_
19.2.15 - VF co-lo application submitted_x000D_
27/3/15 - received prelim approval from VF_x000D_
20/7/15 - received approval to build from VF</t>
  </si>
  <si>
    <t>399 Kaahu Road_x000D_
Whakamaru</t>
  </si>
  <si>
    <t>Kiddle Drive</t>
  </si>
  <si>
    <t>Hyde Avenue</t>
  </si>
  <si>
    <t>Greenfield Option F Greenwich Street</t>
  </si>
  <si>
    <t>18/03/13 - Snags to clear for FAN issue.  Site passed revisit for PIM</t>
  </si>
  <si>
    <t>Council Land - Option F_x000D_
off Greenwich Street_x000D_
Taupo</t>
  </si>
  <si>
    <t>Wairakei COW -MORGO Conference</t>
  </si>
  <si>
    <t>RBI - Omori</t>
  </si>
  <si>
    <t>Omori RBI</t>
  </si>
  <si>
    <t>19 Oct: SDP received_x000D_
20 Oct: Pre-qual requested._x000D_
22 Oct: Co-lo &amp; co-site applications sent to VF &amp; Spark_x000D_
2 Nov: As-builts incorrect. Need to source correct info to redesign RF solution_x000D_
7 Dec: Awaiting final design for alternate antenna fixture. Prepare co-lo._x000D_
ATN &amp; antennas ordered_x000D_
12 Jan: Waiting for VF approval &amp; quote for VF antennas. Also ETA on Huawei antennas_x000D_
2 Feb: Spark reject proposed design. Escalated to get Site Acq to request Spark review &amp; offer antenna consolidation rather than adding to the tower._x000D_
10 Feb: Paul Brierley looking into a solution that accommodates Spark &amp; 2D.</t>
  </si>
  <si>
    <t>123 Te Puke Road_x000D_
Kuratau</t>
  </si>
  <si>
    <t>3 Te Kuru Lane Mini-Repeater</t>
  </si>
  <si>
    <t>Bill Osborne Repeater - Omori</t>
  </si>
  <si>
    <t>3 Te Kuru Ln_x000D_
Omori 3381</t>
  </si>
  <si>
    <t>Wairakei Resort Mini-Repeater</t>
  </si>
  <si>
    <t>Paekakariki</t>
  </si>
  <si>
    <t>Kapiti Coast District</t>
  </si>
  <si>
    <t>WLG-044-013-A, WLG-044-013-A</t>
  </si>
  <si>
    <t>2008-09-02, 2008-09-02</t>
  </si>
  <si>
    <t>9/2/09: Stuck site. Site location moved, tower type changed and TX to sign off. RMA to be lodged. 9/3/09: RMA lodged awaiting council feedback. Consent expected to be issued April, but mayor may require further consultation. Need to obtain co-site consent to present to the landlords lawyer. 16/3/09: No problem with lease. RMA awaiting council decision - early feedback is not negative. Will follow up later this week. 23/3/09: Plans signed by Landlord and received 20/3/09._x000D_
_x000D_
30/3/09:Revised plan signed and lease executed.  Await co-site approval only.  JM to check with JC and DdV if we can build.  DdV confirmed that we can build pending RMA._x000D_
_x000D_
6/4/09: Awaiting co-site approval.  Telecom have main access right to track and power.  JM to enquire if we can hard match and build?_x000D_
20/4/09: CDs all signed off to issue this week._x000D_
27/4/09: Pending co-site approval ONLY!  Claim all site acq complete once co-siting is received._x000D_
12/5/09: Build underway.  2nd power quote awaited.  Serious access issues in bad weather.</t>
  </si>
  <si>
    <t xml:space="preserve">Access track off Paekakariki Hill Road_x000D_
324 State Highway 1_x000D_
PO Box 21_x000D_
Paekakariki  </t>
  </si>
  <si>
    <t>Kapiti</t>
  </si>
  <si>
    <t>WLG-043-001-A, WLG-043-001-A</t>
  </si>
  <si>
    <t>2008-11-12, 2008-11-12</t>
  </si>
  <si>
    <t>9/2/09: Redesign to freestanding complete and landlord has approved the proposal. RMA lodged as a COC. Lease is complete as at 16/1/09. 9/3/09: Potential hardmatch in March. Awaiting confirmation from Antony Royal that we can carry on with this site without consultation. 19/3/09: RF approval to build. 16/3/09: Pending a decision to be made this week on consultation process. 16/3/09: All Town Planning Not Complete pending decision on consultation - to be decided this week. 23/3/09: All on course for RMA. _x000D_
_x000D_
30/3/09: Pending public consultation.  Didn't want to impact on Pekakariki and Paraparaumu.  Hoping to get an answer by the end of today._x000D_
_x000D_
6/4/09: To TSS._x000D_
20/4/09: CDs all signed off to issue this week.</t>
  </si>
  <si>
    <t xml:space="preserve">14-16 Seaview Rd,_x000D_
Paraparaumu,_x000D_
Kapiti Coast_x000D_
</t>
  </si>
  <si>
    <t>Paraparaumu</t>
  </si>
  <si>
    <t>9/2/09: Stuck site. TX to confirm the dish requirement on the VF pole. 25m height to our pole. CDI 09/02/09. 9/3/09: Key 2 site. Brendan Poole for Acquisition. RMA awaiting plans. 16/3/09: Council require landscape mitigation and we are currently engaging a landscape architect to assist on the process with Council. Success may avoid notification and we may be able to get the landscaping requirement agreed as a condition of consent which means build can proceed. 23/3/09: Lease to complete after resource consent. A Key2 site. Roger B requires second landscaping quote. BB to check and instruct ASAP._x000D_
_x000D_
30/3/09: Pending public consultation.  Didn't want to impact on Paekakariki and Paraparaumu.  Hoping to get an answer by the end of today.  KEY 2._x000D_
_x000D_
6/4/09: Waiting for approval of landscaping by Council._x000D_
_x000D_
16/4/09: Landscaping scheme has been agreed with Council.  Landscaping plan still to be provided._x000D_
20/4/09: Key 2 site.  RMA landscaping plan is approved.  RMA forecasts good.  Lease forecasts are ok.  CDs all approved.  Chase co-siting._x000D_
27/4/09: Brendan at Key 2 has received a copy of the RC._x000D_
5/5/09: Planting scheme received and needs to go to Wayne McMahon.  Lease is still  being prepared by the Council Solicitors.  Cannot do any build activity without co-site approval._x000D_
18/5/09: Lease is imminent.  Nee to chase co-siting.  _x000D_
21/5/09: Co-siting approval outstanding.  No progress on lease with Council.  Brendan Poole from Key 2 is looking after and is dealing with Shaun Hester (property manager)._x000D_
26/5/09: PMcK still chasing.  Now talking of taking t he site to Council for determination.  Team to investigate other options_x000D_
2/6/09: Going to business sub-committee on 25th June.  Trying to get the lease reviewed and executed before 25th so that we can get on with the build as soon after.  Town planning, Site Acq and Antony Royal, RF._x000D_
8/6/09: Council Business Sub-Committee meeting on the 25th to determine if we can continue as planned.  PMcK to check for pre-construction meetings and details to run ahead of the 25th to minimise time into build.  Also, PMCK to follow up option at Big Save Furniture._x000D_
15/6/09: JM to contact Sean Mallon 04 296 4690 or 0275 555690 - Council Asset Manager. PMcK should receive lease but not execute until the above meeting has determined.  Contractors being teed up to start ASAP after acquisition._x000D_
22/6/09: Sub committee meeting now deferred until 3rd July 09._x000D_
29/6/09: Waiting Council determination on the site.  Due 2nd July.  No Voda co-site approval.  Chasing Voda, we're 10m horizontal and 4.3m vertical but Voda do not take vertical into consideration.  Lease states that we MUST have co-site approval._x000D_
9/7/09: KCDC have approved this site.  Feedback on lease from Jess.  Council seeking construction methodology and VF co-siting approval before we can execute._x000D_
14/7/09: PRIORITY SITE: Meeting with Council this week as required by them to run through H&amp;S and site specific requirements.  Cannot start without this meeting and it will be held at the first possibly opportunity._x000D_
21/7/09: In build._x000D_
28/7/09: In build.</t>
  </si>
  <si>
    <t>47 Epiha Street (but access off end of Riwai Street)_x000D_
Paraparaumu_x000D_
Wellington</t>
  </si>
  <si>
    <t>Waikanae</t>
  </si>
  <si>
    <t>9/2/09: Lease posted 21/1/09 - complete? Notification/consultation in place for majority 043 sites, bar Forest Heights. 9/3/09: Potential hardmatch in March. Awaiting confirmation from Antony Royal that we can carry on with this site without consultation. Tenant to do the trenching? 16/3/09: All Town Planning Not Complete pending decision on consultation - to be decided this week._x000D_
_x000D_
30/3/09: Pending public consultation.  Didn't want to impact on  Paekakariki and Paraparaumu.  Hoping to get an answer by the end of the day._x000D_
_x000D_
6/4/09: To TSS._x000D_
_x000D_
20/4/09: CDs all signed off for issue this week._x000D_
_x000D_
18/5/09: Changing the pole in Wellington.</t>
  </si>
  <si>
    <t xml:space="preserve">Thomas Plumbing and Gas Limited_x000D_
21 Omahi Street_x000D_
Waikanae_x000D_
</t>
  </si>
  <si>
    <t>Peka Peka</t>
  </si>
  <si>
    <t>9/2/09: Lease compelte 12/1/09. Not subject to notification/consultation process. Co-siting with OLOs not required. 9/3/09: Hardmatch. 16/3/09: Co-siting? 19/3/09: RF approval to build._x000D_
_x000D_
30/3/09: Access road may need repair.  Anglican church responsible._x000D_
20/4/09: CDs all signed off to issue this week.  Question over whether structural solution works._x000D_
5/5/09: Still waiting for structural approval of drawings. JM to speak to Warren to determine if he is happy._x000D_
12/5/09: Landlord approval to drawings is done.  Checking for independant supply and then arranging TSS._x000D_
26/5/09: VF dish to relocate?_x000D_
29/6/09: Built</t>
  </si>
  <si>
    <t xml:space="preserve">Hadfield Road_x000D_
Pekapeka_x000D_
Kapiti Coast </t>
  </si>
  <si>
    <t>Upgrade not new site  - 10/02/2012</t>
  </si>
  <si>
    <t>Paraparaumu Central</t>
  </si>
  <si>
    <t>Crighton Building</t>
  </si>
  <si>
    <t>Site searches complete 20 Jan - Caravan to be arranged once LO in agreement.  _x000D_
16/04: AS Caravan due on 20th April_x000D_
20/04: AS Caravan completed Brenna to find out rental expectation_x000D_
24/06: Candidate has become active because Trench mate crashed_x000D_
09/7: AS Moved to next year build</t>
  </si>
  <si>
    <t>54 Te Roto Dr_x000D_
Owner: Ballinger Industries Ltd</t>
  </si>
  <si>
    <t>Raumati</t>
  </si>
  <si>
    <t>15 Raumati Rd (Bus Stop)</t>
  </si>
  <si>
    <t>15 Raumati Rd_x000D_
(Bus stop near Rosetta Rd)</t>
  </si>
  <si>
    <t>Paraparaumu North</t>
  </si>
  <si>
    <t>LPR 93 Mazengarb Rd</t>
  </si>
  <si>
    <t>93 Mazengarb Rd_x000D_
Paraparaumu North</t>
  </si>
  <si>
    <t>Waikanae Beach</t>
  </si>
  <si>
    <t>Golf Club Knoll</t>
  </si>
  <si>
    <t>9/5/13: •	Under construction_x000D_
• CD’s were available from 24/1/13, and WO2 was issued (16/1/13), however construction did not commence until 27/3/13. Dawie has said no PAC extension will be granted for this site.</t>
  </si>
  <si>
    <t>Waikanae Beach_x000D_
101 Te Moana Rd,_x000D_
Waikanae</t>
  </si>
  <si>
    <t>Raumati South</t>
  </si>
  <si>
    <t>Otaki Town</t>
  </si>
  <si>
    <t>2011-11-11</t>
  </si>
  <si>
    <t>Otaki Town_x000D_
261-263 SH1_x000D_
Otaki</t>
  </si>
  <si>
    <t>Otaki Beach</t>
  </si>
  <si>
    <t>Proposed GF</t>
  </si>
  <si>
    <t>09/7: AS moved to next year build</t>
  </si>
  <si>
    <t>Tasman Road_x000D_
Otaki Beach</t>
  </si>
  <si>
    <t>Waikanae South</t>
  </si>
  <si>
    <t>site ideally needs to be on this 35m high hill in order to serve new motorway &amp; old motorway dead spots._x000D_
Picture attached of proposed new motorway route._x000D_
Other mounds in the area that are over 20m high will also be considered if 1st option fails._x000D_
Depending on the final location we may be able to utilise the cheaper tier 5 12m solution</t>
  </si>
  <si>
    <t>Camborne</t>
  </si>
  <si>
    <t>Porirua City</t>
  </si>
  <si>
    <t>2008-08-12</t>
  </si>
  <si>
    <t>9/2/09: Lease dependant on RMA completion. 9/3/09: Lease is almost complete - already signed by NZCL. RMA needs to be complete to progress. Need to conduct RF tests as a lease condition. 16/3/09: Concerns over water tower and our pole location now cleared. Council have confirmed that if a new water tower is required they will rebuild on existing location. RMA currently working with residents to resolve their issue with RF. 19/3/09: RF approval to build. 23/3/09: Awaiting co-site approval only and RF testing._x000D_
_x000D_
30/3/09: Problem with Voda and accepting the co-siting for RF.  LH to chase with JC for Voda by TNZ could now be a problem.  LH to investigate.  JM to check status of co-site approval._x000D_
_x000D_
6/4/09: Pending co-siting approval.  We have VF approval.  TNZ will not sign off so JM to chase approval to build from JC and DdV._x000D_
_x000D_
16/4/09: Still awaiting co-site approval only.  JM requested approval to build._x000D_
20/4/09: Co-siting is good.  CDs to issue this week._x000D_
27/4/09: TSS ASAP.  No pole lift before 4th May 09._x000D_
5/5/09: BUILD_x000D_
12/5/09: RF testing required and done prior to build.</t>
  </si>
  <si>
    <t>Tremaine Place,_x000D_
Camborne,_x000D_
Porirua.</t>
  </si>
  <si>
    <t>Titahi Bay</t>
  </si>
  <si>
    <t>27/4/09: John Gibbs likes this site.  He will advise on level of consultation before the end of this week._x000D_
12/5/09: Consultation is letter drop with feedback to Council. Letters gone and responses close by 21st May.  Feedback to be seen before understanding next steps.  Lease has goen to Radio NZ, rental level being discussed._x000D_
18/5/09: Radio NZ are ok to go.  Land sub-leased to DOC and going to be sub-leased to Wellington Regional Council.  _x000D_
26/5/09: All on track for acquisition.  RMA lodged._x000D_
2/6/09: Waiting Radio NZ for confirmation from DOC to progress lease._x000D_
8/6/09: Various parties involved in sub-leasing arrangement so the site acquisition part may take a little longer to complete._x000D_
15/6/09: Negotiations approaching a close._x000D_
22/6/09: As of late last week, we now need a boundary survey and detailed site plan to add to the DoC lease.  Acquisition time extended._x000D_
9/7/09: Survey plan out today.  DoC approval required to release of land._x000D_
14/7/09: PRIORITY SITE: Survey plans provided.  Clause in lease ref power to be amended but will complete as per timescales._x000D_
21/7/09: Survey plan has to be produced to ensure that Land Information NZ (LINZ) have recorded the division of land.  HG are producing drawings and lodging.  Team to determine if the lease is dependant on the registering of the drawing or the submission._x000D_
28/7/09: Legal docs executed by NZC, with Radio NZ for execution.  Site acquisition time frames are as reported._x000D_
4/8/09: Meeting this week with landlord.  PMcK to attend._x000D_
18/8/09: In build.</t>
  </si>
  <si>
    <t>Radio New Zealand_x000D_
Shelley Street_x000D_
Titahi Bay</t>
  </si>
  <si>
    <t>Paremata</t>
  </si>
  <si>
    <t>9/2/09: Update VM. Ontrack approval to scheme approved. RMA lodged. 3/3/09: Power quote required before site acquisition can continue. 9/3/09: Power route and costs to be identified as part of site acquisition. Initial quote and route not acceptable. Revised quote being worked on. RMA dependant on OnTrack and Transit approvals._x000D_
_x000D_
30/3/09: Awaiting power quote to present to Transit to establish route.  To be sent today._x000D_
_x000D_
16/4/09: Agreement is complete but still need Ontrack approval to RMA before we can complete the RMA.  Details of this have been sent.  Transit agreement is in place.  Needs to be RF tested._x000D_
20/4/09: Power route still goes through Ontrack land.  Commission boundary survey to determine if we can trench through the soft._x000D_
27/4/09: Boundary survey required.  Due to get feedback._x000D_
6/5/09: Boundary survey results to Victoria on Thursday._x000D_
12/5/09: Boundary survey completed.  Details available tomorrow but then need to go back to power company for revised route.  Vic - we have taken power over/through Ontrack land in the past without a problem providingwe meet their trenching specifications.  Please explore whether it is possible to repeat this whilst we continue to investigate an alternative route._x000D_
18/5/09: Sent info to Ontrack.  VM chasing approval for resource consent._x000D_
26/5/09: RL to arrange site meeting.  VM to review the drawings._x000D_
2/6/09: Drawings complete and will be sent to VM today._x000D_
8/6/09: OnTrack receieved Deed of Grant last Thursday.  Up to 6 weeks for approval of trenching but should be in before.  RMA through 2 weeks after lease.  LPR site so hoping for a could of weeks fine weather to get this site in in July._x000D_
15/6/09: Forecasts still good for site acquisition._x000D_
22/6/09: No approval to design from Rail Aithority.  VM is chasing._x000D_
29/6/09: Priority site for regional RF to cover SH1._x000D_
14/7/09: Waiting for one more approval within Ontrack.  Expected before the end of the week._x000D_
21/7/09: Chase VM for update._x000D_
28/7/09: VM has chased Jess over legal review._x000D_
4/8/09: Service search to do._x000D_
11/8/09: Services check to go to ontrack._x000D_
18/8/09: Discover the owner of the car park and do further utilities mark outs._x000D_
1/9/09: Doc to Jess Sage._x000D_
8/9/09: BB to check the RMA consent to determine whether we can use the only grey site.  Proposing site type Ab.  All site acquisition dates in order._x000D_
15/9/09: Deed of grant signed by 2degrees and now with Ontrack for affected  party form._x000D_
22/9/09: Crystal at ontrack to complete affected party form plus lease._x000D_
29/9/09: Ontrack still haven't responded.  Crystal at Ontrack has no idea of timescales._x000D_
6/10/09: All on course for dates specified._x000D_
13/10/09: All site acq on course.  Ontrack notification of build required._x000D_
20/10/09: Still with Ontrack to sign._x000D_
27/10/09: Dates all good._x000D_
3/11/09: Stuart Smith processing planner._x000D_
10/11/09: TP is processing.  Pre-build talk to OnTrack 2 weeks notice - Joe to check VM's email.  _x000D_
17/11/09: DO NOT BUILD._x000D_
1/12/09: Build ASAP. Build will be largely complete in december 09.  Very long power run which will not be compelte until early 2010._x000D_
15/12/09: Unable to get MWH approval to build this year.  Jan start and finish.</t>
  </si>
  <si>
    <t>Lightpole replacement in Paramata station_x000D_
Beside railway line at parking exit_x000D_
Paramata_x000D_
Wellington</t>
  </si>
  <si>
    <t>Whitby North</t>
  </si>
  <si>
    <t xml:space="preserve">3/3/09: Still need confirmation of roles and responsibilities for co-site. 9/3/09: Peter McKeefry to complete co-lo form. RMA waiting for feedback as to whether co-lo will go notified. Jason Britten working with Vodafone to confirm who's doing what. Forecasts indicative only as confirmation of roles and resonsibilities between ourselves and Vodafone required. 16/3/09: Meeting with Porirua City Council this week to review whether they will approve the additional height required for the co-lo on a non-notified basis.30/3/09: Regional team to complete application and return to JB.  Application on N:/ drive.  JM to speak to SS. 16/4/09: App submitted? 20/4/09: Update from Jason needed.  Design required from VF. 27/4/09: NZC completed Data Pack and drawings to go to Jason Britten today.5/5/09: Jm to update with JB and BR. 12/5/09: Answered VF questions.  Expecting response in next 5-7 days.  COWs? 18/5/09: JM spoke with JB yesterday.  Waiting for VF feedback. 26/5/09: Update from JB. 2/6/09: Timelines from JB outstanding.  Vodafone have replied.  JM to talk to JB. 8/6/09: In principle solution agreed with Vodafone.  Now have consent to use the same design consultants so we can actually devise a feasible proposal and know that wind loadings, structural cals etc have been taken into account. 15/6/09: Drawings from HG being chased. 22/6/09: Waiting design drawings from HG. 29/6/09: PDs still in production.  Structural cals due back this week with drawings issued before the end of the week. 9/7/09: Drawings received.  Drawings being circulated for internal approval.  Drawings going through VF approval once we've approved but JM needs to confirm this process with Jason Britten.  RMA is by no means guaranteed and the progress of the site will be determined by community response. 14/7/09: Waiting feedback from Voda on designs.  All approved with NZCL. 21/7/09: RMA consultation letters dropped off for both the co-lo and an independant structure.  Response time closes end of July.  LH to investigate more closely raising one of the sectors at Baxters. 28/7/09: RMA have posted out the notification letters.  Responses due 31st July.  Available for lodging thereafter if consultation goes well.  Council happy with lease.  Team to determine if independant pole works.  Independant structure probably won't work.  John Gibbs feedback for next meeting.  LH to predict from Baxters.  RC to verify dish heights.  JM to review dates. 4/8/09: Residents submissions back for RMA.  JM to mail Barbara to chase if approval to drawings change Site Acquisition dates.  Who's building?  Vodafone costs? CDs done.  11/8/09: VF need to have a copy of the project plan with CDs.  RC lodged but may go notified.  copy to go to Barbara Richardson.  Lease with Council for cabs and Voda for tower equipment.  CoW location to be agreed. 18/8/09: Waiting for RMA.  Going to push to get the lease started. 25/8/09: Lease agreed by PMcK.  Lease with Jess before being executed this week by us. and sent to Landlord waiting for RMA.  BR to confirm progress with Vodafone. 1/9/09: Jess adding clauses to lease.  RMA dates good then can progress the lease.  PMcK/BB to look at COW location.  VF lease with BR. 8/9/09: Site meeting with contractor tomorrow to review Vodafone site and colo requirements for the submission of the Project Plan. RMA is complete but S127 submitted due to cabinets being relocated.  SS to ensure the HG redesign for site type Ab. Separate lease entered into for cabinets.  Lease signed in Auckland.  New drawings to be issued asap.  Lease drawing does not show a future BTS location so additional landtake required.  Dates here are for cabinet locations.  Auckland/Barbara is doing the Vodafone lease.  Site type Ab. 15/9/09: Project PLan complete for Vodafone and is ready for issue with drawings 16/9/09.  Lease for cabs is with Porirua City Council.  Lease sent to Council on Friday.  S127 to lodge for cab change. </t>
  </si>
  <si>
    <t>116A Gloaming Hill, Onepoto, Porirua</t>
  </si>
  <si>
    <t>Judgeford</t>
  </si>
  <si>
    <t>WLG-044-001-B, WLG-044-001-B</t>
  </si>
  <si>
    <t>9/2/09: TSS w/c 9/2/09 25/2/09: In build. 19/3/09: Approval from RF to build._x000D_
20/4/09: Power going on tomorrow.</t>
  </si>
  <si>
    <t>Paremata Haywards Rd_x000D_
State Highway 58_x000D_
Wellington</t>
  </si>
  <si>
    <t>Whitby</t>
  </si>
  <si>
    <t>WLG-044-001-B, WLG-047-071-A</t>
  </si>
  <si>
    <t>9/2/09: TSS'd CDs to issue w/c 9/2/09 9/3/09: In build. 19/3/09: Approval from RF to build.</t>
  </si>
  <si>
    <t>Entrance from Endeavour Dr,_x000D_
Hill Top,_x000D_
Porirua,_x000D_
Wellington</t>
  </si>
  <si>
    <t>Ascot Park</t>
  </si>
  <si>
    <t>WLG-044-011-C, WLG-044-011-C</t>
  </si>
  <si>
    <t>9/2/09: TSS'd and in build. 3/3/09: Turn key by Kordia. 9/3/09: In build._x000D_
16/4/09: All ok for completion this month.  Power is prdered with power on by month end.  Mounts and TI work next week._x000D_
20/4/09: Power supplytbc.  Still on course for April completion.</t>
  </si>
  <si>
    <t xml:space="preserve">32a Kahurangi Heights, _x000D_
Ascot Park, _x000D_
Porirua_x000D_
Wellington_x000D_
</t>
  </si>
  <si>
    <t>Waitangirua</t>
  </si>
  <si>
    <t>9/2/09: Update VM. RMA dependant on local council improvement project. NZ Comms work to be done in conjunction, currently scheduled for July. 9/3/09: Lease with council and should be complete in March. RMA team to do consultation in conjunction with council. Some details still to be established so that our scheme progresses with the council's build. VM to confirm and discuss with SS and CE. 16/3/09: Meeting with Council and SS to confirm design with consultation scheduled for week 1 in April._x000D_
_x000D_
30/3/09: Await feedback from councils public consultation this evening.  RMA cannot be lodged until we have been present at a consultation ourselves._x000D_
_x000D_
6/4/09: Public consultation went well.  Council and our teams to meet next week to ascertain timescales and look at our consultation plan.  RMA submitted upon  upon Council confirmation that we have met our public consultation commitments._x000D_
_x000D_
16/4/09: Agreement is with Council.  Meeting to be held today to determine/agree public consultation for both RMA and lease.  RMA is dependant on elase completion.  Subject to co-site approval with same land owner._x000D_
20/4/09: BB to meet the mall owner to establish and agree his requirements.  Public consultation complete on 27/4/09.  Lease complete soon after.  JM to check pole status._x000D_
27/4/09:Consultation letter out last week.  Feedback due this week.  Lease dependant on RC._x000D_
5/5/09: Consultation all signed off.  Lease progressing._x000D_
12/5/09: Lease complete.  RMA awaited._x000D_
18/5/09: Forecasts still good.  With Council._x000D_
26/5/09: RMA on track._x000D_
2/6/09: RC this week._x000D_
15/6/09: Pole being competitively tendered.  Modifying a 4F.  Need to know pole availability before forecasting build activities._x000D_
22/6/09: Waiting pole before scheduling.  POle going to alternative supplier on instruction from DdV._x000D_
29/6/09: Waiting pole.  Just ordered.  Build? Target group?_x000D_
14/7/09: Not a priority site. LANDBANKED._x000D_
21/7/09: Acquired._x000D_
28/7/09: Await pole availability.  Ornate embellishments required.  Design TBC.  Town planning and Mana Forbes sorting.  JM spoke to Mana - embellishments are only a 'nice to have'._x000D_
18/8/09: In build but site location to be confirmed._x000D_
1/9/09: Start build?  JM to follow up._x000D_
8/9/09: Only site type A green allocated to this site.  Still being messed around by Council.  JB is aware of issues.  Wanting outstanding Council problems resolved by the end of this week._x000D_
15/9/09: Council happy with RF, now have question over luminaire and the length of the arms.  TSS'd for the 2nd time._x000D_
22/9/09: Meeting with council to review the pole today. Pre-start works underway._x000D_
6/10/09: In build._x000D_
20/10/09: In build. LL connected.</t>
  </si>
  <si>
    <t>Light stand within carpark of the Waitangirua Mall.</t>
  </si>
  <si>
    <t>WLG-047-071-A, WLG-044-002-D</t>
  </si>
  <si>
    <t>25/2/09: Awaiting leased line._x000D_
NOTE - BBU 3806 SWAPPED OUT WITH NEW 3900 UNIT 17/10/2012.</t>
  </si>
  <si>
    <t>Guardian Healthcare_x000D_
14 Hartham_x000D_
Porirua_x000D_
Wellington</t>
  </si>
  <si>
    <t>Cannons Creek</t>
  </si>
  <si>
    <t>Leased Line, Microwave, Microwave</t>
  </si>
  <si>
    <t>WLG-047-071-A, WLG-044-012-B, WLG-044-012-B</t>
  </si>
  <si>
    <t>2008-07-31, 2008-07-31</t>
  </si>
  <si>
    <t>Freedom Church_x000D_
1 Tavern Lane_x000D_
Cannons Creek_x000D_
Wellington</t>
  </si>
  <si>
    <t>Linden</t>
  </si>
  <si>
    <t>2008-08-20</t>
  </si>
  <si>
    <t>25/2/09: Problem with location of wayleaves. 9/3/09: In build. revised CDs awaited. PD sent for approval today. 17/3/09: Lease to be approved on the basis of of the revised PDs/CDs now to be issued. Build in March/April Completion. No impact on RMA. Property issue re: rental payments being worked through by Legal._x000D_
_x000D_
30/3/09: Build can continue.  Both LL and tenant have confirmed that this is ok._x000D_
_x000D_
16/4/09: Lift delayed and land lord request.  Now 23rd April.  All on course for the end of April civils completion.  Lease to complete after agreement between landlord and tenant has been reached.</t>
  </si>
  <si>
    <t>5 Kapuni Grv,_x000D_
Porirua,_x000D_
Wellington</t>
  </si>
  <si>
    <t>Colonial Knob</t>
  </si>
  <si>
    <t>2008-08-21</t>
  </si>
  <si>
    <t xml:space="preserve">9/2/09: CDs issue w/c 9/2/09. RMA getting confirmation about painting. TSS this week. 25/2/09: Awaiting co-site approval. S127. 9/3/09: In build._x000D_
16/4/09: All good for April completion._x000D_
20/4/09: All still on course for April._x000D_
12/5/09: STM4 link to Kaukau being prioritised and installed asap.  </t>
  </si>
  <si>
    <t xml:space="preserve">Colonial Knob (Near Telecom)_x000D_
Porirua _x000D_
Wellington_x000D_
_x000D_
</t>
  </si>
  <si>
    <t>Pukerua Bay</t>
  </si>
  <si>
    <t>WLG-044-012-B, WLG-044-012-B</t>
  </si>
  <si>
    <t>2008-09-04, 2008-09-04</t>
  </si>
  <si>
    <t>9/2/09: Lorraine to review with Julian. Co-lo with Telecom or going alone with our own option in new location outside of Telecom leased area. DK to speak with Kirsty/Matt Buchanan. Another caravan required w/c 09/02/09. PMcK to arrange access. TX LOS at same time. 25/2/09: Confirmation from Telecom that we can use their easement area is required. 3/3/09: Possibly revert to original scheme if we can get written approval from Telecom. 16/3/09: Await TNZ approval to co-site. 9/3/09: Revised drawing to accompany co-site request done today. Preferred option to go with original design. Copy of co-site approval to go to landlord. RMA complete for orginal option. Chase through co-site once lodged. 17/3/09: Only awaiting Telecom approval. JM to chase if we can build._x000D_
_x000D_
30/3/09: Awaiting co-site approval only.  JM to speak to JC and DdV and get approval.  Team talk approval outstanding.  JM to chase.  TSS and do pre-build work ASAP._x000D_
16/4/09: Property issues to be resolved today/tomorrow.  PLus power issues to be resolved.  Looking uncertain for April._x000D_
20/4/09: Site works started.  Aiming for April completion._x000D_
12/5/09: No 1.2m dish available for link to Colonial.</t>
  </si>
  <si>
    <t xml:space="preserve">On hill behind Kapekape Plc,_x000D_
153 Rawhiti Road, _x000D_
Pukerua Bay_x000D_
</t>
  </si>
  <si>
    <t>Papakowhai</t>
  </si>
  <si>
    <t>Papakowhai Rd VF Colo</t>
  </si>
  <si>
    <t>Road Reserve between SH6 and Papakowhai Rd</t>
  </si>
  <si>
    <t>Dealing with the Planning Manager Adrian Rammage. and also John Gibbs for consultation.  - 12/07/2011</t>
  </si>
  <si>
    <t>Chorus PRO Exchange Colo</t>
  </si>
  <si>
    <t>Porirua Hub</t>
  </si>
  <si>
    <t>Chorus PRO Exchange 12 Mungavin Avenue, Porirua East, Porirua 5024</t>
  </si>
  <si>
    <t>Te Marua</t>
  </si>
  <si>
    <t>Upper Hutt City</t>
  </si>
  <si>
    <t>WLG-045-002-A, WLG-045-002-A</t>
  </si>
  <si>
    <t>2007-11-20, 2008-06-09</t>
  </si>
  <si>
    <t>9/2/09: Landlord to be provided updated co-siting approval. 25/2/09: Scenic reserve designation to be confirmed. RMA problem. Telecom to confirm use of power. In build. 3/3/09: RMA problems being worked through. 9/3/09: In build. RMA issue re: pole width. Works continue with TP team approval. 18/3/09: RF have given approval to build.</t>
  </si>
  <si>
    <t>Hilltop at end of  81 Gillespies Road_x000D_
Co-site with TNZ_x000D_
Wellington</t>
  </si>
  <si>
    <t>Birchville</t>
  </si>
  <si>
    <t>25/02/09: Scenic reserve designation tbc. RMA problem being worked through. Site is pre-built, awaiting pole stand and confirmation of VF co-site approval. 3/3/09: RMA issues virtually overcome. 9/3/09: Only pole to lift later this month. 18/3/09:RF approval to build.</t>
  </si>
  <si>
    <t xml:space="preserve">Emerald Hill Park_x000D_
Wellington_x000D_
Gillies Group Limited </t>
  </si>
  <si>
    <t>Maoribank</t>
  </si>
  <si>
    <t>2007-11-20, 2007-11-20</t>
  </si>
  <si>
    <t>25/2/09: Site with temporary link to Whakatiki st - dependant on CIT.</t>
  </si>
  <si>
    <t>Rimutaka Sports Bar_x000D_
Wellington</t>
  </si>
  <si>
    <t>Elderslea North</t>
  </si>
  <si>
    <t>25/2/09: Dependant on CIT.</t>
  </si>
  <si>
    <t>122C Whakatiki Street_x000D_
DM and JM Investments_x000D_
Trentham</t>
  </si>
  <si>
    <t>Totara Park</t>
  </si>
  <si>
    <t>WLG-045-003-A, WLG-045-003-A</t>
  </si>
  <si>
    <t>9/2/09: Update from VM. RMA complete. 9/3/09: VM to confirm if notice of prior approval is required. 16/3/09: Await notice of prior approval only. 18/3/09: Have been advised that ETA for pole is 8/5/09_x000D_
_x000D_
30/3/09: Claim 'All site acq complete'_x000D_
_x000D_
16/4/09: Checking for NZTA approval._x000D_
27/4/09: May need a Section 51.  Need to notify Rueben with a minimum of 10 days notice.  S51 need written permission before undertaking._x000D_
12/5/09: Build well progressed with pole stand this week, dependant on weather._x000D_
18/5/09: Power still to go on.</t>
  </si>
  <si>
    <t>LPR on the Cnr of River Rd and Totara Lark Rd_x000D_
Upper Hutt_x000D_
Wellington</t>
  </si>
  <si>
    <t>Upper Hutt</t>
  </si>
  <si>
    <t>WLG-045-012-A, WLG-045-012-A</t>
  </si>
  <si>
    <t>2008-07-01, 2008-07-01</t>
  </si>
  <si>
    <t>9/2/09: DEAD. Caravan required for new site location at the water tower. Caravan w/c 9/2/09 9/3/09: Cannot take over Woosh. Landlord cannot break leave with Woosh. CE has organised Landlord's town planner to discuss possible solutions. Site meeting needed to review. Woosh programme etc unknown. Co-lo request to be submitted to share Woosh pole. 16/3/09: Need to meet landlords town planner on site to investigate all possible options._x000D_
_x000D_
30/3/09: Drawings being worked on to avoid the Woosh leased area._x000D_
_x000D_
6/4/09: Design work being done by Harrison Grierson._x000D_
16/4/09: Still awaiting drawings.  Questionable need for this site fom technical perspective._x000D_
20/4/09: LH to visit with JC today. PDs being done by HG.  Brendan still awaits drawings showing 2 x internal antennas plus cabs in new location.  Could do section 127 off old scheme._x000D_
27/4/09: Ben and Pete to meet Brendan from Gillies Group to review proposal.  If OK RC to be lodged._x000D_
5/5/09: Had to revisit design.  Going out for sign off today.  Meeting with MG and Brendan to be arranged for early this week._x000D_
12/5/09: PMcK to call Brendan.  Try to meet on Thursday or Friday.  RMA is not a full application.  It's going to be treated as a CoC._x000D_
18/5/09: Lease is in the post.  CoC for RMA.  Co-site approvals to lodge._x000D_
26/5/09: Lease in Auckland for execution.  RMA ok.  JM to check with DdV we can build._x000D_
2/6/09: Woosh and VF to approve co-siting._x000D_
8/6/09: Council haeve changed their minds and have decided that this now requires a S127 and not the CoC as previously determined._x000D_
15/6/09: Awaiting CDs._x000D_
22/6/09: Still awaiting cheque for RMA submission._x000D_
29/6/09: Build? Need LP system approval to satisfy VF requirements._x000D_
9/7/09: On Hold._x000D_
14/7/09: Not a priority site. LANDBANKED._x000D_
21/7/09: Progress into build once we have LH feedback on signal strength/indoor coverage._x000D_
28/7/09: Progress to build.  VF co-siting approval.  LP connection to VF system TBC.  Kosam to price and provide start dates._x000D_
18/8/09: In build.</t>
  </si>
  <si>
    <t>CBD Tower,_x000D_
84-100 Main Street,_x000D_
Upper Hutt City,_x000D_
Wellington</t>
  </si>
  <si>
    <t>Trentham North</t>
  </si>
  <si>
    <t>2008-08-15, 2008-08-15</t>
  </si>
  <si>
    <t>9/2/09: Built except for power. 25/2/09: Dispute with land owner. Site built excluding power. To be linked to CIT. 9/3/09: Working through power issues with landlord. 16/3/09: Power only to site.</t>
  </si>
  <si>
    <t>576D Fergusson Drive,_x000D_
Trentham,_x000D_
Upper Hutt,_x000D_
Wellington</t>
  </si>
  <si>
    <t>Trentham</t>
  </si>
  <si>
    <t>2008-05-19, 2008-05-19</t>
  </si>
  <si>
    <t>Racecourse_x000D_
Racecourse Rd/Granville St,_x000D_
Threntam _x000D_
Upper Hutt,_x000D_
Wellington</t>
  </si>
  <si>
    <t>Silverstream</t>
  </si>
  <si>
    <t>WLG-045-013-A, WLG-047-071-A, WLG-045-013-A</t>
  </si>
  <si>
    <t>2008-05-30, 2008-05-30</t>
  </si>
  <si>
    <t>25/2/09: Leased line install to be confirmed and programme brought on air.</t>
  </si>
  <si>
    <t>212 Fergusson Drive_x000D_
Silverstream_x000D_
Upper Hutt</t>
  </si>
  <si>
    <t>Heretaunga</t>
  </si>
  <si>
    <t>25/2/09: Whisper cabinet lock to be replaced before leased line complete and installed, and site brought on air.</t>
  </si>
  <si>
    <t>Somme Rd_x000D_
Trentham</t>
  </si>
  <si>
    <t>Haywards Hill</t>
  </si>
  <si>
    <t>9/2/09: In build. Access issues being worked through. 19/3/09: RF approval given to build.</t>
  </si>
  <si>
    <t>25C Mt Cecil Road, Highway 58, Haywards Hill, Upper Hutt</t>
  </si>
  <si>
    <t>Mt Cecil Rd</t>
  </si>
  <si>
    <t>WLG-046-004-A, WLG-046-004-A</t>
  </si>
  <si>
    <t>2008-08-18, 2008-08-18</t>
  </si>
  <si>
    <t>9/3/09: In build. 19/3/09: RF approval to build.</t>
  </si>
  <si>
    <t>25C Mt Cecil Rd_x000D_
Moonshine_x000D_
Upper Hutt_x000D_
Wellington</t>
  </si>
  <si>
    <t>Kaitoke Greenfield</t>
  </si>
  <si>
    <t>25/8/09: PDI with Stefan today.  Lease should be straightforward.  Co-lo being submitted._x000D_
1/9/09: Data pack received.  Co-lo application to be submitted._x000D_
8/9/09: Site type Ab.  Whole installation to be painted.  WRC to prepare the lease.  RMA with Upper HUtt City Council._x000D_
15/9/09: PDs available today.  RMA to be lodged and lease to complete ASAP.  Submit to TNZ and VNZ to share power, plus chase our own power supply._x000D_
22/9/09: Meeting with regional council on site today.  Co-site applications for power have been submitted to both TNZ and VNZ._x000D_
29/9/09: Site acq and town planning on course.  JM email BR to find if any feedback from other telcos on power._x000D_
6/10/09: Lease and RMA dates are good. Designation approval required. Using pole already in Wellington._x000D_
13/10/09: PMcK has received the lease.  Off to landlord today._x000D_
20/10/09: JM to chase design department for drawings. Lease with Auckland. PMcK to check ownership of track.  Power connection tbc._x000D_
27/10/09: Site acquisition complete.  Co-site approval awaited._x000D_
3/11/09: Awaiting co-site._x000D_
10/11/09: Lease complete. Await co-site approval.  Pre-build meeting held._x000D_
17/11/09: In build._x000D_
24/11/09: JM to chase co-siting approval._x000D_
1/12/09: In build.  Extremely difficult access, especially after prolonged or heavy rain._x000D_
15/12/09: Pole lifted today.</t>
  </si>
  <si>
    <t>Kaitoke Regional Park_x000D_
Waterwork Road_x000D_
North of Upper Hutt</t>
  </si>
  <si>
    <t>Pinehaven</t>
  </si>
  <si>
    <t>GF Pinehaven Water Resevoir</t>
  </si>
  <si>
    <t>19/12/12 Drive Testing today</t>
  </si>
  <si>
    <t>Greenfield_x000D_
Pinehaven Water Resevoir, Wyndham Park_x000D_
Duncraig St_x000D_
Pinehaven_x000D_
Upper Hutt</t>
  </si>
  <si>
    <t>need s.176A approval from UHCC  - 16/06/2011_x000D_
Approval received in form of s95 approval from asset owner and RA  - 22/06/2012</t>
  </si>
  <si>
    <t>Bulls Run Cellutronics 002</t>
  </si>
  <si>
    <t>Bulls Run - Moonshine</t>
  </si>
  <si>
    <t>900_MACRO_RPTR</t>
  </si>
  <si>
    <t>101A Bulls Run Road, Moonshine Valley, Upper Hutt, Wellington</t>
  </si>
  <si>
    <t>Manor Park</t>
  </si>
  <si>
    <t>Lower Hutt City</t>
  </si>
  <si>
    <t>WLG-046-006-B, WLG-046-006-B</t>
  </si>
  <si>
    <t xml:space="preserve">32 Golf Road,_x000D_
Manor Park_x000D_
Upper Hutt_x000D_
</t>
  </si>
  <si>
    <t>Taita</t>
  </si>
  <si>
    <t>2008-07-28, 2008-05-19</t>
  </si>
  <si>
    <t xml:space="preserve">99 Eastern Hutt Road,_x000D_
Taita_x000D_
_x000D_
Kevin Jenson_x000D_
Trax Rentals Limited_x000D_
99 Eastern Hutt Road_x000D_
Taita_x000D_
Lower Hutt     0274 374 269 / 04 567 1575   no email_x000D_
</t>
  </si>
  <si>
    <t>Stokes Valley</t>
  </si>
  <si>
    <t>WLG-045-013-A, WLG-045-013-A</t>
  </si>
  <si>
    <t>25/02/09: Site built, excluding power. Need written confirmation from VF to use their supply. 19/3/09: Approval from RF to build.</t>
  </si>
  <si>
    <t>the end of SHAFTESBURY GV,  _x000D_
Stokes Valley,_x000D_
Wellington_x000D_
_x000D_
(Park car in front of the locked gate and walk for 700m)</t>
  </si>
  <si>
    <t>Avalon</t>
  </si>
  <si>
    <t>2008-06-09, 2008-06-09</t>
  </si>
  <si>
    <t>None._x000D_
NOTE - BBU 3806 SWAPPED OUT WITH NEW 3900 UNITS ON 20/03/2013.</t>
  </si>
  <si>
    <t>45 Percy Cameron St,_x000D_
Avalon,_x000D_
Wellington</t>
  </si>
  <si>
    <t>Avalon South</t>
  </si>
  <si>
    <t>Hutt Golf Club,_x000D_
Fairway Drv,_x000D_
Military Rd,_x000D_
Lower Hutt,_x000D_
Wellington</t>
  </si>
  <si>
    <t>Naenae</t>
  </si>
  <si>
    <t>9/2/09: Acquired save for power route confirmation. PMck to get agreement from Judy Robb. 3/3/09: Still awaiting power route confirmation. 9/3/09: Still awaiting confirmation of power route. Could go ahead and build. Timings for council cycle track installation to be confirmed. 16/3/09: Power route OK'd. TSS'd. Agreed to add a fence._x000D_
16/4/09: All on course for April civils complete.</t>
  </si>
  <si>
    <t>All secure self storage_x000D_
Cambridge Terrace_x000D_
Wellington</t>
  </si>
  <si>
    <t>Epuni</t>
  </si>
  <si>
    <t>67a Pilmuir Street_x000D_
Lower Hutt</t>
  </si>
  <si>
    <t>Maungaraki</t>
  </si>
  <si>
    <t>Maungaraki Shops LPR</t>
  </si>
  <si>
    <t>Dowse Drive, south of Holly Grove_x000D_
Maungaraki_x000D_
Lower Hutt</t>
  </si>
  <si>
    <t>WLG-046-013-C, WLG-046-013-C</t>
  </si>
  <si>
    <t>310 Waiwhetu Rd,_x000D_
Fairfield_x000D_
Wellington</t>
  </si>
  <si>
    <t>Lower Hutt CBD</t>
  </si>
  <si>
    <t>None._x000D_
Note -BBU 3806 swapped out for new 3900 unit on 17/10/2012.</t>
  </si>
  <si>
    <t>The Public Trust Building_x000D_
44 Queens Drive_x000D_
Lower Hutt</t>
  </si>
  <si>
    <t>Normandale</t>
  </si>
  <si>
    <t>9/2/09: RMA complete. Revised drawings approved by landlord. TSS'd. Must be built off rail corridor, need to co-ordinate with Ontrack and pole availability. 9/3/09: In build.</t>
  </si>
  <si>
    <t>453 Hutt Road_x000D_
(Behind Super Cheap Auto)_x000D_
Lower Hutt_x000D_
Wellington</t>
  </si>
  <si>
    <t>Alicetown</t>
  </si>
  <si>
    <t>9/2/09: TSS'd 9/3/09: In build.</t>
  </si>
  <si>
    <t>8 Victoria St,_x000D_
Alicetown,_x000D_
Lower Hutt,_x000D_
Wellington</t>
  </si>
  <si>
    <t>Gracefield</t>
  </si>
  <si>
    <t>2008-05-27</t>
  </si>
  <si>
    <t>9/2/09: Built awaiting power. 25/02/09: Site built awaiting power wayleave. 3/3/09: Further agreement required by Rail Track. 16/3/09: Still with Crystal. Drawings of trenching due tomorrow._x000D_
_x000D_
30/3/09: Licence in the post.  All approved.  Richard Burrell happy to proceed.  JM to instruct power.</t>
  </si>
  <si>
    <t>43 Seaview Road,_x000D_
Gracefield,_x000D_
Wellington</t>
  </si>
  <si>
    <t>Moores Valley</t>
  </si>
  <si>
    <t>25/2/09: To be linked to Wainui Shopping Centre.</t>
  </si>
  <si>
    <t>Wainui Water Tower,_x000D_
Parkland,_x000D_
Lowerhutt,_x000D_
Wellington</t>
  </si>
  <si>
    <t>Wainuiomata</t>
  </si>
  <si>
    <t>25/2/09: Awaiting leased line.</t>
  </si>
  <si>
    <t>26-33 The Strand Wainuiomata,_x000D_
Wainuiomata,_x000D_
Wellington</t>
  </si>
  <si>
    <t>Homedale</t>
  </si>
  <si>
    <t>37 Burden Avenue_x000D_
Homedale_x000D_
Wainuiomata</t>
  </si>
  <si>
    <t>Eastbourne</t>
  </si>
  <si>
    <t>25/2/09: Leased line install TBC. Site programme to be brought on air.</t>
  </si>
  <si>
    <t>LPR o/s 29 Oroua St,_x000D_
Eastbourne,_x000D_
Wellington</t>
  </si>
  <si>
    <t>Waiwhetu</t>
  </si>
  <si>
    <t>Transmission to do LOS 16/3/09: Power only to resolve.</t>
  </si>
  <si>
    <t>Hutt Plumbers_x000D_
16 Hawkins Street_x000D_
Waiwhetu_x000D_
Lower Hutt</t>
  </si>
  <si>
    <t>Waterloo</t>
  </si>
  <si>
    <t>2008-05-26, 2008-05-26</t>
  </si>
  <si>
    <t>9/2/09: to TSS w/c 9/2/09 9/3/09: In build._x000D_
16/4/09: Still waiting for Arrow pricing._x000D_
12/5/09: IN build with SkyComms.  Lots of steel to fabricate._x000D_
29/6/09: Built.</t>
  </si>
  <si>
    <t>Waterloo Interchange,_x000D_
Oxford Tce,_x000D_
Lower Hutt,_x000D_
Wellington</t>
  </si>
  <si>
    <t>Petone South</t>
  </si>
  <si>
    <t>25/2/09: Citylink fibre in, site in build._x000D_
NOTE - BBU 3806 SWAPPED OUT WITH NEW 3900 UNIT ON 20/03/2013.</t>
  </si>
  <si>
    <t>SecuritEase Building_x000D_
75 The Esplanade_x000D_
Petone_x000D_
Wellington</t>
  </si>
  <si>
    <t>Petone North</t>
  </si>
  <si>
    <t>WLG-046-031-B, WLG-046-031-B</t>
  </si>
  <si>
    <t>2008-09-03, 2009-01-07</t>
  </si>
  <si>
    <t>9 Regent Street_x000D_
Petone_x000D_
Wellington</t>
  </si>
  <si>
    <t>Moera</t>
  </si>
  <si>
    <t>WLG-046-019-E, WLG-046-019-E</t>
  </si>
  <si>
    <t>2008-09-29, 2008-09-29</t>
  </si>
  <si>
    <t>39-41 Randwick Road_x000D_
Moera_x000D_
Lower Hutt</t>
  </si>
  <si>
    <t>Pencarrow</t>
  </si>
  <si>
    <t>9/2/09: Stuck site. Jason Britten doing co-lo. 3/3/09: Confirmation of roles and responsibilities required. 9/3/09: Jason Britten still chasing Vodafone to establish roles and responsibilities. 16/3/09: JM to speak with JB._x000D_
_x000D_
30/3/09: Indicative drawings received to approve.  VF doing the RMA._x000D_
16/4/09: Co-lo application to lodge.  Questionable technical requirement._x000D_
20/4/09: Update from Jason needed._x000D_
27/4/09: Question over whether we continue with this site.  John Challinor to confirm._x000D_
5/5/09: TNZ co-lo - no feedback.  VF not lodged the RC for the co-lo.  Form submitted.  JM to speak with BR/JB.  Team to visit site to determine which option is best and decide whether we lodge on our own option which will go to a hearing._x000D_
12/5/09: JM to advise JB that he is to investigate the TNZ option.  Team arranging  access to the land to caravan. VF about to lodge RC so our design is agreed.  _x000D_
18/5/09: JM spoke with JB yesterday.  JB further investigating TNZ option.  VF option still progressing with joint build.  VF has submitted for RC with us included._x000D_
26/5/09: Update from JB._x000D_
2/6/09: JB for update.  Send the TNZ proposal - check with JB it's received and sent.  VF is progressing.  Plus investigating options at Mt Crawford.  Site data pack requested._x000D_
8/6/09: Three options being investigated for Seatoun.  1) This candidate is the VF option which has progressed to RC submission by Vodafone.  Vodafone have no Build timescales so they'd be looking to us to get the site constructed.  2) This is the preferred option to share an  existing TNZ tower.  There is an online application that is partially complete.  PMcK to sort out access to caravan.  3)Option to back up one or two is at Mt Crawford on land designated for TNZ use._x000D_
15/6/09: Back up solution._x000D_
22/6/09: Back up to TNZ Camp Bay Site WLG-046-035-C._x000D_
4/8/09: JM to chase build drawings and costs._x000D_
11/8/09: Site to be pegged for RF.  Site acquisition to determine VF lease area and to investigate whether we can terminate our existing lease and sub-let an area from Vodafone.  Await VF project plan and CDs._x000D_
18/8/09: Still waiting.  JB to confirm what's happening with the lease.  PMcK may have to discuss lease variation with VF and LL._x000D_
25/8/09: PMcK to speak with Belinda about the VF lease to see if it allows for sub-leasing.  Power supply to be confirmed.  Tower to be painted flax green.  JM to chase HG re: PD and CD issue._x000D_
1/9/09: Structural calcs done?  Lease arrangement agreed?  PMcK to speak to landlord re: cancelling our lease and following up VF lease. JMaxwell re: power._x000D_
8/9/09: Existing lease with landlord to be revoked and new lease to be entered into through Vodafone.  LL ok with the proposal.  Voda have not done the LL deal yet.  Barbara is progressing.  RMA is complete plus RMA have approved the new sectors as have Vodafone with the exception of the sector spacing. _x000D_
15/9/09: BR to close out the lease with Vodafone.  BR needs drawings showing the change in sectors with confirmation of the separations between  the antennas._x000D_
22/9/09: All sublet via VFNZ.  Drawings issued to VF by Harrison Grierson and will be circulated internally for approval.  Flax green site type A to be used._x000D_
29/9/09: Await VF lease only._x000D_
6/10/09: BR to update on Vodafone lease._x000D_
PMcK lease complete.  BR to advise progress of VF lease._x000D_
20/10/09: JM to check with BR._x000D_
27/10/09: BR to update._x000D_
10/11/09: Lease to complete end of this week. In build._x000D_
17/11/09: Consent of owner required. In build._x000D_
24/11/09: In build.  LL approval still to be given. JM to chase lease.</t>
  </si>
  <si>
    <t>525 Muritai Road, Eastbourne</t>
  </si>
  <si>
    <t>Gear Island</t>
  </si>
  <si>
    <t>9/2/09: Council water board have concerns over potential RF interference and with proximity to a water pipe. Stefan/Lorraine and PMcK to meet on site. 9/3/09: Lease signed by NZCL. Need WRC and GOlf Club to sign. April build. 16/3/09: Lease imminent. 23/3/09: Chase "All Site Acq Complete" actual to be claimed._x000D_
_x000D_
30/3/09: All complete._x000D_
16/4/09: All on course for April civils completion.  Problem with water table.  POle lift delayed a week._x000D_
20/4/09: Still on course for civils completion in April._x000D_
12/5/09: Pole stood waiting for power towards end of this week.</t>
  </si>
  <si>
    <t xml:space="preserve">Shandon Golf Club,_x000D_
471 Jackson Street_x000D_
PO Box 38104 Wellington Mail Centre_x000D_
Petone  5012  Travis Gawler ( travis@golf.co.nz ) 04 9396305_x000D_
</t>
  </si>
  <si>
    <t>Kelson</t>
  </si>
  <si>
    <t>LPR 177 Major Drive-Hard Match Only</t>
  </si>
  <si>
    <t>WLG-047-071-A, WLG-046-013-C</t>
  </si>
  <si>
    <t>Council have requested a completion date for this LPR. 2D has specified Dec 2012. If not complete by then, advise Council and request an extension. (Refer site folder on server for Council reponse to Telco Notice.)</t>
  </si>
  <si>
    <t>177 Major Drive_x000D_
Kelson_x000D_
Lower Hutt</t>
  </si>
  <si>
    <t>do noise assessment to ensure compliance after boundary line is confirmed  - 30/06/2011</t>
  </si>
  <si>
    <t>Lower Hutt East</t>
  </si>
  <si>
    <t>65 Walterloo Rd</t>
  </si>
  <si>
    <t>Mt Crowther</t>
  </si>
  <si>
    <t>Kelson Micro 1</t>
  </si>
  <si>
    <t>Kelson Microcell A</t>
  </si>
  <si>
    <t>Concrete lightpole. 1 MC unit required on Fibre._x000D_
PD Rev 1 issued and forwarded to HCC. (Prelim application) They HCC want to know how we will attach to the concrete pole without compromising the integ. _x000D_
29.09.14 Chris Adams to call the HCC facilities manager and discuss. _x000D_
1.10.14 Chris called. HCC is happy as long as we submit the PS1 and Calcs with the application. Chris / Ritchie to have this ready for Phil by Fri 10th Oct_x000D_
15 Oct - PS1 has been sent to council RC and telco act notice to follow.  Ben to discuss power connection with council._x000D_
28 Oct - CD on Circ FO ordered, power enquiry in RC to be lodged, Wgt electricity liaison reqd for power delivery - qoute recieved delivery issues to be resloved, 6 Jan power ordered, Fibre ordered, await installation qoute - resource confirmed by TSL.  Delay with power conection has delayed installation.  16 Feb - Brackets to be fabricated._x000D_
6 March installation complete - requires SFP to finish TI</t>
  </si>
  <si>
    <t>Outside 135 Major Dr_x000D_
Lower Hutt_x000D_
Wellington</t>
  </si>
  <si>
    <t>Date Lease Issued is the date the Telco notice was sent.  - 20/10/2014  - 22/10/2014</t>
  </si>
  <si>
    <t>Kelson Micro 2</t>
  </si>
  <si>
    <t>Kelson Microcell B</t>
  </si>
  <si>
    <t>Concrete lightpole. 1 MC unit required on Fibre._x000D_
PD Rev 1 issued and forwarded to HCC. (Prelim application) They HCC want to know how we will attach to the concrete pole without compromising the integ. _x000D_
29.09.14 Chris Adams to call the HCC facilities manager and discuss. _x000D_
1.10.14 Chris called. HCC is happy as long as we submit the PS1 and Calcs with the application. Chris / Ritchie to have this ready for Phil by Fri 10th_x000D_
15 Oct - PS1 has been sent to council RC and telco act notice to follow.  Ben to discuss power connection with council._x000D_
28 Oct - CD on circ FO ordered, power enquiry in 11 Nov, RC to be lodged, Wgt electricity liaison reqd for power delivery.  Qoute recieved delivery issues to be resloved. 6 Jan power ordered, Fibre ordered, await installation qoute - resource confirmed by TSL.  Delay with power conection has delayed installation.  16 Feb Further Chorus FO delivery delays build_x000D_
6 March installation complete - requires SFP to finish TI</t>
  </si>
  <si>
    <t>Ourside 214 Major Dr_x000D_
Lower Hutt_x000D_
Wellington</t>
  </si>
  <si>
    <t>Wilton</t>
  </si>
  <si>
    <t>Wellington City</t>
  </si>
  <si>
    <t>9/2/09: Stuck site. Transpower? Copy of foundation agreement being sought. 25/2/09: Transpower option stuck. Now, to 1) investigate own option; 2) acquire rights to Woosh site; 3)Telecom co-lo 9/3/09: Woosh have agreed to investigate co-lo. Cherry picking to confirm height requirement. Still need foundation agreement with Transpower. Can't forecast - it's taken a year to get this far! 16/3/09: Need to access site for RF and TX to do detailed survey. Peter McKeefry to obtain access info. 23/3/09: Peter McKeefry to contact David Viviers, Transpower property manager, about getting access. Going back to square one and starting afresh. PMck to provide details of Woosh agreement. We need panoramics at at least two heights._x000D_
30/3/09: Struggling to get access.  Could use Woosh to get access?_x000D_
6/4/09: To cherry pick 8th April 09.  Going on Woosh site.  Our gear to go on Woosh location so need to ensure that they can go on our site._x000D_
16/4/09: Site identified as co-site with Woosh.  To submit application._x000D_
20/4/09: Determined site location.  LH to forward copies of the Woosh drawings to SS.  Currently they have a 15m pole with them at the top.  Now proposing a 20m pole.  Will issue PDI once we know.  Team to check pole location for current RMA works.  JM to chase._x000D_
27/4/09: 2 x sets of drawings being produced.  One set showng Woosh and ourselves for co-lo approval and one showing just us for RMA approval.  Will submit for S127 asap whilst co-lo approval is sought._x000D_
5/5/09: PMcK to check if lease date can be brought forward.  SS has issed drawings with and without Woosh.  PMcK to complete co-lo form and submit with drawings to BR.  SS waiting for a CDI._x000D_
12/5/09: Need to get engineering dept approval at Transpower before the property department will approve the lease.  RMA need a S127 for climbing pegs.  Co-siting form to go to Barbara. _x000D_
18/5/09: Transpower going through internal approval process.  They have requested more information.  With Stefan.  RMA complete._x000D_
26/5/09: PMcK needs some power details confirmed before being able to progress._x000D_
2/6/09: PDs being issued today._x000D_
8/6/09: Waiting for Transpower internal approvals.  PMck to chase Transpower and Woosh._x000D_
15/6/09: Hopefully getting final Transpower docs this week.  Lease being prepared.  Long build time expected due to site on a power station. _x000D_
22/6/09: Await return of lease.  Taking an eon through Transpower..  JM to speak to Mana to see if we can put some pressure on._x000D_
9/7/09: Awaiting details on electrical and earthing system on Transpower land._x000D_
14/7/09: Transpower are preparing the doc for signing by Woosh and NZCL.  All approved by Transpower.  Will acquire and land bank._x000D_
21/7/09: Still not lease exchanged.  Sheryll Gosnell at Transpower is dealing with this._x000D_
28/7/09: Legal docs with Auckland for NZC execution.  Woosh to then execute.  CDs this week.  JM to check pole availability and type.  Transpower site inductions required?_x000D_
4/8/09: With Jess.  Sublesase with Woosh to be agreed._x000D_
11/8/09: 2degrees legal have finished with the lease.  Woosh approval required and then needing to get Transpower final approval.  JM speak with Sheryl Gosnell ref preferred contractors/indcutions etc.  Progress with Tower._x000D_
18/8/09: Lease terms agreed and should be able to be executed by Woosh._x000D_
25/8/09: Belinda talking to Woosh re: ownership rights of equipment being covered by side letter.  Lease ready for execution.  Woosh to sign first, then us._x000D_
1/9/09: Lease executed 31st August.  JM to speak to Transpower-Sheryll Gosnell._x000D_
8/9/09: Lease signed.  JM waiting for response from  Transpower re: access protocols and inductions etc.  Site type A allocated._x000D_
15/9/09: Woosh all complete.  2degrees already talking with Transpower re: inductions etc and access protocols.  Power quote is awaited for independant supply._x000D_
22/9/09: Lease still not signed by Auckland.  Waiting for induction date once legals have completed._x000D_
29/9/09:Can't build without induction which is being held up by legals.</t>
  </si>
  <si>
    <t>Transpower Wilton,_x000D_
End of Chartwell Dr,_x000D_
Crofton Downs,_x000D_
Wellington</t>
  </si>
  <si>
    <t>Tawa</t>
  </si>
  <si>
    <t>WLG-047-003-A, WLG-047-003-A, WLG-047-071-A</t>
  </si>
  <si>
    <t>2007-08-30, 2007-08-30</t>
  </si>
  <si>
    <t>210-212 Main Road_x000D_
Tawa_x000D_
Wellington</t>
  </si>
  <si>
    <t>Grenada North</t>
  </si>
  <si>
    <t>2008-08-12, 2008-09-08</t>
  </si>
  <si>
    <t>25/2/09: Pole height being reduced. No RMA inpact. 9/3/09: Lease signed but not "All Site Acq Complete", awaiting co-site approval only. JM to check whether we can build without co-site approval. Now building 15m pole. CD forecast is good. 16/3/09: Await TNZ co-site approval. 19/3/09: Approval from Dawie de Vaal to build. 23/3/09: No Vodafone drawings. We have to show Vodafone site at Roger's request. CDs compelte apatr from this but can't issue until resolved. JM to confirm with DdV/JC/RB if we can continue. All Site Acq milestone to complete when we have the co-siting approvals._x000D_
_x000D_
30/3/09: Awaiting co-site.  We've been requested to add details of VF pole to drawings but can't get any details.  JM to email Barbara.  Do the TSS and pre-build._x000D_
_x000D_
6/4/09: Awaiting TNZ co-site approval only._x000D_
16/4/09: Still await co-site approval._x000D_
20/4/09: Co-site approval is good.  To TSS asap._x000D_
12/5/09: Started on site._x000D_
18/5/09: In build.  Meeting with the Council at 4pm today._x000D_
26/5/09: Issue over pile foundation resolved.  Drawings to be updated and sent to Council before meeting on site and discussing the works and new location.  BB to meet processing planner on site at the same time._x000D_
29/6/09: Built.</t>
  </si>
  <si>
    <t>Water Tower_x000D_
40 Gladys Scott Place (Entrance with gate)_x000D_
Wellington</t>
  </si>
  <si>
    <t>Glenside</t>
  </si>
  <si>
    <t xml:space="preserve">9/2/09: Lease with VM 9/3/09: JM to check why not all site acq complete in DB. Notice of prior approval required. To be confirmed by VM. 16/3/09: Notice of Prior Approval?_x000D_
16/4/09: Awaiting Rueben from TA._x000D_
20/4/09: Now a May site due to late start date._x000D_
6/5/09: Make sure Rueben is given at least 10 days notice._x000D_
12/5/09: Pole stood, power to go on. </t>
  </si>
  <si>
    <t>Streetlight replacement_x000D_
Churton Park offramp_x000D_
Glenside_x000D_
Wellington</t>
  </si>
  <si>
    <t>Churton Park</t>
  </si>
  <si>
    <t>WLG-047-074-B, WLG-047-074-B</t>
  </si>
  <si>
    <t>2008-05-27, 2008-05-27</t>
  </si>
  <si>
    <t>50 Abilene Crescent_x000D_
Churton Park_x000D_
Wellington</t>
  </si>
  <si>
    <t>Johnsonville</t>
  </si>
  <si>
    <t>2008-05-21, 2008-05-21</t>
  </si>
  <si>
    <t>1 Norman Lane_x000D_
Johnsonville</t>
  </si>
  <si>
    <t>Newlands Infill</t>
  </si>
  <si>
    <t>Newlands</t>
  </si>
  <si>
    <t>The Inn Keeper pub_x000D_
15 Batchelor street_x000D_
Paparangi_x000D_
Wellington</t>
  </si>
  <si>
    <t>Raroa</t>
  </si>
  <si>
    <t>9/2/09: No problem with access. In build. 25/02/09: Some access difficulties re: health and safety, and induction. 9/3/09: In build. 19/3/09: Approval from Dawie de Vaal to build. 23/3/09: Pending co-site approval._x000D_
16/4/09: All good for April completion._x000D_
20/4/09: All complete pending power.</t>
  </si>
  <si>
    <t xml:space="preserve">Raroa Quarry_x000D_
Raroa_x000D_
Wellington_x000D_
_x000D_
(Access from the end of Plumer Street)_x000D_
_x000D_
</t>
  </si>
  <si>
    <t>Ngauranga Gorge</t>
  </si>
  <si>
    <t>9/2/09: with co-siting. 9/3/09: In build. 19/3/09: Approval from RF to build._x000D_
16/4/09: Concrete all in.  Pole lift 16/4/09.  All good for this month.</t>
  </si>
  <si>
    <t xml:space="preserve">Between Hutt road and Wellington Urban Motorway_x000D_
Ngauranga_x000D_
</t>
  </si>
  <si>
    <t>Resource Consent required for upgrade to site.  - 07/01/2014</t>
  </si>
  <si>
    <t>Wadestown Village</t>
  </si>
  <si>
    <t>Spectrum Gallery_x000D_
102D Wadestown road_x000D_
Wadestown_x000D_
Wellington</t>
  </si>
  <si>
    <t>Kaiwharawhara</t>
  </si>
  <si>
    <t>36 -54Kaiwharawhara Road,_x000D_
Kaiwharawhara,_x000D_
Wellington</t>
  </si>
  <si>
    <t>Northland</t>
  </si>
  <si>
    <t>9/2/09: Revised scheme recently approved. New PDs required with permitted activity. Revised CDs required. Need to re-TSS. Bespoke pole required. 9/3/09: CDs to issue 10/3/09. In build. Still awaiting pricing for poles. 23/3/09: Pending co-site approval. redesign of site required for RF. Solution to be proposed to the landlord this week. If ok, full designs to be drawn._x000D_
_x000D_
30/3/09: PMcK to talk to landlord by Wed 1/4/09.  Ss to issue draft of CDs._x000D_
_x000D_
6/4/09: Pending co-site approval from TNZ.  Sector 1 needs to be reviewed by RF.  To happen 8/4/09._x000D_
16/4/09: Started today.  All going well.  Awaiting co-site approval. _x000D_
20/4/09: Seperate pole to be installed for sector 3. LL duct to go in._x000D_
27/4/09: Only co-site approval outstanding._x000D_
12/5/09: Leased line in.</t>
  </si>
  <si>
    <t>Pembroke Motors 2000_x000D_
107 Pembroke Road_x000D_
Wilton_x000D_
Wellington</t>
  </si>
  <si>
    <t>Kelburn</t>
  </si>
  <si>
    <t>9/2/09: In build. Co-siting required. 25/02/09: NOT in-build. RTB pending co-site approval. 9/3/09: On hold awaiting co-site approval. 11/3/09: Off hold. 23/3/09: Pending co-site approval. 19/3/09: Approval from RF to build. 16/3/09: In build._x000D_
16/4/09: On course for April completion._x000D_
20/4/09: Still on course for civils completion in April.</t>
  </si>
  <si>
    <t>Kelburn Village,_x000D_
87 Upland Rd,_x000D_
Kelburn,_x000D_
Wellington</t>
  </si>
  <si>
    <t>Appleton Park</t>
  </si>
  <si>
    <t>Appleton Park carpark_x000D_
Birdwood Street_x000D_
Karori_x000D_
Wellington</t>
  </si>
  <si>
    <t>Karori East</t>
  </si>
  <si>
    <t>15/6/09: PMcK going to contact landlord today.  Need to get access to do the designs.  PDI to be issued today.TX to have upper slot on pole.  Linking to Wilton and possibly Montgomery or Pembroke. Landlord deal still being negotiated.  May need to replce his exisiting store room which will require building consent._x000D_
22/6/09: Draft drawings with landlord for approval._x000D_
29/6/09: Will drive once Montgomery is finished to check requirement for site._x000D_
9/7/09: Landlord difficult to deal with._x000D_
14/7/09: LL in hospital.  Still chasing.  Will acquire and land bank._x000D_
21/7/09: Still waiting for performance results from Montgomery Road.  Numbers of dishes tbc.  Suspect landlord is not 100%.  Pete McK to meet with LH._x000D_
28/7/09: Landlord still undecided.  PMcK and LH to visit 28/7/09.  PMcK to offer increase to sweetener.  Site feasibility to be determined before the end of this week._x000D_
11/8/09: LL wants to see drawings with garage.  LL keeps changing his mind over pole location._x000D_
18/8/09: LL may not been that keen.   VM looking at back-up at butchers on Gipp St._x000D_
25/8/09: Wanting to bring this site to a head.  RMA will be in this month and we'll chase the landlord for a decision following that.  VM working on feasibility of identified back up at Gipp St Butchers. before we push the landlord at the Four Square really hard._x000D_
1/9/09: PMcK and LH met with Dillip yesterday.  All went well. Need to redesign-move pole and erect garage.  JM and SS to meet with Dillip._x000D_
8/9/09: Have applied for a new CoC for revised pole location.  PMcK to meet with LL today and put pressure on.  Building consent needed for replacement garage.  Site type Ab but indoors so not subject to consent issues.  BACK UP is Gipp Street butchers.  Caravan on Thursday.  This is a rooftop site and will have greater flexibility  for future linking._x000D_
15/9/09: RMA complete.  Lease in good shape to complete this week.  Tower to be found with climbing pegs.  2 dishes on the pole only._x000D_
22/9/09: Lease completed. Geotech still to complete.  Works halted t due POs not being in place. Need to work across the storage issues.  Landlord needs to shift a load of material into new temp storage and new garage to be sourced and installed by 2degrees._x000D_
29/9/09: Building consent has given preliminary approval for garage.  CDs complete and to be issued._x000D_
6/10/09: In build._x000D_
27/10/09: Meeting to be arrange with Clarks._x000D_
10/11/09: Pole stood.</t>
  </si>
  <si>
    <t>147 Karori Road_x000D_
Karori _x000D_
Wellington</t>
  </si>
  <si>
    <t>Karori West</t>
  </si>
  <si>
    <t>9/2/09: Going with pole. S127 to be submitted. Awaiting LOS. 25/2/09: LOS confirmed to Mt Vic. Need to acquire rights to acquire dish higher up tower. 9/3/09: RMA need to re-lodge for new option. Lease requires a revised plan only. Need to get rights to an additional dish @ 22m for linking. 16/3/09: Awaiting co-site. 23/3/09: Await co-site approval. Drawings showing move of pole due to future Voda link to be issued this week._x000D_
_x000D_
30/3/09: VF have rejected the co-site again.  Questions over the future RF and dish locations for VF.  We cannot lose height._x000D_
_x000D_
6/4/09: Await co-siting approval .  Waiting for feedback from VF._x000D_
16/4/09: Still awaiting co-site approval.  LF attempting to meet on site._x000D_
20/4/09: VF co-site is causing problems.LH has offered an on-site meeting to clarify what VFs issues are.  Build without co-site._x000D_
27/4/09: Co-siting for VF awaited.  DdV has instructed to build.  _x000D_
5/5/09: Build.  Chopper lift-notify residents._x000D_
12/5/09: Need to get confirmation from Council that they are happy with the revised proposal.  _x000D_
18/5/09: TSS and build._x000D_
26/5/09: Waiting for Council property to approve the new location._x000D_
8/6/09: Pole location has moved and revised drawings are with Council for approval.  They are aware that this is number one priority.  Contractors geared up to start.  Difficult build._x000D_
15/6/09: In build._x000D_
29/6/09: In build_x000D_
7/7/09: In build.</t>
  </si>
  <si>
    <t xml:space="preserve">Wellington Council land opposite_x000D_
31 Montgomery Ave_x000D_
Karori_x000D_
Wellington_x000D_
</t>
  </si>
  <si>
    <t>Brooklyn</t>
  </si>
  <si>
    <t>55-71 Cleveland Road_x000D_
Brooklyn_x000D_
Wellington</t>
  </si>
  <si>
    <t>Owhiro Bay</t>
  </si>
  <si>
    <t>25/02/09: Difficult hill top build. 9/3/09: In build. 16/3/09: Awaiting co-site._x000D_
16/4/09: Looking good.  TI lift with chopper Thurs or Fri.  All ok.</t>
  </si>
  <si>
    <t xml:space="preserve"> about 167(a) Happy Valley Rd,_x000D_
Island Bay_x000D_
Wellington</t>
  </si>
  <si>
    <t>Berhampore</t>
  </si>
  <si>
    <t>27/4/09: Council property being consulted as to whether they will accept a site here.  This is preferred by NZC and council to the Adelaide road GF candidate._x000D_
5/5/09: Site visit tomorrow to measure up.  RMA dependant on lease approval. _x000D_
12/5/09: Just waiting for PDs.  RMA dependant on lease._x000D_
18/5/09: PDI issued.  Waiting for drawings.  LH checking height of antennas.  Vodafone co-site._x000D_
26/5/09: Housing still to determine if OK._x000D_
2/6/09: Still waiting for feedback from Council._x000D_
8/6/09: Rooftop site previously discounted by Council but now possibly a go-er._x000D_
15/6/09: Housing still reviewing RF info provided by NZC.  Housing approval required before we can progress._x000D_
22/6/09: Housing manager still reviewing the RF information provided._x000D_
29/6/09: Priority site with regional RF to cover Island Bay._x000D_
9/6/09: Dejan is chasing.  Now need iwi approval as part of RMA process.  This follows the lease approval._x000D_
14/7/09: Granville Flats is going no where and council aren't responding to requests for progress or information.  Still with their Asset Manager to determine if we can go ahead.  Team determining whether we can resurrect and progress teh Adelaide Road Greenfield site if only to perhaps give Granville a kick._x000D_
21/7/09: JM meeting with Council tomorrow.  Granville Flats is still preferred.  RMA lodged lightpole at 15m with lease complete.  JM to talk to Belinda re: Peter revisiting Island Bay option with increased rental._x000D_
28/7/09: Vm chasing.  Council cancelled meeting with JM last week.  Dejan now not available. JM to discuss progress of flats and Island Bay plan.  Dejan from Council off on holiday until 3rd.  Deadline set to 7th August for feedback._x000D_
18/8/09: Meeting today between Council Management._x000D_
1/9/09: Lease doc to go to Joelyn ASAP.  Council timescale awaited.  Council to advise if we can do lease and RMA in parallel.  COW-PMcK talking to Anglican church.  Known to be telecoms favourable._x000D_
8/9/09: Lease with Joelyn for signing.  10ths Trust approval required for lease and RMA, as head lessor.  Mana Forbes well connected with the Trust.  Team to ask Mana to give whatever assistance he can.  Re: COW - Possible location identified.  With Church for approval at meeting tonight.  Vicar is onside.  JM to check the drawings for linking as we need 15m minimum for height of dish.  BB to speak with Council to determine RMA requirement.  Possible leased line.  RF require min of 12m if leased line._x000D_
15/9/09: Lease has had legal review before sending to Council.  RMA received._x000D_
22/9/09: Lease with Auckland for signing._x000D_
6/10/09: All on course for  dates specified._x000D_
13/10/09: 2 x small errors in licence being completed._x000D_
20/10/09: Council to sign lease and forward to Tenths Trust._x000D_
27/10/09: Date all good._x000D_
3/11/09: Licence signed, with Tenths Trust._x000D_
10/11/09: With 10th Trust.  10ths Trust unhelpful._x000D_
17/11/09: JM to speak with Tim and Jess._x000D_
24/11/09: Council gone quiet..._x000D_
1/12/09: Out of acquisition this week._x000D_
15/12/09: Council to speak to VM today. Tenths trust name to be added to licence.</t>
  </si>
  <si>
    <t>Granville Flats_x000D_
557-559 Adelaide Rd_x000D_
Wellington</t>
  </si>
  <si>
    <t>Island Bay</t>
  </si>
  <si>
    <t>11/8/09: Lease to be reviewed and confirmation required from site acquisition if LL with deal.  Original RC cancelled and in historic area so will need to confirm Councils opinion on this.  LH to cherry pick to confirm requirements.  TX to attend.  PMcK to kick off lease negotiations.  JD to investigate use of Boffa Miskell.  Once cherry picked and we have Council opinion on Granville flats we can determine use of existing pole or extension/swap out._x000D_
18/8/09: Cherry picked yesterday.  Height required for antenna is 17.5m to top of sectors.  Woosh are at 15 to top of antenna.  Dishes can go below Woosh sectors.  NUmber of dishes to be confirmed.  RMA team have asked for comments from Heritage_x000D_
25/8/09: Chasing Woosh for confirmation of whether we can share their pole and take some of their equipment rights.  LL OK.  Heritage are OK with our sectors above Woosh.  Need to chase BR._x000D_
8/9/09: LH to discuss with JC.  Island Bay reactivated  because of the possibility of losing Granville Flats.  The Flats is now proceeding.  Need to acquire this site, but landbank for tier 2.  On site space is very limited and no ro0om for Ab typ configurations.  Cabinet relocation requested by the landlord, so space more confined.  Need site type A but will verify with a further site visit._x000D_
15/9/09: Lease in good shape.  Revised PD required for new cab location at LL request.  Site type Ab.  PDs due before the 18th.  Independant supply.  Power quote to be sourced.  PMcK doing the lease for the cabinets, BR doing the Woosh agreement._x000D_
22/9/09: To be redesigned to allow for RRUs to be closer to the pole. No impact on RMA, although PMcK will have to confirm with Landlord.  Woosh approval also required._x000D_
29/9/09: Lease with Landlord._x000D_
6/10/09: Docs with landlord.  PMcK to chase._x000D_
13/10/09: With landlord's wife to sign.  PMcK to collect today._x000D_
20/10/09: Lease with Auckland.  LL has signed. Waiting for Auckland execution._x000D_
27/10/09: Lease signed by LL for cabinets.  Woosh now want top slot._x000D_
3/11/09: Lease for cabs with Jess.  Barbara to say N to Woosh.  Boundary survey required._x000D_
10/11/09: Woosh co-lo issues.  Await site acquisition._x000D_
17/11/09: DO NO BUILD.  Matt Daly is acquisition consultaant for Woosh.  Boundary survey required._x000D_
1/12/09: Can now build. Awaiting Woosh lease._x000D_
8/12/09: PMcK lease complete.  Await Woosh lease.  Barbara Richardson chasing._x000D_
15/12/09: Barbara Richardson-Woosh.</t>
  </si>
  <si>
    <t>Island Bay Butcher_x000D_
127 THE PARADE,_x000D_
Island Bay</t>
  </si>
  <si>
    <t>Wadestown East</t>
  </si>
  <si>
    <t>1 Please be aware that this site may change to under NES, pole ordered type 4B but may change to 4C, CD not coming out yet. CD Rev 1 still showing type 4B pole.-Helen 9/2/09: No NES implications. 9/3/09: VM to confirm if notice of prior approval required. 16/3/09: Notice of Prior Approval? 18/3/09: Have been advised ETA for pole is 8/5/09._x000D_
12/5/09: NOPA quite stringent with requirements.  Extg overhead cables to be removed before works start.</t>
  </si>
  <si>
    <t>Cnr of Lennel Rd and Moorhouse St,_x000D_
Wadestown,_x000D_
Wellington</t>
  </si>
  <si>
    <t>Hataitai</t>
  </si>
  <si>
    <t>8/6/09: No early access template.  Landlord OK.  JM to advance build and check with DdV/NT._x000D_
15/6/09: Change to drawings requested by landlord._x000D_
22/6/09: Lease is agreed and being sent to Auckland.  RMA on course or earlier.  Could start ground works.  Deactivate the service road option (WLG-047-028-G)_x000D_
29/6/09: In build._x000D_
14/7/09: In build._x000D_
21/7/09: Acquired and in build.</t>
  </si>
  <si>
    <t>Parsons and Associates Electrical1976 Limited_x000D_
28 Moxham Avenue_x000D_
Haitaitai_x000D_
Wellington</t>
  </si>
  <si>
    <t>Kilbirnie</t>
  </si>
  <si>
    <t>WLG-047-069-A, WLG-047-069-A</t>
  </si>
  <si>
    <t>2008-11-18, 2008-11-18</t>
  </si>
  <si>
    <t>23/2/09: Power available</t>
  </si>
  <si>
    <t xml:space="preserve">16 Coutts Street,_x000D_
Kilbirnie,_x000D_
Wellington_x000D_
</t>
  </si>
  <si>
    <t>Wellington Airport</t>
  </si>
  <si>
    <t>2008-05-22, 2008-05-22</t>
  </si>
  <si>
    <t xml:space="preserve">Located on Golf Course Wall_x000D_
1 Stewart Duff Drive_x000D_
Miramar_x000D_
Wellington </t>
  </si>
  <si>
    <t>Seatoun</t>
  </si>
  <si>
    <t>Seatoun Park</t>
  </si>
  <si>
    <t>25/2/09: Leased line install to be confirmed and programme brought on air._x000D_
08/09/11 : PAD recieved into 2Degrees by Ron B_x000D_
12.06.2014 :  "D" configuration build. (APM, Battery, &amp; 2 x RFC) using version "B" cabinets. Thus making it a "DU" Site. (As per Ron Bush/blr)</t>
  </si>
  <si>
    <t xml:space="preserve">Floodlight on Seatoun Park, off Monro St_x000D_
Seatoun_x000D_
Wellington_x000D_
</t>
  </si>
  <si>
    <t>NES Complying floolight replacement in Road reserve  - 03/08/2010_x000D_
_x000D_
Mail drop to 39 houses around park - 26/10/10.  - 26/10/2010</t>
  </si>
  <si>
    <t>Miramar</t>
  </si>
  <si>
    <t>9/2/09: CDs to be issued w/c 9/2/09. TSS. 9/3/09: In build. 19/3/09: RF approval to build.</t>
  </si>
  <si>
    <t>126 Park Road_x000D_
Miramar_x000D_
Wellington</t>
  </si>
  <si>
    <t>Shark Bay</t>
  </si>
  <si>
    <t>2008-05-22, 2008-08-13</t>
  </si>
  <si>
    <t>9/2/09: In build. S127 approved. Power consent still o/s.</t>
  </si>
  <si>
    <t>Clearing just past TNZ site,_x000D_
Shelly Bay road_x000D_
Shark Bay_x000D_
Wellington</t>
  </si>
  <si>
    <t>Pipitea</t>
  </si>
  <si>
    <t>9/2/09: CDs ready to issue w/c 9/2/09 9/3/09: TSS_x000D_
20/4/09: CDs to issue this week._x000D_
12/5/09: TSSd.</t>
  </si>
  <si>
    <t>71 Hutt Road_x000D_
Pipitea_x000D_
Wellington</t>
  </si>
  <si>
    <t>Thorndon North</t>
  </si>
  <si>
    <t>WLG-047-037-A, WLG-047-037-A</t>
  </si>
  <si>
    <t>2008-02-12, 2008-02-12</t>
  </si>
  <si>
    <t>202 Thorndon Quay_x000D_
Wellington</t>
  </si>
  <si>
    <t>Thorndon</t>
  </si>
  <si>
    <t>WLG-047-071-A, WLG-047-071-A</t>
  </si>
  <si>
    <t>None._x000D_
NOTE - BBU 3806 SWAPPED OUT FOR NEW 3900 UNITS 20/03/2013.</t>
  </si>
  <si>
    <t>AT &amp; T_x000D_
15-17 Murphy Street_x000D_
Wellington</t>
  </si>
  <si>
    <t>Lambton Quay North</t>
  </si>
  <si>
    <t>WLG-047-040-A, WLG-047-040-A</t>
  </si>
  <si>
    <t>None_x000D_
Note - BBU 3806 SWAPPED OUT FOR 3900 ON 17/10/12._x000D_
F3 Dual RRU installed 4/13.</t>
  </si>
  <si>
    <t>101 Lambton Quay,_x000D_
Wellington CBD,_x000D_
Wellington</t>
  </si>
  <si>
    <t>Westpac Stadium 1</t>
  </si>
  <si>
    <t>Stadium In Building Solution</t>
  </si>
  <si>
    <t xml:space="preserve">07/09/11 : PAD documents submitted and received by Ron Bush- but rejected by Ian. Resubmitted with copy of PAN and HSQR on 13/9._x000D_
confirmed D cabinet config.  </t>
  </si>
  <si>
    <t>147 Waterloo Quay_x000D_
Wellington 6011</t>
  </si>
  <si>
    <t>within a hazard area and ground shaking area  - 27/04/2011</t>
  </si>
  <si>
    <t>Terrace West</t>
  </si>
  <si>
    <t>Unisys Tower_x000D_
54-68 The Terrace_x000D_
Wellington</t>
  </si>
  <si>
    <t>Featherston St</t>
  </si>
  <si>
    <t>WLG-047-038-C, WLG-047-038-C</t>
  </si>
  <si>
    <t>None._x000D_
NOTE - BBU 3806 SWAPPED FOR NEW 3900 UNITS 20/03/2013.</t>
  </si>
  <si>
    <t>ACC House_x000D_
110 Featherston Street_x000D_
Wellington</t>
  </si>
  <si>
    <t>Lambton Quay</t>
  </si>
  <si>
    <t>9/2/09: Lease is signed. RF and TX to inspect this week. Landlords precious over appearance of building. Stefan to draw up...All issues resolved site signed off by all parties 13 Feb 09 SS 9/3/09: Linking to BP. 16/3/09: JM to speak with EB._x000D_
16/4/09: Await revised drawing._x000D_
20/4/09: CDs issued.  TSS ASAP._x000D_
12/5/09: 2 x chopper lifts required.</t>
  </si>
  <si>
    <t>Capital on the Quay_x000D_
256-274 Lambton Quay_x000D_
Wellington</t>
  </si>
  <si>
    <t>Customhouse Quay(Perp Trust)</t>
  </si>
  <si>
    <t>Customhouse Quay</t>
  </si>
  <si>
    <t>Note - BBU 3806 SAPPED OUT FOR 3900 ON 17/10/12.</t>
  </si>
  <si>
    <t>Perpetual Trust Building _x000D_
111 Customhouse Quay_x000D_
Wellington</t>
  </si>
  <si>
    <t>Willis St North</t>
  </si>
  <si>
    <t>WLG-047-050-A, WLG-047-050-A</t>
  </si>
  <si>
    <t xml:space="preserve">Note - BBU 3806 SWAPPED OUT FOR 3900 ON 18/10/12._x000D_
_x000D_
Site type Changed to B . SS 31/7/2013_x000D_
</t>
  </si>
  <si>
    <t>Kordia House_x000D_
109-125 Willis St,_x000D_
Wellington</t>
  </si>
  <si>
    <t>Willis St South</t>
  </si>
  <si>
    <t>204 Willis St,_x000D_
CBD,_x000D_
Wellington,</t>
  </si>
  <si>
    <t>Wakefield St</t>
  </si>
  <si>
    <t>2008-08-06</t>
  </si>
  <si>
    <t>9/2/09: await architect approval. 9/3/09: Tss'd. In build. Site acq is complete - just EMSS to update with actual. 16/3/09: One more approval required for RF. LH is chasing._x000D_
16/4/09: Started.  Meeting with landlord today.  Update to be provided.  In build._x000D_
20/4/09: Still on course for civils completion in April. _x000D_
12/5/09: Await TI completion.  _x000D_
NPTE - BBU 3806 SWAPPED OUT FOR 3900 ON 17/10/12.</t>
  </si>
  <si>
    <t>142-146 Wakefiled St_x000D_
Wellington</t>
  </si>
  <si>
    <t>Chaffers</t>
  </si>
  <si>
    <t>9/2/09: Telecom in close proximity on different title. CDs to issue in Feb. 9/3/09: In build. 19/3/09: Approval from RF to build._x000D_
16/4/09: Pre-build._x000D_
12/5/09: Await TI completion.  _x000D_
Note- BBU 3806 SWAPPED FOR 3900 ON 17/10/12._x000D_
F3 DUAL RRU INSTALLED ON 4/13.</t>
  </si>
  <si>
    <t xml:space="preserve">Cnr Wakefield &amp; Chaffers St_x000D_
Wellington Central_x000D_
</t>
  </si>
  <si>
    <t>Taranaki St</t>
  </si>
  <si>
    <t>Konica Minolta_x000D_
79 Taranaki Street (directly opposite T-junction)_x000D_
Wellington</t>
  </si>
  <si>
    <t>Kent Tce</t>
  </si>
  <si>
    <t>Quinovic House_x000D_
32-34 Kent Terrace_x000D_
Wellington</t>
  </si>
  <si>
    <t>Te Aro</t>
  </si>
  <si>
    <t>WLG-047-053-A, WLG-047-053-A</t>
  </si>
  <si>
    <t>15 Walter St,_x000D_
CBD,_x000D_
Wellington</t>
  </si>
  <si>
    <t>Mercure</t>
  </si>
  <si>
    <t>23/02/09: Optical alternators missing</t>
  </si>
  <si>
    <t>Merecure Hotel_x000D_
C.P Hotels Ltd_x000D_
355 Willis Street_x000D_
Wellington</t>
  </si>
  <si>
    <t>Tory St</t>
  </si>
  <si>
    <t>WLG-047-049-A, WLG-047-049-A</t>
  </si>
  <si>
    <t>Bible Society_x000D_
144 Tory Street_x000D_
Wellington</t>
  </si>
  <si>
    <t>Adelaide Rd</t>
  </si>
  <si>
    <t>Loafers Lodge_x000D_
160 Adelaide Road_x000D_
Wellington</t>
  </si>
  <si>
    <t>Newtown</t>
  </si>
  <si>
    <t>WLG-047-055-A, WLG-047-055-A</t>
  </si>
  <si>
    <t>None._x000D_
NOTE - BBU 3806 SWAPPED OUT FOR NEW 3900 UNITS ON 20/03/2013.</t>
  </si>
  <si>
    <t>Wakefield Hospital_x000D_
99 Rintoul Street_x000D_
Wellington</t>
  </si>
  <si>
    <t>Basin Reserve</t>
  </si>
  <si>
    <t>2008-08-13</t>
  </si>
  <si>
    <t>9/2/09: RMA and Lease Complete. Not claimed in DB. 9/3/09: In build._x000D_
16/4/09: Dis board previously installed has been stolen. Ok for this month.  TI lift._x000D_
20/4/09: Issue with fire stopping.  Still on course for April completion._x000D_
12/5/09: Await TI completion.</t>
  </si>
  <si>
    <t>Cnr Rugby &amp; Belfast Sts_x000D_
Wellington</t>
  </si>
  <si>
    <t>Crofton Downs</t>
  </si>
  <si>
    <t>25/2/09: Pre-built, awaiting pole. 9/3/09: In build. 16/3/09: Awaiting pole.</t>
  </si>
  <si>
    <t>Crofton Downs_x000D_
Wellington</t>
  </si>
  <si>
    <t>Ngaio</t>
  </si>
  <si>
    <t>WLG-047-062-B, WLG-047-062-B</t>
  </si>
  <si>
    <t>9/2/09: VM site. 3/3/09: Awaiting notice of prior approval. 18/3/09: Have been advised that ETA for pole is 30/3/09_x000D_
16/4/09: Pole forecast 22/4/09.  All going ok._x000D_
20/4/09: Still on course for civils completion April.</t>
  </si>
  <si>
    <t>O/s Ngaio Tennis Club,_x000D_
1 Whaikowhai St,_x000D_
Ngaio,_x000D_
Wellington</t>
  </si>
  <si>
    <t>Khandallah North</t>
  </si>
  <si>
    <t>9/3/09: In build.</t>
  </si>
  <si>
    <t>23 Ganges Road,_x000D_
Khandallah,_x000D_
Wellington</t>
  </si>
  <si>
    <t>Lyall Bay</t>
  </si>
  <si>
    <t xml:space="preserve">9/2/09: CDs w/c 9/2/09 9/3/09: In build. Still progressing with TNZ option. Still want confirmation of roles and responsibilities._x000D_
16/4/09: All good for April completion but dependant on what's found when roof is opened._x000D_
20/4/09: Still on course for civils completion in April._x000D_
12/5/09: Await TI completion. </t>
  </si>
  <si>
    <t>Warehouse Building_x000D_
127-147 Tirangi Road_x000D_
Lyall Bay_x000D_
Wellington</t>
  </si>
  <si>
    <t>Maupuia</t>
  </si>
  <si>
    <t>2008-08-25</t>
  </si>
  <si>
    <t>27 Maupuia Rd_x000D_
Miramar_x000D_
Wellington</t>
  </si>
  <si>
    <t>Paparangi</t>
  </si>
  <si>
    <t>Oppsite 226 Helston Rd,_x000D_
Paparangi,_x000D_
Wellington</t>
  </si>
  <si>
    <t>Mt Victoria</t>
  </si>
  <si>
    <t>2008-05-23, 2008-05-23</t>
  </si>
  <si>
    <t>22 Alexandra Road_x000D_
Mt Victoria Lookout_x000D_
Wellington</t>
  </si>
  <si>
    <t>Houghton Bay</t>
  </si>
  <si>
    <t>39 Houghton Bay Road</t>
  </si>
  <si>
    <t>28/8 Site on air,  F1+F2 and all OK.</t>
  </si>
  <si>
    <t>St Johns House(Well Switch)</t>
  </si>
  <si>
    <t>Wellington Switch</t>
  </si>
  <si>
    <t>TBA</t>
  </si>
  <si>
    <t>Mt Kau Kau</t>
  </si>
  <si>
    <t>Mt Kaukau (TV transmitter), Wellington</t>
  </si>
  <si>
    <t>Glenmore st - Tinakori Rd</t>
  </si>
  <si>
    <t>Tinakori rd</t>
  </si>
  <si>
    <t>9/2/09: with Matt Buchanan.</t>
  </si>
  <si>
    <t xml:space="preserve">Tinakori Hill_x000D_
Wellington_x000D_
</t>
  </si>
  <si>
    <t>Terrace East</t>
  </si>
  <si>
    <t>9/2/09: CDIs 9/2/09. 9/3/09: TSS 16/3/09: In build._x000D_
16/4/09: TI lift on Sunday.  2xac units to relocate.  Abseil access involved.  Started today._x000D_
20/4/09: Still on course for civils completion in April._x000D_
12/5/09: Await TI completion.</t>
  </si>
  <si>
    <t xml:space="preserve">Genesis House_x000D_
93 The Terrace_x000D_
Wellington_x000D_
</t>
  </si>
  <si>
    <t>Vodafone Wellingto Switch</t>
  </si>
  <si>
    <t>58 Adelaide Rd, _x000D_
Newtown, _x000D_
Wellington</t>
  </si>
  <si>
    <t>Wellington Office</t>
  </si>
  <si>
    <t>Cnr Maning Ln and Victoria St_x000D_
Wellington</t>
  </si>
  <si>
    <t>Victoria Uni</t>
  </si>
  <si>
    <t xml:space="preserve">Kelburn Pde </t>
  </si>
  <si>
    <t>Kelburn Pde_x000D_
Kelburn</t>
  </si>
  <si>
    <t>WCC Planner Brett Smith  - 29/09/2011</t>
  </si>
  <si>
    <t>Cook Strait</t>
  </si>
  <si>
    <t>Hawkins Hill GF</t>
  </si>
  <si>
    <t>9/5/13: •	Draft CD available for quoting of VOR._x000D_
• Geotech was planned for 7/5. Not sure of latest date._x000D_
• Pole has been ordered._x000D_
• Easy build!!</t>
  </si>
  <si>
    <t>COOK_STRAIT</t>
  </si>
  <si>
    <t>Long Gully Farm_x000D_
Hawkins Hill_x000D_
Brooklyn_x000D_
Wellington</t>
  </si>
  <si>
    <t>Westpac Stadium 2</t>
  </si>
  <si>
    <t>Westpac Stadium IB Site 2</t>
  </si>
  <si>
    <t>This is part 2 of WLG-047-039-G -refer this site code for design of RT and Inbuilding site using 2 x D type cabinets.</t>
  </si>
  <si>
    <t>Ohariu Valley</t>
  </si>
  <si>
    <t>TNZ Code: WOHU; Name: OHARIU VALLEY</t>
  </si>
  <si>
    <t>598 Ohariu Valley Rd_x000D_
Ohariu_x000D_
Wellington</t>
  </si>
  <si>
    <t>Cherry Tree Ohariu Valley Mini</t>
  </si>
  <si>
    <t xml:space="preserve">Will be removed when new Ohariu Valley site (WLG-047-087) is put to air or moved to customer's new house when he moves at end of 2012._x000D_
Repeater and hardware owned by 2degrees_x000D_
Cellutronics Yagi installed on existing roof Television pole. 900MHz repeater in the kitchen cupboard with power provided. internal omni antenna on top of the cupboards. </t>
  </si>
  <si>
    <t xml:space="preserve">73-80 Boulcott Street </t>
  </si>
  <si>
    <t>2 Degrees Office</t>
  </si>
  <si>
    <t>Level 13_x000D_
73-89 Boulcott Street_x000D_
Wellington</t>
  </si>
  <si>
    <t>Thorndon - Infill</t>
  </si>
  <si>
    <t>Thorndon East</t>
  </si>
  <si>
    <t>08.08.14 Roof top site, no alternative candidate._x000D_
Chris A to visit the site next week with Stefan (11 - 15 Aug) CD's to be issued post Chris visit._x000D_
18.09.14 Tender meeting held on site. (Transfield, Infratel, Kordia, DWD)_x000D_
01.10.14 QUOTATIONS DUE IN AT 8am_x000D_
8 Oct - Tender awarded - Infratel_x000D_
15 Oct Infratel in planning stage and stell to be fabricated_x000D_
28 Oct Hope to start build next week, working with Archives NZ is slow going_x000D_
30 Oct Archives NZ will not allow work to start next week new start date 10 Nov.  4 Nov CRs raised, Int chklist complete.  19 Nov - Drive Test delayed - some licence issues to clear up, SOA date still achievable</t>
  </si>
  <si>
    <t>10 Mulgrave street _x000D_
Pipitea_x000D_
Wellington</t>
  </si>
  <si>
    <t>Draft lease sent through mid Feb, asked for comments before 11/3/14 site visit.  New manager in place, who contact Justin Angell reports to.  Justin has got provisional agreement from manager but nothing formal.  Has requested our help to do a presentation to staff about RF emissions.  - 12/03/2014</t>
  </si>
  <si>
    <t xml:space="preserve">Miramar </t>
  </si>
  <si>
    <t>WETA Building</t>
  </si>
  <si>
    <t>Newtown East</t>
  </si>
  <si>
    <t>Newtown East VF Colo</t>
  </si>
  <si>
    <t>16.12.14 Await the couriered lease then can accept condions and let Mike Tribe know Fibre route is ok._x000D_
Changed the team back to Phil.  Build ot for tender - equipment availibility to be confirmed_x000D_
10/03 AS Project Plan sample copy given to Kordia for completion _x000D_
19/05: AS under construction_x000D_
AS 27/08 Weather delay - weekend job only_x000D_
19/11/15 - Site completed and on air with LTE</t>
  </si>
  <si>
    <t xml:space="preserve">23 Newtown Ave_x000D_
Newtown_x000D_
Wellington_x000D_
_x000D_
</t>
  </si>
  <si>
    <t>Boulcott</t>
  </si>
  <si>
    <t>Boulcott St Car Park</t>
  </si>
  <si>
    <t>Site searches complete 22 Jan, caravan to be arranged when we have feedback from LOs_x000D_
4/2/15 - Site placed to Hardmatch only by Brendon/Trevor on review with TPMO.  Installation difficulties will increase cost_x000D_
16/04 AS: PDI issued_x000D_
09/7 AS: moved to next year build</t>
  </si>
  <si>
    <t>Car Park _x000D_
Boulcott St</t>
  </si>
  <si>
    <t>Template lease documents sent to LO for review (along with special conditions, see below) on the 27/02/15. Rental has been agreed at $15K plus GST pa._x000D_
To follow up re template lease docs on  06/03/15  - 04/03/2015</t>
  </si>
  <si>
    <t>Certificate of Compliance  - 16/06/2015</t>
  </si>
  <si>
    <t xml:space="preserve">Jervois Quay Relocate </t>
  </si>
  <si>
    <t>36 Customhouse Quay</t>
  </si>
  <si>
    <t>08.08.14 Site has been HARD MATCHED. This site Must move. _x000D_
CDI issued._x000D_
Chris to visit when there 11-15 August_x000D_
This site is to be tendered as soon as CD's are issued._x000D_
18.09.14 Tender meeting held (Transfield, Kordia, Infratel and DWD)_x000D_
01.10.14 QUOTATIONS due at 8am_x000D_
8 Oct - Tender awarded - Kordia_x000D_
15 Oct Kordia on planning stage, steel to be fabricated._x000D_
28 Oct Awaiting start date, pushing kordia slight delay in saftey system and FO_x000D_
30 Oct FO back on track saftey system causing delays, Vertec pulled out of the job Kordia engaging new saftey system contractor.4 Nov - building has changed owners, Kordia denied entry today. SPM/SA investigating.  11 Nov new saftey contractor and Helo contractor engaged.  24 Nov.  Cons yet to start completion date pushed out, integration still possible in year but no more tolerance for delay._x000D_
19/12/14 - Bad weather in WN has resulted in the integration unable to be undertaken before Xmas. Deferred to early 2015 and will be a managed transfer old to new site.  Integration on 15th Jan failed, resheduled for next week.  21 Jan:  Site integrated, await Vol 4 SOA delayed due to unavailable drive test vehicle.  12 Mar Site provisionally on air, 047-042 on standby to come back on if required</t>
  </si>
  <si>
    <t>Wakefield St Relocate</t>
  </si>
  <si>
    <t>126 Wakefield Street, Wellington</t>
  </si>
  <si>
    <t>Candidate in SiteBase for reporting visibility._x000D_
HARD MATCH ONLY_x000D_
Chris to visit site with Stefan (11-15 Aug). Stefan thinks 1 site can work._x000D_
Challenging area, very few options if any._x000D_
If not only 1 site then will have to make it 2._x000D_
09/7 AS: Moved to next year build_x000D_
18.09.14 Met with John and Hank on site. Willing to have us. Measured up._x000D_
Access is to be via a hatch in the lift / store room roof._x000D_
14 Oct - PD on circulation - we need to design in a saftey system for access to panels, location of panels under review._x000D_
Saftey issues resolved with design/SA/LO/FOps - PD to go back to design.  Hand rails added, site now RRU solution.  11 Nov - await new PD.  Fibre route required to finalise PD_x000D_
_x000D_
Decision on timing to build site to be confirmed by Head of RAN.  Note that the equipment is a 3 month lead time, so early decision for order required._x000D_
7/05 AS: Build this year with the budget from Downtown shopping relocation</t>
  </si>
  <si>
    <t>126 Wakefield Road_x000D_
Te Aro_x000D_
Wellington</t>
  </si>
  <si>
    <t>Thorndon West</t>
  </si>
  <si>
    <t>Karori South Micro</t>
  </si>
  <si>
    <t>Karori Microcell</t>
  </si>
  <si>
    <t>01.10.2014 - Application + plans and examples of MC's sent to Shane._x000D_
22.10.14 Have received Kordia approval. Ben to submit RMA_x000D_
30.1.2014 Have Kordia approval. Dont need to do RMA or CD's. RMA is not required from Kordia perspective and they do Construction drawings. 24 Nov - Korid apricing job which includes recovery of DMR equipment from other sites.  VF have been asked if they can supply us power.  Capacity in VF power supply, we may need sub meter.  Will need full meter and own network connection.  ICP applied for.  Power will be the critical path to this integration_x000D_
18/12/14 - Issues with linking and equipment will delay SOA to 2015.  26 Jan - resources not avialble to complete prior to this week, issues with software and cabinet hardware forced delay.  Dated pushed to allow for forescat weather week ending 6 Feb.  Problems with DMR link delaying TI complete.  FAulty ODU replaced 11 Feb - BERT test carried out.  19 Feb suspected faulty MC delayed integration, new unit to be sent via Core-CS to check it.  Upgraded MCs delivered, integration to be attempted 9 March.  12 March - still unable to integrate 2D liaising with Huawei</t>
  </si>
  <si>
    <t>South Karori Road_x000D_
Wellington</t>
  </si>
  <si>
    <t>Glenmore St MC</t>
  </si>
  <si>
    <t>Glenmore Bridge</t>
  </si>
  <si>
    <t>Jason met with the Wellington Council on 26.09 - they are willing to progress our Light Pole applications._x000D_
Next step - do a caravan with council._x000D_
8 Oct 2014 - Need to meet with council, hope to complete week ending 24 Oct due to council availibility_x000D_
28 Oct Await PD. 4 Nov PD on circulation.  11 Nov PD back to design for amend and issue.  Telco Act Notice lodged. Awaiting feedback from council prior to RMA lodge.  Council require survey of structure prior to accepting proposal, bridge surveyed 23 Jan</t>
  </si>
  <si>
    <t>Lightpole_x000D_
Attached to the Glenmore Bridge</t>
  </si>
  <si>
    <t>Wairarapa</t>
  </si>
  <si>
    <t>Masterton Straights</t>
  </si>
  <si>
    <t>Masterton Straights GF</t>
  </si>
  <si>
    <t>7 Russell Street_x000D_
Masterton</t>
  </si>
  <si>
    <t>Masterton</t>
  </si>
  <si>
    <t>Masterton GF</t>
  </si>
  <si>
    <t>152 Lincoln Road_x000D_
Masterton</t>
  </si>
  <si>
    <t>Otahoua</t>
  </si>
  <si>
    <t>Primary Coverage Objective:_x000D_
ROAMING MITIGATION_x000D_
coverage on Castleclff road towards Riversdale_x000D_
_x000D_
COLO at Vodafone _x000D_
_x000D_
Backup:_x000D_
Greenfield nearby but additional height and distance is critical for co-site isolation</t>
  </si>
  <si>
    <t>RBI - Castle Point</t>
  </si>
  <si>
    <t>RBI - Riversdale Beach</t>
  </si>
  <si>
    <t>Carterton</t>
  </si>
  <si>
    <t>Carterton VF Colo</t>
  </si>
  <si>
    <t>Carterton District</t>
  </si>
  <si>
    <t>Hururua Rd_x000D_
Carterton</t>
  </si>
  <si>
    <t>RBI - Carterton Central</t>
  </si>
  <si>
    <t>Greytown_Micro</t>
  </si>
  <si>
    <t xml:space="preserve">A Dual Micro roadside solution on council poles will be targeted. Poles which are currently surplus stock are an alternative to be used to maximise cost effectiveness if existing infrastructure is not practical. _x000D_
</t>
  </si>
  <si>
    <t>Featherston</t>
  </si>
  <si>
    <t>Featherston VNZ CoLo</t>
  </si>
  <si>
    <t>South Wairarapa District</t>
  </si>
  <si>
    <t>Corner Rimutaka Hill Road and State Highway 2</t>
  </si>
  <si>
    <t>Martinborough</t>
  </si>
  <si>
    <t>Martinborough  VNZ Co-Lo</t>
  </si>
  <si>
    <t>Riverside Road,_x000D_
Martinborough</t>
  </si>
  <si>
    <t>Greytown Microcell</t>
  </si>
  <si>
    <t>Ocolyte Pole</t>
  </si>
  <si>
    <t>We have measured up this site. It is not prefered by RF but they could make it work if they have to._x000D_
Presented Fancy Pole request to Council first - to guage their reaction._x000D_
28 Oct Ocolyte pole active as last option, RF Ok with 2 x MC at 7m.  Ben has montage to take to community board mtg._x000D_
Community Board outcome positive PDI issued.  PD issued, Telco Act Notice lodged.  Awaiting information from Council to be able to lodge consent.  6 Jan Fibre ordered, await power quote._x000D_
Chorus FO delivery delays build.  invitation to tender issued._x000D_
18 MArch installation complete</t>
  </si>
  <si>
    <t>Corner of Hastwel and Main St_x000D_
Greytown</t>
  </si>
  <si>
    <t>Westport Central</t>
  </si>
  <si>
    <t>Buller District</t>
  </si>
  <si>
    <t>May have contamination.  Requires extra battery cabinet. 01/05 requires. Early geotech after PD. 21/05 Buller Power Board request 6m distance from lines. . 29/05 RC required for geotech drill. TP to find out recommended supplier for soil analysis &amp; report.  Council have no record of land contamination at the site. Lease agreed await decision on commencement and agreed payment start with KR, need lease prior to RC lodge. 16/7 SA check termination clause with KWR. 6/08 Awaiting 176 form from Kiwi Rail. 3/09 Draft Letter._x000D_
19/12/12 Drive Testing tomorrow 20/12</t>
  </si>
  <si>
    <t>GREYMOUTH_WESTPORT</t>
  </si>
  <si>
    <t>KiwiRail_x000D_
Adderly Street_x000D_
Westport</t>
  </si>
  <si>
    <t>Kiwi Rail corridor site - adjacent to Commerical - probably a contaminated site - maximum height 25m - probably ok if located near the train station -other option further South are too close to residential - Holcium cemet works rooftop would be a better option and obtain more height (approx. 30m)  - 30/01/2012 site will probably not interfere with the street view of the mainstreet at 25m  - 30/01/2012</t>
  </si>
  <si>
    <t>Westport Outer</t>
  </si>
  <si>
    <t>SPM to request Kordia prices. - under action. No dates in sitebase because Kordia plod through these milestones on their timeline. SPM to put together a brief to loose this nominal due to coverage gained in Westport town. 21/05 Comments sent to Kordia on colo price/proposal. SITE on HOLD_x000D_
12 Mar- Kordia colo app  submitted 4 Jun - kordia proposal accepted issues with filtering to be resolved.  Kordia working with 3rd party to change STL link frequency.  Build dates will be dependant on Kordia.  Delays in Kordia resolving the STL ink issues.  Oct - solution for STL links available.  Site has been removed from build program, dates pushed out and set as hardmatch only</t>
  </si>
  <si>
    <t>Mt Rochfort_x000D_
Westport</t>
  </si>
  <si>
    <t>Colocation on existing Kordia designated hilltop base station - good option  - 30/01/2012</t>
  </si>
  <si>
    <t>Reefton</t>
  </si>
  <si>
    <t>Reefton Green Field</t>
  </si>
  <si>
    <t>Colo candidate looks like acquisition will be timely and costly on rent.  GF option may be more cost effective. Jun 22- GF option to be pursued.  Site not in 2015 build list but progressing to hard match.  11 Aug LO ants to move site, there will be a PD re-issue delay site is not scheduled in year #107.  Scrub clearing to be arranged, local contractor identified, RF required on site at time of clearing to confirm new mast location</t>
  </si>
  <si>
    <t>Victoria Forest Park_x000D_
Off Soldiers Big River Road</t>
  </si>
  <si>
    <t>Reefton Tx Exchange colo</t>
  </si>
  <si>
    <t>Tx site for Reefton.   Must be ready before Reefton hill site - 25 Oct.  May not produce CD dependant on approach for sites to build in 2016.  If Reefton site comes into 2015 site list the exchange site can be installed to compliment the main site</t>
  </si>
  <si>
    <t>Cnr Bridge Street and _x000D_
Shiel Street_x000D_
Reefton</t>
  </si>
  <si>
    <t>Greymouth Outer</t>
  </si>
  <si>
    <t>Sewell Peak VF colo</t>
  </si>
  <si>
    <t>Grey District</t>
  </si>
  <si>
    <t>Agreement with VF + DOC. structural ok. no power or access contribution.  Requires extra battery cabinet. 21/05 new structural assessment. SA to find out applicable fees from DOC. 29/05 Jason asking VF for fee to be reduced.  Telecom to be contacted regarding generator sharing, site may switch to Telecom colo. 02/07 SA chasing doc. 13/8 Pole up option to be re-visited. 27/8 Structural analysis for pole up passed. 03/09 New drwg &amp; Colo appln required.  3/12 Vf colo, could lodge? 10/12 Lease complete with doc but not with Vf._x000D_
12 Mar - No new Vf equipment, looks good to resurrect the original proposal RF do not need 6 antennas.  30 Mar existing PD is OK to use with minor amendment.  30 Apr colo application submitted</t>
  </si>
  <si>
    <t>Sewell Peak Greymouth</t>
  </si>
  <si>
    <t>Greymouth</t>
  </si>
  <si>
    <t>Greymouth Plumbers</t>
  </si>
  <si>
    <t>Requires extra battery cabinet. Better for fibre access. 23/7 Require contamination check. 17/9 Ask Golders for contamination report._x000D_
19/12/12 Drive Testing today</t>
  </si>
  <si>
    <t>Plumbers_x000D_
Boundary St</t>
  </si>
  <si>
    <t>commercial area, some random houses entwined in land use matrix... quite an open area with limited visual protection from surrounding landuse 20m mast probably ok  - 30/01/2012</t>
  </si>
  <si>
    <t>Karoro</t>
  </si>
  <si>
    <t>Karoro KiwiRail</t>
  </si>
  <si>
    <t>T2 20 UF LTD</t>
  </si>
  <si>
    <t>TP to find out permitted height and if soil is likely to be contaminated.  5/6 Fibre request is in.  PD rejected for a 2nd time not having all requested changes included.  Await advice on commencement date and rent payment start for lease, need lease prior to RC lodge. 3/12 Lease signed 30 Nov.</t>
  </si>
  <si>
    <t>Tasman Street,_x000D_
Greymouth</t>
  </si>
  <si>
    <t>Greymouth Exchange Tx only</t>
  </si>
  <si>
    <t>30/07 Re-submit cost request to Telecom, quote and footprint received. 10/09 CAB dispatched this wk.</t>
  </si>
  <si>
    <t>Guiness Street, Greymouth</t>
  </si>
  <si>
    <t>internal work in Chorus exchange  - 14/09/2012</t>
  </si>
  <si>
    <t>Hokitika</t>
  </si>
  <si>
    <t>Lodge Co-site</t>
  </si>
  <si>
    <t>Westland District</t>
  </si>
  <si>
    <t>Back up option if VF colo fails (due to close proximity to Telecom Tower).  we may be able to get good height and improve on VF coverage.  Council appear relaxed about taller structure.  Requires extra battery cabinet. 13/8 May be able to bring Wo2 forward. 03/09 Re-submitt co-site appln.  Original GHD drawing set had fundamental set out dimension errors which proved site unbuildable, new PD and thereafter CD were required causing significant delay.</t>
  </si>
  <si>
    <t>Seaview Lodge_x000D_
Seaview Hill Road_x000D_
Hokitika</t>
  </si>
  <si>
    <t>Discretionary if &gt; 25m  - 17/05/2012</t>
  </si>
  <si>
    <t>SPM Report</t>
  </si>
  <si>
    <t>tier_identifier=[u'ALL'], show_dead_sites=False, show_all_nominals=True, comb_targ_act_dt=False, candidate_status=ACTIVE, assigned_team=[]</t>
  </si>
  <si>
    <t>Created:</t>
  </si>
  <si>
    <t>CAN-058-015</t>
  </si>
  <si>
    <t>CAN-059-014</t>
  </si>
  <si>
    <t>CAN-059-015</t>
  </si>
  <si>
    <t>CAN-062-017</t>
  </si>
  <si>
    <t>CAN-062-019</t>
  </si>
  <si>
    <t>CAN-064-017</t>
  </si>
  <si>
    <t>CAN-065-008</t>
  </si>
  <si>
    <t>CAN-066-005</t>
  </si>
  <si>
    <t>CAN-068-003</t>
  </si>
  <si>
    <t>CHC-060-100</t>
  </si>
  <si>
    <t>MBN-051-017</t>
  </si>
  <si>
    <t>MBN-051-018</t>
  </si>
  <si>
    <t>MBN-053-015</t>
  </si>
  <si>
    <t>MBN-053-017</t>
  </si>
  <si>
    <t>MBN-053-018</t>
  </si>
  <si>
    <t>OTG-069-008</t>
  </si>
  <si>
    <t>OTG-070-014</t>
  </si>
  <si>
    <t>OTG-072-002</t>
  </si>
  <si>
    <t>STH-073-001</t>
  </si>
  <si>
    <t>STH-073-010</t>
  </si>
  <si>
    <t>STH-073-022</t>
  </si>
  <si>
    <t>STH-073-023</t>
  </si>
  <si>
    <t>STH-074-004</t>
  </si>
  <si>
    <t>STH-075-016</t>
  </si>
  <si>
    <t>WST-055-004</t>
  </si>
  <si>
    <t>WST-055-005</t>
  </si>
  <si>
    <t>WST-055-006</t>
  </si>
  <si>
    <t>AKL</t>
  </si>
  <si>
    <t>BOP</t>
  </si>
  <si>
    <t>CAN</t>
  </si>
  <si>
    <t>CHC</t>
  </si>
  <si>
    <t>GSB</t>
  </si>
  <si>
    <t>HKB</t>
  </si>
  <si>
    <t>MBN</t>
  </si>
  <si>
    <t>MNW</t>
  </si>
  <si>
    <t>NTH</t>
  </si>
  <si>
    <t>OTG</t>
  </si>
  <si>
    <t>STH</t>
  </si>
  <si>
    <t>SYD</t>
  </si>
  <si>
    <t>TNK</t>
  </si>
  <si>
    <t>WKT</t>
  </si>
  <si>
    <t>WLG</t>
  </si>
  <si>
    <t>WST</t>
  </si>
  <si>
    <t>South Island</t>
  </si>
  <si>
    <t>CAN-065-008-A</t>
  </si>
  <si>
    <t>MBN-051-018-A</t>
  </si>
  <si>
    <t>MBN-053-018-A</t>
  </si>
  <si>
    <t>MBN-053-017-B</t>
  </si>
  <si>
    <t>CAN-062-017-B</t>
  </si>
  <si>
    <t>WST-055-004-A</t>
  </si>
  <si>
    <t>WST-055-006-A</t>
  </si>
  <si>
    <t>OTG-069-008-B</t>
  </si>
  <si>
    <t>OTG-072-002-G</t>
  </si>
  <si>
    <t>STH-075-016-A</t>
  </si>
  <si>
    <t>CAN-058-015-A</t>
  </si>
  <si>
    <t>CAN-059-015-A</t>
  </si>
  <si>
    <t>STH-073-022-A</t>
  </si>
  <si>
    <t>CAN-059-014-A</t>
  </si>
  <si>
    <t>WST-055-005-C</t>
  </si>
  <si>
    <t>CAN-062-019-A</t>
  </si>
  <si>
    <t>MBN-053-015-B</t>
  </si>
  <si>
    <t>STH-073-010-C</t>
  </si>
  <si>
    <t>OTG-070-014-C</t>
  </si>
  <si>
    <t>CAN-066-005-C</t>
  </si>
  <si>
    <t>CAN-068-003-B</t>
  </si>
  <si>
    <t>STH-073-023-A</t>
  </si>
  <si>
    <t>STH-074-004-A</t>
  </si>
  <si>
    <t>MBN-051-017-F</t>
  </si>
  <si>
    <t>CAN-064-017-A</t>
  </si>
  <si>
    <t>STH-073-001-B</t>
  </si>
  <si>
    <t>SiteName</t>
  </si>
  <si>
    <t>Project</t>
  </si>
  <si>
    <t>Date</t>
  </si>
  <si>
    <t>NR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</si>
</sst>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0"/>
      <name val="Arial"/>
      <charset val="1"/>
    </font>
    <font>
      <b/>
      <sz val="10"/>
      <color indexed="23"/>
      <name val="Arial"/>
      <charset val="1"/>
    </font>
    <font>
      <sz val="10"/>
      <name val="Arial"/>
      <charset val="1"/>
    </font>
    <font>
      <u/>
      <sz val="10"/>
      <color indexed="12"/>
      <name val="Arial"/>
      <charset val="1"/>
    </font>
    <font>
      <sz val="10"/>
      <name val="Arial"/>
      <charset val="1"/>
    </font>
    <font>
      <sz val="10"/>
      <name val="Arial"/>
      <charset val="1"/>
    </font>
    <font>
      <sz val="10"/>
      <name val="Arial"/>
      <charset val="1"/>
    </font>
    <font>
      <sz val="11"/>
      <color rgb="FF9C0006"/>
      <name val="Calibri"/>
      <family val="2"/>
      <scheme val="minor"/>
    </font>
    <font>
      <sz val="10"/>
      <color rgb="FFFFFFFF"/>
      <name val="Arial"/>
      <family val="2"/>
    </font>
    <font>
      <sz val="10"/>
      <name val="Arial"/>
      <family val="2"/>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9BBB59"/>
        <bgColor indexed="64"/>
      </patternFill>
    </fill>
    <fill>
      <patternFill patternType="solid">
        <fgColor theme="6" tint="0.59999389629810485"/>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applyNumberFormat="0" applyFill="0" applyBorder="0" applyAlignment="0" applyProtection="0"/>
    <xf numFmtId="0" fontId="7" fillId="2" borderId="0" applyNumberFormat="0" applyBorder="0" applyAlignment="0" applyProtection="0"/>
  </cellStyleXfs>
  <cellXfs count="39">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3" fillId="0" borderId="0" xfId="0" applyFont="1" applyFill="1" applyBorder="1" applyAlignment="1" applyProtection="1"/>
    <xf numFmtId="0" fontId="4" fillId="0" borderId="0" xfId="0" applyFont="1" applyFill="1" applyBorder="1" applyAlignment="1" applyProtection="1"/>
    <xf numFmtId="164" fontId="5" fillId="0" borderId="0" xfId="0" applyNumberFormat="1" applyFont="1" applyFill="1" applyBorder="1" applyAlignment="1" applyProtection="1"/>
    <xf numFmtId="0" fontId="6" fillId="0" borderId="0" xfId="0" applyFont="1" applyFill="1" applyBorder="1" applyAlignment="1" applyProtection="1">
      <alignment horizontal="right"/>
    </xf>
    <xf numFmtId="0" fontId="0" fillId="3" borderId="0" xfId="0" applyFill="1"/>
    <xf numFmtId="0" fontId="2" fillId="3" borderId="0" xfId="0" applyFont="1" applyFill="1" applyBorder="1" applyAlignment="1" applyProtection="1"/>
    <xf numFmtId="0" fontId="3" fillId="3" borderId="0" xfId="0" applyFont="1" applyFill="1" applyBorder="1" applyAlignment="1" applyProtection="1"/>
    <xf numFmtId="0" fontId="4" fillId="3" borderId="0" xfId="0" applyFont="1" applyFill="1" applyBorder="1" applyAlignment="1" applyProtection="1"/>
    <xf numFmtId="164" fontId="5" fillId="3" borderId="0" xfId="0" applyNumberFormat="1" applyFont="1" applyFill="1" applyBorder="1" applyAlignment="1" applyProtection="1"/>
    <xf numFmtId="0" fontId="0" fillId="0" borderId="0" xfId="0" applyFill="1"/>
    <xf numFmtId="0" fontId="0" fillId="0" borderId="1" xfId="0" applyFill="1" applyBorder="1"/>
    <xf numFmtId="0" fontId="1" fillId="0" borderId="1" xfId="0" applyFont="1" applyFill="1" applyBorder="1" applyAlignment="1" applyProtection="1"/>
    <xf numFmtId="0" fontId="7" fillId="0" borderId="1" xfId="1" applyFill="1" applyBorder="1" applyAlignment="1" applyProtection="1"/>
    <xf numFmtId="0" fontId="2" fillId="0" borderId="1" xfId="0" applyFont="1" applyFill="1" applyBorder="1" applyAlignment="1" applyProtection="1"/>
    <xf numFmtId="0" fontId="3" fillId="0" borderId="1" xfId="0" applyFont="1" applyFill="1" applyBorder="1" applyAlignment="1" applyProtection="1"/>
    <xf numFmtId="0" fontId="4" fillId="0" borderId="1" xfId="0" applyFont="1" applyFill="1" applyBorder="1" applyAlignment="1" applyProtection="1"/>
    <xf numFmtId="164" fontId="5" fillId="0" borderId="1" xfId="0" applyNumberFormat="1" applyFont="1" applyFill="1" applyBorder="1" applyAlignment="1" applyProtection="1"/>
    <xf numFmtId="0" fontId="8" fillId="4" borderId="2" xfId="0" applyFont="1" applyFill="1" applyBorder="1" applyAlignment="1">
      <alignment vertical="center"/>
    </xf>
    <xf numFmtId="0" fontId="8" fillId="4" borderId="3" xfId="0"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horizontal="center" vertical="center"/>
    </xf>
    <xf numFmtId="14" fontId="9" fillId="0" borderId="5" xfId="0" applyNumberFormat="1" applyFont="1" applyBorder="1" applyAlignment="1">
      <alignment horizontal="right" vertical="center" wrapText="1"/>
    </xf>
    <xf numFmtId="0" fontId="8" fillId="4" borderId="3" xfId="0" applyFont="1" applyFill="1" applyBorder="1" applyAlignment="1">
      <alignment vertical="center"/>
    </xf>
    <xf numFmtId="0" fontId="9" fillId="0" borderId="5" xfId="0" applyFont="1" applyBorder="1" applyAlignment="1">
      <alignment vertical="center"/>
    </xf>
    <xf numFmtId="0" fontId="0" fillId="5" borderId="1" xfId="0" applyFill="1" applyBorder="1"/>
    <xf numFmtId="0" fontId="2" fillId="5" borderId="1" xfId="0" applyFont="1" applyFill="1" applyBorder="1" applyAlignment="1" applyProtection="1"/>
    <xf numFmtId="0" fontId="3" fillId="5" borderId="1" xfId="0" applyFont="1" applyFill="1" applyBorder="1" applyAlignment="1" applyProtection="1"/>
    <xf numFmtId="0" fontId="4" fillId="5" borderId="1" xfId="0" applyFont="1" applyFill="1" applyBorder="1" applyAlignment="1" applyProtection="1"/>
    <xf numFmtId="164" fontId="5" fillId="5" borderId="1" xfId="0" applyNumberFormat="1" applyFont="1" applyFill="1" applyBorder="1" applyAlignment="1" applyProtection="1"/>
    <xf numFmtId="164" fontId="9" fillId="5" borderId="1" xfId="0" applyNumberFormat="1" applyFont="1" applyFill="1" applyBorder="1" applyAlignment="1" applyProtection="1"/>
    <xf numFmtId="0" fontId="0" fillId="6" borderId="1" xfId="0" applyFill="1" applyBorder="1"/>
    <xf numFmtId="0" fontId="2" fillId="6" borderId="1" xfId="0" applyFont="1" applyFill="1" applyBorder="1" applyAlignment="1" applyProtection="1"/>
    <xf numFmtId="0" fontId="3" fillId="6" borderId="1" xfId="0" applyFont="1" applyFill="1" applyBorder="1" applyAlignment="1" applyProtection="1"/>
    <xf numFmtId="0" fontId="4" fillId="6" borderId="1" xfId="0" applyFont="1" applyFill="1" applyBorder="1" applyAlignment="1" applyProtection="1"/>
    <xf numFmtId="164" fontId="5" fillId="6" borderId="1" xfId="0" applyNumberFormat="1" applyFont="1" applyFill="1" applyBorder="1" applyAlignment="1" applyProtection="1"/>
    <xf numFmtId="164" fontId="9" fillId="6" borderId="1" xfId="0" applyNumberFormat="1" applyFont="1" applyFill="1" applyBorder="1" applyAlignment="1" applyProtection="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EI1726"/>
  <sheetViews>
    <sheetView workbookViewId="0">
      <pane ySplit="1" topLeftCell="A2" activePane="bottomLeft" state="frozenSplit"/>
      <selection pane="bottomLeft" activeCell="E1730" sqref="E1730"/>
    </sheetView>
  </sheetViews>
  <sheetFormatPr defaultRowHeight="12.75" x14ac:dyDescent="0.2"/>
  <cols>
    <col min="1" max="1" width="11.28515625" bestFit="1" customWidth="1"/>
    <col min="2" max="2" width="5.7109375" bestFit="1" customWidth="1"/>
    <col min="3" max="3" width="8.7109375" bestFit="1" customWidth="1"/>
    <col min="4" max="4" width="12.85546875" bestFit="1" customWidth="1"/>
    <col min="5" max="5" width="32.28515625" bestFit="1" customWidth="1"/>
    <col min="6" max="6" width="15" bestFit="1" customWidth="1"/>
    <col min="7" max="7" width="125.85546875" bestFit="1" customWidth="1"/>
    <col min="8" max="8" width="25" bestFit="1" customWidth="1"/>
    <col min="9" max="9" width="8.42578125" bestFit="1" customWidth="1"/>
    <col min="10" max="10" width="16.5703125" bestFit="1" customWidth="1"/>
    <col min="11" max="11" width="19.85546875" bestFit="1" customWidth="1"/>
    <col min="12" max="12" width="17" bestFit="1" customWidth="1"/>
    <col min="13" max="13" width="19.85546875" bestFit="1" customWidth="1"/>
    <col min="14" max="14" width="17.5703125" bestFit="1" customWidth="1"/>
    <col min="15" max="15" width="17.85546875" bestFit="1" customWidth="1"/>
    <col min="16" max="16" width="17.140625" bestFit="1" customWidth="1"/>
    <col min="17" max="17" width="13.5703125" bestFit="1" customWidth="1"/>
    <col min="18" max="18" width="32" bestFit="1" customWidth="1"/>
    <col min="19" max="19" width="42.5703125" bestFit="1" customWidth="1"/>
    <col min="20" max="20" width="11.7109375" bestFit="1" customWidth="1"/>
    <col min="21" max="21" width="12.5703125" bestFit="1" customWidth="1"/>
    <col min="22" max="22" width="12.42578125" bestFit="1" customWidth="1"/>
    <col min="23" max="23" width="37.28515625" bestFit="1" customWidth="1"/>
    <col min="24" max="24" width="29.7109375" bestFit="1" customWidth="1"/>
    <col min="25" max="25" width="31" bestFit="1" customWidth="1"/>
    <col min="26" max="26" width="23.42578125" bestFit="1" customWidth="1"/>
    <col min="27" max="27" width="31.140625" bestFit="1" customWidth="1"/>
    <col min="28" max="28" width="44.28515625" bestFit="1" customWidth="1"/>
    <col min="29" max="29" width="38.5703125" bestFit="1" customWidth="1"/>
    <col min="30" max="30" width="40.7109375" bestFit="1" customWidth="1"/>
    <col min="31" max="31" width="37.7109375" bestFit="1" customWidth="1"/>
    <col min="32" max="32" width="30.140625" bestFit="1" customWidth="1"/>
    <col min="33" max="33" width="44.140625" bestFit="1" customWidth="1"/>
    <col min="34" max="34" width="22.140625" bestFit="1" customWidth="1"/>
    <col min="35" max="35" width="26.7109375" bestFit="1" customWidth="1"/>
    <col min="36" max="36" width="19.140625" bestFit="1" customWidth="1"/>
    <col min="37" max="37" width="36.140625" bestFit="1" customWidth="1"/>
    <col min="38" max="38" width="28.5703125" bestFit="1" customWidth="1"/>
    <col min="39" max="39" width="45.7109375" bestFit="1" customWidth="1"/>
    <col min="40" max="40" width="38.140625" bestFit="1" customWidth="1"/>
    <col min="41" max="41" width="14.140625" bestFit="1" customWidth="1"/>
    <col min="42" max="42" width="42.7109375" bestFit="1" customWidth="1"/>
    <col min="43" max="43" width="35.140625" bestFit="1" customWidth="1"/>
    <col min="44" max="44" width="35.5703125" bestFit="1" customWidth="1"/>
    <col min="45" max="45" width="28.140625" bestFit="1" customWidth="1"/>
    <col min="46" max="46" width="31.140625" bestFit="1" customWidth="1"/>
    <col min="47" max="47" width="23.7109375" bestFit="1" customWidth="1"/>
    <col min="48" max="48" width="28.7109375" bestFit="1" customWidth="1"/>
    <col min="49" max="49" width="44.5703125" bestFit="1" customWidth="1"/>
    <col min="50" max="50" width="37" bestFit="1" customWidth="1"/>
    <col min="51" max="51" width="26.28515625" bestFit="1" customWidth="1"/>
    <col min="52" max="52" width="29.140625" bestFit="1" customWidth="1"/>
    <col min="53" max="53" width="21.5703125" bestFit="1" customWidth="1"/>
    <col min="54" max="54" width="31" bestFit="1" customWidth="1"/>
    <col min="55" max="55" width="23.42578125" bestFit="1" customWidth="1"/>
    <col min="56" max="56" width="25.5703125" bestFit="1" customWidth="1"/>
    <col min="57" max="57" width="44" bestFit="1" customWidth="1"/>
    <col min="58" max="58" width="36.5703125" bestFit="1" customWidth="1"/>
    <col min="59" max="59" width="55" bestFit="1" customWidth="1"/>
    <col min="60" max="60" width="47.42578125" bestFit="1" customWidth="1"/>
    <col min="61" max="61" width="49.85546875" bestFit="1" customWidth="1"/>
    <col min="62" max="62" width="42.28515625" bestFit="1" customWidth="1"/>
    <col min="63" max="63" width="13.28515625" bestFit="1" customWidth="1"/>
    <col min="64" max="64" width="24.7109375" bestFit="1" customWidth="1"/>
    <col min="65" max="65" width="46.85546875" bestFit="1" customWidth="1"/>
    <col min="66" max="66" width="39.28515625" bestFit="1" customWidth="1"/>
    <col min="67" max="67" width="22.42578125" bestFit="1" customWidth="1"/>
    <col min="68" max="68" width="31.7109375" bestFit="1" customWidth="1"/>
    <col min="69" max="70" width="24.28515625" bestFit="1" customWidth="1"/>
    <col min="71" max="71" width="35.7109375" bestFit="1" customWidth="1"/>
    <col min="72" max="72" width="31.7109375" bestFit="1" customWidth="1"/>
    <col min="73" max="73" width="24.28515625" bestFit="1" customWidth="1"/>
    <col min="74" max="74" width="43.140625" bestFit="1" customWidth="1"/>
    <col min="75" max="75" width="35.5703125" bestFit="1" customWidth="1"/>
    <col min="76" max="76" width="36.85546875" bestFit="1" customWidth="1"/>
    <col min="77" max="77" width="27.5703125" bestFit="1" customWidth="1"/>
    <col min="78" max="78" width="20.140625" bestFit="1" customWidth="1"/>
    <col min="79" max="79" width="43.42578125" bestFit="1" customWidth="1"/>
    <col min="80" max="80" width="35.85546875" bestFit="1" customWidth="1"/>
    <col min="81" max="81" width="40.7109375" bestFit="1" customWidth="1"/>
    <col min="82" max="82" width="33.140625" bestFit="1" customWidth="1"/>
    <col min="83" max="83" width="40.7109375" bestFit="1" customWidth="1"/>
    <col min="84" max="84" width="33.140625" bestFit="1" customWidth="1"/>
    <col min="85" max="85" width="34.140625" bestFit="1" customWidth="1"/>
    <col min="86" max="86" width="26.5703125" bestFit="1" customWidth="1"/>
    <col min="87" max="87" width="29.42578125" bestFit="1" customWidth="1"/>
    <col min="88" max="88" width="37" bestFit="1" customWidth="1"/>
    <col min="89" max="89" width="29.42578125" bestFit="1" customWidth="1"/>
    <col min="90" max="90" width="27.42578125" bestFit="1" customWidth="1"/>
    <col min="91" max="91" width="20" bestFit="1" customWidth="1"/>
    <col min="92" max="92" width="27.28515625" bestFit="1" customWidth="1"/>
    <col min="93" max="93" width="19.85546875" bestFit="1" customWidth="1"/>
    <col min="94" max="94" width="255.7109375" bestFit="1" customWidth="1"/>
    <col min="95" max="95" width="14" bestFit="1" customWidth="1"/>
    <col min="96" max="96" width="34.28515625" bestFit="1" customWidth="1"/>
    <col min="97" max="97" width="32" bestFit="1" customWidth="1"/>
    <col min="98" max="98" width="24.42578125" bestFit="1" customWidth="1"/>
    <col min="99" max="99" width="45.42578125" bestFit="1" customWidth="1"/>
    <col min="100" max="100" width="37.85546875" bestFit="1" customWidth="1"/>
    <col min="101" max="101" width="54.5703125" bestFit="1" customWidth="1"/>
    <col min="102" max="102" width="47" bestFit="1" customWidth="1"/>
    <col min="103" max="103" width="32.140625" bestFit="1" customWidth="1"/>
    <col min="104" max="104" width="24.5703125" bestFit="1" customWidth="1"/>
    <col min="105" max="105" width="39.85546875" bestFit="1" customWidth="1"/>
    <col min="106" max="106" width="32.42578125" bestFit="1" customWidth="1"/>
    <col min="107" max="107" width="32.140625" bestFit="1" customWidth="1"/>
    <col min="108" max="108" width="14.28515625" bestFit="1" customWidth="1"/>
    <col min="109" max="109" width="28.7109375" bestFit="1" customWidth="1"/>
    <col min="110" max="110" width="38.28515625" bestFit="1" customWidth="1"/>
    <col min="111" max="111" width="30.7109375" bestFit="1" customWidth="1"/>
    <col min="112" max="112" width="14.140625" bestFit="1" customWidth="1"/>
    <col min="113" max="113" width="43.42578125" bestFit="1" customWidth="1"/>
    <col min="114" max="114" width="21.85546875" bestFit="1" customWidth="1"/>
    <col min="115" max="115" width="30.85546875" bestFit="1" customWidth="1"/>
    <col min="116" max="116" width="9.85546875" bestFit="1" customWidth="1"/>
    <col min="117" max="117" width="11" bestFit="1" customWidth="1"/>
    <col min="118" max="120" width="255.7109375" bestFit="1" customWidth="1"/>
    <col min="121" max="121" width="16.140625" bestFit="1" customWidth="1"/>
    <col min="122" max="122" width="18.42578125" bestFit="1" customWidth="1"/>
    <col min="123" max="123" width="19.5703125" bestFit="1" customWidth="1"/>
    <col min="124" max="124" width="20.5703125" bestFit="1" customWidth="1"/>
    <col min="125" max="125" width="14" bestFit="1" customWidth="1"/>
    <col min="126" max="126" width="21.28515625" bestFit="1" customWidth="1"/>
    <col min="127" max="127" width="20.42578125" bestFit="1" customWidth="1"/>
    <col min="128" max="128" width="26.140625" bestFit="1" customWidth="1"/>
    <col min="129" max="129" width="32.42578125" bestFit="1" customWidth="1"/>
    <col min="130" max="130" width="24.85546875" bestFit="1" customWidth="1"/>
    <col min="131" max="131" width="41.85546875" bestFit="1" customWidth="1"/>
    <col min="132" max="132" width="34.28515625" bestFit="1" customWidth="1"/>
    <col min="133" max="133" width="41.7109375" bestFit="1" customWidth="1"/>
    <col min="134" max="134" width="34.140625" bestFit="1" customWidth="1"/>
    <col min="135" max="135" width="26.5703125" bestFit="1" customWidth="1"/>
    <col min="136" max="136" width="19" bestFit="1" customWidth="1"/>
    <col min="137" max="137" width="48.5703125" bestFit="1" customWidth="1"/>
    <col min="138" max="138" width="41" bestFit="1" customWidth="1"/>
    <col min="139" max="139" width="42.42578125" bestFit="1" customWidth="1"/>
  </cols>
  <sheetData>
    <row r="1" spans="1:139" x14ac:dyDescent="0.2">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1" t="s">
        <v>99</v>
      </c>
      <c r="CY1" s="1" t="s">
        <v>100</v>
      </c>
      <c r="CZ1" s="1" t="s">
        <v>101</v>
      </c>
      <c r="DA1" s="1" t="s">
        <v>102</v>
      </c>
      <c r="DB1" s="1" t="s">
        <v>103</v>
      </c>
      <c r="DC1" s="1" t="s">
        <v>104</v>
      </c>
      <c r="DD1" s="1" t="s">
        <v>105</v>
      </c>
      <c r="DE1" s="1" t="s">
        <v>106</v>
      </c>
      <c r="DF1" s="1" t="s">
        <v>107</v>
      </c>
      <c r="DG1" s="1" t="s">
        <v>108</v>
      </c>
      <c r="DH1" s="1" t="s">
        <v>109</v>
      </c>
      <c r="DI1" s="1" t="s">
        <v>110</v>
      </c>
      <c r="DJ1" s="1" t="s">
        <v>111</v>
      </c>
      <c r="DK1" s="1" t="s">
        <v>112</v>
      </c>
      <c r="DL1" s="1" t="s">
        <v>113</v>
      </c>
      <c r="DM1" s="1" t="s">
        <v>114</v>
      </c>
      <c r="DN1" s="1" t="s">
        <v>115</v>
      </c>
      <c r="DO1" s="1" t="s">
        <v>116</v>
      </c>
      <c r="DP1" s="1" t="s">
        <v>117</v>
      </c>
      <c r="DQ1" s="1" t="s">
        <v>118</v>
      </c>
      <c r="DR1" s="1" t="s">
        <v>119</v>
      </c>
      <c r="DS1" s="1" t="s">
        <v>120</v>
      </c>
      <c r="DT1" s="1" t="s">
        <v>121</v>
      </c>
      <c r="DU1" s="1" t="s">
        <v>122</v>
      </c>
      <c r="DV1" s="1" t="s">
        <v>123</v>
      </c>
      <c r="DW1" s="1" t="s">
        <v>124</v>
      </c>
      <c r="DX1" s="1" t="s">
        <v>125</v>
      </c>
      <c r="DY1" s="1" t="s">
        <v>126</v>
      </c>
      <c r="DZ1" s="1" t="s">
        <v>127</v>
      </c>
      <c r="EA1" s="1" t="s">
        <v>128</v>
      </c>
      <c r="EB1" s="1" t="s">
        <v>129</v>
      </c>
      <c r="EC1" s="1" t="s">
        <v>130</v>
      </c>
      <c r="ED1" s="1" t="s">
        <v>131</v>
      </c>
      <c r="EE1" s="1" t="s">
        <v>132</v>
      </c>
      <c r="EF1" s="1" t="s">
        <v>133</v>
      </c>
      <c r="EG1" s="1" t="s">
        <v>134</v>
      </c>
      <c r="EH1" s="1" t="s">
        <v>135</v>
      </c>
      <c r="EI1" s="1" t="s">
        <v>136</v>
      </c>
    </row>
    <row r="2" spans="1:139" hidden="1" x14ac:dyDescent="0.2">
      <c r="A2">
        <f>VLOOKUP(B2,Sheet1!$A$1:$B$18,2,FALSE)</f>
        <v>0</v>
      </c>
      <c r="B2" t="str">
        <f>LEFT(D2,3)</f>
        <v>AKL</v>
      </c>
      <c r="C2" s="2">
        <v>1</v>
      </c>
      <c r="D2" s="3" t="str">
        <f>HYPERLINK("https://sitebase.nzcomms.co.nz/spm/spmnominalview/AKL-004-001/","AKL-004-001")</f>
        <v>AKL-004-001</v>
      </c>
      <c r="E2" s="4" t="s">
        <v>137</v>
      </c>
      <c r="F2" s="4"/>
      <c r="G2" s="4"/>
      <c r="H2" s="4" t="s">
        <v>138</v>
      </c>
      <c r="I2" s="4"/>
      <c r="J2" s="4" t="s">
        <v>139</v>
      </c>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row>
    <row r="3" spans="1:139" hidden="1" x14ac:dyDescent="0.2">
      <c r="A3">
        <f>VLOOKUP(B3,Sheet1!$A$1:$B$18,2,FALSE)</f>
        <v>0</v>
      </c>
      <c r="B3" t="str">
        <f t="shared" ref="B3:B66" si="0">LEFT(D3,3)</f>
        <v>AKL</v>
      </c>
      <c r="C3" s="2">
        <v>2</v>
      </c>
      <c r="D3" s="3" t="str">
        <f>HYPERLINK("https://sitebase.nzcomms.co.nz/spm/spmnominalview/AKL-004-002/","AKL-004-002")</f>
        <v>AKL-004-002</v>
      </c>
      <c r="E3" s="4" t="s">
        <v>140</v>
      </c>
      <c r="F3" s="3" t="str">
        <f>HYPERLINK("https://sitebase.nzcomms.co.nz/spm/spmcandidateview/AKL-004-002-A/","AKL-004-002-A")</f>
        <v>AKL-004-002-A</v>
      </c>
      <c r="G3" s="4" t="s">
        <v>140</v>
      </c>
      <c r="H3" s="4" t="s">
        <v>138</v>
      </c>
      <c r="I3" s="4"/>
      <c r="J3" s="4" t="s">
        <v>139</v>
      </c>
      <c r="K3" s="4" t="s">
        <v>141</v>
      </c>
      <c r="L3" s="4" t="s">
        <v>142</v>
      </c>
      <c r="M3" s="4" t="s">
        <v>143</v>
      </c>
      <c r="N3" s="4" t="s">
        <v>142</v>
      </c>
      <c r="O3" s="4" t="s">
        <v>144</v>
      </c>
      <c r="P3" s="4"/>
      <c r="Q3" s="4"/>
      <c r="R3" s="4"/>
      <c r="S3" s="4">
        <v>40</v>
      </c>
      <c r="T3" s="4"/>
      <c r="U3" s="4">
        <v>-36.776492060000002</v>
      </c>
      <c r="V3" s="4">
        <v>174.55891395</v>
      </c>
      <c r="W3" s="4"/>
      <c r="X3" s="4"/>
      <c r="Y3" s="4"/>
      <c r="Z3" s="4"/>
      <c r="AA3" s="4" t="s">
        <v>145</v>
      </c>
      <c r="AB3" s="3" t="str">
        <f>HYPERLINK("https://sitebase.nzcomms.co.nz/spm/spmcandidateview/AKL-007-185-A/","AKL-007-185-A")</f>
        <v>AKL-007-185-A</v>
      </c>
      <c r="AC3" s="4"/>
      <c r="AD3" s="4"/>
      <c r="AE3" s="4"/>
      <c r="AF3" s="4"/>
      <c r="AG3" s="4"/>
      <c r="AH3" s="4"/>
      <c r="AI3" s="4"/>
      <c r="AJ3" s="4"/>
      <c r="AK3" s="4"/>
      <c r="AL3" s="4"/>
      <c r="AM3" s="4"/>
      <c r="AN3" s="5">
        <v>39423</v>
      </c>
      <c r="AO3" s="4">
        <v>6</v>
      </c>
      <c r="AP3" s="4"/>
      <c r="AQ3" s="4"/>
      <c r="AR3" s="4"/>
      <c r="AS3" s="4"/>
      <c r="AT3" s="5">
        <v>39917</v>
      </c>
      <c r="AU3" s="5">
        <v>39917</v>
      </c>
      <c r="AV3" s="4">
        <v>4</v>
      </c>
      <c r="AW3" s="5">
        <v>39917</v>
      </c>
      <c r="AX3" s="5">
        <v>39917</v>
      </c>
      <c r="AY3" s="4"/>
      <c r="AZ3" s="4"/>
      <c r="BA3" s="4"/>
      <c r="BB3" s="5">
        <v>39569</v>
      </c>
      <c r="BC3" s="4"/>
      <c r="BD3" s="4"/>
      <c r="BE3" s="5">
        <v>39569</v>
      </c>
      <c r="BF3" s="5">
        <v>39569</v>
      </c>
      <c r="BG3" s="4"/>
      <c r="BH3" s="5">
        <v>39513</v>
      </c>
      <c r="BI3" s="4"/>
      <c r="BJ3" s="5">
        <v>39631</v>
      </c>
      <c r="BK3" s="4">
        <v>4</v>
      </c>
      <c r="BL3" s="4">
        <v>5</v>
      </c>
      <c r="BM3" s="5">
        <v>39731</v>
      </c>
      <c r="BN3" s="5">
        <v>39731</v>
      </c>
      <c r="BO3" s="4"/>
      <c r="BP3" s="4"/>
      <c r="BQ3" s="4"/>
      <c r="BR3" s="4"/>
      <c r="BS3" s="4"/>
      <c r="BT3" s="5">
        <v>39881</v>
      </c>
      <c r="BU3" s="5">
        <v>39881</v>
      </c>
      <c r="BV3" s="5">
        <v>39899</v>
      </c>
      <c r="BW3" s="5">
        <v>39899</v>
      </c>
      <c r="BX3" s="4"/>
      <c r="BY3" s="5">
        <v>39924</v>
      </c>
      <c r="BZ3" s="5">
        <v>39924</v>
      </c>
      <c r="CA3" s="4"/>
      <c r="CB3" s="4"/>
      <c r="CC3" s="4"/>
      <c r="CD3" s="4"/>
      <c r="CE3" s="4"/>
      <c r="CF3" s="4"/>
      <c r="CG3" s="4"/>
      <c r="CH3" s="4"/>
      <c r="CI3" s="5">
        <v>39933</v>
      </c>
      <c r="CJ3" s="5">
        <v>39933</v>
      </c>
      <c r="CK3" s="5">
        <v>39933</v>
      </c>
      <c r="CL3" s="4"/>
      <c r="CM3" s="4"/>
      <c r="CN3" s="4"/>
      <c r="CO3" s="4"/>
      <c r="CP3" s="4" t="s">
        <v>146</v>
      </c>
      <c r="CQ3" s="4"/>
      <c r="CR3" s="5">
        <v>39933</v>
      </c>
      <c r="CS3" s="4"/>
      <c r="CT3" s="4"/>
      <c r="CU3" s="4"/>
      <c r="CV3" s="4"/>
      <c r="CW3" s="4"/>
      <c r="CX3" s="4"/>
      <c r="CY3" s="4"/>
      <c r="CZ3" s="4"/>
      <c r="DA3" s="4"/>
      <c r="DB3" s="4"/>
      <c r="DC3" s="4"/>
      <c r="DD3" s="4"/>
      <c r="DE3" s="4"/>
      <c r="DF3" s="4"/>
      <c r="DG3" s="4"/>
      <c r="DH3" s="4"/>
      <c r="DI3" s="4"/>
      <c r="DJ3" s="4" t="b">
        <v>0</v>
      </c>
      <c r="DK3" s="4"/>
      <c r="DL3" s="4">
        <v>2649566</v>
      </c>
      <c r="DM3" s="4">
        <v>6490524</v>
      </c>
      <c r="DN3" s="4" t="s">
        <v>147</v>
      </c>
      <c r="DO3" s="4"/>
      <c r="DP3" s="4"/>
      <c r="DQ3" s="4" t="s">
        <v>148</v>
      </c>
      <c r="DR3" s="4"/>
      <c r="DS3" s="4"/>
      <c r="DT3" s="4"/>
      <c r="DU3" s="4"/>
      <c r="DV3" s="4"/>
      <c r="DW3" s="4"/>
      <c r="DX3" s="4"/>
      <c r="DY3" s="4"/>
      <c r="DZ3" s="5">
        <v>39868</v>
      </c>
      <c r="EA3" s="4"/>
      <c r="EB3" s="4"/>
      <c r="EC3" s="4"/>
      <c r="ED3" s="4"/>
      <c r="EE3" s="4"/>
      <c r="EF3" s="4"/>
      <c r="EG3" s="4"/>
      <c r="EH3" s="4"/>
      <c r="EI3" s="5">
        <v>39429</v>
      </c>
    </row>
    <row r="4" spans="1:139" hidden="1" x14ac:dyDescent="0.2">
      <c r="A4">
        <f>VLOOKUP(B4,Sheet1!$A$1:$B$18,2,FALSE)</f>
        <v>0</v>
      </c>
      <c r="B4" t="str">
        <f t="shared" si="0"/>
        <v>AKL</v>
      </c>
      <c r="C4" s="2">
        <v>3</v>
      </c>
      <c r="D4" s="3" t="str">
        <f>HYPERLINK("https://sitebase.nzcomms.co.nz/spm/spmnominalview/AKL-004-003/","AKL-004-003")</f>
        <v>AKL-004-003</v>
      </c>
      <c r="E4" s="4"/>
      <c r="F4" s="3" t="str">
        <f>HYPERLINK("https://sitebase.nzcomms.co.nz/spm/spmcandidateview/AKL-004-003-E/","AKL-004-003-E")</f>
        <v>AKL-004-003-E</v>
      </c>
      <c r="G4" s="4" t="s">
        <v>149</v>
      </c>
      <c r="H4" s="4" t="s">
        <v>138</v>
      </c>
      <c r="I4" s="4">
        <v>3</v>
      </c>
      <c r="J4" s="4" t="s">
        <v>139</v>
      </c>
      <c r="K4" s="4" t="s">
        <v>141</v>
      </c>
      <c r="L4" s="4" t="s">
        <v>150</v>
      </c>
      <c r="M4" s="4" t="s">
        <v>143</v>
      </c>
      <c r="N4" s="4" t="s">
        <v>151</v>
      </c>
      <c r="O4" s="4" t="s">
        <v>144</v>
      </c>
      <c r="P4" s="4"/>
      <c r="Q4" s="4"/>
      <c r="R4" s="4">
        <v>25</v>
      </c>
      <c r="S4" s="4">
        <v>25</v>
      </c>
      <c r="T4" s="4"/>
      <c r="U4" s="4">
        <v>-36.742731470000003</v>
      </c>
      <c r="V4" s="4">
        <v>174.61357806000001</v>
      </c>
      <c r="W4" s="4"/>
      <c r="X4" s="4"/>
      <c r="Y4" s="4"/>
      <c r="Z4" s="4"/>
      <c r="AA4" s="4" t="s">
        <v>152</v>
      </c>
      <c r="AB4" s="3" t="str">
        <f>HYPERLINK("https://sitebase.nzcomms.co.nz/spm/spmcandidateview/AKL-007-106-A/","AKL-007-106-A")</f>
        <v>AKL-007-106-A</v>
      </c>
      <c r="AC4" s="4" t="b">
        <v>0</v>
      </c>
      <c r="AD4" s="4" t="b">
        <v>0</v>
      </c>
      <c r="AE4" s="4"/>
      <c r="AF4" s="4"/>
      <c r="AG4" s="4" t="b">
        <v>0</v>
      </c>
      <c r="AH4" s="4"/>
      <c r="AI4" s="4"/>
      <c r="AJ4" s="5">
        <v>39722</v>
      </c>
      <c r="AK4" s="4"/>
      <c r="AL4" s="4"/>
      <c r="AM4" s="4"/>
      <c r="AN4" s="5">
        <v>39744</v>
      </c>
      <c r="AO4" s="4">
        <v>4</v>
      </c>
      <c r="AP4" s="5">
        <v>39829</v>
      </c>
      <c r="AQ4" s="5">
        <v>39829</v>
      </c>
      <c r="AR4" s="4"/>
      <c r="AS4" s="4"/>
      <c r="AT4" s="4"/>
      <c r="AU4" s="5">
        <v>39766</v>
      </c>
      <c r="AV4" s="4">
        <v>1</v>
      </c>
      <c r="AW4" s="4"/>
      <c r="AX4" s="5">
        <v>39766</v>
      </c>
      <c r="AY4" s="4"/>
      <c r="AZ4" s="5">
        <v>39834</v>
      </c>
      <c r="BA4" s="4"/>
      <c r="BB4" s="5">
        <v>39903</v>
      </c>
      <c r="BC4" s="4"/>
      <c r="BD4" s="4"/>
      <c r="BE4" s="5">
        <v>39903</v>
      </c>
      <c r="BF4" s="5">
        <v>39856</v>
      </c>
      <c r="BG4" s="5">
        <v>39757</v>
      </c>
      <c r="BH4" s="5">
        <v>39785</v>
      </c>
      <c r="BI4" s="4"/>
      <c r="BJ4" s="5">
        <v>39787</v>
      </c>
      <c r="BK4" s="4">
        <v>1</v>
      </c>
      <c r="BL4" s="4">
        <v>3</v>
      </c>
      <c r="BM4" s="5">
        <v>39787</v>
      </c>
      <c r="BN4" s="5">
        <v>39787</v>
      </c>
      <c r="BO4" s="5">
        <v>39920</v>
      </c>
      <c r="BP4" s="4"/>
      <c r="BQ4" s="4"/>
      <c r="BR4" s="4"/>
      <c r="BS4" s="4"/>
      <c r="BT4" s="5">
        <v>39909</v>
      </c>
      <c r="BU4" s="5">
        <v>39909</v>
      </c>
      <c r="BV4" s="5">
        <v>39955</v>
      </c>
      <c r="BW4" s="5">
        <v>39955</v>
      </c>
      <c r="BX4" s="4"/>
      <c r="BY4" s="5">
        <v>39976</v>
      </c>
      <c r="BZ4" s="5">
        <v>39975</v>
      </c>
      <c r="CA4" s="4"/>
      <c r="CB4" s="4"/>
      <c r="CC4" s="4"/>
      <c r="CD4" s="4"/>
      <c r="CE4" s="4"/>
      <c r="CF4" s="4"/>
      <c r="CG4" s="4"/>
      <c r="CH4" s="4"/>
      <c r="CI4" s="5">
        <v>39975</v>
      </c>
      <c r="CJ4" s="5">
        <v>39981</v>
      </c>
      <c r="CK4" s="5">
        <v>39975</v>
      </c>
      <c r="CL4" s="4"/>
      <c r="CM4" s="4"/>
      <c r="CN4" s="4"/>
      <c r="CO4" s="4"/>
      <c r="CP4" s="4" t="s">
        <v>153</v>
      </c>
      <c r="CQ4" s="4"/>
      <c r="CR4" s="5">
        <v>39981</v>
      </c>
      <c r="CS4" s="4"/>
      <c r="CT4" s="4"/>
      <c r="CU4" s="4"/>
      <c r="CV4" s="4"/>
      <c r="CW4" s="5">
        <v>39920</v>
      </c>
      <c r="CX4" s="5">
        <v>39920</v>
      </c>
      <c r="CY4" s="4"/>
      <c r="CZ4" s="4"/>
      <c r="DA4" s="4"/>
      <c r="DB4" s="4"/>
      <c r="DC4" s="4"/>
      <c r="DD4" s="4"/>
      <c r="DE4" s="4"/>
      <c r="DF4" s="4"/>
      <c r="DG4" s="4"/>
      <c r="DH4" s="4"/>
      <c r="DI4" s="4"/>
      <c r="DJ4" s="4" t="b">
        <v>0</v>
      </c>
      <c r="DK4" s="4"/>
      <c r="DL4" s="4">
        <v>2654516</v>
      </c>
      <c r="DM4" s="4">
        <v>6494179</v>
      </c>
      <c r="DN4" s="4" t="s">
        <v>154</v>
      </c>
      <c r="DO4" s="4"/>
      <c r="DP4" s="4"/>
      <c r="DQ4" s="4" t="s">
        <v>148</v>
      </c>
      <c r="DR4" s="4"/>
      <c r="DS4" s="4"/>
      <c r="DT4" s="4"/>
      <c r="DU4" s="4"/>
      <c r="DV4" s="4"/>
      <c r="DW4" s="4"/>
      <c r="DX4" s="4"/>
      <c r="DY4" s="5">
        <v>39906</v>
      </c>
      <c r="DZ4" s="5">
        <v>39906</v>
      </c>
      <c r="EA4" s="4"/>
      <c r="EB4" s="4"/>
      <c r="EC4" s="4"/>
      <c r="ED4" s="4"/>
      <c r="EE4" s="4"/>
      <c r="EF4" s="4"/>
      <c r="EG4" s="4"/>
      <c r="EH4" s="4"/>
      <c r="EI4" s="5">
        <v>39721</v>
      </c>
    </row>
    <row r="5" spans="1:139" hidden="1" x14ac:dyDescent="0.2">
      <c r="A5">
        <f>VLOOKUP(B5,Sheet1!$A$1:$B$18,2,FALSE)</f>
        <v>0</v>
      </c>
      <c r="B5" t="str">
        <f t="shared" si="0"/>
        <v>AKL</v>
      </c>
      <c r="C5" s="2">
        <v>4</v>
      </c>
      <c r="D5" s="3" t="str">
        <f>HYPERLINK("https://sitebase.nzcomms.co.nz/spm/spmnominalview/AKL-004-005/","AKL-004-005")</f>
        <v>AKL-004-005</v>
      </c>
      <c r="E5" s="4"/>
      <c r="F5" s="3" t="str">
        <f>HYPERLINK("https://sitebase.nzcomms.co.nz/spm/spmcandidateview/AKL-004-005-D/","AKL-004-005-D")</f>
        <v>AKL-004-005-D</v>
      </c>
      <c r="G5" s="4" t="s">
        <v>155</v>
      </c>
      <c r="H5" s="4" t="s">
        <v>138</v>
      </c>
      <c r="I5" s="4"/>
      <c r="J5" s="4" t="s">
        <v>139</v>
      </c>
      <c r="K5" s="4" t="s">
        <v>141</v>
      </c>
      <c r="L5" s="4" t="s">
        <v>150</v>
      </c>
      <c r="M5" s="4" t="s">
        <v>143</v>
      </c>
      <c r="N5" s="4" t="s">
        <v>156</v>
      </c>
      <c r="O5" s="4" t="s">
        <v>144</v>
      </c>
      <c r="P5" s="4"/>
      <c r="Q5" s="4"/>
      <c r="R5" s="4">
        <v>20</v>
      </c>
      <c r="S5" s="4">
        <v>20</v>
      </c>
      <c r="T5" s="4"/>
      <c r="U5" s="4">
        <v>-36.685130020000003</v>
      </c>
      <c r="V5" s="4">
        <v>174.70139066999999</v>
      </c>
      <c r="W5" s="4"/>
      <c r="X5" s="4"/>
      <c r="Y5" s="4"/>
      <c r="Z5" s="4"/>
      <c r="AA5" s="4" t="s">
        <v>152</v>
      </c>
      <c r="AB5" s="3" t="str">
        <f>HYPERLINK("https://sitebase.nzcomms.co.nz/spm/spmcandidateview/AKL-007-106-A/","AKL-007-106-A")</f>
        <v>AKL-007-106-A</v>
      </c>
      <c r="AC5" s="4"/>
      <c r="AD5" s="4"/>
      <c r="AE5" s="4"/>
      <c r="AF5" s="4"/>
      <c r="AG5" s="4"/>
      <c r="AH5" s="4"/>
      <c r="AI5" s="4"/>
      <c r="AJ5" s="4"/>
      <c r="AK5" s="4"/>
      <c r="AL5" s="4"/>
      <c r="AM5" s="4"/>
      <c r="AN5" s="5">
        <v>39703</v>
      </c>
      <c r="AO5" s="4">
        <v>4</v>
      </c>
      <c r="AP5" s="5">
        <v>39871</v>
      </c>
      <c r="AQ5" s="5">
        <v>39869</v>
      </c>
      <c r="AR5" s="4"/>
      <c r="AS5" s="4"/>
      <c r="AT5" s="4"/>
      <c r="AU5" s="5">
        <v>39735</v>
      </c>
      <c r="AV5" s="4">
        <v>4</v>
      </c>
      <c r="AW5" s="5">
        <v>39862</v>
      </c>
      <c r="AX5" s="5">
        <v>39862</v>
      </c>
      <c r="AY5" s="4"/>
      <c r="AZ5" s="4"/>
      <c r="BA5" s="4"/>
      <c r="BB5" s="5">
        <v>39899</v>
      </c>
      <c r="BC5" s="4"/>
      <c r="BD5" s="4"/>
      <c r="BE5" s="5">
        <v>39899</v>
      </c>
      <c r="BF5" s="5">
        <v>39903</v>
      </c>
      <c r="BG5" s="4"/>
      <c r="BH5" s="5">
        <v>39755</v>
      </c>
      <c r="BI5" s="4"/>
      <c r="BJ5" s="5">
        <v>39780</v>
      </c>
      <c r="BK5" s="4">
        <v>2</v>
      </c>
      <c r="BL5" s="4">
        <v>3</v>
      </c>
      <c r="BM5" s="5">
        <v>39875</v>
      </c>
      <c r="BN5" s="5">
        <v>39875</v>
      </c>
      <c r="BO5" s="5">
        <v>39843</v>
      </c>
      <c r="BP5" s="4"/>
      <c r="BQ5" s="4"/>
      <c r="BR5" s="4"/>
      <c r="BS5" s="4"/>
      <c r="BT5" s="5">
        <v>39909</v>
      </c>
      <c r="BU5" s="5">
        <v>39910</v>
      </c>
      <c r="BV5" s="5">
        <v>39931</v>
      </c>
      <c r="BW5" s="5">
        <v>39931</v>
      </c>
      <c r="BX5" s="4"/>
      <c r="BY5" s="5">
        <v>39941</v>
      </c>
      <c r="BZ5" s="5">
        <v>39931</v>
      </c>
      <c r="CA5" s="4"/>
      <c r="CB5" s="4"/>
      <c r="CC5" s="4"/>
      <c r="CD5" s="4"/>
      <c r="CE5" s="4"/>
      <c r="CF5" s="4"/>
      <c r="CG5" s="4"/>
      <c r="CH5" s="4"/>
      <c r="CI5" s="5">
        <v>39987</v>
      </c>
      <c r="CJ5" s="5">
        <v>39983</v>
      </c>
      <c r="CK5" s="5">
        <v>39987</v>
      </c>
      <c r="CL5" s="4"/>
      <c r="CM5" s="4"/>
      <c r="CN5" s="4"/>
      <c r="CO5" s="4"/>
      <c r="CP5" s="4" t="s">
        <v>157</v>
      </c>
      <c r="CQ5" s="4"/>
      <c r="CR5" s="5">
        <v>39983</v>
      </c>
      <c r="CS5" s="4"/>
      <c r="CT5" s="4"/>
      <c r="CU5" s="4"/>
      <c r="CV5" s="4"/>
      <c r="CW5" s="4"/>
      <c r="CX5" s="5">
        <v>39843</v>
      </c>
      <c r="CY5" s="4"/>
      <c r="CZ5" s="4"/>
      <c r="DA5" s="4"/>
      <c r="DB5" s="4"/>
      <c r="DC5" s="4"/>
      <c r="DD5" s="4"/>
      <c r="DE5" s="4"/>
      <c r="DF5" s="4"/>
      <c r="DG5" s="4"/>
      <c r="DH5" s="4"/>
      <c r="DI5" s="4"/>
      <c r="DJ5" s="4" t="b">
        <v>0</v>
      </c>
      <c r="DK5" s="4"/>
      <c r="DL5" s="4">
        <v>2662484</v>
      </c>
      <c r="DM5" s="4">
        <v>6500418</v>
      </c>
      <c r="DN5" s="4" t="s">
        <v>158</v>
      </c>
      <c r="DO5" s="4"/>
      <c r="DP5" s="4"/>
      <c r="DQ5" s="4" t="s">
        <v>148</v>
      </c>
      <c r="DR5" s="4"/>
      <c r="DS5" s="4"/>
      <c r="DT5" s="4"/>
      <c r="DU5" s="4"/>
      <c r="DV5" s="4"/>
      <c r="DW5" s="4"/>
      <c r="DX5" s="4"/>
      <c r="DY5" s="5">
        <v>39909</v>
      </c>
      <c r="DZ5" s="5">
        <v>39909</v>
      </c>
      <c r="EA5" s="4"/>
      <c r="EB5" s="4"/>
      <c r="EC5" s="4"/>
      <c r="ED5" s="4"/>
      <c r="EE5" s="4"/>
      <c r="EF5" s="4"/>
      <c r="EG5" s="4"/>
      <c r="EH5" s="4"/>
      <c r="EI5" s="5">
        <v>39679</v>
      </c>
    </row>
    <row r="6" spans="1:139" hidden="1" x14ac:dyDescent="0.2">
      <c r="A6">
        <f>VLOOKUP(B6,Sheet1!$A$1:$B$18,2,FALSE)</f>
        <v>0</v>
      </c>
      <c r="B6" t="str">
        <f t="shared" si="0"/>
        <v>AKL</v>
      </c>
      <c r="C6" s="2">
        <v>5</v>
      </c>
      <c r="D6" s="3" t="str">
        <f>HYPERLINK("https://sitebase.nzcomms.co.nz/spm/spmnominalview/AKL-004-006/","AKL-004-006")</f>
        <v>AKL-004-006</v>
      </c>
      <c r="E6" s="4"/>
      <c r="F6" s="3" t="str">
        <f>HYPERLINK("https://sitebase.nzcomms.co.nz/spm/spmcandidateview/AKL-004-006-C/","AKL-004-006-C")</f>
        <v>AKL-004-006-C</v>
      </c>
      <c r="G6" s="4" t="s">
        <v>159</v>
      </c>
      <c r="H6" s="4" t="s">
        <v>138</v>
      </c>
      <c r="I6" s="4"/>
      <c r="J6" s="4" t="s">
        <v>139</v>
      </c>
      <c r="K6" s="4" t="s">
        <v>141</v>
      </c>
      <c r="L6" s="4" t="s">
        <v>150</v>
      </c>
      <c r="M6" s="4" t="s">
        <v>160</v>
      </c>
      <c r="N6" s="4" t="s">
        <v>156</v>
      </c>
      <c r="O6" s="4" t="s">
        <v>144</v>
      </c>
      <c r="P6" s="4"/>
      <c r="Q6" s="4"/>
      <c r="R6" s="4">
        <v>16.5</v>
      </c>
      <c r="S6" s="4">
        <v>16.5</v>
      </c>
      <c r="T6" s="4"/>
      <c r="U6" s="4">
        <v>-36.815403920000001</v>
      </c>
      <c r="V6" s="4">
        <v>174.43099848</v>
      </c>
      <c r="W6" s="4"/>
      <c r="X6" s="4"/>
      <c r="Y6" s="4"/>
      <c r="Z6" s="4"/>
      <c r="AA6" s="4" t="s">
        <v>152</v>
      </c>
      <c r="AB6" s="3" t="str">
        <f>HYPERLINK("https://sitebase.nzcomms.co.nz/spm/spmcandidateview/AKL-007-106-A/","AKL-007-106-A")</f>
        <v>AKL-007-106-A</v>
      </c>
      <c r="AC6" s="4"/>
      <c r="AD6" s="4"/>
      <c r="AE6" s="4"/>
      <c r="AF6" s="4"/>
      <c r="AG6" s="4"/>
      <c r="AH6" s="4"/>
      <c r="AI6" s="4"/>
      <c r="AJ6" s="4"/>
      <c r="AK6" s="4"/>
      <c r="AL6" s="4"/>
      <c r="AM6" s="4"/>
      <c r="AN6" s="5">
        <v>39701</v>
      </c>
      <c r="AO6" s="4">
        <v>4</v>
      </c>
      <c r="AP6" s="5">
        <v>39917</v>
      </c>
      <c r="AQ6" s="5">
        <v>39917</v>
      </c>
      <c r="AR6" s="4"/>
      <c r="AS6" s="4"/>
      <c r="AT6" s="5">
        <v>40058</v>
      </c>
      <c r="AU6" s="5">
        <v>40060</v>
      </c>
      <c r="AV6" s="4">
        <v>3</v>
      </c>
      <c r="AW6" s="5">
        <v>40147</v>
      </c>
      <c r="AX6" s="4"/>
      <c r="AY6" s="4"/>
      <c r="AZ6" s="4"/>
      <c r="BA6" s="4"/>
      <c r="BB6" s="5">
        <v>39801</v>
      </c>
      <c r="BC6" s="4"/>
      <c r="BD6" s="4"/>
      <c r="BE6" s="5">
        <v>39785</v>
      </c>
      <c r="BF6" s="5">
        <v>39785</v>
      </c>
      <c r="BG6" s="5">
        <v>39905</v>
      </c>
      <c r="BH6" s="5">
        <v>39904</v>
      </c>
      <c r="BI6" s="4"/>
      <c r="BJ6" s="5">
        <v>39925</v>
      </c>
      <c r="BK6" s="4">
        <v>2</v>
      </c>
      <c r="BL6" s="4">
        <v>4</v>
      </c>
      <c r="BM6" s="5">
        <v>39933</v>
      </c>
      <c r="BN6" s="5">
        <v>39930</v>
      </c>
      <c r="BO6" s="5">
        <v>39958</v>
      </c>
      <c r="BP6" s="4"/>
      <c r="BQ6" s="4"/>
      <c r="BR6" s="4"/>
      <c r="BS6" s="4"/>
      <c r="BT6" s="5">
        <v>40063</v>
      </c>
      <c r="BU6" s="5">
        <v>40063</v>
      </c>
      <c r="BV6" s="5">
        <v>40086</v>
      </c>
      <c r="BW6" s="5">
        <v>40086</v>
      </c>
      <c r="BX6" s="4"/>
      <c r="BY6" s="5">
        <v>40095</v>
      </c>
      <c r="BZ6" s="5">
        <v>40088</v>
      </c>
      <c r="CA6" s="4"/>
      <c r="CB6" s="4"/>
      <c r="CC6" s="4"/>
      <c r="CD6" s="4"/>
      <c r="CE6" s="4"/>
      <c r="CF6" s="4"/>
      <c r="CG6" s="4"/>
      <c r="CH6" s="4"/>
      <c r="CI6" s="5">
        <v>40126</v>
      </c>
      <c r="CJ6" s="5">
        <v>40123</v>
      </c>
      <c r="CK6" s="5">
        <v>40126</v>
      </c>
      <c r="CL6" s="4"/>
      <c r="CM6" s="4"/>
      <c r="CN6" s="4"/>
      <c r="CO6" s="4"/>
      <c r="CP6" s="4" t="s">
        <v>161</v>
      </c>
      <c r="CQ6" s="4"/>
      <c r="CR6" s="5">
        <v>40123</v>
      </c>
      <c r="CS6" s="4"/>
      <c r="CT6" s="4"/>
      <c r="CU6" s="4"/>
      <c r="CV6" s="4"/>
      <c r="CW6" s="5">
        <v>39955</v>
      </c>
      <c r="CX6" s="5">
        <v>39958</v>
      </c>
      <c r="CY6" s="4"/>
      <c r="CZ6" s="4"/>
      <c r="DA6" s="4"/>
      <c r="DB6" s="4"/>
      <c r="DC6" s="4"/>
      <c r="DD6" s="4"/>
      <c r="DE6" s="4"/>
      <c r="DF6" s="4"/>
      <c r="DG6" s="4"/>
      <c r="DH6" s="4"/>
      <c r="DI6" s="4"/>
      <c r="DJ6" s="4" t="b">
        <v>0</v>
      </c>
      <c r="DK6" s="4"/>
      <c r="DL6" s="4">
        <v>2638075</v>
      </c>
      <c r="DM6" s="4">
        <v>6486408</v>
      </c>
      <c r="DN6" s="4" t="s">
        <v>162</v>
      </c>
      <c r="DO6" s="4"/>
      <c r="DP6" s="4"/>
      <c r="DQ6" s="4" t="s">
        <v>148</v>
      </c>
      <c r="DR6" s="4"/>
      <c r="DS6" s="4"/>
      <c r="DT6" s="4"/>
      <c r="DU6" s="4"/>
      <c r="DV6" s="4"/>
      <c r="DW6" s="4"/>
      <c r="DX6" s="4"/>
      <c r="DY6" s="5">
        <v>40063</v>
      </c>
      <c r="DZ6" s="5">
        <v>40063</v>
      </c>
      <c r="EA6" s="4"/>
      <c r="EB6" s="4"/>
      <c r="EC6" s="4"/>
      <c r="ED6" s="4"/>
      <c r="EE6" s="4"/>
      <c r="EF6" s="4"/>
      <c r="EG6" s="4"/>
      <c r="EH6" s="4"/>
      <c r="EI6" s="5">
        <v>39675</v>
      </c>
    </row>
    <row r="7" spans="1:139" hidden="1" x14ac:dyDescent="0.2">
      <c r="A7">
        <f>VLOOKUP(B7,Sheet1!$A$1:$B$18,2,FALSE)</f>
        <v>0</v>
      </c>
      <c r="B7" t="str">
        <f t="shared" si="0"/>
        <v>AKL</v>
      </c>
      <c r="C7" s="2">
        <v>6</v>
      </c>
      <c r="D7" s="3" t="str">
        <f>HYPERLINK("https://sitebase.nzcomms.co.nz/spm/spmnominalview/AKL-004-007/","AKL-004-007")</f>
        <v>AKL-004-007</v>
      </c>
      <c r="E7" s="4" t="s">
        <v>163</v>
      </c>
      <c r="F7" s="3" t="str">
        <f>HYPERLINK("https://sitebase.nzcomms.co.nz/spm/spmcandidateview/AKL-004-007-B/","AKL-004-007-B")</f>
        <v>AKL-004-007-B</v>
      </c>
      <c r="G7" s="4" t="s">
        <v>164</v>
      </c>
      <c r="H7" s="4" t="s">
        <v>138</v>
      </c>
      <c r="I7" s="4">
        <v>23</v>
      </c>
      <c r="J7" s="4" t="s">
        <v>165</v>
      </c>
      <c r="K7" s="4" t="s">
        <v>141</v>
      </c>
      <c r="L7" s="4" t="s">
        <v>150</v>
      </c>
      <c r="M7" s="4" t="s">
        <v>166</v>
      </c>
      <c r="N7" s="4" t="s">
        <v>167</v>
      </c>
      <c r="O7" s="4" t="s">
        <v>168</v>
      </c>
      <c r="P7" s="4" t="s">
        <v>169</v>
      </c>
      <c r="Q7" s="4" t="s">
        <v>170</v>
      </c>
      <c r="R7" s="4"/>
      <c r="S7" s="4"/>
      <c r="T7" s="4"/>
      <c r="U7" s="4">
        <v>-36.777647010000003</v>
      </c>
      <c r="V7" s="4">
        <v>174.49597599000001</v>
      </c>
      <c r="W7" s="4"/>
      <c r="X7" s="4"/>
      <c r="Y7" s="4"/>
      <c r="Z7" s="4"/>
      <c r="AA7" s="4" t="s">
        <v>171</v>
      </c>
      <c r="AB7" s="3" t="str">
        <f>HYPERLINK("https://sitebase.nzcomms.co.nz/spm/spmcandidateview/AKL-004-006-C/","AKL-004-006-C")</f>
        <v>AKL-004-006-C</v>
      </c>
      <c r="AC7" s="4" t="b">
        <v>0</v>
      </c>
      <c r="AD7" s="4" t="b">
        <v>0</v>
      </c>
      <c r="AE7" s="4"/>
      <c r="AF7" s="4"/>
      <c r="AG7" s="4" t="b">
        <v>0</v>
      </c>
      <c r="AH7" s="4"/>
      <c r="AI7" s="5">
        <v>42076</v>
      </c>
      <c r="AJ7" s="5">
        <v>42066</v>
      </c>
      <c r="AK7" s="5">
        <v>42080</v>
      </c>
      <c r="AL7" s="5">
        <v>42074</v>
      </c>
      <c r="AM7" s="5">
        <v>42118</v>
      </c>
      <c r="AN7" s="5">
        <v>42128</v>
      </c>
      <c r="AO7" s="4">
        <v>1</v>
      </c>
      <c r="AP7" s="5">
        <v>42125</v>
      </c>
      <c r="AQ7" s="5">
        <v>42128</v>
      </c>
      <c r="AR7" s="5">
        <v>42153</v>
      </c>
      <c r="AS7" s="5">
        <v>42151</v>
      </c>
      <c r="AT7" s="5">
        <v>42181</v>
      </c>
      <c r="AU7" s="5">
        <v>42180</v>
      </c>
      <c r="AV7" s="4"/>
      <c r="AW7" s="5">
        <v>42188</v>
      </c>
      <c r="AX7" s="5">
        <v>42185</v>
      </c>
      <c r="AY7" s="4" t="s">
        <v>172</v>
      </c>
      <c r="AZ7" s="5">
        <v>42156</v>
      </c>
      <c r="BA7" s="5">
        <v>42150</v>
      </c>
      <c r="BB7" s="5">
        <v>42185</v>
      </c>
      <c r="BC7" s="5">
        <v>42179</v>
      </c>
      <c r="BD7" s="4">
        <v>1</v>
      </c>
      <c r="BE7" s="5">
        <v>42185</v>
      </c>
      <c r="BF7" s="5">
        <v>42179</v>
      </c>
      <c r="BG7" s="5">
        <v>42172</v>
      </c>
      <c r="BH7" s="5">
        <v>42171</v>
      </c>
      <c r="BI7" s="5">
        <v>42209</v>
      </c>
      <c r="BJ7" s="5">
        <v>42226</v>
      </c>
      <c r="BK7" s="4">
        <v>1</v>
      </c>
      <c r="BL7" s="4"/>
      <c r="BM7" s="5">
        <v>42216</v>
      </c>
      <c r="BN7" s="5">
        <v>42226</v>
      </c>
      <c r="BO7" s="4"/>
      <c r="BP7" s="4"/>
      <c r="BQ7" s="4"/>
      <c r="BR7" s="4"/>
      <c r="BS7" s="4"/>
      <c r="BT7" s="5">
        <v>42261</v>
      </c>
      <c r="BU7" s="5">
        <v>42262</v>
      </c>
      <c r="BV7" s="5">
        <v>42307</v>
      </c>
      <c r="BW7" s="5">
        <v>42312</v>
      </c>
      <c r="BX7" s="5">
        <v>42312</v>
      </c>
      <c r="BY7" s="5">
        <v>42300</v>
      </c>
      <c r="BZ7" s="4"/>
      <c r="CA7" s="4"/>
      <c r="CB7" s="4"/>
      <c r="CC7" s="4"/>
      <c r="CD7" s="4"/>
      <c r="CE7" s="4"/>
      <c r="CF7" s="4"/>
      <c r="CG7" s="4"/>
      <c r="CH7" s="4"/>
      <c r="CI7" s="4"/>
      <c r="CJ7" s="5">
        <v>42325</v>
      </c>
      <c r="CK7" s="5">
        <v>42325</v>
      </c>
      <c r="CL7" s="4"/>
      <c r="CM7" s="5">
        <v>42335</v>
      </c>
      <c r="CN7" s="4"/>
      <c r="CO7" s="5">
        <v>42335</v>
      </c>
      <c r="CP7" s="4" t="s">
        <v>173</v>
      </c>
      <c r="CQ7" s="4"/>
      <c r="CR7" s="4"/>
      <c r="CS7" s="4"/>
      <c r="CT7" s="4"/>
      <c r="CU7" s="4"/>
      <c r="CV7" s="4"/>
      <c r="CW7" s="4"/>
      <c r="CX7" s="4"/>
      <c r="CY7" s="4"/>
      <c r="CZ7" s="4"/>
      <c r="DA7" s="5">
        <v>42317</v>
      </c>
      <c r="DB7" s="5">
        <v>42313</v>
      </c>
      <c r="DC7" s="4"/>
      <c r="DD7" s="4"/>
      <c r="DE7" s="4"/>
      <c r="DF7" s="4"/>
      <c r="DG7" s="4"/>
      <c r="DH7" s="4" t="s">
        <v>174</v>
      </c>
      <c r="DI7" s="5">
        <v>42279</v>
      </c>
      <c r="DJ7" s="4" t="b">
        <v>1</v>
      </c>
      <c r="DK7" s="4"/>
      <c r="DL7" s="4">
        <v>2643946</v>
      </c>
      <c r="DM7" s="4">
        <v>6490497</v>
      </c>
      <c r="DN7" s="4" t="s">
        <v>175</v>
      </c>
      <c r="DO7" s="4" t="s">
        <v>176</v>
      </c>
      <c r="DP7" s="4" t="s">
        <v>177</v>
      </c>
      <c r="DQ7" s="4" t="s">
        <v>148</v>
      </c>
      <c r="DR7" s="4"/>
      <c r="DS7" s="4"/>
      <c r="DT7" s="4"/>
      <c r="DU7" s="4" t="s">
        <v>178</v>
      </c>
      <c r="DV7" s="4"/>
      <c r="DW7" s="5">
        <v>42219</v>
      </c>
      <c r="DX7" s="5">
        <v>42186</v>
      </c>
      <c r="DY7" s="5">
        <v>42216</v>
      </c>
      <c r="DZ7" s="5">
        <v>42218</v>
      </c>
      <c r="EA7" s="4"/>
      <c r="EB7" s="4"/>
      <c r="EC7" s="4"/>
      <c r="ED7" s="4"/>
      <c r="EE7" s="5">
        <v>42251</v>
      </c>
      <c r="EF7" s="5">
        <v>42250</v>
      </c>
      <c r="EG7" s="4"/>
      <c r="EH7" s="4"/>
      <c r="EI7" s="5">
        <v>42074</v>
      </c>
    </row>
    <row r="8" spans="1:139" hidden="1" x14ac:dyDescent="0.2">
      <c r="A8">
        <f>VLOOKUP(B8,Sheet1!$A$1:$B$18,2,FALSE)</f>
        <v>0</v>
      </c>
      <c r="B8" t="str">
        <f t="shared" si="0"/>
        <v>AKL</v>
      </c>
      <c r="C8" s="2">
        <v>7</v>
      </c>
      <c r="D8" s="3" t="str">
        <f>HYPERLINK("https://sitebase.nzcomms.co.nz/spm/spmnominalview/AKL-004-009/","AKL-004-009")</f>
        <v>AKL-004-009</v>
      </c>
      <c r="E8" s="4" t="s">
        <v>179</v>
      </c>
      <c r="F8" s="3" t="str">
        <f>HYPERLINK("https://sitebase.nzcomms.co.nz/spm/spmcandidateview/AKL-004-009-D/","AKL-004-009-D")</f>
        <v>AKL-004-009-D</v>
      </c>
      <c r="G8" s="4" t="s">
        <v>179</v>
      </c>
      <c r="H8" s="4" t="s">
        <v>138</v>
      </c>
      <c r="I8" s="4">
        <v>3</v>
      </c>
      <c r="J8" s="4" t="s">
        <v>180</v>
      </c>
      <c r="K8" s="4" t="s">
        <v>141</v>
      </c>
      <c r="L8" s="4" t="s">
        <v>181</v>
      </c>
      <c r="M8" s="4" t="s">
        <v>166</v>
      </c>
      <c r="N8" s="4" t="s">
        <v>181</v>
      </c>
      <c r="O8" s="4"/>
      <c r="P8" s="4" t="s">
        <v>182</v>
      </c>
      <c r="Q8" s="4" t="s">
        <v>170</v>
      </c>
      <c r="R8" s="4">
        <v>8</v>
      </c>
      <c r="S8" s="4">
        <v>5.5</v>
      </c>
      <c r="T8" s="4"/>
      <c r="U8" s="4">
        <v>-36.603252810000001</v>
      </c>
      <c r="V8" s="4">
        <v>174.69257841999999</v>
      </c>
      <c r="W8" s="4"/>
      <c r="X8" s="5">
        <v>40896</v>
      </c>
      <c r="Y8" s="4"/>
      <c r="Z8" s="4"/>
      <c r="AA8" s="4" t="s">
        <v>171</v>
      </c>
      <c r="AB8" s="3" t="str">
        <f>HYPERLINK("https://sitebase.nzcomms.co.nz/spm/spmcandidateview/AKL-004-041-B/","AKL-004-041-B")</f>
        <v>AKL-004-041-B</v>
      </c>
      <c r="AC8" s="4" t="b">
        <v>0</v>
      </c>
      <c r="AD8" s="4" t="b">
        <v>0</v>
      </c>
      <c r="AE8" s="4"/>
      <c r="AF8" s="4"/>
      <c r="AG8" s="4" t="b">
        <v>0</v>
      </c>
      <c r="AH8" s="4"/>
      <c r="AI8" s="5">
        <v>41046</v>
      </c>
      <c r="AJ8" s="5">
        <v>41046</v>
      </c>
      <c r="AK8" s="5">
        <v>41052</v>
      </c>
      <c r="AL8" s="5">
        <v>41052</v>
      </c>
      <c r="AM8" s="5">
        <v>41100</v>
      </c>
      <c r="AN8" s="5">
        <v>41106</v>
      </c>
      <c r="AO8" s="4">
        <v>2</v>
      </c>
      <c r="AP8" s="5">
        <v>41106</v>
      </c>
      <c r="AQ8" s="5">
        <v>41260</v>
      </c>
      <c r="AR8" s="4"/>
      <c r="AS8" s="5">
        <v>41079</v>
      </c>
      <c r="AT8" s="5">
        <v>41187</v>
      </c>
      <c r="AU8" s="5">
        <v>41180</v>
      </c>
      <c r="AV8" s="4"/>
      <c r="AW8" s="5">
        <v>41187</v>
      </c>
      <c r="AX8" s="5">
        <v>41186</v>
      </c>
      <c r="AY8" s="4" t="s">
        <v>183</v>
      </c>
      <c r="AZ8" s="5">
        <v>41129</v>
      </c>
      <c r="BA8" s="5">
        <v>41298</v>
      </c>
      <c r="BB8" s="5">
        <v>41373</v>
      </c>
      <c r="BC8" s="5">
        <v>41372</v>
      </c>
      <c r="BD8" s="4">
        <v>2</v>
      </c>
      <c r="BE8" s="5">
        <v>41157</v>
      </c>
      <c r="BF8" s="5">
        <v>41157</v>
      </c>
      <c r="BG8" s="5">
        <v>41155</v>
      </c>
      <c r="BH8" s="5">
        <v>41155</v>
      </c>
      <c r="BI8" s="5">
        <v>41207</v>
      </c>
      <c r="BJ8" s="5">
        <v>41214</v>
      </c>
      <c r="BK8" s="4">
        <v>1</v>
      </c>
      <c r="BL8" s="4"/>
      <c r="BM8" s="5">
        <v>41207</v>
      </c>
      <c r="BN8" s="5">
        <v>41214</v>
      </c>
      <c r="BO8" s="5">
        <v>41225</v>
      </c>
      <c r="BP8" s="4"/>
      <c r="BQ8" s="4"/>
      <c r="BR8" s="5">
        <v>41183</v>
      </c>
      <c r="BS8" s="4"/>
      <c r="BT8" s="5">
        <v>41218</v>
      </c>
      <c r="BU8" s="5">
        <v>41218</v>
      </c>
      <c r="BV8" s="5">
        <v>41250</v>
      </c>
      <c r="BW8" s="5">
        <v>41250</v>
      </c>
      <c r="BX8" s="5">
        <v>41240</v>
      </c>
      <c r="BY8" s="5">
        <v>41303</v>
      </c>
      <c r="BZ8" s="5">
        <v>41303</v>
      </c>
      <c r="CA8" s="4"/>
      <c r="CB8" s="4"/>
      <c r="CC8" s="4"/>
      <c r="CD8" s="4"/>
      <c r="CE8" s="4"/>
      <c r="CF8" s="4"/>
      <c r="CG8" s="4"/>
      <c r="CH8" s="4"/>
      <c r="CI8" s="5">
        <v>41303</v>
      </c>
      <c r="CJ8" s="5">
        <v>41317</v>
      </c>
      <c r="CK8" s="5">
        <v>41319</v>
      </c>
      <c r="CL8" s="5">
        <v>41320</v>
      </c>
      <c r="CM8" s="5">
        <v>41320</v>
      </c>
      <c r="CN8" s="5">
        <v>41516</v>
      </c>
      <c r="CO8" s="5">
        <v>41558</v>
      </c>
      <c r="CP8" s="4"/>
      <c r="CQ8" s="4"/>
      <c r="CR8" s="5">
        <v>41303</v>
      </c>
      <c r="CS8" s="5">
        <v>41218</v>
      </c>
      <c r="CT8" s="5">
        <v>41218</v>
      </c>
      <c r="CU8" s="5">
        <v>41218</v>
      </c>
      <c r="CV8" s="5">
        <v>41225</v>
      </c>
      <c r="CW8" s="5">
        <v>41225</v>
      </c>
      <c r="CX8" s="5">
        <v>41225</v>
      </c>
      <c r="CY8" s="5">
        <v>41243</v>
      </c>
      <c r="CZ8" s="5">
        <v>41243</v>
      </c>
      <c r="DA8" s="5">
        <v>41305</v>
      </c>
      <c r="DB8" s="5">
        <v>41305</v>
      </c>
      <c r="DC8" s="4"/>
      <c r="DD8" s="4"/>
      <c r="DE8" s="4" t="s">
        <v>184</v>
      </c>
      <c r="DF8" s="4"/>
      <c r="DG8" s="4"/>
      <c r="DH8" s="4" t="s">
        <v>174</v>
      </c>
      <c r="DI8" s="5">
        <v>41241</v>
      </c>
      <c r="DJ8" s="4" t="b">
        <v>1</v>
      </c>
      <c r="DK8" s="5">
        <v>41190</v>
      </c>
      <c r="DL8" s="4">
        <v>2661876</v>
      </c>
      <c r="DM8" s="4">
        <v>6509518</v>
      </c>
      <c r="DN8" s="4" t="s">
        <v>185</v>
      </c>
      <c r="DO8" s="4"/>
      <c r="DP8" s="4" t="s">
        <v>186</v>
      </c>
      <c r="DQ8" s="4" t="s">
        <v>148</v>
      </c>
      <c r="DR8" s="4"/>
      <c r="DS8" s="4"/>
      <c r="DT8" s="4"/>
      <c r="DU8" s="4"/>
      <c r="DV8" s="4"/>
      <c r="DW8" s="4"/>
      <c r="DX8" s="4"/>
      <c r="DY8" s="4"/>
      <c r="DZ8" s="4"/>
      <c r="EA8" s="4"/>
      <c r="EB8" s="4"/>
      <c r="EC8" s="4"/>
      <c r="ED8" s="4"/>
      <c r="EE8" s="4"/>
      <c r="EF8" s="4"/>
      <c r="EG8" s="5">
        <v>41305</v>
      </c>
      <c r="EH8" s="5">
        <v>41312</v>
      </c>
      <c r="EI8" s="4"/>
    </row>
    <row r="9" spans="1:139" hidden="1" x14ac:dyDescent="0.2">
      <c r="A9">
        <f>VLOOKUP(B9,Sheet1!$A$1:$B$18,2,FALSE)</f>
        <v>0</v>
      </c>
      <c r="B9" t="str">
        <f t="shared" si="0"/>
        <v>AKL</v>
      </c>
      <c r="C9" s="2">
        <v>8</v>
      </c>
      <c r="D9" s="3" t="str">
        <f>HYPERLINK("https://sitebase.nzcomms.co.nz/spm/spmnominalview/AKL-004-010/","AKL-004-010")</f>
        <v>AKL-004-010</v>
      </c>
      <c r="E9" s="4" t="s">
        <v>187</v>
      </c>
      <c r="F9" s="3" t="str">
        <f>HYPERLINK("https://sitebase.nzcomms.co.nz/spm/spmcandidateview/AKL-004-010-B/","AKL-004-010-B")</f>
        <v>AKL-004-010-B</v>
      </c>
      <c r="G9" s="4" t="s">
        <v>188</v>
      </c>
      <c r="H9" s="4" t="s">
        <v>138</v>
      </c>
      <c r="I9" s="4">
        <v>3</v>
      </c>
      <c r="J9" s="4" t="s">
        <v>180</v>
      </c>
      <c r="K9" s="4" t="s">
        <v>141</v>
      </c>
      <c r="L9" s="4" t="s">
        <v>189</v>
      </c>
      <c r="M9" s="4" t="s">
        <v>190</v>
      </c>
      <c r="N9" s="4" t="s">
        <v>191</v>
      </c>
      <c r="O9" s="4"/>
      <c r="P9" s="4" t="s">
        <v>182</v>
      </c>
      <c r="Q9" s="4" t="s">
        <v>192</v>
      </c>
      <c r="R9" s="4">
        <v>11</v>
      </c>
      <c r="S9" s="4">
        <v>11.5</v>
      </c>
      <c r="T9" s="4"/>
      <c r="U9" s="4">
        <v>-36.625225049999997</v>
      </c>
      <c r="V9" s="4">
        <v>174.74457613000001</v>
      </c>
      <c r="W9" s="4"/>
      <c r="X9" s="5">
        <v>41061</v>
      </c>
      <c r="Y9" s="4"/>
      <c r="Z9" s="4"/>
      <c r="AA9" s="4" t="s">
        <v>171</v>
      </c>
      <c r="AB9" s="3" t="str">
        <f>HYPERLINK("https://sitebase.nzcomms.co.nz/spm/spmcandidateview/AKL-004-043-D/","AKL-004-043-D")</f>
        <v>AKL-004-043-D</v>
      </c>
      <c r="AC9" s="4" t="b">
        <v>0</v>
      </c>
      <c r="AD9" s="4" t="b">
        <v>0</v>
      </c>
      <c r="AE9" s="4"/>
      <c r="AF9" s="4"/>
      <c r="AG9" s="4" t="b">
        <v>0</v>
      </c>
      <c r="AH9" s="4"/>
      <c r="AI9" s="5">
        <v>41143</v>
      </c>
      <c r="AJ9" s="5">
        <v>41143</v>
      </c>
      <c r="AK9" s="5">
        <v>41144</v>
      </c>
      <c r="AL9" s="5">
        <v>41150</v>
      </c>
      <c r="AM9" s="5">
        <v>41197</v>
      </c>
      <c r="AN9" s="5">
        <v>41187</v>
      </c>
      <c r="AO9" s="4">
        <v>5</v>
      </c>
      <c r="AP9" s="5">
        <v>41197</v>
      </c>
      <c r="AQ9" s="5">
        <v>41388</v>
      </c>
      <c r="AR9" s="5">
        <v>41212</v>
      </c>
      <c r="AS9" s="5">
        <v>41213</v>
      </c>
      <c r="AT9" s="5">
        <v>41228</v>
      </c>
      <c r="AU9" s="5">
        <v>41227</v>
      </c>
      <c r="AV9" s="4"/>
      <c r="AW9" s="5">
        <v>41235</v>
      </c>
      <c r="AX9" s="5">
        <v>41227</v>
      </c>
      <c r="AY9" s="4" t="s">
        <v>193</v>
      </c>
      <c r="AZ9" s="5">
        <v>41225</v>
      </c>
      <c r="BA9" s="5">
        <v>41379</v>
      </c>
      <c r="BB9" s="5">
        <v>41400</v>
      </c>
      <c r="BC9" s="5">
        <v>41401</v>
      </c>
      <c r="BD9" s="4">
        <v>5</v>
      </c>
      <c r="BE9" s="5">
        <v>41253</v>
      </c>
      <c r="BF9" s="5">
        <v>41253</v>
      </c>
      <c r="BG9" s="4"/>
      <c r="BH9" s="4"/>
      <c r="BI9" s="5">
        <v>41298</v>
      </c>
      <c r="BJ9" s="5">
        <v>41298</v>
      </c>
      <c r="BK9" s="4">
        <v>2</v>
      </c>
      <c r="BL9" s="4"/>
      <c r="BM9" s="5">
        <v>41298</v>
      </c>
      <c r="BN9" s="5">
        <v>41464</v>
      </c>
      <c r="BO9" s="4"/>
      <c r="BP9" s="4"/>
      <c r="BQ9" s="4"/>
      <c r="BR9" s="5">
        <v>41318</v>
      </c>
      <c r="BS9" s="4"/>
      <c r="BT9" s="5">
        <v>41366</v>
      </c>
      <c r="BU9" s="5">
        <v>41366</v>
      </c>
      <c r="BV9" s="5">
        <v>41418</v>
      </c>
      <c r="BW9" s="5">
        <v>41421</v>
      </c>
      <c r="BX9" s="5">
        <v>41421</v>
      </c>
      <c r="BY9" s="5">
        <v>41449</v>
      </c>
      <c r="BZ9" s="5">
        <v>41449</v>
      </c>
      <c r="CA9" s="4"/>
      <c r="CB9" s="4"/>
      <c r="CC9" s="4"/>
      <c r="CD9" s="4"/>
      <c r="CE9" s="4"/>
      <c r="CF9" s="4"/>
      <c r="CG9" s="4"/>
      <c r="CH9" s="4"/>
      <c r="CI9" s="5">
        <v>41449</v>
      </c>
      <c r="CJ9" s="5">
        <v>41460</v>
      </c>
      <c r="CK9" s="5">
        <v>41452</v>
      </c>
      <c r="CL9" s="5">
        <v>41459</v>
      </c>
      <c r="CM9" s="5">
        <v>41453</v>
      </c>
      <c r="CN9" s="5">
        <v>41544</v>
      </c>
      <c r="CO9" s="5">
        <v>41544</v>
      </c>
      <c r="CP9" s="4"/>
      <c r="CQ9" s="4"/>
      <c r="CR9" s="5">
        <v>41443</v>
      </c>
      <c r="CS9" s="4"/>
      <c r="CT9" s="4"/>
      <c r="CU9" s="4"/>
      <c r="CV9" s="4"/>
      <c r="CW9" s="4"/>
      <c r="CX9" s="4"/>
      <c r="CY9" s="5">
        <v>41446</v>
      </c>
      <c r="CZ9" s="5">
        <v>41437</v>
      </c>
      <c r="DA9" s="5">
        <v>41452</v>
      </c>
      <c r="DB9" s="5">
        <v>41449</v>
      </c>
      <c r="DC9" s="4"/>
      <c r="DD9" s="4"/>
      <c r="DE9" s="4" t="s">
        <v>194</v>
      </c>
      <c r="DF9" s="4"/>
      <c r="DG9" s="4"/>
      <c r="DH9" s="4" t="s">
        <v>174</v>
      </c>
      <c r="DI9" s="5">
        <v>41421</v>
      </c>
      <c r="DJ9" s="4" t="b">
        <v>1</v>
      </c>
      <c r="DK9" s="5">
        <v>41334</v>
      </c>
      <c r="DL9" s="4">
        <v>2666478</v>
      </c>
      <c r="DM9" s="4">
        <v>6506987</v>
      </c>
      <c r="DN9" s="4" t="s">
        <v>195</v>
      </c>
      <c r="DO9" s="4"/>
      <c r="DP9" s="4"/>
      <c r="DQ9" s="4" t="s">
        <v>148</v>
      </c>
      <c r="DR9" s="4"/>
      <c r="DS9" s="4"/>
      <c r="DT9" s="4"/>
      <c r="DU9" s="4"/>
      <c r="DV9" s="4"/>
      <c r="DW9" s="4"/>
      <c r="DX9" s="4"/>
      <c r="DY9" s="4"/>
      <c r="DZ9" s="4"/>
      <c r="EA9" s="4"/>
      <c r="EB9" s="4"/>
      <c r="EC9" s="4"/>
      <c r="ED9" s="4"/>
      <c r="EE9" s="4"/>
      <c r="EF9" s="4"/>
      <c r="EG9" s="5">
        <v>41450</v>
      </c>
      <c r="EH9" s="4"/>
      <c r="EI9" s="4"/>
    </row>
    <row r="10" spans="1:139" hidden="1" x14ac:dyDescent="0.2">
      <c r="A10">
        <f>VLOOKUP(B10,Sheet1!$A$1:$B$18,2,FALSE)</f>
        <v>0</v>
      </c>
      <c r="B10" t="str">
        <f t="shared" si="0"/>
        <v>AKL</v>
      </c>
      <c r="C10" s="2">
        <v>9</v>
      </c>
      <c r="D10" s="3" t="str">
        <f>HYPERLINK("https://sitebase.nzcomms.co.nz/spm/spmnominalview/AKL-004-011/","AKL-004-011")</f>
        <v>AKL-004-011</v>
      </c>
      <c r="E10" s="4"/>
      <c r="F10" s="4"/>
      <c r="G10" s="4"/>
      <c r="H10" s="4" t="s">
        <v>138</v>
      </c>
      <c r="I10" s="4"/>
      <c r="J10" s="4" t="s">
        <v>196</v>
      </c>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row>
    <row r="11" spans="1:139" hidden="1" x14ac:dyDescent="0.2">
      <c r="A11">
        <f>VLOOKUP(B11,Sheet1!$A$1:$B$18,2,FALSE)</f>
        <v>0</v>
      </c>
      <c r="B11" t="str">
        <f t="shared" si="0"/>
        <v>AKL</v>
      </c>
      <c r="C11" s="2">
        <v>10</v>
      </c>
      <c r="D11" s="3" t="str">
        <f>HYPERLINK("https://sitebase.nzcomms.co.nz/spm/spmnominalview/AKL-004-013/","AKL-004-013")</f>
        <v>AKL-004-013</v>
      </c>
      <c r="E11" s="4" t="s">
        <v>197</v>
      </c>
      <c r="F11" s="3" t="str">
        <f>HYPERLINK("https://sitebase.nzcomms.co.nz/spm/spmcandidateview/AKL-004-013-A/","AKL-004-013-A")</f>
        <v>AKL-004-013-A</v>
      </c>
      <c r="G11" s="4" t="s">
        <v>197</v>
      </c>
      <c r="H11" s="4" t="s">
        <v>138</v>
      </c>
      <c r="I11" s="4">
        <v>3</v>
      </c>
      <c r="J11" s="4" t="s">
        <v>180</v>
      </c>
      <c r="K11" s="4" t="s">
        <v>141</v>
      </c>
      <c r="L11" s="4" t="s">
        <v>181</v>
      </c>
      <c r="M11" s="4" t="s">
        <v>166</v>
      </c>
      <c r="N11" s="4" t="s">
        <v>181</v>
      </c>
      <c r="O11" s="4"/>
      <c r="P11" s="4" t="s">
        <v>169</v>
      </c>
      <c r="Q11" s="4" t="s">
        <v>170</v>
      </c>
      <c r="R11" s="4"/>
      <c r="S11" s="4"/>
      <c r="T11" s="4"/>
      <c r="U11" s="4">
        <v>-36.617072749999998</v>
      </c>
      <c r="V11" s="4">
        <v>174.79699911</v>
      </c>
      <c r="W11" s="4"/>
      <c r="X11" s="5">
        <v>41058</v>
      </c>
      <c r="Y11" s="4"/>
      <c r="Z11" s="4"/>
      <c r="AA11" s="4" t="s">
        <v>145</v>
      </c>
      <c r="AB11" s="3" t="str">
        <f>HYPERLINK("https://sitebase.nzcomms.co.nz/spm/spmcandidateview/AKL-005-078-A/","AKL-005-078-A")</f>
        <v>AKL-005-078-A</v>
      </c>
      <c r="AC11" s="4" t="b">
        <v>0</v>
      </c>
      <c r="AD11" s="4" t="b">
        <v>0</v>
      </c>
      <c r="AE11" s="4"/>
      <c r="AF11" s="4"/>
      <c r="AG11" s="4" t="b">
        <v>0</v>
      </c>
      <c r="AH11" s="4"/>
      <c r="AI11" s="5">
        <v>41100</v>
      </c>
      <c r="AJ11" s="5">
        <v>41100</v>
      </c>
      <c r="AK11" s="5">
        <v>41107</v>
      </c>
      <c r="AL11" s="5">
        <v>41109</v>
      </c>
      <c r="AM11" s="5">
        <v>41163</v>
      </c>
      <c r="AN11" s="5">
        <v>41156</v>
      </c>
      <c r="AO11" s="4">
        <v>2</v>
      </c>
      <c r="AP11" s="5">
        <v>41163</v>
      </c>
      <c r="AQ11" s="5">
        <v>41193</v>
      </c>
      <c r="AR11" s="5">
        <v>41221</v>
      </c>
      <c r="AS11" s="5">
        <v>41222</v>
      </c>
      <c r="AT11" s="5">
        <v>41243</v>
      </c>
      <c r="AU11" s="5">
        <v>41226</v>
      </c>
      <c r="AV11" s="4"/>
      <c r="AW11" s="5">
        <v>41383</v>
      </c>
      <c r="AX11" s="4"/>
      <c r="AY11" s="4" t="s">
        <v>198</v>
      </c>
      <c r="AZ11" s="5">
        <v>41225</v>
      </c>
      <c r="BA11" s="5">
        <v>41225</v>
      </c>
      <c r="BB11" s="5">
        <v>41267</v>
      </c>
      <c r="BC11" s="5">
        <v>41253</v>
      </c>
      <c r="BD11" s="4">
        <v>2</v>
      </c>
      <c r="BE11" s="5">
        <v>41270</v>
      </c>
      <c r="BF11" s="5">
        <v>41253</v>
      </c>
      <c r="BG11" s="5">
        <v>41313</v>
      </c>
      <c r="BH11" s="4"/>
      <c r="BI11" s="5">
        <v>41360</v>
      </c>
      <c r="BJ11" s="5">
        <v>41360</v>
      </c>
      <c r="BK11" s="4">
        <v>1</v>
      </c>
      <c r="BL11" s="4"/>
      <c r="BM11" s="5">
        <v>41360</v>
      </c>
      <c r="BN11" s="5">
        <v>41360</v>
      </c>
      <c r="BO11" s="4"/>
      <c r="BP11" s="4"/>
      <c r="BQ11" s="4"/>
      <c r="BR11" s="4"/>
      <c r="BS11" s="4"/>
      <c r="BT11" s="5">
        <v>41421</v>
      </c>
      <c r="BU11" s="5">
        <v>41421</v>
      </c>
      <c r="BV11" s="5">
        <v>41449</v>
      </c>
      <c r="BW11" s="5">
        <v>41450</v>
      </c>
      <c r="BX11" s="5">
        <v>41452</v>
      </c>
      <c r="BY11" s="5">
        <v>41477</v>
      </c>
      <c r="BZ11" s="5">
        <v>41485</v>
      </c>
      <c r="CA11" s="5">
        <v>41471</v>
      </c>
      <c r="CB11" s="5">
        <v>41477</v>
      </c>
      <c r="CC11" s="4"/>
      <c r="CD11" s="4"/>
      <c r="CE11" s="4"/>
      <c r="CF11" s="4"/>
      <c r="CG11" s="4"/>
      <c r="CH11" s="4"/>
      <c r="CI11" s="5">
        <v>41485</v>
      </c>
      <c r="CJ11" s="5">
        <v>41486</v>
      </c>
      <c r="CK11" s="5">
        <v>41516</v>
      </c>
      <c r="CL11" s="5">
        <v>41505</v>
      </c>
      <c r="CM11" s="5">
        <v>41501</v>
      </c>
      <c r="CN11" s="5">
        <v>41595</v>
      </c>
      <c r="CO11" s="5">
        <v>41593</v>
      </c>
      <c r="CP11" s="4" t="s">
        <v>199</v>
      </c>
      <c r="CQ11" s="4"/>
      <c r="CR11" s="5">
        <v>41477</v>
      </c>
      <c r="CS11" s="4"/>
      <c r="CT11" s="4"/>
      <c r="CU11" s="4"/>
      <c r="CV11" s="4"/>
      <c r="CW11" s="4"/>
      <c r="CX11" s="4"/>
      <c r="CY11" s="5">
        <v>41456</v>
      </c>
      <c r="CZ11" s="5">
        <v>41456</v>
      </c>
      <c r="DA11" s="5">
        <v>41480</v>
      </c>
      <c r="DB11" s="5">
        <v>41480</v>
      </c>
      <c r="DC11" s="4"/>
      <c r="DD11" s="4"/>
      <c r="DE11" s="4" t="s">
        <v>194</v>
      </c>
      <c r="DF11" s="5">
        <v>41456</v>
      </c>
      <c r="DG11" s="5">
        <v>41463</v>
      </c>
      <c r="DH11" s="4" t="s">
        <v>174</v>
      </c>
      <c r="DI11" s="5">
        <v>41452</v>
      </c>
      <c r="DJ11" s="4" t="b">
        <v>0</v>
      </c>
      <c r="DK11" s="4"/>
      <c r="DL11" s="4">
        <v>2671185</v>
      </c>
      <c r="DM11" s="4">
        <v>6507795</v>
      </c>
      <c r="DN11" s="4" t="s">
        <v>200</v>
      </c>
      <c r="DO11" s="4"/>
      <c r="DP11" s="4"/>
      <c r="DQ11" s="4" t="s">
        <v>148</v>
      </c>
      <c r="DR11" s="4"/>
      <c r="DS11" s="4"/>
      <c r="DT11" s="4"/>
      <c r="DU11" s="4"/>
      <c r="DV11" s="4"/>
      <c r="DW11" s="4"/>
      <c r="DX11" s="4"/>
      <c r="DY11" s="4"/>
      <c r="DZ11" s="4"/>
      <c r="EA11" s="4"/>
      <c r="EB11" s="4"/>
      <c r="EC11" s="4"/>
      <c r="ED11" s="4"/>
      <c r="EE11" s="4"/>
      <c r="EF11" s="4"/>
      <c r="EG11" s="5">
        <v>41486</v>
      </c>
      <c r="EH11" s="4"/>
      <c r="EI11" s="4"/>
    </row>
    <row r="12" spans="1:139" hidden="1" x14ac:dyDescent="0.2">
      <c r="A12">
        <f>VLOOKUP(B12,Sheet1!$A$1:$B$18,2,FALSE)</f>
        <v>0</v>
      </c>
      <c r="B12" t="str">
        <f t="shared" si="0"/>
        <v>AKL</v>
      </c>
      <c r="C12" s="2">
        <v>11</v>
      </c>
      <c r="D12" s="3" t="str">
        <f>HYPERLINK("https://sitebase.nzcomms.co.nz/spm/spmnominalview/AKL-004-014/","AKL-004-014")</f>
        <v>AKL-004-014</v>
      </c>
      <c r="E12" s="4" t="s">
        <v>201</v>
      </c>
      <c r="F12" s="3" t="str">
        <f>HYPERLINK("https://sitebase.nzcomms.co.nz/spm/spmcandidateview/AKL-004-014-B/","AKL-004-014-B")</f>
        <v>AKL-004-014-B</v>
      </c>
      <c r="G12" s="4" t="s">
        <v>202</v>
      </c>
      <c r="H12" s="4" t="s">
        <v>138</v>
      </c>
      <c r="I12" s="4">
        <v>23</v>
      </c>
      <c r="J12" s="4" t="s">
        <v>165</v>
      </c>
      <c r="K12" s="4" t="s">
        <v>141</v>
      </c>
      <c r="L12" s="4" t="s">
        <v>150</v>
      </c>
      <c r="M12" s="4" t="s">
        <v>166</v>
      </c>
      <c r="N12" s="4" t="s">
        <v>167</v>
      </c>
      <c r="O12" s="4"/>
      <c r="P12" s="4" t="s">
        <v>182</v>
      </c>
      <c r="Q12" s="4" t="s">
        <v>170</v>
      </c>
      <c r="R12" s="4"/>
      <c r="S12" s="4"/>
      <c r="T12" s="4"/>
      <c r="U12" s="4">
        <v>-36.359642219999998</v>
      </c>
      <c r="V12" s="4">
        <v>174.79876152</v>
      </c>
      <c r="W12" s="4"/>
      <c r="X12" s="5">
        <v>42052</v>
      </c>
      <c r="Y12" s="4"/>
      <c r="Z12" s="4"/>
      <c r="AA12" s="4" t="s">
        <v>145</v>
      </c>
      <c r="AB12" s="3" t="str">
        <f>HYPERLINK("https://sitebase.nzcomms.co.nz/spm/spmcandidateview/AKL-005-088-A/","AKL-005-088-A")</f>
        <v>AKL-005-088-A</v>
      </c>
      <c r="AC12" s="4" t="b">
        <v>0</v>
      </c>
      <c r="AD12" s="4" t="b">
        <v>0</v>
      </c>
      <c r="AE12" s="4"/>
      <c r="AF12" s="4"/>
      <c r="AG12" s="4" t="b">
        <v>0</v>
      </c>
      <c r="AH12" s="4"/>
      <c r="AI12" s="5">
        <v>42107</v>
      </c>
      <c r="AJ12" s="5">
        <v>42066</v>
      </c>
      <c r="AK12" s="5">
        <v>42110</v>
      </c>
      <c r="AL12" s="5">
        <v>42089</v>
      </c>
      <c r="AM12" s="5">
        <v>42131</v>
      </c>
      <c r="AN12" s="5">
        <v>42132</v>
      </c>
      <c r="AO12" s="4">
        <v>1</v>
      </c>
      <c r="AP12" s="5">
        <v>42135</v>
      </c>
      <c r="AQ12" s="5">
        <v>42132</v>
      </c>
      <c r="AR12" s="5">
        <v>42202</v>
      </c>
      <c r="AS12" s="5">
        <v>42195</v>
      </c>
      <c r="AT12" s="5">
        <v>42215</v>
      </c>
      <c r="AU12" s="5">
        <v>42212</v>
      </c>
      <c r="AV12" s="4"/>
      <c r="AW12" s="5">
        <v>42216</v>
      </c>
      <c r="AX12" s="5">
        <v>42212</v>
      </c>
      <c r="AY12" s="4" t="s">
        <v>203</v>
      </c>
      <c r="AZ12" s="5">
        <v>42209</v>
      </c>
      <c r="BA12" s="5">
        <v>42206</v>
      </c>
      <c r="BB12" s="5">
        <v>42283</v>
      </c>
      <c r="BC12" s="5">
        <v>42263</v>
      </c>
      <c r="BD12" s="4">
        <v>1</v>
      </c>
      <c r="BE12" s="5">
        <v>42286</v>
      </c>
      <c r="BF12" s="5">
        <v>42263</v>
      </c>
      <c r="BG12" s="5">
        <v>42188</v>
      </c>
      <c r="BH12" s="5">
        <v>42171</v>
      </c>
      <c r="BI12" s="5">
        <v>42265</v>
      </c>
      <c r="BJ12" s="5">
        <v>42262</v>
      </c>
      <c r="BK12" s="4">
        <v>1</v>
      </c>
      <c r="BL12" s="4"/>
      <c r="BM12" s="5">
        <v>42265</v>
      </c>
      <c r="BN12" s="5">
        <v>42262</v>
      </c>
      <c r="BO12" s="4"/>
      <c r="BP12" s="4"/>
      <c r="BQ12" s="4"/>
      <c r="BR12" s="4"/>
      <c r="BS12" s="4"/>
      <c r="BT12" s="5">
        <v>42296</v>
      </c>
      <c r="BU12" s="5">
        <v>42296</v>
      </c>
      <c r="BV12" s="5">
        <v>42335</v>
      </c>
      <c r="BW12" s="5">
        <v>42338</v>
      </c>
      <c r="BX12" s="4"/>
      <c r="BY12" s="4"/>
      <c r="BZ12" s="4"/>
      <c r="CA12" s="5">
        <v>42348</v>
      </c>
      <c r="CB12" s="5">
        <v>42332</v>
      </c>
      <c r="CC12" s="4"/>
      <c r="CD12" s="4"/>
      <c r="CE12" s="4"/>
      <c r="CF12" s="4"/>
      <c r="CG12" s="4"/>
      <c r="CH12" s="4"/>
      <c r="CI12" s="4"/>
      <c r="CJ12" s="5">
        <v>42352</v>
      </c>
      <c r="CK12" s="5">
        <v>42351</v>
      </c>
      <c r="CL12" s="4"/>
      <c r="CM12" s="4"/>
      <c r="CN12" s="4"/>
      <c r="CO12" s="4"/>
      <c r="CP12" s="4" t="s">
        <v>204</v>
      </c>
      <c r="CQ12" s="4" t="s">
        <v>205</v>
      </c>
      <c r="CR12" s="4"/>
      <c r="CS12" s="4"/>
      <c r="CT12" s="4"/>
      <c r="CU12" s="4"/>
      <c r="CV12" s="4"/>
      <c r="CW12" s="4"/>
      <c r="CX12" s="4"/>
      <c r="CY12" s="4"/>
      <c r="CZ12" s="4"/>
      <c r="DA12" s="5">
        <v>42342</v>
      </c>
      <c r="DB12" s="5">
        <v>42345</v>
      </c>
      <c r="DC12" s="5">
        <v>42059</v>
      </c>
      <c r="DD12" s="4" t="s">
        <v>206</v>
      </c>
      <c r="DE12" s="4"/>
      <c r="DF12" s="5">
        <v>42348</v>
      </c>
      <c r="DG12" s="5">
        <v>42332</v>
      </c>
      <c r="DH12" s="4" t="s">
        <v>174</v>
      </c>
      <c r="DI12" s="4"/>
      <c r="DJ12" s="4" t="b">
        <v>1</v>
      </c>
      <c r="DK12" s="4"/>
      <c r="DL12" s="4">
        <v>2671939</v>
      </c>
      <c r="DM12" s="4">
        <v>6536353</v>
      </c>
      <c r="DN12" s="4" t="s">
        <v>207</v>
      </c>
      <c r="DO12" s="4"/>
      <c r="DP12" s="4"/>
      <c r="DQ12" s="4" t="s">
        <v>148</v>
      </c>
      <c r="DR12" s="4"/>
      <c r="DS12" s="4"/>
      <c r="DT12" s="4"/>
      <c r="DU12" s="4" t="s">
        <v>178</v>
      </c>
      <c r="DV12" s="4"/>
      <c r="DW12" s="5">
        <v>42219</v>
      </c>
      <c r="DX12" s="5">
        <v>42289</v>
      </c>
      <c r="DY12" s="5">
        <v>42258</v>
      </c>
      <c r="DZ12" s="5">
        <v>42261</v>
      </c>
      <c r="EA12" s="5">
        <v>42117</v>
      </c>
      <c r="EB12" s="5">
        <v>42117</v>
      </c>
      <c r="EC12" s="5">
        <v>42156</v>
      </c>
      <c r="ED12" s="4"/>
      <c r="EE12" s="5">
        <v>42290</v>
      </c>
      <c r="EF12" s="5">
        <v>42293</v>
      </c>
      <c r="EG12" s="4"/>
      <c r="EH12" s="4"/>
      <c r="EI12" s="5">
        <v>42089</v>
      </c>
    </row>
    <row r="13" spans="1:139" hidden="1" x14ac:dyDescent="0.2">
      <c r="A13">
        <f>VLOOKUP(B13,Sheet1!$A$1:$B$18,2,FALSE)</f>
        <v>0</v>
      </c>
      <c r="B13" t="str">
        <f t="shared" si="0"/>
        <v>AKL</v>
      </c>
      <c r="C13" s="2">
        <v>12</v>
      </c>
      <c r="D13" s="3" t="str">
        <f>HYPERLINK("https://sitebase.nzcomms.co.nz/spm/spmnominalview/AKL-004-015/","AKL-004-015")</f>
        <v>AKL-004-015</v>
      </c>
      <c r="E13" s="4" t="s">
        <v>208</v>
      </c>
      <c r="F13" s="3" t="str">
        <f>HYPERLINK("https://sitebase.nzcomms.co.nz/spm/spmcandidateview/AKL-004-015-E/","AKL-004-015-E")</f>
        <v>AKL-004-015-E</v>
      </c>
      <c r="G13" s="4" t="s">
        <v>209</v>
      </c>
      <c r="H13" s="4" t="s">
        <v>138</v>
      </c>
      <c r="I13" s="4">
        <v>23</v>
      </c>
      <c r="J13" s="4" t="s">
        <v>165</v>
      </c>
      <c r="K13" s="4" t="s">
        <v>141</v>
      </c>
      <c r="L13" s="4" t="s">
        <v>150</v>
      </c>
      <c r="M13" s="4" t="s">
        <v>166</v>
      </c>
      <c r="N13" s="4" t="s">
        <v>167</v>
      </c>
      <c r="O13" s="4"/>
      <c r="P13" s="4" t="s">
        <v>169</v>
      </c>
      <c r="Q13" s="4"/>
      <c r="R13" s="4"/>
      <c r="S13" s="4"/>
      <c r="T13" s="4"/>
      <c r="U13" s="4">
        <v>-36.290099589999997</v>
      </c>
      <c r="V13" s="4">
        <v>174.76138466</v>
      </c>
      <c r="W13" s="4"/>
      <c r="X13" s="5">
        <v>40896</v>
      </c>
      <c r="Y13" s="4"/>
      <c r="Z13" s="4"/>
      <c r="AA13" s="4" t="s">
        <v>171</v>
      </c>
      <c r="AB13" s="3" t="str">
        <f>HYPERLINK("https://sitebase.nzcomms.co.nz/spm/spmcandidateview/AKL-004-014-B/","AKL-004-014-B")</f>
        <v>AKL-004-014-B</v>
      </c>
      <c r="AC13" s="4" t="b">
        <v>0</v>
      </c>
      <c r="AD13" s="4" t="b">
        <v>0</v>
      </c>
      <c r="AE13" s="4"/>
      <c r="AF13" s="4"/>
      <c r="AG13" s="4" t="b">
        <v>0</v>
      </c>
      <c r="AH13" s="4"/>
      <c r="AI13" s="5">
        <v>42188</v>
      </c>
      <c r="AJ13" s="5">
        <v>42186</v>
      </c>
      <c r="AK13" s="5">
        <v>42191</v>
      </c>
      <c r="AL13" s="5">
        <v>42186</v>
      </c>
      <c r="AM13" s="5">
        <v>42244</v>
      </c>
      <c r="AN13" s="5">
        <v>42215</v>
      </c>
      <c r="AO13" s="4">
        <v>2</v>
      </c>
      <c r="AP13" s="5">
        <v>42251</v>
      </c>
      <c r="AQ13" s="5">
        <v>42269</v>
      </c>
      <c r="AR13" s="5">
        <v>42237</v>
      </c>
      <c r="AS13" s="5">
        <v>42241</v>
      </c>
      <c r="AT13" s="5">
        <v>42265</v>
      </c>
      <c r="AU13" s="5">
        <v>42264</v>
      </c>
      <c r="AV13" s="4"/>
      <c r="AW13" s="5">
        <v>42268</v>
      </c>
      <c r="AX13" s="5">
        <v>42268</v>
      </c>
      <c r="AY13" s="4" t="s">
        <v>172</v>
      </c>
      <c r="AZ13" s="5">
        <v>42244</v>
      </c>
      <c r="BA13" s="5">
        <v>42248</v>
      </c>
      <c r="BB13" s="5">
        <v>42286</v>
      </c>
      <c r="BC13" s="5">
        <v>42285</v>
      </c>
      <c r="BD13" s="4">
        <v>1</v>
      </c>
      <c r="BE13" s="5">
        <v>42289</v>
      </c>
      <c r="BF13" s="5">
        <v>42285</v>
      </c>
      <c r="BG13" s="5">
        <v>42240</v>
      </c>
      <c r="BH13" s="5">
        <v>42240</v>
      </c>
      <c r="BI13" s="5">
        <v>42286</v>
      </c>
      <c r="BJ13" s="5">
        <v>42290</v>
      </c>
      <c r="BK13" s="4">
        <v>1</v>
      </c>
      <c r="BL13" s="4"/>
      <c r="BM13" s="5">
        <v>42286</v>
      </c>
      <c r="BN13" s="5">
        <v>42290</v>
      </c>
      <c r="BO13" s="4"/>
      <c r="BP13" s="4"/>
      <c r="BQ13" s="4"/>
      <c r="BR13" s="4"/>
      <c r="BS13" s="4"/>
      <c r="BT13" s="5">
        <v>42310</v>
      </c>
      <c r="BU13" s="5">
        <v>42310</v>
      </c>
      <c r="BV13" s="5">
        <v>42355</v>
      </c>
      <c r="BW13" s="5">
        <v>42355</v>
      </c>
      <c r="BX13" s="4"/>
      <c r="BY13" s="4"/>
      <c r="BZ13" s="4"/>
      <c r="CA13" s="4"/>
      <c r="CB13" s="4"/>
      <c r="CC13" s="4"/>
      <c r="CD13" s="4"/>
      <c r="CE13" s="4"/>
      <c r="CF13" s="4"/>
      <c r="CG13" s="4"/>
      <c r="CH13" s="4"/>
      <c r="CI13" s="4"/>
      <c r="CJ13" s="5">
        <v>42361</v>
      </c>
      <c r="CK13" s="5">
        <v>42359</v>
      </c>
      <c r="CL13" s="4"/>
      <c r="CM13" s="4"/>
      <c r="CN13" s="4"/>
      <c r="CO13" s="4"/>
      <c r="CP13" s="4" t="s">
        <v>210</v>
      </c>
      <c r="CQ13" s="4"/>
      <c r="CR13" s="4"/>
      <c r="CS13" s="4"/>
      <c r="CT13" s="4"/>
      <c r="CU13" s="4"/>
      <c r="CV13" s="4"/>
      <c r="CW13" s="4"/>
      <c r="CX13" s="4"/>
      <c r="CY13" s="4"/>
      <c r="CZ13" s="4"/>
      <c r="DA13" s="5">
        <v>42356</v>
      </c>
      <c r="DB13" s="5">
        <v>42353</v>
      </c>
      <c r="DC13" s="4"/>
      <c r="DD13" s="4"/>
      <c r="DE13" s="4" t="s">
        <v>211</v>
      </c>
      <c r="DF13" s="4"/>
      <c r="DG13" s="4"/>
      <c r="DH13" s="4" t="s">
        <v>174</v>
      </c>
      <c r="DI13" s="4"/>
      <c r="DJ13" s="4" t="b">
        <v>1</v>
      </c>
      <c r="DK13" s="4"/>
      <c r="DL13" s="4">
        <v>2668742</v>
      </c>
      <c r="DM13" s="4">
        <v>6544138</v>
      </c>
      <c r="DN13" s="4" t="s">
        <v>212</v>
      </c>
      <c r="DO13" s="4"/>
      <c r="DP13" s="4" t="s">
        <v>213</v>
      </c>
      <c r="DQ13" s="4" t="s">
        <v>148</v>
      </c>
      <c r="DR13" s="4"/>
      <c r="DS13" s="4"/>
      <c r="DT13" s="4"/>
      <c r="DU13" s="4" t="s">
        <v>178</v>
      </c>
      <c r="DV13" s="4"/>
      <c r="DW13" s="5">
        <v>42271</v>
      </c>
      <c r="DX13" s="5">
        <v>42289</v>
      </c>
      <c r="DY13" s="5">
        <v>42286</v>
      </c>
      <c r="DZ13" s="5">
        <v>42268</v>
      </c>
      <c r="EA13" s="4"/>
      <c r="EB13" s="4"/>
      <c r="EC13" s="4"/>
      <c r="ED13" s="4"/>
      <c r="EE13" s="5">
        <v>42307</v>
      </c>
      <c r="EF13" s="5">
        <v>42306</v>
      </c>
      <c r="EG13" s="4"/>
      <c r="EH13" s="4"/>
      <c r="EI13" s="5">
        <v>42186</v>
      </c>
    </row>
    <row r="14" spans="1:139" hidden="1" x14ac:dyDescent="0.2">
      <c r="A14">
        <f>VLOOKUP(B14,Sheet1!$A$1:$B$18,2,FALSE)</f>
        <v>0</v>
      </c>
      <c r="B14" t="str">
        <f t="shared" si="0"/>
        <v>AKL</v>
      </c>
      <c r="C14" s="2">
        <v>13</v>
      </c>
      <c r="D14" s="3" t="str">
        <f>HYPERLINK("https://sitebase.nzcomms.co.nz/spm/spmnominalview/AKL-004-016/","AKL-004-016")</f>
        <v>AKL-004-016</v>
      </c>
      <c r="E14" s="4" t="s">
        <v>214</v>
      </c>
      <c r="F14" s="3" t="str">
        <f>HYPERLINK("https://sitebase.nzcomms.co.nz/spm/spmcandidateview/AKL-004-016-B/","AKL-004-016-B")</f>
        <v>AKL-004-016-B</v>
      </c>
      <c r="G14" s="4" t="s">
        <v>215</v>
      </c>
      <c r="H14" s="4" t="s">
        <v>138</v>
      </c>
      <c r="I14" s="4">
        <v>23</v>
      </c>
      <c r="J14" s="4" t="s">
        <v>165</v>
      </c>
      <c r="K14" s="4" t="s">
        <v>141</v>
      </c>
      <c r="L14" s="4" t="s">
        <v>150</v>
      </c>
      <c r="M14" s="4" t="s">
        <v>190</v>
      </c>
      <c r="N14" s="4" t="s">
        <v>216</v>
      </c>
      <c r="O14" s="4" t="s">
        <v>168</v>
      </c>
      <c r="P14" s="4" t="s">
        <v>182</v>
      </c>
      <c r="Q14" s="4" t="s">
        <v>170</v>
      </c>
      <c r="R14" s="4">
        <v>20</v>
      </c>
      <c r="S14" s="4">
        <v>20</v>
      </c>
      <c r="T14" s="4"/>
      <c r="U14" s="4">
        <v>-36.37318028</v>
      </c>
      <c r="V14" s="4">
        <v>174.61059946</v>
      </c>
      <c r="W14" s="4"/>
      <c r="X14" s="4"/>
      <c r="Y14" s="4"/>
      <c r="Z14" s="4"/>
      <c r="AA14" s="4" t="s">
        <v>217</v>
      </c>
      <c r="AB14" s="4" t="s">
        <v>218</v>
      </c>
      <c r="AC14" s="4" t="b">
        <v>0</v>
      </c>
      <c r="AD14" s="4" t="b">
        <v>0</v>
      </c>
      <c r="AE14" s="4"/>
      <c r="AF14" s="4"/>
      <c r="AG14" s="4" t="b">
        <v>0</v>
      </c>
      <c r="AH14" s="4"/>
      <c r="AI14" s="5">
        <v>41116</v>
      </c>
      <c r="AJ14" s="5">
        <v>41116</v>
      </c>
      <c r="AK14" s="5">
        <v>41128</v>
      </c>
      <c r="AL14" s="5">
        <v>41128</v>
      </c>
      <c r="AM14" s="5">
        <v>41192</v>
      </c>
      <c r="AN14" s="5">
        <v>41191</v>
      </c>
      <c r="AO14" s="4">
        <v>2</v>
      </c>
      <c r="AP14" s="5">
        <v>41192</v>
      </c>
      <c r="AQ14" s="5">
        <v>42129</v>
      </c>
      <c r="AR14" s="5">
        <v>42153</v>
      </c>
      <c r="AS14" s="5">
        <v>42122</v>
      </c>
      <c r="AT14" s="5">
        <v>42192</v>
      </c>
      <c r="AU14" s="5">
        <v>42185</v>
      </c>
      <c r="AV14" s="4"/>
      <c r="AW14" s="5">
        <v>42199</v>
      </c>
      <c r="AX14" s="5">
        <v>42185</v>
      </c>
      <c r="AY14" s="4" t="s">
        <v>183</v>
      </c>
      <c r="AZ14" s="5">
        <v>41242</v>
      </c>
      <c r="BA14" s="5">
        <v>41240</v>
      </c>
      <c r="BB14" s="5">
        <v>41312</v>
      </c>
      <c r="BC14" s="5">
        <v>41290</v>
      </c>
      <c r="BD14" s="4">
        <v>1</v>
      </c>
      <c r="BE14" s="5">
        <v>41310</v>
      </c>
      <c r="BF14" s="5">
        <v>41291</v>
      </c>
      <c r="BG14" s="5">
        <v>42132</v>
      </c>
      <c r="BH14" s="5">
        <v>42123</v>
      </c>
      <c r="BI14" s="5">
        <v>42181</v>
      </c>
      <c r="BJ14" s="5">
        <v>42186</v>
      </c>
      <c r="BK14" s="4">
        <v>1</v>
      </c>
      <c r="BL14" s="4"/>
      <c r="BM14" s="5">
        <v>42181</v>
      </c>
      <c r="BN14" s="5">
        <v>42186</v>
      </c>
      <c r="BO14" s="4"/>
      <c r="BP14" s="4"/>
      <c r="BQ14" s="4"/>
      <c r="BR14" s="4"/>
      <c r="BS14" s="4"/>
      <c r="BT14" s="5">
        <v>42251</v>
      </c>
      <c r="BU14" s="5">
        <v>42251</v>
      </c>
      <c r="BV14" s="5">
        <v>42347</v>
      </c>
      <c r="BW14" s="5">
        <v>42347</v>
      </c>
      <c r="BX14" s="5">
        <v>42279</v>
      </c>
      <c r="BY14" s="5">
        <v>42300</v>
      </c>
      <c r="BZ14" s="5">
        <v>42300</v>
      </c>
      <c r="CA14" s="4"/>
      <c r="CB14" s="4"/>
      <c r="CC14" s="4"/>
      <c r="CD14" s="4"/>
      <c r="CE14" s="4"/>
      <c r="CF14" s="4"/>
      <c r="CG14" s="4"/>
      <c r="CH14" s="4"/>
      <c r="CI14" s="4"/>
      <c r="CJ14" s="5">
        <v>42353</v>
      </c>
      <c r="CK14" s="5">
        <v>42353</v>
      </c>
      <c r="CL14" s="4"/>
      <c r="CM14" s="4"/>
      <c r="CN14" s="4"/>
      <c r="CO14" s="4"/>
      <c r="CP14" s="4" t="s">
        <v>219</v>
      </c>
      <c r="CQ14" s="4"/>
      <c r="CR14" s="5">
        <v>42286</v>
      </c>
      <c r="CS14" s="4"/>
      <c r="CT14" s="4"/>
      <c r="CU14" s="4"/>
      <c r="CV14" s="4"/>
      <c r="CW14" s="4"/>
      <c r="CX14" s="4"/>
      <c r="CY14" s="4"/>
      <c r="CZ14" s="4"/>
      <c r="DA14" s="5">
        <v>42338</v>
      </c>
      <c r="DB14" s="5">
        <v>42311</v>
      </c>
      <c r="DC14" s="4"/>
      <c r="DD14" s="4"/>
      <c r="DE14" s="4" t="s">
        <v>211</v>
      </c>
      <c r="DF14" s="4"/>
      <c r="DG14" s="4"/>
      <c r="DH14" s="4" t="s">
        <v>174</v>
      </c>
      <c r="DI14" s="5">
        <v>42279</v>
      </c>
      <c r="DJ14" s="4" t="b">
        <v>0</v>
      </c>
      <c r="DK14" s="4"/>
      <c r="DL14" s="4">
        <v>2655025</v>
      </c>
      <c r="DM14" s="4">
        <v>6535187</v>
      </c>
      <c r="DN14" s="4" t="s">
        <v>220</v>
      </c>
      <c r="DO14" s="4"/>
      <c r="DP14" s="4" t="s">
        <v>221</v>
      </c>
      <c r="DQ14" s="4" t="s">
        <v>148</v>
      </c>
      <c r="DR14" s="4"/>
      <c r="DS14" s="4"/>
      <c r="DT14" s="4"/>
      <c r="DU14" s="4" t="s">
        <v>178</v>
      </c>
      <c r="DV14" s="4"/>
      <c r="DW14" s="5">
        <v>42219</v>
      </c>
      <c r="DX14" s="5">
        <v>42186</v>
      </c>
      <c r="DY14" s="5">
        <v>42185</v>
      </c>
      <c r="DZ14" s="5">
        <v>42188</v>
      </c>
      <c r="EA14" s="4"/>
      <c r="EB14" s="4"/>
      <c r="EC14" s="4"/>
      <c r="ED14" s="4"/>
      <c r="EE14" s="5">
        <v>42230</v>
      </c>
      <c r="EF14" s="5">
        <v>42228</v>
      </c>
      <c r="EG14" s="4"/>
      <c r="EH14" s="4"/>
      <c r="EI14" s="5">
        <v>41128</v>
      </c>
    </row>
    <row r="15" spans="1:139" hidden="1" x14ac:dyDescent="0.2">
      <c r="A15">
        <f>VLOOKUP(B15,Sheet1!$A$1:$B$18,2,FALSE)</f>
        <v>0</v>
      </c>
      <c r="B15" t="str">
        <f t="shared" si="0"/>
        <v>AKL</v>
      </c>
      <c r="C15" s="2">
        <v>14</v>
      </c>
      <c r="D15" s="3" t="str">
        <f>HYPERLINK("https://sitebase.nzcomms.co.nz/spm/spmnominalview/AKL-004-017/","AKL-004-017")</f>
        <v>AKL-004-017</v>
      </c>
      <c r="E15" s="4" t="s">
        <v>222</v>
      </c>
      <c r="F15" s="3" t="str">
        <f>HYPERLINK("https://sitebase.nzcomms.co.nz/spm/spmcandidateview/AKL-004-017-D/","AKL-004-017-D")</f>
        <v>AKL-004-017-D</v>
      </c>
      <c r="G15" s="4" t="s">
        <v>223</v>
      </c>
      <c r="H15" s="4" t="s">
        <v>138</v>
      </c>
      <c r="I15" s="4">
        <v>23</v>
      </c>
      <c r="J15" s="4" t="s">
        <v>165</v>
      </c>
      <c r="K15" s="4" t="s">
        <v>141</v>
      </c>
      <c r="L15" s="4" t="s">
        <v>150</v>
      </c>
      <c r="M15" s="4" t="s">
        <v>190</v>
      </c>
      <c r="N15" s="4" t="s">
        <v>224</v>
      </c>
      <c r="O15" s="4"/>
      <c r="P15" s="4" t="s">
        <v>182</v>
      </c>
      <c r="Q15" s="4" t="s">
        <v>170</v>
      </c>
      <c r="R15" s="4">
        <v>14.5</v>
      </c>
      <c r="S15" s="4">
        <v>15</v>
      </c>
      <c r="T15" s="4"/>
      <c r="U15" s="4">
        <v>-36.401101439999998</v>
      </c>
      <c r="V15" s="4">
        <v>174.65317354000001</v>
      </c>
      <c r="W15" s="4"/>
      <c r="X15" s="5">
        <v>40896</v>
      </c>
      <c r="Y15" s="4"/>
      <c r="Z15" s="4"/>
      <c r="AA15" s="4" t="s">
        <v>145</v>
      </c>
      <c r="AB15" s="3" t="str">
        <f>HYPERLINK("https://sitebase.nzcomms.co.nz/spm/spmcandidateview/AKL-005-088-A/","AKL-005-088-A")</f>
        <v>AKL-005-088-A</v>
      </c>
      <c r="AC15" s="4" t="b">
        <v>0</v>
      </c>
      <c r="AD15" s="4" t="b">
        <v>0</v>
      </c>
      <c r="AE15" s="4"/>
      <c r="AF15" s="4"/>
      <c r="AG15" s="4" t="b">
        <v>0</v>
      </c>
      <c r="AH15" s="4"/>
      <c r="AI15" s="5">
        <v>41219</v>
      </c>
      <c r="AJ15" s="5">
        <v>41219</v>
      </c>
      <c r="AK15" s="5">
        <v>41221</v>
      </c>
      <c r="AL15" s="5">
        <v>41221</v>
      </c>
      <c r="AM15" s="5">
        <v>41249</v>
      </c>
      <c r="AN15" s="5">
        <v>41291</v>
      </c>
      <c r="AO15" s="4">
        <v>3</v>
      </c>
      <c r="AP15" s="4"/>
      <c r="AQ15" s="5">
        <v>41991</v>
      </c>
      <c r="AR15" s="5">
        <v>42034</v>
      </c>
      <c r="AS15" s="5">
        <v>42040</v>
      </c>
      <c r="AT15" s="5">
        <v>42139</v>
      </c>
      <c r="AU15" s="5">
        <v>42130</v>
      </c>
      <c r="AV15" s="4"/>
      <c r="AW15" s="5">
        <v>42139</v>
      </c>
      <c r="AX15" s="5">
        <v>42187</v>
      </c>
      <c r="AY15" s="4" t="s">
        <v>183</v>
      </c>
      <c r="AZ15" s="5">
        <v>42065</v>
      </c>
      <c r="BA15" s="5">
        <v>42073</v>
      </c>
      <c r="BB15" s="5">
        <v>42118</v>
      </c>
      <c r="BC15" s="5">
        <v>42104</v>
      </c>
      <c r="BD15" s="4">
        <v>3</v>
      </c>
      <c r="BE15" s="5">
        <v>42125</v>
      </c>
      <c r="BF15" s="5">
        <v>42104</v>
      </c>
      <c r="BG15" s="5">
        <v>42079</v>
      </c>
      <c r="BH15" s="5">
        <v>42074</v>
      </c>
      <c r="BI15" s="5">
        <v>42181</v>
      </c>
      <c r="BJ15" s="5">
        <v>42180</v>
      </c>
      <c r="BK15" s="4">
        <v>1</v>
      </c>
      <c r="BL15" s="4"/>
      <c r="BM15" s="5">
        <v>42181</v>
      </c>
      <c r="BN15" s="5">
        <v>42180</v>
      </c>
      <c r="BO15" s="4"/>
      <c r="BP15" s="4"/>
      <c r="BQ15" s="4"/>
      <c r="BR15" s="4"/>
      <c r="BS15" s="4"/>
      <c r="BT15" s="5">
        <v>42233</v>
      </c>
      <c r="BU15" s="5">
        <v>42233</v>
      </c>
      <c r="BV15" s="5">
        <v>42270</v>
      </c>
      <c r="BW15" s="5">
        <v>42278</v>
      </c>
      <c r="BX15" s="4"/>
      <c r="BY15" s="5">
        <v>42300</v>
      </c>
      <c r="BZ15" s="4"/>
      <c r="CA15" s="5">
        <v>42230</v>
      </c>
      <c r="CB15" s="5">
        <v>42256</v>
      </c>
      <c r="CC15" s="4"/>
      <c r="CD15" s="4"/>
      <c r="CE15" s="4"/>
      <c r="CF15" s="4"/>
      <c r="CG15" s="4"/>
      <c r="CH15" s="4"/>
      <c r="CI15" s="4"/>
      <c r="CJ15" s="5">
        <v>42300</v>
      </c>
      <c r="CK15" s="5">
        <v>42299</v>
      </c>
      <c r="CL15" s="4"/>
      <c r="CM15" s="5">
        <v>42331</v>
      </c>
      <c r="CN15" s="4"/>
      <c r="CO15" s="5">
        <v>42331</v>
      </c>
      <c r="CP15" s="4" t="s">
        <v>225</v>
      </c>
      <c r="CQ15" s="4"/>
      <c r="CR15" s="4"/>
      <c r="CS15" s="4"/>
      <c r="CT15" s="4"/>
      <c r="CU15" s="4"/>
      <c r="CV15" s="4"/>
      <c r="CW15" s="4"/>
      <c r="CX15" s="4"/>
      <c r="CY15" s="5">
        <v>42272</v>
      </c>
      <c r="CZ15" s="4"/>
      <c r="DA15" s="5">
        <v>42298</v>
      </c>
      <c r="DB15" s="5">
        <v>42299</v>
      </c>
      <c r="DC15" s="4"/>
      <c r="DD15" s="4"/>
      <c r="DE15" s="4" t="s">
        <v>211</v>
      </c>
      <c r="DF15" s="5">
        <v>42255</v>
      </c>
      <c r="DG15" s="5">
        <v>42256</v>
      </c>
      <c r="DH15" s="4" t="s">
        <v>174</v>
      </c>
      <c r="DI15" s="4"/>
      <c r="DJ15" s="4" t="b">
        <v>0</v>
      </c>
      <c r="DK15" s="4"/>
      <c r="DL15" s="4">
        <v>2658785</v>
      </c>
      <c r="DM15" s="4">
        <v>6532016</v>
      </c>
      <c r="DN15" s="4" t="s">
        <v>226</v>
      </c>
      <c r="DO15" s="4"/>
      <c r="DP15" s="4"/>
      <c r="DQ15" s="4" t="s">
        <v>148</v>
      </c>
      <c r="DR15" s="4"/>
      <c r="DS15" s="4"/>
      <c r="DT15" s="4"/>
      <c r="DU15" s="4" t="s">
        <v>178</v>
      </c>
      <c r="DV15" s="4"/>
      <c r="DW15" s="5">
        <v>42139</v>
      </c>
      <c r="DX15" s="5">
        <v>42118</v>
      </c>
      <c r="DY15" s="5">
        <v>42135</v>
      </c>
      <c r="DZ15" s="5">
        <v>42123</v>
      </c>
      <c r="EA15" s="5">
        <v>42117</v>
      </c>
      <c r="EB15" s="5">
        <v>42117</v>
      </c>
      <c r="EC15" s="5">
        <v>42117</v>
      </c>
      <c r="ED15" s="5">
        <v>42117</v>
      </c>
      <c r="EE15" s="5">
        <v>42209</v>
      </c>
      <c r="EF15" s="5">
        <v>42212</v>
      </c>
      <c r="EG15" s="4"/>
      <c r="EH15" s="4"/>
      <c r="EI15" s="5">
        <v>41221</v>
      </c>
    </row>
    <row r="16" spans="1:139" hidden="1" x14ac:dyDescent="0.2">
      <c r="A16">
        <f>VLOOKUP(B16,Sheet1!$A$1:$B$18,2,FALSE)</f>
        <v>0</v>
      </c>
      <c r="B16" t="str">
        <f t="shared" si="0"/>
        <v>AKL</v>
      </c>
      <c r="C16" s="2">
        <v>15</v>
      </c>
      <c r="D16" s="3" t="str">
        <f>HYPERLINK("https://sitebase.nzcomms.co.nz/spm/spmnominalview/AKL-004-018/","AKL-004-018")</f>
        <v>AKL-004-018</v>
      </c>
      <c r="E16" s="4" t="s">
        <v>227</v>
      </c>
      <c r="F16" s="3" t="str">
        <f>HYPERLINK("https://sitebase.nzcomms.co.nz/spm/spmcandidateview/AKL-004-018-A/","AKL-004-018-A")</f>
        <v>AKL-004-018-A</v>
      </c>
      <c r="G16" s="4" t="s">
        <v>228</v>
      </c>
      <c r="H16" s="4" t="s">
        <v>138</v>
      </c>
      <c r="I16" s="4">
        <v>23</v>
      </c>
      <c r="J16" s="4" t="s">
        <v>165</v>
      </c>
      <c r="K16" s="4" t="s">
        <v>141</v>
      </c>
      <c r="L16" s="4" t="s">
        <v>142</v>
      </c>
      <c r="M16" s="4" t="s">
        <v>190</v>
      </c>
      <c r="N16" s="4" t="s">
        <v>142</v>
      </c>
      <c r="O16" s="4"/>
      <c r="P16" s="4" t="s">
        <v>169</v>
      </c>
      <c r="Q16" s="4" t="s">
        <v>142</v>
      </c>
      <c r="R16" s="4">
        <v>20</v>
      </c>
      <c r="S16" s="4">
        <v>20</v>
      </c>
      <c r="T16" s="4"/>
      <c r="U16" s="4">
        <v>-36.403986670000002</v>
      </c>
      <c r="V16" s="4">
        <v>174.71707465</v>
      </c>
      <c r="W16" s="4"/>
      <c r="X16" s="5">
        <v>40896</v>
      </c>
      <c r="Y16" s="4"/>
      <c r="Z16" s="4"/>
      <c r="AA16" s="4" t="s">
        <v>145</v>
      </c>
      <c r="AB16" s="3" t="str">
        <f>HYPERLINK("https://sitebase.nzcomms.co.nz/spm/spmcandidateview/AKL-005-088-A/","AKL-005-088-A")</f>
        <v>AKL-005-088-A</v>
      </c>
      <c r="AC16" s="4" t="b">
        <v>0</v>
      </c>
      <c r="AD16" s="4" t="b">
        <v>0</v>
      </c>
      <c r="AE16" s="4"/>
      <c r="AF16" s="4"/>
      <c r="AG16" s="4" t="b">
        <v>0</v>
      </c>
      <c r="AH16" s="4"/>
      <c r="AI16" s="5">
        <v>40994</v>
      </c>
      <c r="AJ16" s="5">
        <v>40994</v>
      </c>
      <c r="AK16" s="5">
        <v>41002</v>
      </c>
      <c r="AL16" s="5">
        <v>40997</v>
      </c>
      <c r="AM16" s="5">
        <v>41068</v>
      </c>
      <c r="AN16" s="5">
        <v>41081</v>
      </c>
      <c r="AO16" s="4">
        <v>3</v>
      </c>
      <c r="AP16" s="5">
        <v>41075</v>
      </c>
      <c r="AQ16" s="5">
        <v>41205</v>
      </c>
      <c r="AR16" s="5">
        <v>42160</v>
      </c>
      <c r="AS16" s="5">
        <v>42122</v>
      </c>
      <c r="AT16" s="5">
        <v>42230</v>
      </c>
      <c r="AU16" s="5">
        <v>42208</v>
      </c>
      <c r="AV16" s="4"/>
      <c r="AW16" s="5">
        <v>42279</v>
      </c>
      <c r="AX16" s="5">
        <v>42212</v>
      </c>
      <c r="AY16" s="4" t="s">
        <v>183</v>
      </c>
      <c r="AZ16" s="5">
        <v>42149</v>
      </c>
      <c r="BA16" s="5">
        <v>42146</v>
      </c>
      <c r="BB16" s="5">
        <v>42191</v>
      </c>
      <c r="BC16" s="5">
        <v>42179</v>
      </c>
      <c r="BD16" s="4">
        <v>1</v>
      </c>
      <c r="BE16" s="5">
        <v>42198</v>
      </c>
      <c r="BF16" s="5">
        <v>42179</v>
      </c>
      <c r="BG16" s="5">
        <v>42191</v>
      </c>
      <c r="BH16" s="5">
        <v>42125</v>
      </c>
      <c r="BI16" s="5">
        <v>42167</v>
      </c>
      <c r="BJ16" s="5">
        <v>42178</v>
      </c>
      <c r="BK16" s="4">
        <v>2</v>
      </c>
      <c r="BL16" s="4"/>
      <c r="BM16" s="5">
        <v>42174</v>
      </c>
      <c r="BN16" s="5">
        <v>42268</v>
      </c>
      <c r="BO16" s="4"/>
      <c r="BP16" s="4"/>
      <c r="BQ16" s="4"/>
      <c r="BR16" s="4"/>
      <c r="BS16" s="4"/>
      <c r="BT16" s="5">
        <v>42268</v>
      </c>
      <c r="BU16" s="5">
        <v>42277</v>
      </c>
      <c r="BV16" s="5">
        <v>42307</v>
      </c>
      <c r="BW16" s="5">
        <v>42312</v>
      </c>
      <c r="BX16" s="4"/>
      <c r="BY16" s="4"/>
      <c r="BZ16" s="4"/>
      <c r="CA16" s="5">
        <v>42338</v>
      </c>
      <c r="CB16" s="5">
        <v>42339</v>
      </c>
      <c r="CC16" s="4"/>
      <c r="CD16" s="4"/>
      <c r="CE16" s="4"/>
      <c r="CF16" s="4"/>
      <c r="CG16" s="4"/>
      <c r="CH16" s="4"/>
      <c r="CI16" s="4"/>
      <c r="CJ16" s="5">
        <v>42349</v>
      </c>
      <c r="CK16" s="5">
        <v>42348</v>
      </c>
      <c r="CL16" s="4"/>
      <c r="CM16" s="4"/>
      <c r="CN16" s="4"/>
      <c r="CO16" s="4"/>
      <c r="CP16" s="4" t="s">
        <v>229</v>
      </c>
      <c r="CQ16" s="4" t="s">
        <v>230</v>
      </c>
      <c r="CR16" s="4"/>
      <c r="CS16" s="4"/>
      <c r="CT16" s="4"/>
      <c r="CU16" s="4"/>
      <c r="CV16" s="4"/>
      <c r="CW16" s="4"/>
      <c r="CX16" s="4"/>
      <c r="CY16" s="4"/>
      <c r="CZ16" s="4"/>
      <c r="DA16" s="5">
        <v>42342</v>
      </c>
      <c r="DB16" s="5">
        <v>42342</v>
      </c>
      <c r="DC16" s="4"/>
      <c r="DD16" s="4"/>
      <c r="DE16" s="4" t="s">
        <v>211</v>
      </c>
      <c r="DF16" s="5">
        <v>42338</v>
      </c>
      <c r="DG16" s="5">
        <v>42339</v>
      </c>
      <c r="DH16" s="4" t="s">
        <v>174</v>
      </c>
      <c r="DI16" s="4"/>
      <c r="DJ16" s="4" t="b">
        <v>1</v>
      </c>
      <c r="DK16" s="4"/>
      <c r="DL16" s="4">
        <v>2664510</v>
      </c>
      <c r="DM16" s="4">
        <v>6531583</v>
      </c>
      <c r="DN16" s="4" t="s">
        <v>231</v>
      </c>
      <c r="DO16" s="4"/>
      <c r="DP16" s="4" t="s">
        <v>232</v>
      </c>
      <c r="DQ16" s="4" t="s">
        <v>148</v>
      </c>
      <c r="DR16" s="4"/>
      <c r="DS16" s="4"/>
      <c r="DT16" s="4"/>
      <c r="DU16" s="4" t="s">
        <v>178</v>
      </c>
      <c r="DV16" s="4"/>
      <c r="DW16" s="4"/>
      <c r="DX16" s="5">
        <v>42082</v>
      </c>
      <c r="DY16" s="5">
        <v>42177</v>
      </c>
      <c r="DZ16" s="5">
        <v>42171</v>
      </c>
      <c r="EA16" s="5">
        <v>42117</v>
      </c>
      <c r="EB16" s="5">
        <v>42117</v>
      </c>
      <c r="EC16" s="5">
        <v>42156</v>
      </c>
      <c r="ED16" s="4"/>
      <c r="EE16" s="5">
        <v>42244</v>
      </c>
      <c r="EF16" s="5">
        <v>42223</v>
      </c>
      <c r="EG16" s="4"/>
      <c r="EH16" s="4"/>
      <c r="EI16" s="5">
        <v>41002</v>
      </c>
    </row>
    <row r="17" spans="1:139" hidden="1" x14ac:dyDescent="0.2">
      <c r="A17">
        <f>VLOOKUP(B17,Sheet1!$A$1:$B$18,2,FALSE)</f>
        <v>0</v>
      </c>
      <c r="B17" t="str">
        <f t="shared" si="0"/>
        <v>AKL</v>
      </c>
      <c r="C17" s="2">
        <v>16</v>
      </c>
      <c r="D17" s="3" t="str">
        <f>HYPERLINK("https://sitebase.nzcomms.co.nz/spm/spmnominalview/AKL-004-019/","AKL-004-019")</f>
        <v>AKL-004-019</v>
      </c>
      <c r="E17" s="4"/>
      <c r="F17" s="4"/>
      <c r="G17" s="4"/>
      <c r="H17" s="4" t="s">
        <v>138</v>
      </c>
      <c r="I17" s="4"/>
      <c r="J17" s="4" t="s">
        <v>196</v>
      </c>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row>
    <row r="18" spans="1:139" hidden="1" x14ac:dyDescent="0.2">
      <c r="A18">
        <f>VLOOKUP(B18,Sheet1!$A$1:$B$18,2,FALSE)</f>
        <v>0</v>
      </c>
      <c r="B18" t="str">
        <f t="shared" si="0"/>
        <v>AKL</v>
      </c>
      <c r="C18" s="2">
        <v>17</v>
      </c>
      <c r="D18" s="3" t="str">
        <f>HYPERLINK("https://sitebase.nzcomms.co.nz/spm/spmnominalview/AKL-004-020/","AKL-004-020")</f>
        <v>AKL-004-020</v>
      </c>
      <c r="E18" s="4"/>
      <c r="F18" s="4"/>
      <c r="G18" s="4"/>
      <c r="H18" s="4" t="s">
        <v>138</v>
      </c>
      <c r="I18" s="4"/>
      <c r="J18" s="4" t="s">
        <v>196</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row>
    <row r="19" spans="1:139" hidden="1" x14ac:dyDescent="0.2">
      <c r="A19">
        <f>VLOOKUP(B19,Sheet1!$A$1:$B$18,2,FALSE)</f>
        <v>0</v>
      </c>
      <c r="B19" t="str">
        <f t="shared" si="0"/>
        <v>AKL</v>
      </c>
      <c r="C19" s="2">
        <v>18</v>
      </c>
      <c r="D19" s="3" t="str">
        <f>HYPERLINK("https://sitebase.nzcomms.co.nz/spm/spmnominalview/AKL-004-021/","AKL-004-021")</f>
        <v>AKL-004-021</v>
      </c>
      <c r="E19" s="4"/>
      <c r="F19" s="4"/>
      <c r="G19" s="4"/>
      <c r="H19" s="4" t="s">
        <v>138</v>
      </c>
      <c r="I19" s="4"/>
      <c r="J19" s="4" t="s">
        <v>196</v>
      </c>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row>
    <row r="20" spans="1:139" hidden="1" x14ac:dyDescent="0.2">
      <c r="A20">
        <f>VLOOKUP(B20,Sheet1!$A$1:$B$18,2,FALSE)</f>
        <v>0</v>
      </c>
      <c r="B20" t="str">
        <f t="shared" si="0"/>
        <v>AKL</v>
      </c>
      <c r="C20" s="2">
        <v>19</v>
      </c>
      <c r="D20" s="3" t="str">
        <f>HYPERLINK("https://sitebase.nzcomms.co.nz/spm/spmnominalview/AKL-004-022/","AKL-004-022")</f>
        <v>AKL-004-022</v>
      </c>
      <c r="E20" s="4" t="s">
        <v>233</v>
      </c>
      <c r="F20" s="3" t="str">
        <f>HYPERLINK("https://sitebase.nzcomms.co.nz/spm/spmcandidateview/AKL-004-022-B/","AKL-004-022-B")</f>
        <v>AKL-004-022-B</v>
      </c>
      <c r="G20" s="4" t="s">
        <v>234</v>
      </c>
      <c r="H20" s="4" t="s">
        <v>138</v>
      </c>
      <c r="I20" s="4">
        <v>23</v>
      </c>
      <c r="J20" s="4" t="s">
        <v>165</v>
      </c>
      <c r="K20" s="4" t="s">
        <v>141</v>
      </c>
      <c r="L20" s="4" t="s">
        <v>150</v>
      </c>
      <c r="M20" s="4" t="s">
        <v>190</v>
      </c>
      <c r="N20" s="4" t="s">
        <v>167</v>
      </c>
      <c r="O20" s="4"/>
      <c r="P20" s="4" t="s">
        <v>182</v>
      </c>
      <c r="Q20" s="4" t="s">
        <v>170</v>
      </c>
      <c r="R20" s="4">
        <v>20</v>
      </c>
      <c r="S20" s="4">
        <v>20</v>
      </c>
      <c r="T20" s="4"/>
      <c r="U20" s="4">
        <v>-36.292283859999998</v>
      </c>
      <c r="V20" s="4">
        <v>174.53464987999999</v>
      </c>
      <c r="W20" s="4"/>
      <c r="X20" s="5">
        <v>40896</v>
      </c>
      <c r="Y20" s="4"/>
      <c r="Z20" s="4"/>
      <c r="AA20" s="4" t="s">
        <v>145</v>
      </c>
      <c r="AB20" s="3" t="str">
        <f>HYPERLINK("https://sitebase.nzcomms.co.nz/spm/spmcandidateview/AKL-005-088-A/","AKL-005-088-A")</f>
        <v>AKL-005-088-A</v>
      </c>
      <c r="AC20" s="4" t="b">
        <v>0</v>
      </c>
      <c r="AD20" s="4" t="b">
        <v>0</v>
      </c>
      <c r="AE20" s="4"/>
      <c r="AF20" s="4"/>
      <c r="AG20" s="4" t="b">
        <v>0</v>
      </c>
      <c r="AH20" s="4"/>
      <c r="AI20" s="5">
        <v>40980</v>
      </c>
      <c r="AJ20" s="5">
        <v>40980</v>
      </c>
      <c r="AK20" s="5">
        <v>41002</v>
      </c>
      <c r="AL20" s="5">
        <v>40997</v>
      </c>
      <c r="AM20" s="5">
        <v>41023</v>
      </c>
      <c r="AN20" s="5">
        <v>41051</v>
      </c>
      <c r="AO20" s="4">
        <v>1</v>
      </c>
      <c r="AP20" s="4"/>
      <c r="AQ20" s="5">
        <v>41051</v>
      </c>
      <c r="AR20" s="5">
        <v>41078</v>
      </c>
      <c r="AS20" s="5">
        <v>41079</v>
      </c>
      <c r="AT20" s="5">
        <v>41106</v>
      </c>
      <c r="AU20" s="5">
        <v>41109</v>
      </c>
      <c r="AV20" s="4">
        <v>1</v>
      </c>
      <c r="AW20" s="5">
        <v>41145</v>
      </c>
      <c r="AX20" s="5">
        <v>41137</v>
      </c>
      <c r="AY20" s="4" t="s">
        <v>172</v>
      </c>
      <c r="AZ20" s="5">
        <v>41078</v>
      </c>
      <c r="BA20" s="5">
        <v>41079</v>
      </c>
      <c r="BB20" s="5">
        <v>41120</v>
      </c>
      <c r="BC20" s="5">
        <v>41113</v>
      </c>
      <c r="BD20" s="4">
        <v>1</v>
      </c>
      <c r="BE20" s="5">
        <v>41120</v>
      </c>
      <c r="BF20" s="5">
        <v>41113</v>
      </c>
      <c r="BG20" s="5">
        <v>42031</v>
      </c>
      <c r="BH20" s="5">
        <v>42031</v>
      </c>
      <c r="BI20" s="5">
        <v>42090</v>
      </c>
      <c r="BJ20" s="5">
        <v>42090</v>
      </c>
      <c r="BK20" s="4">
        <v>1</v>
      </c>
      <c r="BL20" s="4"/>
      <c r="BM20" s="5">
        <v>42090</v>
      </c>
      <c r="BN20" s="5">
        <v>42090</v>
      </c>
      <c r="BO20" s="4"/>
      <c r="BP20" s="4"/>
      <c r="BQ20" s="4"/>
      <c r="BR20" s="4"/>
      <c r="BS20" s="4"/>
      <c r="BT20" s="5">
        <v>42135</v>
      </c>
      <c r="BU20" s="5">
        <v>42137</v>
      </c>
      <c r="BV20" s="5">
        <v>42214</v>
      </c>
      <c r="BW20" s="5">
        <v>42214</v>
      </c>
      <c r="BX20" s="5">
        <v>42207</v>
      </c>
      <c r="BY20" s="5">
        <v>42202</v>
      </c>
      <c r="BZ20" s="5">
        <v>42214</v>
      </c>
      <c r="CA20" s="5">
        <v>42213</v>
      </c>
      <c r="CB20" s="5">
        <v>42213</v>
      </c>
      <c r="CC20" s="4"/>
      <c r="CD20" s="4"/>
      <c r="CE20" s="4"/>
      <c r="CF20" s="4"/>
      <c r="CG20" s="4"/>
      <c r="CH20" s="4"/>
      <c r="CI20" s="5">
        <v>42212</v>
      </c>
      <c r="CJ20" s="5">
        <v>42237</v>
      </c>
      <c r="CK20" s="5">
        <v>42222</v>
      </c>
      <c r="CL20" s="4"/>
      <c r="CM20" s="5">
        <v>42247</v>
      </c>
      <c r="CN20" s="4"/>
      <c r="CO20" s="5">
        <v>42247</v>
      </c>
      <c r="CP20" s="4" t="s">
        <v>235</v>
      </c>
      <c r="CQ20" s="4"/>
      <c r="CR20" s="5">
        <v>42191</v>
      </c>
      <c r="CS20" s="4"/>
      <c r="CT20" s="4"/>
      <c r="CU20" s="4"/>
      <c r="CV20" s="4"/>
      <c r="CW20" s="4"/>
      <c r="CX20" s="4"/>
      <c r="CY20" s="4"/>
      <c r="CZ20" s="4"/>
      <c r="DA20" s="5">
        <v>42220</v>
      </c>
      <c r="DB20" s="5">
        <v>42216</v>
      </c>
      <c r="DC20" s="4"/>
      <c r="DD20" s="4"/>
      <c r="DE20" s="4" t="s">
        <v>211</v>
      </c>
      <c r="DF20" s="5">
        <v>42213</v>
      </c>
      <c r="DG20" s="5">
        <v>42213</v>
      </c>
      <c r="DH20" s="4" t="s">
        <v>174</v>
      </c>
      <c r="DI20" s="5">
        <v>42184</v>
      </c>
      <c r="DJ20" s="4" t="b">
        <v>1</v>
      </c>
      <c r="DK20" s="4"/>
      <c r="DL20" s="4">
        <v>2648373</v>
      </c>
      <c r="DM20" s="4">
        <v>6544289</v>
      </c>
      <c r="DN20" s="4" t="s">
        <v>236</v>
      </c>
      <c r="DO20" s="4"/>
      <c r="DP20" s="4"/>
      <c r="DQ20" s="4" t="s">
        <v>148</v>
      </c>
      <c r="DR20" s="4"/>
      <c r="DS20" s="4"/>
      <c r="DT20" s="4"/>
      <c r="DU20" s="4" t="s">
        <v>178</v>
      </c>
      <c r="DV20" s="4"/>
      <c r="DW20" s="5">
        <v>42076</v>
      </c>
      <c r="DX20" s="5">
        <v>42096</v>
      </c>
      <c r="DY20" s="5">
        <v>42101</v>
      </c>
      <c r="DZ20" s="5">
        <v>42101</v>
      </c>
      <c r="EA20" s="5">
        <v>42117</v>
      </c>
      <c r="EB20" s="5">
        <v>42117</v>
      </c>
      <c r="EC20" s="5">
        <v>42117</v>
      </c>
      <c r="ED20" s="5">
        <v>42117</v>
      </c>
      <c r="EE20" s="5">
        <v>42129</v>
      </c>
      <c r="EF20" s="5">
        <v>42129</v>
      </c>
      <c r="EG20" s="4"/>
      <c r="EH20" s="4"/>
      <c r="EI20" s="5">
        <v>41002</v>
      </c>
    </row>
    <row r="21" spans="1:139" hidden="1" x14ac:dyDescent="0.2">
      <c r="A21">
        <f>VLOOKUP(B21,Sheet1!$A$1:$B$18,2,FALSE)</f>
        <v>0</v>
      </c>
      <c r="B21" t="str">
        <f t="shared" si="0"/>
        <v>AKL</v>
      </c>
      <c r="C21" s="2">
        <v>20</v>
      </c>
      <c r="D21" s="3" t="str">
        <f>HYPERLINK("https://sitebase.nzcomms.co.nz/spm/spmnominalview/AKL-004-024/","AKL-004-024")</f>
        <v>AKL-004-024</v>
      </c>
      <c r="E21" s="4" t="s">
        <v>237</v>
      </c>
      <c r="F21" s="3" t="str">
        <f>HYPERLINK("https://sitebase.nzcomms.co.nz/spm/spmcandidateview/AKL-004-024-A/","AKL-004-024-A")</f>
        <v>AKL-004-024-A</v>
      </c>
      <c r="G21" s="4" t="s">
        <v>238</v>
      </c>
      <c r="H21" s="4" t="s">
        <v>138</v>
      </c>
      <c r="I21" s="4">
        <v>3</v>
      </c>
      <c r="J21" s="4" t="s">
        <v>180</v>
      </c>
      <c r="K21" s="4" t="s">
        <v>141</v>
      </c>
      <c r="L21" s="4" t="s">
        <v>150</v>
      </c>
      <c r="M21" s="4" t="s">
        <v>190</v>
      </c>
      <c r="N21" s="4" t="s">
        <v>224</v>
      </c>
      <c r="O21" s="4"/>
      <c r="P21" s="4" t="s">
        <v>182</v>
      </c>
      <c r="Q21" s="4" t="s">
        <v>170</v>
      </c>
      <c r="R21" s="4">
        <v>15</v>
      </c>
      <c r="S21" s="4">
        <v>15</v>
      </c>
      <c r="T21" s="4"/>
      <c r="U21" s="4">
        <v>-36.547812020000002</v>
      </c>
      <c r="V21" s="4">
        <v>174.69947567</v>
      </c>
      <c r="W21" s="4"/>
      <c r="X21" s="5">
        <v>40896</v>
      </c>
      <c r="Y21" s="4"/>
      <c r="Z21" s="4"/>
      <c r="AA21" s="4" t="s">
        <v>171</v>
      </c>
      <c r="AB21" s="3" t="str">
        <f>HYPERLINK("https://sitebase.nzcomms.co.nz/spm/spmcandidateview/AKL-004-046-C/","AKL-004-046-C")</f>
        <v>AKL-004-046-C</v>
      </c>
      <c r="AC21" s="4" t="b">
        <v>0</v>
      </c>
      <c r="AD21" s="4" t="b">
        <v>0</v>
      </c>
      <c r="AE21" s="4"/>
      <c r="AF21" s="4"/>
      <c r="AG21" s="4" t="b">
        <v>0</v>
      </c>
      <c r="AH21" s="4"/>
      <c r="AI21" s="5">
        <v>40968</v>
      </c>
      <c r="AJ21" s="5">
        <v>40968</v>
      </c>
      <c r="AK21" s="5">
        <v>40980</v>
      </c>
      <c r="AL21" s="5">
        <v>40977</v>
      </c>
      <c r="AM21" s="5">
        <v>41054</v>
      </c>
      <c r="AN21" s="5">
        <v>41066</v>
      </c>
      <c r="AO21" s="4">
        <v>1</v>
      </c>
      <c r="AP21" s="5">
        <v>41068</v>
      </c>
      <c r="AQ21" s="5">
        <v>41066</v>
      </c>
      <c r="AR21" s="5">
        <v>41166</v>
      </c>
      <c r="AS21" s="5">
        <v>41162</v>
      </c>
      <c r="AT21" s="5">
        <v>41242</v>
      </c>
      <c r="AU21" s="4"/>
      <c r="AV21" s="4">
        <v>1</v>
      </c>
      <c r="AW21" s="5">
        <v>41242</v>
      </c>
      <c r="AX21" s="4"/>
      <c r="AY21" s="4" t="s">
        <v>183</v>
      </c>
      <c r="AZ21" s="5">
        <v>41218</v>
      </c>
      <c r="BA21" s="5">
        <v>41219</v>
      </c>
      <c r="BB21" s="5">
        <v>41264</v>
      </c>
      <c r="BC21" s="5">
        <v>41260</v>
      </c>
      <c r="BD21" s="4">
        <v>1</v>
      </c>
      <c r="BE21" s="5">
        <v>41274</v>
      </c>
      <c r="BF21" s="5">
        <v>41262</v>
      </c>
      <c r="BG21" s="4"/>
      <c r="BH21" s="4"/>
      <c r="BI21" s="5">
        <v>41318</v>
      </c>
      <c r="BJ21" s="5">
        <v>41333</v>
      </c>
      <c r="BK21" s="4">
        <v>1</v>
      </c>
      <c r="BL21" s="4"/>
      <c r="BM21" s="5">
        <v>41318</v>
      </c>
      <c r="BN21" s="5">
        <v>41333</v>
      </c>
      <c r="BO21" s="5">
        <v>41313</v>
      </c>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t="s">
        <v>239</v>
      </c>
      <c r="CQ21" s="4"/>
      <c r="CR21" s="5">
        <v>41418</v>
      </c>
      <c r="CS21" s="5">
        <v>41282</v>
      </c>
      <c r="CT21" s="5">
        <v>41282</v>
      </c>
      <c r="CU21" s="5">
        <v>41309</v>
      </c>
      <c r="CV21" s="5">
        <v>41309</v>
      </c>
      <c r="CW21" s="5">
        <v>41313</v>
      </c>
      <c r="CX21" s="5">
        <v>41313</v>
      </c>
      <c r="CY21" s="5">
        <v>41410</v>
      </c>
      <c r="CZ21" s="4"/>
      <c r="DA21" s="4"/>
      <c r="DB21" s="4"/>
      <c r="DC21" s="4"/>
      <c r="DD21" s="4"/>
      <c r="DE21" s="4" t="s">
        <v>184</v>
      </c>
      <c r="DF21" s="4"/>
      <c r="DG21" s="4"/>
      <c r="DH21" s="4" t="s">
        <v>240</v>
      </c>
      <c r="DI21" s="4"/>
      <c r="DJ21" s="4" t="b">
        <v>0</v>
      </c>
      <c r="DK21" s="4"/>
      <c r="DL21" s="4">
        <v>2662615</v>
      </c>
      <c r="DM21" s="4">
        <v>6515657</v>
      </c>
      <c r="DN21" s="4" t="s">
        <v>241</v>
      </c>
      <c r="DO21" s="4" t="s">
        <v>242</v>
      </c>
      <c r="DP21" s="4" t="s">
        <v>243</v>
      </c>
      <c r="DQ21" s="4" t="s">
        <v>148</v>
      </c>
      <c r="DR21" s="4" t="s">
        <v>244</v>
      </c>
      <c r="DS21" s="4"/>
      <c r="DT21" s="4"/>
      <c r="DU21" s="4"/>
      <c r="DV21" s="4"/>
      <c r="DW21" s="4"/>
      <c r="DX21" s="4"/>
      <c r="DY21" s="4"/>
      <c r="DZ21" s="4"/>
      <c r="EA21" s="4"/>
      <c r="EB21" s="4"/>
      <c r="EC21" s="4"/>
      <c r="ED21" s="4"/>
      <c r="EE21" s="4"/>
      <c r="EF21" s="4"/>
      <c r="EG21" s="5">
        <v>41424</v>
      </c>
      <c r="EH21" s="4"/>
      <c r="EI21" s="4"/>
    </row>
    <row r="22" spans="1:139" hidden="1" x14ac:dyDescent="0.2">
      <c r="A22">
        <f>VLOOKUP(B22,Sheet1!$A$1:$B$18,2,FALSE)</f>
        <v>0</v>
      </c>
      <c r="B22" t="str">
        <f t="shared" si="0"/>
        <v>AKL</v>
      </c>
      <c r="C22" s="2">
        <v>21</v>
      </c>
      <c r="D22" s="3" t="str">
        <f>HYPERLINK("https://sitebase.nzcomms.co.nz/spm/spmnominalview/AKL-004-025/","AKL-004-025")</f>
        <v>AKL-004-025</v>
      </c>
      <c r="E22" s="4" t="s">
        <v>245</v>
      </c>
      <c r="F22" s="3" t="str">
        <f>HYPERLINK("https://sitebase.nzcomms.co.nz/spm/spmcandidateview/AKL-004-025-A/","AKL-004-025-A")</f>
        <v>AKL-004-025-A</v>
      </c>
      <c r="G22" s="4" t="s">
        <v>245</v>
      </c>
      <c r="H22" s="4" t="s">
        <v>138</v>
      </c>
      <c r="I22" s="4">
        <v>3</v>
      </c>
      <c r="J22" s="4" t="s">
        <v>180</v>
      </c>
      <c r="K22" s="4" t="s">
        <v>141</v>
      </c>
      <c r="L22" s="4" t="s">
        <v>150</v>
      </c>
      <c r="M22" s="4" t="s">
        <v>190</v>
      </c>
      <c r="N22" s="4" t="s">
        <v>246</v>
      </c>
      <c r="O22" s="4"/>
      <c r="P22" s="4" t="s">
        <v>169</v>
      </c>
      <c r="Q22" s="4"/>
      <c r="R22" s="4">
        <v>14.5</v>
      </c>
      <c r="S22" s="4">
        <v>15</v>
      </c>
      <c r="T22" s="4"/>
      <c r="U22" s="4">
        <v>-36.581639420000002</v>
      </c>
      <c r="V22" s="4">
        <v>174.67441402</v>
      </c>
      <c r="W22" s="4"/>
      <c r="X22" s="5">
        <v>40896</v>
      </c>
      <c r="Y22" s="4"/>
      <c r="Z22" s="4"/>
      <c r="AA22" s="4" t="s">
        <v>171</v>
      </c>
      <c r="AB22" s="3" t="str">
        <f>HYPERLINK("https://sitebase.nzcomms.co.nz/spm/spmcandidateview/AKL-004-041-B/","AKL-004-041-B")</f>
        <v>AKL-004-041-B</v>
      </c>
      <c r="AC22" s="4" t="b">
        <v>0</v>
      </c>
      <c r="AD22" s="4" t="b">
        <v>0</v>
      </c>
      <c r="AE22" s="4"/>
      <c r="AF22" s="4"/>
      <c r="AG22" s="4" t="b">
        <v>0</v>
      </c>
      <c r="AH22" s="4"/>
      <c r="AI22" s="5">
        <v>40968</v>
      </c>
      <c r="AJ22" s="5">
        <v>40968</v>
      </c>
      <c r="AK22" s="5">
        <v>41025</v>
      </c>
      <c r="AL22" s="5">
        <v>41025</v>
      </c>
      <c r="AM22" s="5">
        <v>41071</v>
      </c>
      <c r="AN22" s="5">
        <v>41066</v>
      </c>
      <c r="AO22" s="4">
        <v>8</v>
      </c>
      <c r="AP22" s="5">
        <v>41149</v>
      </c>
      <c r="AQ22" s="5">
        <v>41348</v>
      </c>
      <c r="AR22" s="5">
        <v>41250</v>
      </c>
      <c r="AS22" s="5">
        <v>41289</v>
      </c>
      <c r="AT22" s="5">
        <v>41394</v>
      </c>
      <c r="AU22" s="4"/>
      <c r="AV22" s="4"/>
      <c r="AW22" s="5">
        <v>41394</v>
      </c>
      <c r="AX22" s="4"/>
      <c r="AY22" s="4" t="s">
        <v>247</v>
      </c>
      <c r="AZ22" s="5">
        <v>41395</v>
      </c>
      <c r="BA22" s="4"/>
      <c r="BB22" s="5">
        <v>41425</v>
      </c>
      <c r="BC22" s="4"/>
      <c r="BD22" s="4"/>
      <c r="BE22" s="5">
        <v>41428</v>
      </c>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t="s">
        <v>248</v>
      </c>
      <c r="CQ22" s="4"/>
      <c r="CR22" s="4"/>
      <c r="CS22" s="4"/>
      <c r="CT22" s="4"/>
      <c r="CU22" s="4"/>
      <c r="CV22" s="4"/>
      <c r="CW22" s="4"/>
      <c r="CX22" s="4"/>
      <c r="CY22" s="4"/>
      <c r="CZ22" s="4"/>
      <c r="DA22" s="4"/>
      <c r="DB22" s="4"/>
      <c r="DC22" s="4"/>
      <c r="DD22" s="4"/>
      <c r="DE22" s="4" t="s">
        <v>184</v>
      </c>
      <c r="DF22" s="4"/>
      <c r="DG22" s="4"/>
      <c r="DH22" s="4" t="s">
        <v>240</v>
      </c>
      <c r="DI22" s="4"/>
      <c r="DJ22" s="4" t="b">
        <v>1</v>
      </c>
      <c r="DK22" s="4"/>
      <c r="DL22" s="4">
        <v>2660298</v>
      </c>
      <c r="DM22" s="4">
        <v>6511948</v>
      </c>
      <c r="DN22" s="4" t="s">
        <v>249</v>
      </c>
      <c r="DO22" s="4"/>
      <c r="DP22" s="4"/>
      <c r="DQ22" s="4"/>
      <c r="DR22" s="4"/>
      <c r="DS22" s="4"/>
      <c r="DT22" s="4"/>
      <c r="DU22" s="4"/>
      <c r="DV22" s="4"/>
      <c r="DW22" s="4"/>
      <c r="DX22" s="4"/>
      <c r="DY22" s="4"/>
      <c r="DZ22" s="4"/>
      <c r="EA22" s="4"/>
      <c r="EB22" s="4"/>
      <c r="EC22" s="4"/>
      <c r="ED22" s="4"/>
      <c r="EE22" s="4"/>
      <c r="EF22" s="4"/>
      <c r="EG22" s="4"/>
      <c r="EH22" s="4"/>
      <c r="EI22" s="4"/>
    </row>
    <row r="23" spans="1:139" hidden="1" x14ac:dyDescent="0.2">
      <c r="A23">
        <f>VLOOKUP(B23,Sheet1!$A$1:$B$18,2,FALSE)</f>
        <v>0</v>
      </c>
      <c r="B23" t="str">
        <f t="shared" si="0"/>
        <v>AKL</v>
      </c>
      <c r="C23" s="2">
        <v>22</v>
      </c>
      <c r="D23" s="3" t="str">
        <f>HYPERLINK("https://sitebase.nzcomms.co.nz/spm/spmnominalview/AKL-004-026/","AKL-004-026")</f>
        <v>AKL-004-026</v>
      </c>
      <c r="E23" s="4"/>
      <c r="F23" s="4"/>
      <c r="G23" s="4"/>
      <c r="H23" s="4" t="s">
        <v>138</v>
      </c>
      <c r="I23" s="4"/>
      <c r="J23" s="4" t="s">
        <v>196</v>
      </c>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row>
    <row r="24" spans="1:139" hidden="1" x14ac:dyDescent="0.2">
      <c r="A24">
        <f>VLOOKUP(B24,Sheet1!$A$1:$B$18,2,FALSE)</f>
        <v>0</v>
      </c>
      <c r="B24" t="str">
        <f t="shared" si="0"/>
        <v>AKL</v>
      </c>
      <c r="C24" s="2">
        <v>23</v>
      </c>
      <c r="D24" s="3" t="str">
        <f>HYPERLINK("https://sitebase.nzcomms.co.nz/spm/spmnominalview/AKL-004-027/","AKL-004-027")</f>
        <v>AKL-004-027</v>
      </c>
      <c r="E24" s="4"/>
      <c r="F24" s="4"/>
      <c r="G24" s="4"/>
      <c r="H24" s="4" t="s">
        <v>138</v>
      </c>
      <c r="I24" s="4"/>
      <c r="J24" s="4" t="s">
        <v>196</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row>
    <row r="25" spans="1:139" hidden="1" x14ac:dyDescent="0.2">
      <c r="A25">
        <f>VLOOKUP(B25,Sheet1!$A$1:$B$18,2,FALSE)</f>
        <v>0</v>
      </c>
      <c r="B25" t="str">
        <f t="shared" si="0"/>
        <v>AKL</v>
      </c>
      <c r="C25" s="2">
        <v>24</v>
      </c>
      <c r="D25" s="3" t="str">
        <f>HYPERLINK("https://sitebase.nzcomms.co.nz/spm/spmnominalview/AKL-004-028/","AKL-004-028")</f>
        <v>AKL-004-028</v>
      </c>
      <c r="E25" s="4" t="s">
        <v>250</v>
      </c>
      <c r="F25" s="3" t="str">
        <f>HYPERLINK("https://sitebase.nzcomms.co.nz/spm/spmcandidateview/AKL-004-028-A/","AKL-004-028-A")</f>
        <v>AKL-004-028-A</v>
      </c>
      <c r="G25" s="4" t="s">
        <v>251</v>
      </c>
      <c r="H25" s="4" t="s">
        <v>138</v>
      </c>
      <c r="I25" s="4">
        <v>23</v>
      </c>
      <c r="J25" s="4" t="s">
        <v>165</v>
      </c>
      <c r="K25" s="4" t="s">
        <v>141</v>
      </c>
      <c r="L25" s="4" t="s">
        <v>142</v>
      </c>
      <c r="M25" s="4" t="s">
        <v>190</v>
      </c>
      <c r="N25" s="4" t="s">
        <v>142</v>
      </c>
      <c r="O25" s="4"/>
      <c r="P25" s="4" t="s">
        <v>169</v>
      </c>
      <c r="Q25" s="4" t="s">
        <v>142</v>
      </c>
      <c r="R25" s="4"/>
      <c r="S25" s="4"/>
      <c r="T25" s="4"/>
      <c r="U25" s="4">
        <v>-36.63316313</v>
      </c>
      <c r="V25" s="4">
        <v>174.57720040000001</v>
      </c>
      <c r="W25" s="4"/>
      <c r="X25" s="4"/>
      <c r="Y25" s="4"/>
      <c r="Z25" s="4"/>
      <c r="AA25" s="4" t="s">
        <v>217</v>
      </c>
      <c r="AB25" s="3" t="str">
        <f>HYPERLINK("https://sitebase.nzcomms.co.nz/spm/spmcandidateview/AKL-004-059-A/","AKL-004-059-A")</f>
        <v>AKL-004-059-A</v>
      </c>
      <c r="AC25" s="4" t="b">
        <v>0</v>
      </c>
      <c r="AD25" s="4" t="b">
        <v>0</v>
      </c>
      <c r="AE25" s="4"/>
      <c r="AF25" s="4"/>
      <c r="AG25" s="4" t="b">
        <v>0</v>
      </c>
      <c r="AH25" s="4"/>
      <c r="AI25" s="5">
        <v>42107</v>
      </c>
      <c r="AJ25" s="5">
        <v>42066</v>
      </c>
      <c r="AK25" s="5">
        <v>42110</v>
      </c>
      <c r="AL25" s="5">
        <v>42074</v>
      </c>
      <c r="AM25" s="5">
        <v>42109</v>
      </c>
      <c r="AN25" s="5">
        <v>42142</v>
      </c>
      <c r="AO25" s="4">
        <v>2</v>
      </c>
      <c r="AP25" s="5">
        <v>42111</v>
      </c>
      <c r="AQ25" s="5">
        <v>42410</v>
      </c>
      <c r="AR25" s="5">
        <v>42181</v>
      </c>
      <c r="AS25" s="5">
        <v>42166</v>
      </c>
      <c r="AT25" s="5">
        <v>42254</v>
      </c>
      <c r="AU25" s="5">
        <v>42241</v>
      </c>
      <c r="AV25" s="4"/>
      <c r="AW25" s="5">
        <v>42277</v>
      </c>
      <c r="AX25" s="5">
        <v>42241</v>
      </c>
      <c r="AY25" s="4" t="s">
        <v>203</v>
      </c>
      <c r="AZ25" s="5">
        <v>42191</v>
      </c>
      <c r="BA25" s="5">
        <v>42185</v>
      </c>
      <c r="BB25" s="5">
        <v>42223</v>
      </c>
      <c r="BC25" s="5">
        <v>42221</v>
      </c>
      <c r="BD25" s="4">
        <v>1</v>
      </c>
      <c r="BE25" s="5">
        <v>42223</v>
      </c>
      <c r="BF25" s="5">
        <v>42221</v>
      </c>
      <c r="BG25" s="5">
        <v>42247</v>
      </c>
      <c r="BH25" s="5">
        <v>42240</v>
      </c>
      <c r="BI25" s="5">
        <v>42279</v>
      </c>
      <c r="BJ25" s="5">
        <v>42271</v>
      </c>
      <c r="BK25" s="4">
        <v>1</v>
      </c>
      <c r="BL25" s="4"/>
      <c r="BM25" s="5">
        <v>42279</v>
      </c>
      <c r="BN25" s="5">
        <v>42271</v>
      </c>
      <c r="BO25" s="4"/>
      <c r="BP25" s="4"/>
      <c r="BQ25" s="4"/>
      <c r="BR25" s="4"/>
      <c r="BS25" s="4"/>
      <c r="BT25" s="5">
        <v>42324</v>
      </c>
      <c r="BU25" s="5">
        <v>42325</v>
      </c>
      <c r="BV25" s="5">
        <v>42347</v>
      </c>
      <c r="BW25" s="5">
        <v>42349</v>
      </c>
      <c r="BX25" s="4"/>
      <c r="BY25" s="4"/>
      <c r="BZ25" s="4"/>
      <c r="CA25" s="4"/>
      <c r="CB25" s="4"/>
      <c r="CC25" s="4"/>
      <c r="CD25" s="4"/>
      <c r="CE25" s="4"/>
      <c r="CF25" s="4"/>
      <c r="CG25" s="4"/>
      <c r="CH25" s="4"/>
      <c r="CI25" s="4"/>
      <c r="CJ25" s="5">
        <v>42452</v>
      </c>
      <c r="CK25" s="4"/>
      <c r="CL25" s="4"/>
      <c r="CM25" s="4"/>
      <c r="CN25" s="4"/>
      <c r="CO25" s="4"/>
      <c r="CP25" s="4" t="s">
        <v>252</v>
      </c>
      <c r="CQ25" s="4" t="s">
        <v>230</v>
      </c>
      <c r="CR25" s="4"/>
      <c r="CS25" s="4"/>
      <c r="CT25" s="4"/>
      <c r="CU25" s="4"/>
      <c r="CV25" s="4"/>
      <c r="CW25" s="4"/>
      <c r="CX25" s="4"/>
      <c r="CY25" s="4"/>
      <c r="CZ25" s="4"/>
      <c r="DA25" s="5">
        <v>42352</v>
      </c>
      <c r="DB25" s="5">
        <v>42353</v>
      </c>
      <c r="DC25" s="4"/>
      <c r="DD25" s="4"/>
      <c r="DE25" s="4"/>
      <c r="DF25" s="4"/>
      <c r="DG25" s="4"/>
      <c r="DH25" s="4" t="s">
        <v>174</v>
      </c>
      <c r="DI25" s="4"/>
      <c r="DJ25" s="4" t="b">
        <v>1</v>
      </c>
      <c r="DK25" s="4"/>
      <c r="DL25" s="4">
        <v>2651493</v>
      </c>
      <c r="DM25" s="4">
        <v>6506397</v>
      </c>
      <c r="DN25" s="4" t="s">
        <v>253</v>
      </c>
      <c r="DO25" s="4"/>
      <c r="DP25" s="4" t="s">
        <v>254</v>
      </c>
      <c r="DQ25" s="4" t="s">
        <v>148</v>
      </c>
      <c r="DR25" s="4" t="s">
        <v>255</v>
      </c>
      <c r="DS25" s="4"/>
      <c r="DT25" s="4"/>
      <c r="DU25" s="4" t="s">
        <v>178</v>
      </c>
      <c r="DV25" s="4"/>
      <c r="DW25" s="4"/>
      <c r="DX25" s="5">
        <v>42289</v>
      </c>
      <c r="DY25" s="5">
        <v>42279</v>
      </c>
      <c r="DZ25" s="5">
        <v>42286</v>
      </c>
      <c r="EA25" s="4"/>
      <c r="EB25" s="4"/>
      <c r="EC25" s="4"/>
      <c r="ED25" s="4"/>
      <c r="EE25" s="5">
        <v>42314</v>
      </c>
      <c r="EF25" s="5">
        <v>42310</v>
      </c>
      <c r="EG25" s="4"/>
      <c r="EH25" s="4"/>
      <c r="EI25" s="5">
        <v>42074</v>
      </c>
    </row>
    <row r="26" spans="1:139" hidden="1" x14ac:dyDescent="0.2">
      <c r="A26">
        <f>VLOOKUP(B26,Sheet1!$A$1:$B$18,2,FALSE)</f>
        <v>0</v>
      </c>
      <c r="B26" t="str">
        <f t="shared" si="0"/>
        <v>AKL</v>
      </c>
      <c r="C26" s="2">
        <v>25</v>
      </c>
      <c r="D26" s="3" t="str">
        <f>HYPERLINK("https://sitebase.nzcomms.co.nz/spm/spmnominalview/AKL-004-029/","AKL-004-029")</f>
        <v>AKL-004-029</v>
      </c>
      <c r="E26" s="4" t="s">
        <v>256</v>
      </c>
      <c r="F26" s="3" t="str">
        <f>HYPERLINK("https://sitebase.nzcomms.co.nz/spm/spmcandidateview/AKL-004-029-A/","AKL-004-029-A")</f>
        <v>AKL-004-029-A</v>
      </c>
      <c r="G26" s="4" t="s">
        <v>257</v>
      </c>
      <c r="H26" s="4" t="s">
        <v>138</v>
      </c>
      <c r="I26" s="4">
        <v>3</v>
      </c>
      <c r="J26" s="4" t="s">
        <v>180</v>
      </c>
      <c r="K26" s="4" t="s">
        <v>141</v>
      </c>
      <c r="L26" s="4" t="s">
        <v>150</v>
      </c>
      <c r="M26" s="4" t="s">
        <v>190</v>
      </c>
      <c r="N26" s="4" t="s">
        <v>224</v>
      </c>
      <c r="O26" s="4"/>
      <c r="P26" s="4" t="s">
        <v>182</v>
      </c>
      <c r="Q26" s="4" t="s">
        <v>192</v>
      </c>
      <c r="R26" s="4">
        <v>14.5</v>
      </c>
      <c r="S26" s="4">
        <v>15</v>
      </c>
      <c r="T26" s="4"/>
      <c r="U26" s="4">
        <v>-36.625940800000002</v>
      </c>
      <c r="V26" s="4">
        <v>174.6616128</v>
      </c>
      <c r="W26" s="4"/>
      <c r="X26" s="5">
        <v>41061</v>
      </c>
      <c r="Y26" s="4"/>
      <c r="Z26" s="4"/>
      <c r="AA26" s="4" t="s">
        <v>171</v>
      </c>
      <c r="AB26" s="3" t="str">
        <f>HYPERLINK("https://sitebase.nzcomms.co.nz/spm/spmcandidateview/AKL-004-042-B/","AKL-004-042-B")</f>
        <v>AKL-004-042-B</v>
      </c>
      <c r="AC26" s="4" t="b">
        <v>0</v>
      </c>
      <c r="AD26" s="4" t="b">
        <v>0</v>
      </c>
      <c r="AE26" s="4"/>
      <c r="AF26" s="4"/>
      <c r="AG26" s="4" t="b">
        <v>0</v>
      </c>
      <c r="AH26" s="4"/>
      <c r="AI26" s="5">
        <v>41116</v>
      </c>
      <c r="AJ26" s="5">
        <v>41116</v>
      </c>
      <c r="AK26" s="5">
        <v>41121</v>
      </c>
      <c r="AL26" s="5">
        <v>41120</v>
      </c>
      <c r="AM26" s="5">
        <v>41157</v>
      </c>
      <c r="AN26" s="5">
        <v>41162</v>
      </c>
      <c r="AO26" s="4">
        <v>1</v>
      </c>
      <c r="AP26" s="5">
        <v>41157</v>
      </c>
      <c r="AQ26" s="5">
        <v>41162</v>
      </c>
      <c r="AR26" s="5">
        <v>41206</v>
      </c>
      <c r="AS26" s="5">
        <v>41206</v>
      </c>
      <c r="AT26" s="5">
        <v>41229</v>
      </c>
      <c r="AU26" s="5">
        <v>41229</v>
      </c>
      <c r="AV26" s="4">
        <v>1</v>
      </c>
      <c r="AW26" s="5">
        <v>41229</v>
      </c>
      <c r="AX26" s="5">
        <v>41229</v>
      </c>
      <c r="AY26" s="4" t="s">
        <v>172</v>
      </c>
      <c r="AZ26" s="5">
        <v>41218</v>
      </c>
      <c r="BA26" s="5">
        <v>41219</v>
      </c>
      <c r="BB26" s="5">
        <v>41246</v>
      </c>
      <c r="BC26" s="5">
        <v>41247</v>
      </c>
      <c r="BD26" s="4">
        <v>1</v>
      </c>
      <c r="BE26" s="5">
        <v>41246</v>
      </c>
      <c r="BF26" s="5">
        <v>41247</v>
      </c>
      <c r="BG26" s="4"/>
      <c r="BH26" s="4"/>
      <c r="BI26" s="5">
        <v>41298</v>
      </c>
      <c r="BJ26" s="5">
        <v>41303</v>
      </c>
      <c r="BK26" s="4">
        <v>1</v>
      </c>
      <c r="BL26" s="4"/>
      <c r="BM26" s="5">
        <v>41298</v>
      </c>
      <c r="BN26" s="5">
        <v>41303</v>
      </c>
      <c r="BO26" s="5">
        <v>41309</v>
      </c>
      <c r="BP26" s="4"/>
      <c r="BQ26" s="4"/>
      <c r="BR26" s="5">
        <v>41291</v>
      </c>
      <c r="BS26" s="4"/>
      <c r="BT26" s="5">
        <v>41323</v>
      </c>
      <c r="BU26" s="5">
        <v>41320</v>
      </c>
      <c r="BV26" s="5">
        <v>41341</v>
      </c>
      <c r="BW26" s="5">
        <v>41337</v>
      </c>
      <c r="BX26" s="5">
        <v>41327</v>
      </c>
      <c r="BY26" s="5">
        <v>41348</v>
      </c>
      <c r="BZ26" s="5">
        <v>41347</v>
      </c>
      <c r="CA26" s="4"/>
      <c r="CB26" s="4"/>
      <c r="CC26" s="4"/>
      <c r="CD26" s="4"/>
      <c r="CE26" s="4"/>
      <c r="CF26" s="4"/>
      <c r="CG26" s="4"/>
      <c r="CH26" s="4"/>
      <c r="CI26" s="5">
        <v>41347</v>
      </c>
      <c r="CJ26" s="5">
        <v>41376</v>
      </c>
      <c r="CK26" s="5">
        <v>41373</v>
      </c>
      <c r="CL26" s="5">
        <v>41389</v>
      </c>
      <c r="CM26" s="5">
        <v>41388</v>
      </c>
      <c r="CN26" s="5">
        <v>41501</v>
      </c>
      <c r="CO26" s="5">
        <v>41509</v>
      </c>
      <c r="CP26" s="4"/>
      <c r="CQ26" s="4"/>
      <c r="CR26" s="5">
        <v>41348</v>
      </c>
      <c r="CS26" s="5">
        <v>41282</v>
      </c>
      <c r="CT26" s="5">
        <v>41282</v>
      </c>
      <c r="CU26" s="5">
        <v>41311</v>
      </c>
      <c r="CV26" s="5">
        <v>41311</v>
      </c>
      <c r="CW26" s="5">
        <v>41309</v>
      </c>
      <c r="CX26" s="5">
        <v>41309</v>
      </c>
      <c r="CY26" s="5">
        <v>41366</v>
      </c>
      <c r="CZ26" s="5">
        <v>41360</v>
      </c>
      <c r="DA26" s="5">
        <v>41369</v>
      </c>
      <c r="DB26" s="5">
        <v>41368</v>
      </c>
      <c r="DC26" s="4"/>
      <c r="DD26" s="4"/>
      <c r="DE26" s="4" t="s">
        <v>194</v>
      </c>
      <c r="DF26" s="4"/>
      <c r="DG26" s="4"/>
      <c r="DH26" s="4" t="s">
        <v>174</v>
      </c>
      <c r="DI26" s="5">
        <v>41327</v>
      </c>
      <c r="DJ26" s="4" t="b">
        <v>1</v>
      </c>
      <c r="DK26" s="4"/>
      <c r="DL26" s="4">
        <v>2659057</v>
      </c>
      <c r="DM26" s="4">
        <v>6507055</v>
      </c>
      <c r="DN26" s="4" t="s">
        <v>258</v>
      </c>
      <c r="DO26" s="4"/>
      <c r="DP26" s="4" t="s">
        <v>259</v>
      </c>
      <c r="DQ26" s="4" t="s">
        <v>148</v>
      </c>
      <c r="DR26" s="4"/>
      <c r="DS26" s="4"/>
      <c r="DT26" s="4"/>
      <c r="DU26" s="4"/>
      <c r="DV26" s="4"/>
      <c r="DW26" s="4"/>
      <c r="DX26" s="4"/>
      <c r="DY26" s="4"/>
      <c r="DZ26" s="4"/>
      <c r="EA26" s="4"/>
      <c r="EB26" s="4"/>
      <c r="EC26" s="4"/>
      <c r="ED26" s="4"/>
      <c r="EE26" s="4"/>
      <c r="EF26" s="4"/>
      <c r="EG26" s="5">
        <v>41369</v>
      </c>
      <c r="EH26" s="5">
        <v>41369</v>
      </c>
      <c r="EI26" s="4"/>
    </row>
    <row r="27" spans="1:139" hidden="1" x14ac:dyDescent="0.2">
      <c r="A27">
        <f>VLOOKUP(B27,Sheet1!$A$1:$B$18,2,FALSE)</f>
        <v>0</v>
      </c>
      <c r="B27" t="str">
        <f t="shared" si="0"/>
        <v>AKL</v>
      </c>
      <c r="C27" s="2">
        <v>26</v>
      </c>
      <c r="D27" s="3" t="str">
        <f>HYPERLINK("https://sitebase.nzcomms.co.nz/spm/spmnominalview/AKL-004-036/","AKL-004-036")</f>
        <v>AKL-004-036</v>
      </c>
      <c r="E27" s="4" t="s">
        <v>260</v>
      </c>
      <c r="F27" s="3" t="str">
        <f>HYPERLINK("https://sitebase.nzcomms.co.nz/spm/spmcandidateview/AKL-004-036-C/","AKL-004-036-C")</f>
        <v>AKL-004-036-C</v>
      </c>
      <c r="G27" s="4" t="s">
        <v>260</v>
      </c>
      <c r="H27" s="4" t="s">
        <v>138</v>
      </c>
      <c r="I27" s="4">
        <v>3</v>
      </c>
      <c r="J27" s="4" t="s">
        <v>180</v>
      </c>
      <c r="K27" s="4" t="s">
        <v>141</v>
      </c>
      <c r="L27" s="4" t="s">
        <v>150</v>
      </c>
      <c r="M27" s="4" t="s">
        <v>190</v>
      </c>
      <c r="N27" s="4" t="s">
        <v>216</v>
      </c>
      <c r="O27" s="4"/>
      <c r="P27" s="4" t="s">
        <v>182</v>
      </c>
      <c r="Q27" s="4" t="s">
        <v>170</v>
      </c>
      <c r="R27" s="4"/>
      <c r="S27" s="4">
        <v>20</v>
      </c>
      <c r="T27" s="4"/>
      <c r="U27" s="4">
        <v>-36.656588820000003</v>
      </c>
      <c r="V27" s="4">
        <v>174.66479050000001</v>
      </c>
      <c r="W27" s="4"/>
      <c r="X27" s="5">
        <v>41061</v>
      </c>
      <c r="Y27" s="4"/>
      <c r="Z27" s="5">
        <v>40274</v>
      </c>
      <c r="AA27" s="4" t="s">
        <v>145</v>
      </c>
      <c r="AB27" s="3" t="str">
        <f>HYPERLINK("https://sitebase.nzcomms.co.nz/spm/spmcandidateview/AKL-005-078-A/","AKL-005-078-A")</f>
        <v>AKL-005-078-A</v>
      </c>
      <c r="AC27" s="4" t="b">
        <v>1</v>
      </c>
      <c r="AD27" s="4" t="b">
        <v>1</v>
      </c>
      <c r="AE27" s="5">
        <v>40252</v>
      </c>
      <c r="AF27" s="4"/>
      <c r="AG27" s="4" t="b">
        <v>0</v>
      </c>
      <c r="AH27" s="4"/>
      <c r="AI27" s="5">
        <v>41108</v>
      </c>
      <c r="AJ27" s="5">
        <v>41108</v>
      </c>
      <c r="AK27" s="5">
        <v>41140</v>
      </c>
      <c r="AL27" s="5">
        <v>41137</v>
      </c>
      <c r="AM27" s="5">
        <v>41176</v>
      </c>
      <c r="AN27" s="5">
        <v>41176</v>
      </c>
      <c r="AO27" s="4">
        <v>1</v>
      </c>
      <c r="AP27" s="5">
        <v>41176</v>
      </c>
      <c r="AQ27" s="5">
        <v>41176</v>
      </c>
      <c r="AR27" s="5">
        <v>41201</v>
      </c>
      <c r="AS27" s="5">
        <v>41204</v>
      </c>
      <c r="AT27" s="5">
        <v>41236</v>
      </c>
      <c r="AU27" s="5">
        <v>41239</v>
      </c>
      <c r="AV27" s="4">
        <v>1</v>
      </c>
      <c r="AW27" s="5">
        <v>41243</v>
      </c>
      <c r="AX27" s="5">
        <v>41239</v>
      </c>
      <c r="AY27" s="4" t="s">
        <v>247</v>
      </c>
      <c r="AZ27" s="5">
        <v>41213</v>
      </c>
      <c r="BA27" s="5">
        <v>41214</v>
      </c>
      <c r="BB27" s="5">
        <v>41243</v>
      </c>
      <c r="BC27" s="5">
        <v>41246</v>
      </c>
      <c r="BD27" s="4">
        <v>1</v>
      </c>
      <c r="BE27" s="5">
        <v>41269</v>
      </c>
      <c r="BF27" s="5">
        <v>41246</v>
      </c>
      <c r="BG27" s="4"/>
      <c r="BH27" s="4"/>
      <c r="BI27" s="5">
        <v>41312</v>
      </c>
      <c r="BJ27" s="5">
        <v>41313</v>
      </c>
      <c r="BK27" s="4">
        <v>1</v>
      </c>
      <c r="BL27" s="4"/>
      <c r="BM27" s="5">
        <v>41312</v>
      </c>
      <c r="BN27" s="5">
        <v>41313</v>
      </c>
      <c r="BO27" s="5">
        <v>41289</v>
      </c>
      <c r="BP27" s="4"/>
      <c r="BQ27" s="4"/>
      <c r="BR27" s="4"/>
      <c r="BS27" s="4"/>
      <c r="BT27" s="5">
        <v>41309</v>
      </c>
      <c r="BU27" s="5">
        <v>41309</v>
      </c>
      <c r="BV27" s="5">
        <v>41324</v>
      </c>
      <c r="BW27" s="5">
        <v>41324</v>
      </c>
      <c r="BX27" s="5">
        <v>41323</v>
      </c>
      <c r="BY27" s="5">
        <v>41374</v>
      </c>
      <c r="BZ27" s="5">
        <v>41375</v>
      </c>
      <c r="CA27" s="5">
        <v>41372</v>
      </c>
      <c r="CB27" s="5">
        <v>41369</v>
      </c>
      <c r="CC27" s="4"/>
      <c r="CD27" s="4"/>
      <c r="CE27" s="4"/>
      <c r="CF27" s="4"/>
      <c r="CG27" s="4"/>
      <c r="CH27" s="4"/>
      <c r="CI27" s="5">
        <v>41374</v>
      </c>
      <c r="CJ27" s="5">
        <v>41383</v>
      </c>
      <c r="CK27" s="5">
        <v>41381</v>
      </c>
      <c r="CL27" s="5">
        <v>41389</v>
      </c>
      <c r="CM27" s="5">
        <v>41388</v>
      </c>
      <c r="CN27" s="5">
        <v>41517</v>
      </c>
      <c r="CO27" s="5">
        <v>41557</v>
      </c>
      <c r="CP27" s="4"/>
      <c r="CQ27" s="4"/>
      <c r="CR27" s="5">
        <v>41374</v>
      </c>
      <c r="CS27" s="5">
        <v>41281</v>
      </c>
      <c r="CT27" s="5">
        <v>41281</v>
      </c>
      <c r="CU27" s="5">
        <v>41282</v>
      </c>
      <c r="CV27" s="5">
        <v>41282</v>
      </c>
      <c r="CW27" s="5">
        <v>41289</v>
      </c>
      <c r="CX27" s="5">
        <v>41289</v>
      </c>
      <c r="CY27" s="5">
        <v>41361</v>
      </c>
      <c r="CZ27" s="5">
        <v>41360</v>
      </c>
      <c r="DA27" s="5">
        <v>41376</v>
      </c>
      <c r="DB27" s="5">
        <v>41375</v>
      </c>
      <c r="DC27" s="4"/>
      <c r="DD27" s="4"/>
      <c r="DE27" s="4" t="s">
        <v>194</v>
      </c>
      <c r="DF27" s="5">
        <v>41366</v>
      </c>
      <c r="DG27" s="5">
        <v>41368</v>
      </c>
      <c r="DH27" s="4" t="s">
        <v>174</v>
      </c>
      <c r="DI27" s="5">
        <v>41323</v>
      </c>
      <c r="DJ27" s="4" t="b">
        <v>0</v>
      </c>
      <c r="DK27" s="4"/>
      <c r="DL27" s="4">
        <v>2659275</v>
      </c>
      <c r="DM27" s="4">
        <v>6503649</v>
      </c>
      <c r="DN27" s="4" t="s">
        <v>261</v>
      </c>
      <c r="DO27" s="4"/>
      <c r="DP27" s="4"/>
      <c r="DQ27" s="4" t="s">
        <v>148</v>
      </c>
      <c r="DR27" s="4"/>
      <c r="DS27" s="4"/>
      <c r="DT27" s="4"/>
      <c r="DU27" s="4"/>
      <c r="DV27" s="4"/>
      <c r="DW27" s="4"/>
      <c r="DX27" s="4"/>
      <c r="DY27" s="4"/>
      <c r="DZ27" s="4"/>
      <c r="EA27" s="4"/>
      <c r="EB27" s="4"/>
      <c r="EC27" s="4"/>
      <c r="ED27" s="4"/>
      <c r="EE27" s="4"/>
      <c r="EF27" s="4"/>
      <c r="EG27" s="5">
        <v>41376</v>
      </c>
      <c r="EH27" s="5">
        <v>41376</v>
      </c>
      <c r="EI27" s="4"/>
    </row>
    <row r="28" spans="1:139" hidden="1" x14ac:dyDescent="0.2">
      <c r="A28">
        <f>VLOOKUP(B28,Sheet1!$A$1:$B$18,2,FALSE)</f>
        <v>0</v>
      </c>
      <c r="B28" t="str">
        <f t="shared" si="0"/>
        <v>AKL</v>
      </c>
      <c r="C28" s="2">
        <v>27</v>
      </c>
      <c r="D28" s="3" t="str">
        <f>HYPERLINK("https://sitebase.nzcomms.co.nz/spm/spmnominalview/AKL-004-037/","AKL-004-037")</f>
        <v>AKL-004-037</v>
      </c>
      <c r="E28" s="4" t="s">
        <v>262</v>
      </c>
      <c r="F28" s="4"/>
      <c r="G28" s="4"/>
      <c r="H28" s="4" t="s">
        <v>138</v>
      </c>
      <c r="I28" s="4"/>
      <c r="J28" s="4" t="s">
        <v>196</v>
      </c>
      <c r="K28" s="4"/>
      <c r="L28" s="4"/>
      <c r="M28" s="4"/>
      <c r="N28" s="4"/>
      <c r="O28" s="4"/>
      <c r="P28" s="4"/>
      <c r="Q28" s="4"/>
      <c r="R28" s="4"/>
      <c r="S28" s="4"/>
      <c r="T28" s="4"/>
      <c r="U28" s="4"/>
      <c r="V28" s="4"/>
      <c r="W28" s="4"/>
      <c r="X28" s="4"/>
      <c r="Y28" s="4"/>
      <c r="Z28" s="4"/>
      <c r="AA28" s="4"/>
      <c r="AB28" s="4"/>
      <c r="AC28" s="4"/>
      <c r="AD28" s="4"/>
      <c r="AE28" s="4"/>
      <c r="AF28" s="4"/>
      <c r="AG28" s="4" t="b">
        <v>0</v>
      </c>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t="s">
        <v>263</v>
      </c>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row>
    <row r="29" spans="1:139" hidden="1" x14ac:dyDescent="0.2">
      <c r="A29">
        <f>VLOOKUP(B29,Sheet1!$A$1:$B$18,2,FALSE)</f>
        <v>0</v>
      </c>
      <c r="B29" t="str">
        <f t="shared" si="0"/>
        <v>AKL</v>
      </c>
      <c r="C29" s="2">
        <v>28</v>
      </c>
      <c r="D29" s="3" t="str">
        <f>HYPERLINK("https://sitebase.nzcomms.co.nz/spm/spmnominalview/AKL-004-038/","AKL-004-038")</f>
        <v>AKL-004-038</v>
      </c>
      <c r="E29" s="4" t="s">
        <v>264</v>
      </c>
      <c r="F29" s="4"/>
      <c r="G29" s="4"/>
      <c r="H29" s="4" t="s">
        <v>138</v>
      </c>
      <c r="I29" s="4"/>
      <c r="J29" s="4" t="s">
        <v>196</v>
      </c>
      <c r="K29" s="4"/>
      <c r="L29" s="4"/>
      <c r="M29" s="4"/>
      <c r="N29" s="4"/>
      <c r="O29" s="4"/>
      <c r="P29" s="4"/>
      <c r="Q29" s="4"/>
      <c r="R29" s="4"/>
      <c r="S29" s="4"/>
      <c r="T29" s="4"/>
      <c r="U29" s="4"/>
      <c r="V29" s="4"/>
      <c r="W29" s="4"/>
      <c r="X29" s="4"/>
      <c r="Y29" s="4"/>
      <c r="Z29" s="4"/>
      <c r="AA29" s="4"/>
      <c r="AB29" s="4"/>
      <c r="AC29" s="4"/>
      <c r="AD29" s="4"/>
      <c r="AE29" s="4"/>
      <c r="AF29" s="4"/>
      <c r="AG29" s="4" t="b">
        <v>0</v>
      </c>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t="s">
        <v>265</v>
      </c>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row>
    <row r="30" spans="1:139" hidden="1" x14ac:dyDescent="0.2">
      <c r="A30">
        <f>VLOOKUP(B30,Sheet1!$A$1:$B$18,2,FALSE)</f>
        <v>0</v>
      </c>
      <c r="B30" t="str">
        <f t="shared" si="0"/>
        <v>AKL</v>
      </c>
      <c r="C30" s="2">
        <v>29</v>
      </c>
      <c r="D30" s="3" t="str">
        <f>HYPERLINK("https://sitebase.nzcomms.co.nz/spm/spmnominalview/AKL-004-039/","AKL-004-039")</f>
        <v>AKL-004-039</v>
      </c>
      <c r="E30" s="4" t="s">
        <v>187</v>
      </c>
      <c r="F30" s="4"/>
      <c r="G30" s="4"/>
      <c r="H30" s="4" t="s">
        <v>138</v>
      </c>
      <c r="I30" s="4"/>
      <c r="J30" s="4" t="s">
        <v>196</v>
      </c>
      <c r="K30" s="4"/>
      <c r="L30" s="4"/>
      <c r="M30" s="4"/>
      <c r="N30" s="4"/>
      <c r="O30" s="4"/>
      <c r="P30" s="4"/>
      <c r="Q30" s="4"/>
      <c r="R30" s="4"/>
      <c r="S30" s="4"/>
      <c r="T30" s="4"/>
      <c r="U30" s="4"/>
      <c r="V30" s="4"/>
      <c r="W30" s="4"/>
      <c r="X30" s="4"/>
      <c r="Y30" s="4"/>
      <c r="Z30" s="4"/>
      <c r="AA30" s="4"/>
      <c r="AB30" s="4"/>
      <c r="AC30" s="4"/>
      <c r="AD30" s="4"/>
      <c r="AE30" s="4"/>
      <c r="AF30" s="4"/>
      <c r="AG30" s="4" t="b">
        <v>0</v>
      </c>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t="s">
        <v>266</v>
      </c>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row>
    <row r="31" spans="1:139" hidden="1" x14ac:dyDescent="0.2">
      <c r="A31">
        <f>VLOOKUP(B31,Sheet1!$A$1:$B$18,2,FALSE)</f>
        <v>0</v>
      </c>
      <c r="B31" t="str">
        <f t="shared" si="0"/>
        <v>AKL</v>
      </c>
      <c r="C31" s="2">
        <v>30</v>
      </c>
      <c r="D31" s="3" t="str">
        <f>HYPERLINK("https://sitebase.nzcomms.co.nz/spm/spmnominalview/AKL-004-040/","AKL-004-040")</f>
        <v>AKL-004-040</v>
      </c>
      <c r="E31" s="4" t="s">
        <v>179</v>
      </c>
      <c r="F31" s="4"/>
      <c r="G31" s="4"/>
      <c r="H31" s="4" t="s">
        <v>138</v>
      </c>
      <c r="I31" s="4"/>
      <c r="J31" s="4" t="s">
        <v>196</v>
      </c>
      <c r="K31" s="4"/>
      <c r="L31" s="4"/>
      <c r="M31" s="4"/>
      <c r="N31" s="4"/>
      <c r="O31" s="4"/>
      <c r="P31" s="4"/>
      <c r="Q31" s="4"/>
      <c r="R31" s="4"/>
      <c r="S31" s="4"/>
      <c r="T31" s="4"/>
      <c r="U31" s="4"/>
      <c r="V31" s="4"/>
      <c r="W31" s="4"/>
      <c r="X31" s="4"/>
      <c r="Y31" s="4"/>
      <c r="Z31" s="4"/>
      <c r="AA31" s="4"/>
      <c r="AB31" s="4"/>
      <c r="AC31" s="4"/>
      <c r="AD31" s="4"/>
      <c r="AE31" s="4"/>
      <c r="AF31" s="4"/>
      <c r="AG31" s="4" t="b">
        <v>0</v>
      </c>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row>
    <row r="32" spans="1:139" hidden="1" x14ac:dyDescent="0.2">
      <c r="A32">
        <f>VLOOKUP(B32,Sheet1!$A$1:$B$18,2,FALSE)</f>
        <v>0</v>
      </c>
      <c r="B32" t="str">
        <f t="shared" si="0"/>
        <v>AKL</v>
      </c>
      <c r="C32" s="2">
        <v>31</v>
      </c>
      <c r="D32" s="3" t="str">
        <f>HYPERLINK("https://sitebase.nzcomms.co.nz/spm/spmnominalview/AKL-004-041/","AKL-004-041")</f>
        <v>AKL-004-041</v>
      </c>
      <c r="E32" s="4" t="s">
        <v>267</v>
      </c>
      <c r="F32" s="3" t="str">
        <f>HYPERLINK("https://sitebase.nzcomms.co.nz/spm/spmcandidateview/AKL-004-041-B/","AKL-004-041-B")</f>
        <v>AKL-004-041-B</v>
      </c>
      <c r="G32" s="4" t="s">
        <v>268</v>
      </c>
      <c r="H32" s="4" t="s">
        <v>138</v>
      </c>
      <c r="I32" s="4">
        <v>3</v>
      </c>
      <c r="J32" s="4" t="s">
        <v>180</v>
      </c>
      <c r="K32" s="4" t="s">
        <v>141</v>
      </c>
      <c r="L32" s="4" t="s">
        <v>150</v>
      </c>
      <c r="M32" s="4" t="s">
        <v>190</v>
      </c>
      <c r="N32" s="4" t="s">
        <v>269</v>
      </c>
      <c r="O32" s="4"/>
      <c r="P32" s="4" t="s">
        <v>169</v>
      </c>
      <c r="Q32" s="4"/>
      <c r="R32" s="4">
        <v>18</v>
      </c>
      <c r="S32" s="4">
        <v>18</v>
      </c>
      <c r="T32" s="4">
        <v>1</v>
      </c>
      <c r="U32" s="4">
        <v>-36.586296900000001</v>
      </c>
      <c r="V32" s="4">
        <v>174.69330294</v>
      </c>
      <c r="W32" s="4"/>
      <c r="X32" s="5">
        <v>40896</v>
      </c>
      <c r="Y32" s="4"/>
      <c r="Z32" s="5">
        <v>40274</v>
      </c>
      <c r="AA32" s="4" t="s">
        <v>145</v>
      </c>
      <c r="AB32" s="3" t="str">
        <f>HYPERLINK("https://sitebase.nzcomms.co.nz/spm/spmcandidateview/AKL-005-078-A/","AKL-005-078-A")</f>
        <v>AKL-005-078-A</v>
      </c>
      <c r="AC32" s="4" t="b">
        <v>1</v>
      </c>
      <c r="AD32" s="4" t="b">
        <v>1</v>
      </c>
      <c r="AE32" s="5">
        <v>40252</v>
      </c>
      <c r="AF32" s="4"/>
      <c r="AG32" s="4" t="b">
        <v>0</v>
      </c>
      <c r="AH32" s="4"/>
      <c r="AI32" s="5">
        <v>40994</v>
      </c>
      <c r="AJ32" s="5">
        <v>40994</v>
      </c>
      <c r="AK32" s="5">
        <v>41002</v>
      </c>
      <c r="AL32" s="5">
        <v>40998</v>
      </c>
      <c r="AM32" s="5">
        <v>41061</v>
      </c>
      <c r="AN32" s="5">
        <v>41067</v>
      </c>
      <c r="AO32" s="4">
        <v>1</v>
      </c>
      <c r="AP32" s="5">
        <v>41068</v>
      </c>
      <c r="AQ32" s="5">
        <v>41067</v>
      </c>
      <c r="AR32" s="5">
        <v>41096</v>
      </c>
      <c r="AS32" s="5">
        <v>41094</v>
      </c>
      <c r="AT32" s="5">
        <v>41159</v>
      </c>
      <c r="AU32" s="5">
        <v>41162</v>
      </c>
      <c r="AV32" s="4">
        <v>1</v>
      </c>
      <c r="AW32" s="5">
        <v>41166</v>
      </c>
      <c r="AX32" s="5">
        <v>41162</v>
      </c>
      <c r="AY32" s="4" t="s">
        <v>183</v>
      </c>
      <c r="AZ32" s="5">
        <v>41107</v>
      </c>
      <c r="BA32" s="5">
        <v>41106</v>
      </c>
      <c r="BB32" s="5">
        <v>41149</v>
      </c>
      <c r="BC32" s="5">
        <v>41143</v>
      </c>
      <c r="BD32" s="4">
        <v>1</v>
      </c>
      <c r="BE32" s="5">
        <v>41156</v>
      </c>
      <c r="BF32" s="5">
        <v>41150</v>
      </c>
      <c r="BG32" s="5">
        <v>41155</v>
      </c>
      <c r="BH32" s="5">
        <v>41155</v>
      </c>
      <c r="BI32" s="5">
        <v>41200</v>
      </c>
      <c r="BJ32" s="5">
        <v>41207</v>
      </c>
      <c r="BK32" s="4">
        <v>1</v>
      </c>
      <c r="BL32" s="4"/>
      <c r="BM32" s="5">
        <v>41200</v>
      </c>
      <c r="BN32" s="5">
        <v>41207</v>
      </c>
      <c r="BO32" s="5">
        <v>41233</v>
      </c>
      <c r="BP32" s="4"/>
      <c r="BQ32" s="4"/>
      <c r="BR32" s="5">
        <v>41180</v>
      </c>
      <c r="BS32" s="4"/>
      <c r="BT32" s="5">
        <v>41253</v>
      </c>
      <c r="BU32" s="5">
        <v>41253</v>
      </c>
      <c r="BV32" s="5">
        <v>41285</v>
      </c>
      <c r="BW32" s="5">
        <v>41285</v>
      </c>
      <c r="BX32" s="5">
        <v>41256</v>
      </c>
      <c r="BY32" s="5">
        <v>41296</v>
      </c>
      <c r="BZ32" s="5">
        <v>41296</v>
      </c>
      <c r="CA32" s="5">
        <v>41296</v>
      </c>
      <c r="CB32" s="5">
        <v>41296</v>
      </c>
      <c r="CC32" s="4"/>
      <c r="CD32" s="4"/>
      <c r="CE32" s="4"/>
      <c r="CF32" s="4"/>
      <c r="CG32" s="4"/>
      <c r="CH32" s="4"/>
      <c r="CI32" s="5">
        <v>41298</v>
      </c>
      <c r="CJ32" s="5">
        <v>41312</v>
      </c>
      <c r="CK32" s="5">
        <v>41312</v>
      </c>
      <c r="CL32" s="5">
        <v>41320</v>
      </c>
      <c r="CM32" s="5">
        <v>41320</v>
      </c>
      <c r="CN32" s="5">
        <v>41439</v>
      </c>
      <c r="CO32" s="5">
        <v>41418</v>
      </c>
      <c r="CP32" s="4"/>
      <c r="CQ32" s="4"/>
      <c r="CR32" s="5">
        <v>41297</v>
      </c>
      <c r="CS32" s="5">
        <v>41184</v>
      </c>
      <c r="CT32" s="5">
        <v>41184</v>
      </c>
      <c r="CU32" s="5">
        <v>41218</v>
      </c>
      <c r="CV32" s="5">
        <v>41218</v>
      </c>
      <c r="CW32" s="5">
        <v>41233</v>
      </c>
      <c r="CX32" s="5">
        <v>41233</v>
      </c>
      <c r="CY32" s="5">
        <v>41295</v>
      </c>
      <c r="CZ32" s="5">
        <v>41296</v>
      </c>
      <c r="DA32" s="5">
        <v>41305</v>
      </c>
      <c r="DB32" s="5">
        <v>41253</v>
      </c>
      <c r="DC32" s="4"/>
      <c r="DD32" s="4"/>
      <c r="DE32" s="4" t="s">
        <v>184</v>
      </c>
      <c r="DF32" s="5">
        <v>41257</v>
      </c>
      <c r="DG32" s="5">
        <v>41257</v>
      </c>
      <c r="DH32" s="4" t="s">
        <v>174</v>
      </c>
      <c r="DI32" s="5">
        <v>41256</v>
      </c>
      <c r="DJ32" s="4" t="b">
        <v>1</v>
      </c>
      <c r="DK32" s="5">
        <v>41183</v>
      </c>
      <c r="DL32" s="4">
        <v>2661978</v>
      </c>
      <c r="DM32" s="4">
        <v>6511398</v>
      </c>
      <c r="DN32" s="4" t="s">
        <v>270</v>
      </c>
      <c r="DO32" s="4"/>
      <c r="DP32" s="4" t="s">
        <v>271</v>
      </c>
      <c r="DQ32" s="4" t="s">
        <v>148</v>
      </c>
      <c r="DR32" s="4"/>
      <c r="DS32" s="4"/>
      <c r="DT32" s="4"/>
      <c r="DU32" s="4"/>
      <c r="DV32" s="4"/>
      <c r="DW32" s="4"/>
      <c r="DX32" s="4"/>
      <c r="DY32" s="4"/>
      <c r="DZ32" s="4"/>
      <c r="EA32" s="4"/>
      <c r="EB32" s="4"/>
      <c r="EC32" s="4"/>
      <c r="ED32" s="4"/>
      <c r="EE32" s="4"/>
      <c r="EF32" s="4"/>
      <c r="EG32" s="5">
        <v>41303</v>
      </c>
      <c r="EH32" s="5">
        <v>41304</v>
      </c>
      <c r="EI32" s="4"/>
    </row>
    <row r="33" spans="1:139" hidden="1" x14ac:dyDescent="0.2">
      <c r="A33">
        <f>VLOOKUP(B33,Sheet1!$A$1:$B$18,2,FALSE)</f>
        <v>0</v>
      </c>
      <c r="B33" t="str">
        <f t="shared" si="0"/>
        <v>AKL</v>
      </c>
      <c r="C33" s="2">
        <v>32</v>
      </c>
      <c r="D33" s="3" t="str">
        <f>HYPERLINK("https://sitebase.nzcomms.co.nz/spm/spmnominalview/AKL-004-042/","AKL-004-042")</f>
        <v>AKL-004-042</v>
      </c>
      <c r="E33" s="4" t="s">
        <v>272</v>
      </c>
      <c r="F33" s="3" t="str">
        <f>HYPERLINK("https://sitebase.nzcomms.co.nz/spm/spmcandidateview/AKL-004-042-B/","AKL-004-042-B")</f>
        <v>AKL-004-042-B</v>
      </c>
      <c r="G33" s="4" t="s">
        <v>273</v>
      </c>
      <c r="H33" s="4" t="s">
        <v>138</v>
      </c>
      <c r="I33" s="4">
        <v>3</v>
      </c>
      <c r="J33" s="4" t="s">
        <v>180</v>
      </c>
      <c r="K33" s="4" t="s">
        <v>141</v>
      </c>
      <c r="L33" s="4" t="s">
        <v>189</v>
      </c>
      <c r="M33" s="4" t="s">
        <v>190</v>
      </c>
      <c r="N33" s="4" t="s">
        <v>274</v>
      </c>
      <c r="O33" s="4"/>
      <c r="P33" s="4" t="s">
        <v>182</v>
      </c>
      <c r="Q33" s="4"/>
      <c r="R33" s="4">
        <v>12.3</v>
      </c>
      <c r="S33" s="4">
        <v>13.8</v>
      </c>
      <c r="T33" s="4">
        <v>1</v>
      </c>
      <c r="U33" s="4">
        <v>-36.616199199999997</v>
      </c>
      <c r="V33" s="4">
        <v>174.68098850000001</v>
      </c>
      <c r="W33" s="4"/>
      <c r="X33" s="5">
        <v>40896</v>
      </c>
      <c r="Y33" s="4"/>
      <c r="Z33" s="5">
        <v>40274</v>
      </c>
      <c r="AA33" s="4" t="s">
        <v>145</v>
      </c>
      <c r="AB33" s="3" t="str">
        <f>HYPERLINK("https://sitebase.nzcomms.co.nz/spm/spmcandidateview/AKL-007-106-A/","AKL-007-106-A")</f>
        <v>AKL-007-106-A</v>
      </c>
      <c r="AC33" s="4" t="b">
        <v>1</v>
      </c>
      <c r="AD33" s="4" t="b">
        <v>1</v>
      </c>
      <c r="AE33" s="5">
        <v>40252</v>
      </c>
      <c r="AF33" s="4"/>
      <c r="AG33" s="4" t="b">
        <v>0</v>
      </c>
      <c r="AH33" s="4"/>
      <c r="AI33" s="5">
        <v>40952</v>
      </c>
      <c r="AJ33" s="5">
        <v>40952</v>
      </c>
      <c r="AK33" s="5">
        <v>40954</v>
      </c>
      <c r="AL33" s="5">
        <v>40954</v>
      </c>
      <c r="AM33" s="5">
        <v>40998</v>
      </c>
      <c r="AN33" s="5">
        <v>41003</v>
      </c>
      <c r="AO33" s="4">
        <v>1</v>
      </c>
      <c r="AP33" s="5">
        <v>40998</v>
      </c>
      <c r="AQ33" s="5">
        <v>41003</v>
      </c>
      <c r="AR33" s="5">
        <v>41071</v>
      </c>
      <c r="AS33" s="5">
        <v>41079</v>
      </c>
      <c r="AT33" s="5">
        <v>41180</v>
      </c>
      <c r="AU33" s="5">
        <v>41177</v>
      </c>
      <c r="AV33" s="4">
        <v>1</v>
      </c>
      <c r="AW33" s="5">
        <v>41187</v>
      </c>
      <c r="AX33" s="5">
        <v>41177</v>
      </c>
      <c r="AY33" s="4" t="s">
        <v>193</v>
      </c>
      <c r="AZ33" s="5">
        <v>41079</v>
      </c>
      <c r="BA33" s="5">
        <v>41078</v>
      </c>
      <c r="BB33" s="5">
        <v>41120</v>
      </c>
      <c r="BC33" s="5">
        <v>41110</v>
      </c>
      <c r="BD33" s="4">
        <v>1</v>
      </c>
      <c r="BE33" s="5">
        <v>41127</v>
      </c>
      <c r="BF33" s="5">
        <v>41110</v>
      </c>
      <c r="BG33" s="5">
        <v>41136</v>
      </c>
      <c r="BH33" s="4"/>
      <c r="BI33" s="5">
        <v>41165</v>
      </c>
      <c r="BJ33" s="5">
        <v>41184</v>
      </c>
      <c r="BK33" s="4">
        <v>1</v>
      </c>
      <c r="BL33" s="4"/>
      <c r="BM33" s="5">
        <v>41172</v>
      </c>
      <c r="BN33" s="5">
        <v>41184</v>
      </c>
      <c r="BO33" s="5">
        <v>41196</v>
      </c>
      <c r="BP33" s="4"/>
      <c r="BQ33" s="4"/>
      <c r="BR33" s="5">
        <v>41162</v>
      </c>
      <c r="BS33" s="4"/>
      <c r="BT33" s="5">
        <v>41192</v>
      </c>
      <c r="BU33" s="5">
        <v>41192</v>
      </c>
      <c r="BV33" s="5">
        <v>41197</v>
      </c>
      <c r="BW33" s="5">
        <v>41197</v>
      </c>
      <c r="BX33" s="5">
        <v>41197</v>
      </c>
      <c r="BY33" s="5">
        <v>41241</v>
      </c>
      <c r="BZ33" s="5">
        <v>41235</v>
      </c>
      <c r="CA33" s="5">
        <v>41242</v>
      </c>
      <c r="CB33" s="5">
        <v>41249</v>
      </c>
      <c r="CC33" s="4"/>
      <c r="CD33" s="4"/>
      <c r="CE33" s="4"/>
      <c r="CF33" s="4"/>
      <c r="CG33" s="4"/>
      <c r="CH33" s="4"/>
      <c r="CI33" s="5">
        <v>41253</v>
      </c>
      <c r="CJ33" s="5">
        <v>41299</v>
      </c>
      <c r="CK33" s="5">
        <v>41298</v>
      </c>
      <c r="CL33" s="5">
        <v>41313</v>
      </c>
      <c r="CM33" s="5">
        <v>41313</v>
      </c>
      <c r="CN33" s="5">
        <v>41486</v>
      </c>
      <c r="CO33" s="5">
        <v>41472</v>
      </c>
      <c r="CP33" s="4"/>
      <c r="CQ33" s="4"/>
      <c r="CR33" s="5">
        <v>41284</v>
      </c>
      <c r="CS33" s="5">
        <v>41188</v>
      </c>
      <c r="CT33" s="5">
        <v>41188</v>
      </c>
      <c r="CU33" s="5">
        <v>41193</v>
      </c>
      <c r="CV33" s="5">
        <v>41194</v>
      </c>
      <c r="CW33" s="5">
        <v>41192</v>
      </c>
      <c r="CX33" s="5">
        <v>41196</v>
      </c>
      <c r="CY33" s="5">
        <v>41295</v>
      </c>
      <c r="CZ33" s="5">
        <v>41296</v>
      </c>
      <c r="DA33" s="5">
        <v>41253</v>
      </c>
      <c r="DB33" s="5">
        <v>41253</v>
      </c>
      <c r="DC33" s="4"/>
      <c r="DD33" s="4"/>
      <c r="DE33" s="4" t="s">
        <v>184</v>
      </c>
      <c r="DF33" s="5">
        <v>41240</v>
      </c>
      <c r="DG33" s="5">
        <v>41249</v>
      </c>
      <c r="DH33" s="4" t="s">
        <v>174</v>
      </c>
      <c r="DI33" s="5">
        <v>41198</v>
      </c>
      <c r="DJ33" s="4" t="b">
        <v>1</v>
      </c>
      <c r="DK33" s="4"/>
      <c r="DL33" s="4">
        <v>2660811</v>
      </c>
      <c r="DM33" s="4">
        <v>6508102</v>
      </c>
      <c r="DN33" s="4" t="s">
        <v>275</v>
      </c>
      <c r="DO33" s="4"/>
      <c r="DP33" s="4"/>
      <c r="DQ33" s="4" t="s">
        <v>148</v>
      </c>
      <c r="DR33" s="4"/>
      <c r="DS33" s="4"/>
      <c r="DT33" s="4"/>
      <c r="DU33" s="4"/>
      <c r="DV33" s="4"/>
      <c r="DW33" s="4"/>
      <c r="DX33" s="4"/>
      <c r="DY33" s="4"/>
      <c r="DZ33" s="4"/>
      <c r="EA33" s="4"/>
      <c r="EB33" s="4"/>
      <c r="EC33" s="4"/>
      <c r="ED33" s="4"/>
      <c r="EE33" s="4"/>
      <c r="EF33" s="4"/>
      <c r="EG33" s="5">
        <v>41304</v>
      </c>
      <c r="EH33" s="5">
        <v>41299</v>
      </c>
      <c r="EI33" s="5">
        <v>40954</v>
      </c>
    </row>
    <row r="34" spans="1:139" hidden="1" x14ac:dyDescent="0.2">
      <c r="A34">
        <f>VLOOKUP(B34,Sheet1!$A$1:$B$18,2,FALSE)</f>
        <v>0</v>
      </c>
      <c r="B34" t="str">
        <f t="shared" si="0"/>
        <v>AKL</v>
      </c>
      <c r="C34" s="2">
        <v>33</v>
      </c>
      <c r="D34" s="3" t="str">
        <f>HYPERLINK("https://sitebase.nzcomms.co.nz/spm/spmnominalview/AKL-004-043/","AKL-004-043")</f>
        <v>AKL-004-043</v>
      </c>
      <c r="E34" s="4" t="s">
        <v>276</v>
      </c>
      <c r="F34" s="3" t="str">
        <f>HYPERLINK("https://sitebase.nzcomms.co.nz/spm/spmcandidateview/AKL-004-043-D/","AKL-004-043-D")</f>
        <v>AKL-004-043-D</v>
      </c>
      <c r="G34" s="4" t="s">
        <v>276</v>
      </c>
      <c r="H34" s="4" t="s">
        <v>138</v>
      </c>
      <c r="I34" s="4">
        <v>3</v>
      </c>
      <c r="J34" s="4" t="s">
        <v>180</v>
      </c>
      <c r="K34" s="4" t="s">
        <v>141</v>
      </c>
      <c r="L34" s="4" t="s">
        <v>150</v>
      </c>
      <c r="M34" s="4" t="s">
        <v>190</v>
      </c>
      <c r="N34" s="4" t="s">
        <v>224</v>
      </c>
      <c r="O34" s="4"/>
      <c r="P34" s="4" t="s">
        <v>169</v>
      </c>
      <c r="Q34" s="4" t="s">
        <v>170</v>
      </c>
      <c r="R34" s="4">
        <v>14.5</v>
      </c>
      <c r="S34" s="4">
        <v>15</v>
      </c>
      <c r="T34" s="4"/>
      <c r="U34" s="4">
        <v>-36.626041149999999</v>
      </c>
      <c r="V34" s="4">
        <v>174.72044344</v>
      </c>
      <c r="W34" s="4"/>
      <c r="X34" s="5">
        <v>41061</v>
      </c>
      <c r="Y34" s="4"/>
      <c r="Z34" s="5">
        <v>40274</v>
      </c>
      <c r="AA34" s="4" t="s">
        <v>145</v>
      </c>
      <c r="AB34" s="3" t="str">
        <f>HYPERLINK("https://sitebase.nzcomms.co.nz/spm/spmcandidateview/AKL-005-078-A/","AKL-005-078-A")</f>
        <v>AKL-005-078-A</v>
      </c>
      <c r="AC34" s="4" t="b">
        <v>1</v>
      </c>
      <c r="AD34" s="4" t="b">
        <v>1</v>
      </c>
      <c r="AE34" s="5">
        <v>40252</v>
      </c>
      <c r="AF34" s="4"/>
      <c r="AG34" s="4" t="b">
        <v>0</v>
      </c>
      <c r="AH34" s="4"/>
      <c r="AI34" s="5">
        <v>41135</v>
      </c>
      <c r="AJ34" s="5">
        <v>41135</v>
      </c>
      <c r="AK34" s="5">
        <v>41142</v>
      </c>
      <c r="AL34" s="5">
        <v>41137</v>
      </c>
      <c r="AM34" s="5">
        <v>41178</v>
      </c>
      <c r="AN34" s="5">
        <v>41180</v>
      </c>
      <c r="AO34" s="4">
        <v>3</v>
      </c>
      <c r="AP34" s="5">
        <v>41184</v>
      </c>
      <c r="AQ34" s="5">
        <v>41226</v>
      </c>
      <c r="AR34" s="5">
        <v>41221</v>
      </c>
      <c r="AS34" s="5">
        <v>41222</v>
      </c>
      <c r="AT34" s="5">
        <v>41243</v>
      </c>
      <c r="AU34" s="5">
        <v>41226</v>
      </c>
      <c r="AV34" s="4"/>
      <c r="AW34" s="5">
        <v>41376</v>
      </c>
      <c r="AX34" s="4"/>
      <c r="AY34" s="4" t="s">
        <v>247</v>
      </c>
      <c r="AZ34" s="5">
        <v>41213</v>
      </c>
      <c r="BA34" s="5">
        <v>41214</v>
      </c>
      <c r="BB34" s="5">
        <v>41299</v>
      </c>
      <c r="BC34" s="5">
        <v>41299</v>
      </c>
      <c r="BD34" s="4">
        <v>2</v>
      </c>
      <c r="BE34" s="5">
        <v>41305</v>
      </c>
      <c r="BF34" s="5">
        <v>41299</v>
      </c>
      <c r="BG34" s="4"/>
      <c r="BH34" s="4"/>
      <c r="BI34" s="5">
        <v>41298</v>
      </c>
      <c r="BJ34" s="5">
        <v>41309</v>
      </c>
      <c r="BK34" s="4">
        <v>2</v>
      </c>
      <c r="BL34" s="4"/>
      <c r="BM34" s="5">
        <v>41298</v>
      </c>
      <c r="BN34" s="5">
        <v>41346</v>
      </c>
      <c r="BO34" s="5">
        <v>41337</v>
      </c>
      <c r="BP34" s="4"/>
      <c r="BQ34" s="4"/>
      <c r="BR34" s="5">
        <v>41303</v>
      </c>
      <c r="BS34" s="4"/>
      <c r="BT34" s="5">
        <v>41351</v>
      </c>
      <c r="BU34" s="5">
        <v>41351</v>
      </c>
      <c r="BV34" s="5">
        <v>41372</v>
      </c>
      <c r="BW34" s="5">
        <v>41369</v>
      </c>
      <c r="BX34" s="5">
        <v>41368</v>
      </c>
      <c r="BY34" s="5">
        <v>41380</v>
      </c>
      <c r="BZ34" s="5">
        <v>41381</v>
      </c>
      <c r="CA34" s="5">
        <v>41373</v>
      </c>
      <c r="CB34" s="5">
        <v>41380</v>
      </c>
      <c r="CC34" s="4"/>
      <c r="CD34" s="4"/>
      <c r="CE34" s="4"/>
      <c r="CF34" s="4"/>
      <c r="CG34" s="4"/>
      <c r="CH34" s="4"/>
      <c r="CI34" s="5">
        <v>41381</v>
      </c>
      <c r="CJ34" s="5">
        <v>41386</v>
      </c>
      <c r="CK34" s="5">
        <v>41388</v>
      </c>
      <c r="CL34" s="5">
        <v>41402</v>
      </c>
      <c r="CM34" s="5">
        <v>41401</v>
      </c>
      <c r="CN34" s="5">
        <v>41517</v>
      </c>
      <c r="CO34" s="5">
        <v>41523</v>
      </c>
      <c r="CP34" s="4" t="s">
        <v>277</v>
      </c>
      <c r="CQ34" s="4"/>
      <c r="CR34" s="5">
        <v>41380</v>
      </c>
      <c r="CS34" s="5">
        <v>41309</v>
      </c>
      <c r="CT34" s="5">
        <v>41309</v>
      </c>
      <c r="CU34" s="5">
        <v>41337</v>
      </c>
      <c r="CV34" s="5">
        <v>41337</v>
      </c>
      <c r="CW34" s="5">
        <v>41337</v>
      </c>
      <c r="CX34" s="5">
        <v>41337</v>
      </c>
      <c r="CY34" s="5">
        <v>41383</v>
      </c>
      <c r="CZ34" s="5">
        <v>41383</v>
      </c>
      <c r="DA34" s="5">
        <v>41379</v>
      </c>
      <c r="DB34" s="5">
        <v>41375</v>
      </c>
      <c r="DC34" s="4"/>
      <c r="DD34" s="4"/>
      <c r="DE34" s="4" t="s">
        <v>194</v>
      </c>
      <c r="DF34" s="5">
        <v>41369</v>
      </c>
      <c r="DG34" s="5">
        <v>41376</v>
      </c>
      <c r="DH34" s="4" t="s">
        <v>174</v>
      </c>
      <c r="DI34" s="5">
        <v>41369</v>
      </c>
      <c r="DJ34" s="4" t="b">
        <v>1</v>
      </c>
      <c r="DK34" s="5">
        <v>41306</v>
      </c>
      <c r="DL34" s="4">
        <v>2664318</v>
      </c>
      <c r="DM34" s="4">
        <v>6506940</v>
      </c>
      <c r="DN34" s="4" t="s">
        <v>278</v>
      </c>
      <c r="DO34" s="4"/>
      <c r="DP34" s="4"/>
      <c r="DQ34" s="4" t="s">
        <v>148</v>
      </c>
      <c r="DR34" s="4"/>
      <c r="DS34" s="4"/>
      <c r="DT34" s="4"/>
      <c r="DU34" s="4"/>
      <c r="DV34" s="4"/>
      <c r="DW34" s="4"/>
      <c r="DX34" s="4"/>
      <c r="DY34" s="4"/>
      <c r="DZ34" s="4"/>
      <c r="EA34" s="4"/>
      <c r="EB34" s="4"/>
      <c r="EC34" s="4"/>
      <c r="ED34" s="4"/>
      <c r="EE34" s="4"/>
      <c r="EF34" s="4"/>
      <c r="EG34" s="5">
        <v>41393</v>
      </c>
      <c r="EH34" s="5">
        <v>41387</v>
      </c>
      <c r="EI34" s="4"/>
    </row>
    <row r="35" spans="1:139" hidden="1" x14ac:dyDescent="0.2">
      <c r="A35">
        <f>VLOOKUP(B35,Sheet1!$A$1:$B$18,2,FALSE)</f>
        <v>0</v>
      </c>
      <c r="B35" t="str">
        <f t="shared" si="0"/>
        <v>AKL</v>
      </c>
      <c r="C35" s="2">
        <v>34</v>
      </c>
      <c r="D35" s="3" t="str">
        <f>HYPERLINK("https://sitebase.nzcomms.co.nz/spm/spmnominalview/AKL-004-044/","AKL-004-044")</f>
        <v>AKL-004-044</v>
      </c>
      <c r="E35" s="4" t="s">
        <v>279</v>
      </c>
      <c r="F35" s="3" t="str">
        <f>HYPERLINK("https://sitebase.nzcomms.co.nz/spm/spmcandidateview/AKL-004-044-E/","AKL-004-044-E")</f>
        <v>AKL-004-044-E</v>
      </c>
      <c r="G35" s="4" t="s">
        <v>279</v>
      </c>
      <c r="H35" s="4" t="s">
        <v>138</v>
      </c>
      <c r="I35" s="4">
        <v>3</v>
      </c>
      <c r="J35" s="4" t="s">
        <v>180</v>
      </c>
      <c r="K35" s="4" t="s">
        <v>141</v>
      </c>
      <c r="L35" s="4" t="s">
        <v>150</v>
      </c>
      <c r="M35" s="4" t="s">
        <v>190</v>
      </c>
      <c r="N35" s="4" t="s">
        <v>274</v>
      </c>
      <c r="O35" s="4"/>
      <c r="P35" s="4" t="s">
        <v>169</v>
      </c>
      <c r="Q35" s="4" t="s">
        <v>192</v>
      </c>
      <c r="R35" s="4">
        <v>10</v>
      </c>
      <c r="S35" s="4">
        <v>10.5</v>
      </c>
      <c r="T35" s="4"/>
      <c r="U35" s="4">
        <v>-36.636411199999998</v>
      </c>
      <c r="V35" s="4">
        <v>174.74782160999999</v>
      </c>
      <c r="W35" s="4"/>
      <c r="X35" s="5">
        <v>41061</v>
      </c>
      <c r="Y35" s="4"/>
      <c r="Z35" s="5">
        <v>40274</v>
      </c>
      <c r="AA35" s="4" t="s">
        <v>171</v>
      </c>
      <c r="AB35" s="3" t="str">
        <f>HYPERLINK("https://sitebase.nzcomms.co.nz/spm/spmcandidateview/AKL-004-055-A/","AKL-004-055-A")</f>
        <v>AKL-004-055-A</v>
      </c>
      <c r="AC35" s="4" t="b">
        <v>1</v>
      </c>
      <c r="AD35" s="4" t="b">
        <v>1</v>
      </c>
      <c r="AE35" s="5">
        <v>40252</v>
      </c>
      <c r="AF35" s="4"/>
      <c r="AG35" s="4" t="b">
        <v>0</v>
      </c>
      <c r="AH35" s="4"/>
      <c r="AI35" s="5">
        <v>41122</v>
      </c>
      <c r="AJ35" s="5">
        <v>41122</v>
      </c>
      <c r="AK35" s="5">
        <v>41129</v>
      </c>
      <c r="AL35" s="5">
        <v>41128</v>
      </c>
      <c r="AM35" s="5">
        <v>41176</v>
      </c>
      <c r="AN35" s="5">
        <v>41176</v>
      </c>
      <c r="AO35" s="4">
        <v>1</v>
      </c>
      <c r="AP35" s="5">
        <v>41176</v>
      </c>
      <c r="AQ35" s="5">
        <v>41176</v>
      </c>
      <c r="AR35" s="5">
        <v>41222</v>
      </c>
      <c r="AS35" s="5">
        <v>41226</v>
      </c>
      <c r="AT35" s="5">
        <v>41327</v>
      </c>
      <c r="AU35" s="5">
        <v>41355</v>
      </c>
      <c r="AV35" s="4">
        <v>1</v>
      </c>
      <c r="AW35" s="5">
        <v>41333</v>
      </c>
      <c r="AX35" s="5">
        <v>41359</v>
      </c>
      <c r="AY35" s="4" t="s">
        <v>183</v>
      </c>
      <c r="AZ35" s="5">
        <v>41234</v>
      </c>
      <c r="BA35" s="5">
        <v>41234</v>
      </c>
      <c r="BB35" s="5">
        <v>41264</v>
      </c>
      <c r="BC35" s="5">
        <v>41262</v>
      </c>
      <c r="BD35" s="4">
        <v>1</v>
      </c>
      <c r="BE35" s="5">
        <v>41299</v>
      </c>
      <c r="BF35" s="5">
        <v>41263</v>
      </c>
      <c r="BG35" s="4"/>
      <c r="BH35" s="4"/>
      <c r="BI35" s="5">
        <v>41298</v>
      </c>
      <c r="BJ35" s="5">
        <v>41297</v>
      </c>
      <c r="BK35" s="4">
        <v>1</v>
      </c>
      <c r="BL35" s="4"/>
      <c r="BM35" s="5">
        <v>41298</v>
      </c>
      <c r="BN35" s="5">
        <v>41297</v>
      </c>
      <c r="BO35" s="5">
        <v>41313</v>
      </c>
      <c r="BP35" s="4"/>
      <c r="BQ35" s="4"/>
      <c r="BR35" s="5">
        <v>41331</v>
      </c>
      <c r="BS35" s="4"/>
      <c r="BT35" s="5">
        <v>41386</v>
      </c>
      <c r="BU35" s="5">
        <v>41391</v>
      </c>
      <c r="BV35" s="5">
        <v>41409</v>
      </c>
      <c r="BW35" s="5">
        <v>41407</v>
      </c>
      <c r="BX35" s="5">
        <v>41414</v>
      </c>
      <c r="BY35" s="5">
        <v>41422</v>
      </c>
      <c r="BZ35" s="5">
        <v>41421</v>
      </c>
      <c r="CA35" s="4"/>
      <c r="CB35" s="4"/>
      <c r="CC35" s="4"/>
      <c r="CD35" s="4"/>
      <c r="CE35" s="4"/>
      <c r="CF35" s="4"/>
      <c r="CG35" s="4"/>
      <c r="CH35" s="4"/>
      <c r="CI35" s="5">
        <v>41421</v>
      </c>
      <c r="CJ35" s="5">
        <v>41439</v>
      </c>
      <c r="CK35" s="5">
        <v>41425</v>
      </c>
      <c r="CL35" s="5">
        <v>41444</v>
      </c>
      <c r="CM35" s="5">
        <v>41439</v>
      </c>
      <c r="CN35" s="5">
        <v>41530</v>
      </c>
      <c r="CO35" s="5">
        <v>41536</v>
      </c>
      <c r="CP35" s="4"/>
      <c r="CQ35" s="4"/>
      <c r="CR35" s="5">
        <v>41422</v>
      </c>
      <c r="CS35" s="5">
        <v>41288</v>
      </c>
      <c r="CT35" s="5">
        <v>41288</v>
      </c>
      <c r="CU35" s="5">
        <v>41309</v>
      </c>
      <c r="CV35" s="5">
        <v>41309</v>
      </c>
      <c r="CW35" s="5">
        <v>41313</v>
      </c>
      <c r="CX35" s="5">
        <v>41313</v>
      </c>
      <c r="CY35" s="5">
        <v>41422</v>
      </c>
      <c r="CZ35" s="5">
        <v>41421</v>
      </c>
      <c r="DA35" s="5">
        <v>41422</v>
      </c>
      <c r="DB35" s="5">
        <v>41421</v>
      </c>
      <c r="DC35" s="4"/>
      <c r="DD35" s="4"/>
      <c r="DE35" s="4" t="s">
        <v>194</v>
      </c>
      <c r="DF35" s="4"/>
      <c r="DG35" s="4"/>
      <c r="DH35" s="4" t="s">
        <v>174</v>
      </c>
      <c r="DI35" s="5">
        <v>41414</v>
      </c>
      <c r="DJ35" s="4" t="b">
        <v>1</v>
      </c>
      <c r="DK35" s="5">
        <v>41331</v>
      </c>
      <c r="DL35" s="4">
        <v>2666743</v>
      </c>
      <c r="DM35" s="4">
        <v>6505740</v>
      </c>
      <c r="DN35" s="4" t="s">
        <v>280</v>
      </c>
      <c r="DO35" s="4"/>
      <c r="DP35" s="4" t="s">
        <v>281</v>
      </c>
      <c r="DQ35" s="4" t="s">
        <v>148</v>
      </c>
      <c r="DR35" s="4"/>
      <c r="DS35" s="4"/>
      <c r="DT35" s="4"/>
      <c r="DU35" s="4"/>
      <c r="DV35" s="4"/>
      <c r="DW35" s="4"/>
      <c r="DX35" s="4"/>
      <c r="DY35" s="4"/>
      <c r="DZ35" s="4"/>
      <c r="EA35" s="4"/>
      <c r="EB35" s="4"/>
      <c r="EC35" s="4"/>
      <c r="ED35" s="4"/>
      <c r="EE35" s="4"/>
      <c r="EF35" s="4"/>
      <c r="EG35" s="5">
        <v>41428</v>
      </c>
      <c r="EH35" s="5">
        <v>41429</v>
      </c>
      <c r="EI35" s="4"/>
    </row>
    <row r="36" spans="1:139" hidden="1" x14ac:dyDescent="0.2">
      <c r="A36">
        <f>VLOOKUP(B36,Sheet1!$A$1:$B$18,2,FALSE)</f>
        <v>0</v>
      </c>
      <c r="B36" t="str">
        <f t="shared" si="0"/>
        <v>AKL</v>
      </c>
      <c r="C36" s="2">
        <v>35</v>
      </c>
      <c r="D36" s="3" t="str">
        <f>HYPERLINK("https://sitebase.nzcomms.co.nz/spm/spmnominalview/AKL-004-045/","AKL-004-045")</f>
        <v>AKL-004-045</v>
      </c>
      <c r="E36" s="4" t="s">
        <v>282</v>
      </c>
      <c r="F36" s="4"/>
      <c r="G36" s="4"/>
      <c r="H36" s="4" t="s">
        <v>138</v>
      </c>
      <c r="I36" s="4"/>
      <c r="J36" s="4" t="s">
        <v>196</v>
      </c>
      <c r="K36" s="4"/>
      <c r="L36" s="4"/>
      <c r="M36" s="4"/>
      <c r="N36" s="4"/>
      <c r="O36" s="4"/>
      <c r="P36" s="4"/>
      <c r="Q36" s="4"/>
      <c r="R36" s="4"/>
      <c r="S36" s="4"/>
      <c r="T36" s="4"/>
      <c r="U36" s="4"/>
      <c r="V36" s="4"/>
      <c r="W36" s="4"/>
      <c r="X36" s="4"/>
      <c r="Y36" s="4"/>
      <c r="Z36" s="4"/>
      <c r="AA36" s="4"/>
      <c r="AB36" s="4"/>
      <c r="AC36" s="4"/>
      <c r="AD36" s="4"/>
      <c r="AE36" s="4"/>
      <c r="AF36" s="4"/>
      <c r="AG36" s="4" t="b">
        <v>0</v>
      </c>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t="s">
        <v>283</v>
      </c>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row>
    <row r="37" spans="1:139" hidden="1" x14ac:dyDescent="0.2">
      <c r="A37">
        <f>VLOOKUP(B37,Sheet1!$A$1:$B$18,2,FALSE)</f>
        <v>0</v>
      </c>
      <c r="B37" t="str">
        <f t="shared" si="0"/>
        <v>AKL</v>
      </c>
      <c r="C37" s="2">
        <v>36</v>
      </c>
      <c r="D37" s="3" t="str">
        <f>HYPERLINK("https://sitebase.nzcomms.co.nz/spm/spmnominalview/AKL-004-046/","AKL-004-046")</f>
        <v>AKL-004-046</v>
      </c>
      <c r="E37" s="4" t="s">
        <v>284</v>
      </c>
      <c r="F37" s="3" t="str">
        <f>HYPERLINK("https://sitebase.nzcomms.co.nz/spm/spmcandidateview/AKL-004-046-C/","AKL-004-046-C")</f>
        <v>AKL-004-046-C</v>
      </c>
      <c r="G37" s="4" t="s">
        <v>285</v>
      </c>
      <c r="H37" s="4" t="s">
        <v>138</v>
      </c>
      <c r="I37" s="4">
        <v>3</v>
      </c>
      <c r="J37" s="4" t="s">
        <v>180</v>
      </c>
      <c r="K37" s="4" t="s">
        <v>141</v>
      </c>
      <c r="L37" s="4" t="s">
        <v>181</v>
      </c>
      <c r="M37" s="4" t="s">
        <v>166</v>
      </c>
      <c r="N37" s="4" t="s">
        <v>181</v>
      </c>
      <c r="O37" s="4"/>
      <c r="P37" s="4" t="s">
        <v>182</v>
      </c>
      <c r="Q37" s="4" t="s">
        <v>170</v>
      </c>
      <c r="R37" s="4"/>
      <c r="S37" s="4"/>
      <c r="T37" s="4"/>
      <c r="U37" s="4">
        <v>-36.605637710000003</v>
      </c>
      <c r="V37" s="4">
        <v>174.79576422</v>
      </c>
      <c r="W37" s="4"/>
      <c r="X37" s="5">
        <v>41061</v>
      </c>
      <c r="Y37" s="4"/>
      <c r="Z37" s="5">
        <v>40274</v>
      </c>
      <c r="AA37" s="4" t="s">
        <v>145</v>
      </c>
      <c r="AB37" s="3" t="str">
        <f>HYPERLINK("https://sitebase.nzcomms.co.nz/spm/spmcandidateview/AKL-005-078-A/","AKL-005-078-A")</f>
        <v>AKL-005-078-A</v>
      </c>
      <c r="AC37" s="4" t="b">
        <v>1</v>
      </c>
      <c r="AD37" s="4" t="b">
        <v>1</v>
      </c>
      <c r="AE37" s="5">
        <v>40252</v>
      </c>
      <c r="AF37" s="4"/>
      <c r="AG37" s="4" t="b">
        <v>0</v>
      </c>
      <c r="AH37" s="4"/>
      <c r="AI37" s="5">
        <v>41100</v>
      </c>
      <c r="AJ37" s="5">
        <v>41100</v>
      </c>
      <c r="AK37" s="5">
        <v>41107</v>
      </c>
      <c r="AL37" s="5">
        <v>41107</v>
      </c>
      <c r="AM37" s="5">
        <v>41145</v>
      </c>
      <c r="AN37" s="5">
        <v>41150</v>
      </c>
      <c r="AO37" s="4">
        <v>1</v>
      </c>
      <c r="AP37" s="5">
        <v>41145</v>
      </c>
      <c r="AQ37" s="5">
        <v>41150</v>
      </c>
      <c r="AR37" s="5">
        <v>41180</v>
      </c>
      <c r="AS37" s="5">
        <v>41184</v>
      </c>
      <c r="AT37" s="5">
        <v>41201</v>
      </c>
      <c r="AU37" s="5">
        <v>41212</v>
      </c>
      <c r="AV37" s="4">
        <v>1</v>
      </c>
      <c r="AW37" s="5">
        <v>41201</v>
      </c>
      <c r="AX37" s="5">
        <v>41212</v>
      </c>
      <c r="AY37" s="4" t="s">
        <v>172</v>
      </c>
      <c r="AZ37" s="5">
        <v>41180</v>
      </c>
      <c r="BA37" s="5">
        <v>41183</v>
      </c>
      <c r="BB37" s="5">
        <v>41215</v>
      </c>
      <c r="BC37" s="5">
        <v>41212</v>
      </c>
      <c r="BD37" s="4">
        <v>1</v>
      </c>
      <c r="BE37" s="5">
        <v>41218</v>
      </c>
      <c r="BF37" s="5">
        <v>41213</v>
      </c>
      <c r="BG37" s="4"/>
      <c r="BH37" s="4"/>
      <c r="BI37" s="5">
        <v>41316</v>
      </c>
      <c r="BJ37" s="5">
        <v>41319</v>
      </c>
      <c r="BK37" s="4">
        <v>1</v>
      </c>
      <c r="BL37" s="4"/>
      <c r="BM37" s="5">
        <v>41316</v>
      </c>
      <c r="BN37" s="5">
        <v>41319</v>
      </c>
      <c r="BO37" s="5">
        <v>41289</v>
      </c>
      <c r="BP37" s="4"/>
      <c r="BQ37" s="4"/>
      <c r="BR37" s="5">
        <v>41222</v>
      </c>
      <c r="BS37" s="4"/>
      <c r="BT37" s="5">
        <v>41316</v>
      </c>
      <c r="BU37" s="5">
        <v>41316</v>
      </c>
      <c r="BV37" s="5">
        <v>41341</v>
      </c>
      <c r="BW37" s="5">
        <v>41342</v>
      </c>
      <c r="BX37" s="5">
        <v>41326</v>
      </c>
      <c r="BY37" s="5">
        <v>41360</v>
      </c>
      <c r="BZ37" s="5">
        <v>41360</v>
      </c>
      <c r="CA37" s="5">
        <v>41332</v>
      </c>
      <c r="CB37" s="5">
        <v>41332</v>
      </c>
      <c r="CC37" s="4"/>
      <c r="CD37" s="4"/>
      <c r="CE37" s="4"/>
      <c r="CF37" s="4"/>
      <c r="CG37" s="4"/>
      <c r="CH37" s="4"/>
      <c r="CI37" s="5">
        <v>41360</v>
      </c>
      <c r="CJ37" s="5">
        <v>41376</v>
      </c>
      <c r="CK37" s="5">
        <v>41376</v>
      </c>
      <c r="CL37" s="5">
        <v>41375</v>
      </c>
      <c r="CM37" s="5">
        <v>41375</v>
      </c>
      <c r="CN37" s="5">
        <v>41517</v>
      </c>
      <c r="CO37" s="5">
        <v>41569</v>
      </c>
      <c r="CP37" s="4"/>
      <c r="CQ37" s="4"/>
      <c r="CR37" s="5">
        <v>41360</v>
      </c>
      <c r="CS37" s="5">
        <v>41247</v>
      </c>
      <c r="CT37" s="5">
        <v>41247</v>
      </c>
      <c r="CU37" s="5">
        <v>41289</v>
      </c>
      <c r="CV37" s="5">
        <v>41289</v>
      </c>
      <c r="CW37" s="5">
        <v>41289</v>
      </c>
      <c r="CX37" s="5">
        <v>41289</v>
      </c>
      <c r="CY37" s="5">
        <v>41348</v>
      </c>
      <c r="CZ37" s="5">
        <v>41347</v>
      </c>
      <c r="DA37" s="5">
        <v>41360</v>
      </c>
      <c r="DB37" s="5">
        <v>41360</v>
      </c>
      <c r="DC37" s="4"/>
      <c r="DD37" s="4"/>
      <c r="DE37" s="4" t="s">
        <v>194</v>
      </c>
      <c r="DF37" s="5">
        <v>41330</v>
      </c>
      <c r="DG37" s="5">
        <v>41330</v>
      </c>
      <c r="DH37" s="4" t="s">
        <v>174</v>
      </c>
      <c r="DI37" s="5">
        <v>41331</v>
      </c>
      <c r="DJ37" s="4" t="b">
        <v>1</v>
      </c>
      <c r="DK37" s="5">
        <v>41220</v>
      </c>
      <c r="DL37" s="4">
        <v>2671101</v>
      </c>
      <c r="DM37" s="4">
        <v>6509066</v>
      </c>
      <c r="DN37" s="4" t="s">
        <v>286</v>
      </c>
      <c r="DO37" s="4"/>
      <c r="DP37" s="4"/>
      <c r="DQ37" s="4" t="s">
        <v>148</v>
      </c>
      <c r="DR37" s="4"/>
      <c r="DS37" s="4"/>
      <c r="DT37" s="4"/>
      <c r="DU37" s="4"/>
      <c r="DV37" s="4"/>
      <c r="DW37" s="4"/>
      <c r="DX37" s="4"/>
      <c r="DY37" s="4"/>
      <c r="DZ37" s="4"/>
      <c r="EA37" s="4"/>
      <c r="EB37" s="4"/>
      <c r="EC37" s="4"/>
      <c r="ED37" s="4"/>
      <c r="EE37" s="4"/>
      <c r="EF37" s="4"/>
      <c r="EG37" s="5">
        <v>41367</v>
      </c>
      <c r="EH37" s="5">
        <v>41368</v>
      </c>
      <c r="EI37" s="4"/>
    </row>
    <row r="38" spans="1:139" hidden="1" x14ac:dyDescent="0.2">
      <c r="A38">
        <f>VLOOKUP(B38,Sheet1!$A$1:$B$18,2,FALSE)</f>
        <v>0</v>
      </c>
      <c r="B38" t="str">
        <f t="shared" si="0"/>
        <v>AKL</v>
      </c>
      <c r="C38" s="2">
        <v>37</v>
      </c>
      <c r="D38" s="3" t="str">
        <f>HYPERLINK("https://sitebase.nzcomms.co.nz/spm/spmnominalview/AKL-004-048/","AKL-004-048")</f>
        <v>AKL-004-048</v>
      </c>
      <c r="E38" s="4" t="s">
        <v>264</v>
      </c>
      <c r="F38" s="3" t="str">
        <f>HYPERLINK("https://sitebase.nzcomms.co.nz/spm/spmcandidateview/AKL-004-048-C/","AKL-004-048-C")</f>
        <v>AKL-004-048-C</v>
      </c>
      <c r="G38" s="4" t="s">
        <v>287</v>
      </c>
      <c r="H38" s="4" t="s">
        <v>138</v>
      </c>
      <c r="I38" s="4">
        <v>3</v>
      </c>
      <c r="J38" s="4" t="s">
        <v>180</v>
      </c>
      <c r="K38" s="4" t="s">
        <v>141</v>
      </c>
      <c r="L38" s="4" t="s">
        <v>189</v>
      </c>
      <c r="M38" s="4" t="s">
        <v>190</v>
      </c>
      <c r="N38" s="4" t="s">
        <v>274</v>
      </c>
      <c r="O38" s="4"/>
      <c r="P38" s="4" t="s">
        <v>182</v>
      </c>
      <c r="Q38" s="4" t="s">
        <v>192</v>
      </c>
      <c r="R38" s="4">
        <v>14.5</v>
      </c>
      <c r="S38" s="4">
        <v>15</v>
      </c>
      <c r="T38" s="4"/>
      <c r="U38" s="4">
        <v>-36.631495399999999</v>
      </c>
      <c r="V38" s="4">
        <v>174.76392397999999</v>
      </c>
      <c r="W38" s="4"/>
      <c r="X38" s="5">
        <v>41061</v>
      </c>
      <c r="Y38" s="4"/>
      <c r="Z38" s="5">
        <v>40274</v>
      </c>
      <c r="AA38" s="4" t="s">
        <v>145</v>
      </c>
      <c r="AB38" s="3" t="str">
        <f>HYPERLINK("https://sitebase.nzcomms.co.nz/spm/spmcandidateview/AKL-005-078-A/","AKL-005-078-A")</f>
        <v>AKL-005-078-A</v>
      </c>
      <c r="AC38" s="4" t="b">
        <v>1</v>
      </c>
      <c r="AD38" s="4" t="b">
        <v>1</v>
      </c>
      <c r="AE38" s="5">
        <v>40252</v>
      </c>
      <c r="AF38" s="4"/>
      <c r="AG38" s="4" t="b">
        <v>0</v>
      </c>
      <c r="AH38" s="4"/>
      <c r="AI38" s="5">
        <v>41122</v>
      </c>
      <c r="AJ38" s="5">
        <v>41122</v>
      </c>
      <c r="AK38" s="5">
        <v>41129</v>
      </c>
      <c r="AL38" s="5">
        <v>41127</v>
      </c>
      <c r="AM38" s="5">
        <v>41162</v>
      </c>
      <c r="AN38" s="5">
        <v>41163</v>
      </c>
      <c r="AO38" s="4">
        <v>2</v>
      </c>
      <c r="AP38" s="5">
        <v>41162</v>
      </c>
      <c r="AQ38" s="5">
        <v>41222</v>
      </c>
      <c r="AR38" s="5">
        <v>41212</v>
      </c>
      <c r="AS38" s="5">
        <v>41213</v>
      </c>
      <c r="AT38" s="5">
        <v>41243</v>
      </c>
      <c r="AU38" s="5">
        <v>41227</v>
      </c>
      <c r="AV38" s="4"/>
      <c r="AW38" s="5">
        <v>41243</v>
      </c>
      <c r="AX38" s="5">
        <v>41227</v>
      </c>
      <c r="AY38" s="4" t="s">
        <v>193</v>
      </c>
      <c r="AZ38" s="5">
        <v>41225</v>
      </c>
      <c r="BA38" s="5">
        <v>41225</v>
      </c>
      <c r="BB38" s="5">
        <v>41253</v>
      </c>
      <c r="BC38" s="5">
        <v>41253</v>
      </c>
      <c r="BD38" s="4">
        <v>2</v>
      </c>
      <c r="BE38" s="5">
        <v>41253</v>
      </c>
      <c r="BF38" s="5">
        <v>41253</v>
      </c>
      <c r="BG38" s="4"/>
      <c r="BH38" s="4"/>
      <c r="BI38" s="5">
        <v>41242</v>
      </c>
      <c r="BJ38" s="5">
        <v>41247</v>
      </c>
      <c r="BK38" s="4">
        <v>2</v>
      </c>
      <c r="BL38" s="4"/>
      <c r="BM38" s="4"/>
      <c r="BN38" s="5">
        <v>41312</v>
      </c>
      <c r="BO38" s="5">
        <v>41289</v>
      </c>
      <c r="BP38" s="4"/>
      <c r="BQ38" s="4"/>
      <c r="BR38" s="5">
        <v>41254</v>
      </c>
      <c r="BS38" s="4"/>
      <c r="BT38" s="5">
        <v>41297</v>
      </c>
      <c r="BU38" s="5">
        <v>41297</v>
      </c>
      <c r="BV38" s="5">
        <v>41320</v>
      </c>
      <c r="BW38" s="5">
        <v>41320</v>
      </c>
      <c r="BX38" s="5">
        <v>41305</v>
      </c>
      <c r="BY38" s="5">
        <v>41325</v>
      </c>
      <c r="BZ38" s="5">
        <v>41325</v>
      </c>
      <c r="CA38" s="5">
        <v>41312</v>
      </c>
      <c r="CB38" s="5">
        <v>41310</v>
      </c>
      <c r="CC38" s="4"/>
      <c r="CD38" s="4"/>
      <c r="CE38" s="4"/>
      <c r="CF38" s="4"/>
      <c r="CG38" s="4"/>
      <c r="CH38" s="4"/>
      <c r="CI38" s="5">
        <v>41326</v>
      </c>
      <c r="CJ38" s="5">
        <v>41376</v>
      </c>
      <c r="CK38" s="5">
        <v>41376</v>
      </c>
      <c r="CL38" s="5">
        <v>41346</v>
      </c>
      <c r="CM38" s="5">
        <v>41346</v>
      </c>
      <c r="CN38" s="5">
        <v>41446</v>
      </c>
      <c r="CO38" s="5">
        <v>41446</v>
      </c>
      <c r="CP38" s="4"/>
      <c r="CQ38" s="4"/>
      <c r="CR38" s="5">
        <v>41326</v>
      </c>
      <c r="CS38" s="5">
        <v>41253</v>
      </c>
      <c r="CT38" s="5">
        <v>41253</v>
      </c>
      <c r="CU38" s="5">
        <v>41288</v>
      </c>
      <c r="CV38" s="5">
        <v>41288</v>
      </c>
      <c r="CW38" s="5">
        <v>41289</v>
      </c>
      <c r="CX38" s="5">
        <v>41289</v>
      </c>
      <c r="CY38" s="5">
        <v>41318</v>
      </c>
      <c r="CZ38" s="5">
        <v>41317</v>
      </c>
      <c r="DA38" s="5">
        <v>41332</v>
      </c>
      <c r="DB38" s="5">
        <v>41332</v>
      </c>
      <c r="DC38" s="4"/>
      <c r="DD38" s="4"/>
      <c r="DE38" s="4" t="s">
        <v>194</v>
      </c>
      <c r="DF38" s="5">
        <v>41309</v>
      </c>
      <c r="DG38" s="5">
        <v>41309</v>
      </c>
      <c r="DH38" s="4" t="s">
        <v>174</v>
      </c>
      <c r="DI38" s="5">
        <v>41318</v>
      </c>
      <c r="DJ38" s="4" t="b">
        <v>1</v>
      </c>
      <c r="DK38" s="5">
        <v>41254</v>
      </c>
      <c r="DL38" s="4">
        <v>2668194</v>
      </c>
      <c r="DM38" s="4">
        <v>6506256</v>
      </c>
      <c r="DN38" s="4" t="s">
        <v>288</v>
      </c>
      <c r="DO38" s="4"/>
      <c r="DP38" s="4"/>
      <c r="DQ38" s="4" t="s">
        <v>148</v>
      </c>
      <c r="DR38" s="4"/>
      <c r="DS38" s="4"/>
      <c r="DT38" s="4"/>
      <c r="DU38" s="4"/>
      <c r="DV38" s="4"/>
      <c r="DW38" s="4"/>
      <c r="DX38" s="4"/>
      <c r="DY38" s="4"/>
      <c r="DZ38" s="4"/>
      <c r="EA38" s="4"/>
      <c r="EB38" s="4"/>
      <c r="EC38" s="4"/>
      <c r="ED38" s="4"/>
      <c r="EE38" s="4"/>
      <c r="EF38" s="4"/>
      <c r="EG38" s="5">
        <v>41331</v>
      </c>
      <c r="EH38" s="5">
        <v>41332</v>
      </c>
      <c r="EI38" s="4"/>
    </row>
    <row r="39" spans="1:139" hidden="1" x14ac:dyDescent="0.2">
      <c r="A39">
        <f>VLOOKUP(B39,Sheet1!$A$1:$B$18,2,FALSE)</f>
        <v>0</v>
      </c>
      <c r="B39" t="str">
        <f t="shared" si="0"/>
        <v>AKL</v>
      </c>
      <c r="C39" s="2">
        <v>38</v>
      </c>
      <c r="D39" s="3" t="str">
        <f>HYPERLINK("https://sitebase.nzcomms.co.nz/spm/spmnominalview/AKL-004-050/","AKL-004-050")</f>
        <v>AKL-004-050</v>
      </c>
      <c r="E39" s="4" t="s">
        <v>289</v>
      </c>
      <c r="F39" s="3" t="str">
        <f>HYPERLINK("https://sitebase.nzcomms.co.nz/spm/spmcandidateview/AKL-004-050-A/","AKL-004-050-A")</f>
        <v>AKL-004-050-A</v>
      </c>
      <c r="G39" s="4" t="s">
        <v>290</v>
      </c>
      <c r="H39" s="4" t="s">
        <v>138</v>
      </c>
      <c r="I39" s="4">
        <v>3</v>
      </c>
      <c r="J39" s="4" t="s">
        <v>194</v>
      </c>
      <c r="K39" s="4" t="s">
        <v>141</v>
      </c>
      <c r="L39" s="4" t="s">
        <v>150</v>
      </c>
      <c r="M39" s="4" t="s">
        <v>160</v>
      </c>
      <c r="N39" s="4" t="s">
        <v>291</v>
      </c>
      <c r="O39" s="4" t="s">
        <v>168</v>
      </c>
      <c r="P39" s="4"/>
      <c r="Q39" s="4" t="s">
        <v>192</v>
      </c>
      <c r="R39" s="4">
        <v>19.5</v>
      </c>
      <c r="S39" s="4">
        <v>20</v>
      </c>
      <c r="T39" s="4">
        <v>1</v>
      </c>
      <c r="U39" s="4">
        <v>-36.758764059999997</v>
      </c>
      <c r="V39" s="4">
        <v>174.60593501</v>
      </c>
      <c r="W39" s="4"/>
      <c r="X39" s="4"/>
      <c r="Y39" s="4"/>
      <c r="Z39" s="4"/>
      <c r="AA39" s="4" t="s">
        <v>171</v>
      </c>
      <c r="AB39" s="3" t="str">
        <f>HYPERLINK("https://sitebase.nzcomms.co.nz/spm/spmcandidateview/AKL-004-003-E/","AKL-004-003-E")</f>
        <v>AKL-004-003-E</v>
      </c>
      <c r="AC39" s="4" t="b">
        <v>0</v>
      </c>
      <c r="AD39" s="4" t="b">
        <v>0</v>
      </c>
      <c r="AE39" s="4"/>
      <c r="AF39" s="4"/>
      <c r="AG39" s="4" t="b">
        <v>0</v>
      </c>
      <c r="AH39" s="4"/>
      <c r="AI39" s="5">
        <v>40630</v>
      </c>
      <c r="AJ39" s="5">
        <v>40630</v>
      </c>
      <c r="AK39" s="5">
        <v>40666</v>
      </c>
      <c r="AL39" s="5">
        <v>40659</v>
      </c>
      <c r="AM39" s="5">
        <v>40703</v>
      </c>
      <c r="AN39" s="5">
        <v>40703</v>
      </c>
      <c r="AO39" s="4">
        <v>1</v>
      </c>
      <c r="AP39" s="5">
        <v>40703</v>
      </c>
      <c r="AQ39" s="5">
        <v>40703</v>
      </c>
      <c r="AR39" s="5">
        <v>40710</v>
      </c>
      <c r="AS39" s="5">
        <v>40660</v>
      </c>
      <c r="AT39" s="5">
        <v>40695</v>
      </c>
      <c r="AU39" s="5">
        <v>40697</v>
      </c>
      <c r="AV39" s="4">
        <v>1</v>
      </c>
      <c r="AW39" s="5">
        <v>40702</v>
      </c>
      <c r="AX39" s="5">
        <v>40697</v>
      </c>
      <c r="AY39" s="4" t="s">
        <v>247</v>
      </c>
      <c r="AZ39" s="5">
        <v>40724</v>
      </c>
      <c r="BA39" s="5">
        <v>40724</v>
      </c>
      <c r="BB39" s="5">
        <v>40765</v>
      </c>
      <c r="BC39" s="5">
        <v>40751</v>
      </c>
      <c r="BD39" s="4">
        <v>1</v>
      </c>
      <c r="BE39" s="5">
        <v>40772</v>
      </c>
      <c r="BF39" s="5">
        <v>40751</v>
      </c>
      <c r="BG39" s="4"/>
      <c r="BH39" s="4"/>
      <c r="BI39" s="4"/>
      <c r="BJ39" s="5">
        <v>40850</v>
      </c>
      <c r="BK39" s="4">
        <v>1</v>
      </c>
      <c r="BL39" s="4"/>
      <c r="BM39" s="4"/>
      <c r="BN39" s="5">
        <v>40850</v>
      </c>
      <c r="BO39" s="5">
        <v>40952</v>
      </c>
      <c r="BP39" s="4"/>
      <c r="BQ39" s="4"/>
      <c r="BR39" s="4"/>
      <c r="BS39" s="4"/>
      <c r="BT39" s="5">
        <v>40885</v>
      </c>
      <c r="BU39" s="5">
        <v>40885</v>
      </c>
      <c r="BV39" s="5">
        <v>40928</v>
      </c>
      <c r="BW39" s="5">
        <v>40932</v>
      </c>
      <c r="BX39" s="5">
        <v>40921</v>
      </c>
      <c r="BY39" s="5">
        <v>40932</v>
      </c>
      <c r="BZ39" s="5">
        <v>40935</v>
      </c>
      <c r="CA39" s="4"/>
      <c r="CB39" s="4"/>
      <c r="CC39" s="4"/>
      <c r="CD39" s="4"/>
      <c r="CE39" s="4"/>
      <c r="CF39" s="4"/>
      <c r="CG39" s="4"/>
      <c r="CH39" s="4"/>
      <c r="CI39" s="5">
        <v>40949</v>
      </c>
      <c r="CJ39" s="5">
        <v>40954</v>
      </c>
      <c r="CK39" s="5">
        <v>40954</v>
      </c>
      <c r="CL39" s="5">
        <v>40954</v>
      </c>
      <c r="CM39" s="5">
        <v>40959</v>
      </c>
      <c r="CN39" s="5">
        <v>41050</v>
      </c>
      <c r="CO39" s="5">
        <v>41201</v>
      </c>
      <c r="CP39" s="4" t="s">
        <v>292</v>
      </c>
      <c r="CQ39" s="4"/>
      <c r="CR39" s="5">
        <v>40935</v>
      </c>
      <c r="CS39" s="5">
        <v>40885</v>
      </c>
      <c r="CT39" s="5">
        <v>40898</v>
      </c>
      <c r="CU39" s="5">
        <v>40885</v>
      </c>
      <c r="CV39" s="5">
        <v>40952</v>
      </c>
      <c r="CW39" s="5">
        <v>40917</v>
      </c>
      <c r="CX39" s="5">
        <v>40952</v>
      </c>
      <c r="CY39" s="5">
        <v>40896</v>
      </c>
      <c r="CZ39" s="5">
        <v>40928</v>
      </c>
      <c r="DA39" s="4"/>
      <c r="DB39" s="4"/>
      <c r="DC39" s="4"/>
      <c r="DD39" s="4"/>
      <c r="DE39" s="4"/>
      <c r="DF39" s="4"/>
      <c r="DG39" s="4"/>
      <c r="DH39" s="4" t="s">
        <v>174</v>
      </c>
      <c r="DI39" s="5">
        <v>40925</v>
      </c>
      <c r="DJ39" s="4" t="b">
        <v>0</v>
      </c>
      <c r="DK39" s="4"/>
      <c r="DL39" s="4">
        <v>2653800</v>
      </c>
      <c r="DM39" s="4">
        <v>6492413</v>
      </c>
      <c r="DN39" s="4" t="s">
        <v>293</v>
      </c>
      <c r="DO39" s="4"/>
      <c r="DP39" s="4"/>
      <c r="DQ39" s="4" t="s">
        <v>148</v>
      </c>
      <c r="DR39" s="4"/>
      <c r="DS39" s="4"/>
      <c r="DT39" s="4"/>
      <c r="DU39" s="4"/>
      <c r="DV39" s="4"/>
      <c r="DW39" s="4"/>
      <c r="DX39" s="4"/>
      <c r="DY39" s="4"/>
      <c r="DZ39" s="4"/>
      <c r="EA39" s="4"/>
      <c r="EB39" s="4"/>
      <c r="EC39" s="4"/>
      <c r="ED39" s="4"/>
      <c r="EE39" s="4"/>
      <c r="EF39" s="4"/>
      <c r="EG39" s="5">
        <v>40949</v>
      </c>
      <c r="EH39" s="5">
        <v>40952</v>
      </c>
      <c r="EI39" s="4"/>
    </row>
    <row r="40" spans="1:139" hidden="1" x14ac:dyDescent="0.2">
      <c r="A40">
        <f>VLOOKUP(B40,Sheet1!$A$1:$B$18,2,FALSE)</f>
        <v>0</v>
      </c>
      <c r="B40" t="str">
        <f t="shared" si="0"/>
        <v>AKL</v>
      </c>
      <c r="C40" s="2">
        <v>39</v>
      </c>
      <c r="D40" s="3" t="str">
        <f>HYPERLINK("https://sitebase.nzcomms.co.nz/spm/spmnominalview/AKL-004-051/","AKL-004-051")</f>
        <v>AKL-004-051</v>
      </c>
      <c r="E40" s="4" t="s">
        <v>294</v>
      </c>
      <c r="F40" s="3" t="str">
        <f>HYPERLINK("https://sitebase.nzcomms.co.nz/spm/spmcandidateview/AKL-004-051-C/","AKL-004-051-C")</f>
        <v>AKL-004-051-C</v>
      </c>
      <c r="G40" s="4" t="s">
        <v>295</v>
      </c>
      <c r="H40" s="4" t="s">
        <v>138</v>
      </c>
      <c r="I40" s="4">
        <v>3</v>
      </c>
      <c r="J40" s="4" t="s">
        <v>194</v>
      </c>
      <c r="K40" s="4" t="s">
        <v>141</v>
      </c>
      <c r="L40" s="4" t="s">
        <v>189</v>
      </c>
      <c r="M40" s="4" t="s">
        <v>296</v>
      </c>
      <c r="N40" s="4" t="s">
        <v>274</v>
      </c>
      <c r="O40" s="4" t="s">
        <v>297</v>
      </c>
      <c r="P40" s="4" t="s">
        <v>182</v>
      </c>
      <c r="Q40" s="4" t="s">
        <v>170</v>
      </c>
      <c r="R40" s="4"/>
      <c r="S40" s="4">
        <v>15.5</v>
      </c>
      <c r="T40" s="4"/>
      <c r="U40" s="4">
        <v>-36.788002310000003</v>
      </c>
      <c r="V40" s="4">
        <v>174.58311087000001</v>
      </c>
      <c r="W40" s="4"/>
      <c r="X40" s="4"/>
      <c r="Y40" s="4"/>
      <c r="Z40" s="4"/>
      <c r="AA40" s="4" t="s">
        <v>171</v>
      </c>
      <c r="AB40" s="3" t="str">
        <f>HYPERLINK("https://sitebase.nzcomms.co.nz/spm/spmcandidateview/AKL-005-022-H/","AKL-005-022-H")</f>
        <v>AKL-005-022-H</v>
      </c>
      <c r="AC40" s="4" t="b">
        <v>0</v>
      </c>
      <c r="AD40" s="4" t="b">
        <v>0</v>
      </c>
      <c r="AE40" s="4"/>
      <c r="AF40" s="4"/>
      <c r="AG40" s="4" t="b">
        <v>0</v>
      </c>
      <c r="AH40" s="4" t="s">
        <v>298</v>
      </c>
      <c r="AI40" s="5">
        <v>40630</v>
      </c>
      <c r="AJ40" s="5">
        <v>40661</v>
      </c>
      <c r="AK40" s="4"/>
      <c r="AL40" s="5">
        <v>40659</v>
      </c>
      <c r="AM40" s="5">
        <v>40710</v>
      </c>
      <c r="AN40" s="5">
        <v>40710</v>
      </c>
      <c r="AO40" s="4">
        <v>3</v>
      </c>
      <c r="AP40" s="5">
        <v>40788</v>
      </c>
      <c r="AQ40" s="5">
        <v>40792</v>
      </c>
      <c r="AR40" s="5">
        <v>40807</v>
      </c>
      <c r="AS40" s="5">
        <v>40808</v>
      </c>
      <c r="AT40" s="5">
        <v>40856</v>
      </c>
      <c r="AU40" s="5">
        <v>40862</v>
      </c>
      <c r="AV40" s="4"/>
      <c r="AW40" s="5">
        <v>40879</v>
      </c>
      <c r="AX40" s="5">
        <v>40885</v>
      </c>
      <c r="AY40" s="4" t="s">
        <v>193</v>
      </c>
      <c r="AZ40" s="5">
        <v>40812</v>
      </c>
      <c r="BA40" s="5">
        <v>40808</v>
      </c>
      <c r="BB40" s="5">
        <v>40847</v>
      </c>
      <c r="BC40" s="5">
        <v>40830</v>
      </c>
      <c r="BD40" s="4">
        <v>3</v>
      </c>
      <c r="BE40" s="5">
        <v>40847</v>
      </c>
      <c r="BF40" s="5">
        <v>40835</v>
      </c>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5">
        <v>41288</v>
      </c>
      <c r="CK40" s="4"/>
      <c r="CL40" s="5">
        <v>41288</v>
      </c>
      <c r="CM40" s="4"/>
      <c r="CN40" s="4"/>
      <c r="CO40" s="4"/>
      <c r="CP40" s="4" t="s">
        <v>299</v>
      </c>
      <c r="CQ40" s="4"/>
      <c r="CR40" s="4"/>
      <c r="CS40" s="4"/>
      <c r="CT40" s="4"/>
      <c r="CU40" s="4"/>
      <c r="CV40" s="4"/>
      <c r="CW40" s="4"/>
      <c r="CX40" s="4"/>
      <c r="CY40" s="4"/>
      <c r="CZ40" s="4"/>
      <c r="DA40" s="4"/>
      <c r="DB40" s="4"/>
      <c r="DC40" s="4"/>
      <c r="DD40" s="4"/>
      <c r="DE40" s="4"/>
      <c r="DF40" s="4"/>
      <c r="DG40" s="4"/>
      <c r="DH40" s="4" t="s">
        <v>240</v>
      </c>
      <c r="DI40" s="4"/>
      <c r="DJ40" s="4" t="b">
        <v>0</v>
      </c>
      <c r="DK40" s="4"/>
      <c r="DL40" s="4">
        <v>2651702</v>
      </c>
      <c r="DM40" s="4">
        <v>6489207</v>
      </c>
      <c r="DN40" s="4" t="s">
        <v>300</v>
      </c>
      <c r="DO40" s="4"/>
      <c r="DP40" s="4" t="s">
        <v>301</v>
      </c>
      <c r="DQ40" s="4" t="s">
        <v>148</v>
      </c>
      <c r="DR40" s="4" t="s">
        <v>244</v>
      </c>
      <c r="DS40" s="4"/>
      <c r="DT40" s="4"/>
      <c r="DU40" s="4"/>
      <c r="DV40" s="4"/>
      <c r="DW40" s="4"/>
      <c r="DX40" s="4"/>
      <c r="DY40" s="4"/>
      <c r="DZ40" s="4"/>
      <c r="EA40" s="4"/>
      <c r="EB40" s="4"/>
      <c r="EC40" s="4"/>
      <c r="ED40" s="4"/>
      <c r="EE40" s="4"/>
      <c r="EF40" s="4"/>
      <c r="EG40" s="4"/>
      <c r="EH40" s="4"/>
      <c r="EI40" s="4"/>
    </row>
    <row r="41" spans="1:139" hidden="1" x14ac:dyDescent="0.2">
      <c r="A41">
        <f>VLOOKUP(B41,Sheet1!$A$1:$B$18,2,FALSE)</f>
        <v>0</v>
      </c>
      <c r="B41" t="str">
        <f t="shared" si="0"/>
        <v>AKL</v>
      </c>
      <c r="C41" s="2">
        <v>40</v>
      </c>
      <c r="D41" s="3" t="str">
        <f>HYPERLINK("https://sitebase.nzcomms.co.nz/spm/spmnominalview/AKL-004-052/","AKL-004-052")</f>
        <v>AKL-004-052</v>
      </c>
      <c r="E41" s="4" t="s">
        <v>302</v>
      </c>
      <c r="F41" s="4"/>
      <c r="G41" s="4"/>
      <c r="H41" s="4" t="s">
        <v>138</v>
      </c>
      <c r="I41" s="4"/>
      <c r="J41" s="4" t="s">
        <v>196</v>
      </c>
      <c r="K41" s="4"/>
      <c r="L41" s="4"/>
      <c r="M41" s="4"/>
      <c r="N41" s="4"/>
      <c r="O41" s="4"/>
      <c r="P41" s="4"/>
      <c r="Q41" s="4"/>
      <c r="R41" s="4"/>
      <c r="S41" s="4"/>
      <c r="T41" s="4"/>
      <c r="U41" s="4"/>
      <c r="V41" s="4"/>
      <c r="W41" s="4"/>
      <c r="X41" s="4"/>
      <c r="Y41" s="4"/>
      <c r="Z41" s="4"/>
      <c r="AA41" s="4"/>
      <c r="AB41" s="4"/>
      <c r="AC41" s="4"/>
      <c r="AD41" s="4"/>
      <c r="AE41" s="4"/>
      <c r="AF41" s="4"/>
      <c r="AG41" s="4" t="b">
        <v>0</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row>
    <row r="42" spans="1:139" hidden="1" x14ac:dyDescent="0.2">
      <c r="A42">
        <f>VLOOKUP(B42,Sheet1!$A$1:$B$18,2,FALSE)</f>
        <v>0</v>
      </c>
      <c r="B42" t="str">
        <f t="shared" si="0"/>
        <v>AKL</v>
      </c>
      <c r="C42" s="2">
        <v>41</v>
      </c>
      <c r="D42" s="3" t="str">
        <f>HYPERLINK("https://sitebase.nzcomms.co.nz/spm/spmnominalview/AKL-004-053/","AKL-004-053")</f>
        <v>AKL-004-053</v>
      </c>
      <c r="E42" s="4" t="s">
        <v>303</v>
      </c>
      <c r="F42" s="3" t="str">
        <f>HYPERLINK("https://sitebase.nzcomms.co.nz/spm/spmcandidateview/AKL-004-053-B/","AKL-004-053-B")</f>
        <v>AKL-004-053-B</v>
      </c>
      <c r="G42" s="4" t="s">
        <v>304</v>
      </c>
      <c r="H42" s="4" t="s">
        <v>138</v>
      </c>
      <c r="I42" s="4">
        <v>3</v>
      </c>
      <c r="J42" s="4" t="s">
        <v>180</v>
      </c>
      <c r="K42" s="4" t="s">
        <v>141</v>
      </c>
      <c r="L42" s="4" t="s">
        <v>142</v>
      </c>
      <c r="M42" s="4" t="s">
        <v>190</v>
      </c>
      <c r="N42" s="4" t="s">
        <v>142</v>
      </c>
      <c r="O42" s="4"/>
      <c r="P42" s="4" t="s">
        <v>182</v>
      </c>
      <c r="Q42" s="4" t="s">
        <v>142</v>
      </c>
      <c r="R42" s="4">
        <v>20</v>
      </c>
      <c r="S42" s="4">
        <v>20</v>
      </c>
      <c r="T42" s="4"/>
      <c r="U42" s="4">
        <v>-36.657236339999997</v>
      </c>
      <c r="V42" s="4">
        <v>174.45338892999999</v>
      </c>
      <c r="W42" s="4"/>
      <c r="X42" s="5">
        <v>40896</v>
      </c>
      <c r="Y42" s="4"/>
      <c r="Z42" s="4"/>
      <c r="AA42" s="4" t="s">
        <v>145</v>
      </c>
      <c r="AB42" s="3" t="str">
        <f>HYPERLINK("https://sitebase.nzcomms.co.nz/spm/spmcandidateview/AKL-007-106-A/","AKL-007-106-A")</f>
        <v>AKL-007-106-A</v>
      </c>
      <c r="AC42" s="4" t="b">
        <v>0</v>
      </c>
      <c r="AD42" s="4" t="b">
        <v>0</v>
      </c>
      <c r="AE42" s="4"/>
      <c r="AF42" s="4"/>
      <c r="AG42" s="4" t="b">
        <v>0</v>
      </c>
      <c r="AH42" s="4"/>
      <c r="AI42" s="5">
        <v>40976</v>
      </c>
      <c r="AJ42" s="5">
        <v>40976</v>
      </c>
      <c r="AK42" s="5">
        <v>40977</v>
      </c>
      <c r="AL42" s="5">
        <v>40977</v>
      </c>
      <c r="AM42" s="5">
        <v>41068</v>
      </c>
      <c r="AN42" s="5">
        <v>41058</v>
      </c>
      <c r="AO42" s="4">
        <v>2</v>
      </c>
      <c r="AP42" s="5">
        <v>41068</v>
      </c>
      <c r="AQ42" s="5">
        <v>41093</v>
      </c>
      <c r="AR42" s="5">
        <v>41107</v>
      </c>
      <c r="AS42" s="5">
        <v>41117</v>
      </c>
      <c r="AT42" s="5">
        <v>41180</v>
      </c>
      <c r="AU42" s="5">
        <v>41177</v>
      </c>
      <c r="AV42" s="4"/>
      <c r="AW42" s="5">
        <v>41180</v>
      </c>
      <c r="AX42" s="5">
        <v>41198</v>
      </c>
      <c r="AY42" s="4" t="s">
        <v>183</v>
      </c>
      <c r="AZ42" s="5">
        <v>41094</v>
      </c>
      <c r="BA42" s="5">
        <v>41094</v>
      </c>
      <c r="BB42" s="5">
        <v>41136</v>
      </c>
      <c r="BC42" s="5">
        <v>41123</v>
      </c>
      <c r="BD42" s="4">
        <v>2</v>
      </c>
      <c r="BE42" s="5">
        <v>41143</v>
      </c>
      <c r="BF42" s="5">
        <v>41129</v>
      </c>
      <c r="BG42" s="5">
        <v>41155</v>
      </c>
      <c r="BH42" s="4"/>
      <c r="BI42" s="5">
        <v>41193</v>
      </c>
      <c r="BJ42" s="5">
        <v>41193</v>
      </c>
      <c r="BK42" s="4">
        <v>1</v>
      </c>
      <c r="BL42" s="4"/>
      <c r="BM42" s="5">
        <v>41193</v>
      </c>
      <c r="BN42" s="5">
        <v>41193</v>
      </c>
      <c r="BO42" s="5">
        <v>41225</v>
      </c>
      <c r="BP42" s="4"/>
      <c r="BQ42" s="4"/>
      <c r="BR42" s="4"/>
      <c r="BS42" s="4"/>
      <c r="BT42" s="5">
        <v>41218</v>
      </c>
      <c r="BU42" s="5">
        <v>41218</v>
      </c>
      <c r="BV42" s="5">
        <v>41229</v>
      </c>
      <c r="BW42" s="5">
        <v>41225</v>
      </c>
      <c r="BX42" s="5">
        <v>41225</v>
      </c>
      <c r="BY42" s="5">
        <v>41247</v>
      </c>
      <c r="BZ42" s="5">
        <v>41246</v>
      </c>
      <c r="CA42" s="5">
        <v>41235</v>
      </c>
      <c r="CB42" s="5">
        <v>41240</v>
      </c>
      <c r="CC42" s="4"/>
      <c r="CD42" s="4"/>
      <c r="CE42" s="4"/>
      <c r="CF42" s="4"/>
      <c r="CG42" s="4"/>
      <c r="CH42" s="4"/>
      <c r="CI42" s="5">
        <v>41247</v>
      </c>
      <c r="CJ42" s="5">
        <v>41257</v>
      </c>
      <c r="CK42" s="5">
        <v>41255</v>
      </c>
      <c r="CL42" s="5">
        <v>41289</v>
      </c>
      <c r="CM42" s="5">
        <v>41262</v>
      </c>
      <c r="CN42" s="5">
        <v>41404</v>
      </c>
      <c r="CO42" s="5">
        <v>41400</v>
      </c>
      <c r="CP42" s="4"/>
      <c r="CQ42" s="4" t="s">
        <v>230</v>
      </c>
      <c r="CR42" s="5">
        <v>41247</v>
      </c>
      <c r="CS42" s="4"/>
      <c r="CT42" s="4"/>
      <c r="CU42" s="5">
        <v>41211</v>
      </c>
      <c r="CV42" s="5">
        <v>41225</v>
      </c>
      <c r="CW42" s="5">
        <v>41225</v>
      </c>
      <c r="CX42" s="5">
        <v>41225</v>
      </c>
      <c r="CY42" s="5">
        <v>41243</v>
      </c>
      <c r="CZ42" s="5">
        <v>41243</v>
      </c>
      <c r="DA42" s="5">
        <v>41254</v>
      </c>
      <c r="DB42" s="5">
        <v>41249</v>
      </c>
      <c r="DC42" s="4"/>
      <c r="DD42" s="4"/>
      <c r="DE42" s="4" t="s">
        <v>184</v>
      </c>
      <c r="DF42" s="5">
        <v>41229</v>
      </c>
      <c r="DG42" s="5">
        <v>41240</v>
      </c>
      <c r="DH42" s="4" t="s">
        <v>174</v>
      </c>
      <c r="DI42" s="5">
        <v>41227</v>
      </c>
      <c r="DJ42" s="4" t="b">
        <v>0</v>
      </c>
      <c r="DK42" s="4"/>
      <c r="DL42" s="4">
        <v>2640375</v>
      </c>
      <c r="DM42" s="4">
        <v>6503924</v>
      </c>
      <c r="DN42" s="4" t="s">
        <v>305</v>
      </c>
      <c r="DO42" s="4"/>
      <c r="DP42" s="4" t="s">
        <v>306</v>
      </c>
      <c r="DQ42" s="4" t="s">
        <v>148</v>
      </c>
      <c r="DR42" s="4"/>
      <c r="DS42" s="4"/>
      <c r="DT42" s="4"/>
      <c r="DU42" s="4"/>
      <c r="DV42" s="4"/>
      <c r="DW42" s="4"/>
      <c r="DX42" s="4"/>
      <c r="DY42" s="4"/>
      <c r="DZ42" s="4"/>
      <c r="EA42" s="4"/>
      <c r="EB42" s="4"/>
      <c r="EC42" s="4"/>
      <c r="ED42" s="4"/>
      <c r="EE42" s="4"/>
      <c r="EF42" s="4"/>
      <c r="EG42" s="5">
        <v>41255</v>
      </c>
      <c r="EH42" s="5">
        <v>41255</v>
      </c>
      <c r="EI42" s="4"/>
    </row>
    <row r="43" spans="1:139" hidden="1" x14ac:dyDescent="0.2">
      <c r="A43">
        <f>VLOOKUP(B43,Sheet1!$A$1:$B$18,2,FALSE)</f>
        <v>0</v>
      </c>
      <c r="B43" t="str">
        <f t="shared" si="0"/>
        <v>AKL</v>
      </c>
      <c r="C43" s="2">
        <v>42</v>
      </c>
      <c r="D43" s="3" t="str">
        <f>HYPERLINK("https://sitebase.nzcomms.co.nz/spm/spmnominalview/AKL-004-054/","AKL-004-054")</f>
        <v>AKL-004-054</v>
      </c>
      <c r="E43" s="4" t="s">
        <v>307</v>
      </c>
      <c r="F43" s="3" t="str">
        <f>HYPERLINK("https://sitebase.nzcomms.co.nz/spm/spmcandidateview/AKL-004-054-B/","AKL-004-054-B")</f>
        <v>AKL-004-054-B</v>
      </c>
      <c r="G43" s="4" t="s">
        <v>307</v>
      </c>
      <c r="H43" s="4" t="s">
        <v>138</v>
      </c>
      <c r="I43" s="4">
        <v>3</v>
      </c>
      <c r="J43" s="4" t="s">
        <v>180</v>
      </c>
      <c r="K43" s="4" t="s">
        <v>141</v>
      </c>
      <c r="L43" s="4" t="s">
        <v>142</v>
      </c>
      <c r="M43" s="4" t="s">
        <v>190</v>
      </c>
      <c r="N43" s="4" t="s">
        <v>142</v>
      </c>
      <c r="O43" s="4"/>
      <c r="P43" s="4" t="s">
        <v>169</v>
      </c>
      <c r="Q43" s="4" t="s">
        <v>142</v>
      </c>
      <c r="R43" s="4">
        <v>20</v>
      </c>
      <c r="S43" s="4">
        <v>20</v>
      </c>
      <c r="T43" s="4"/>
      <c r="U43" s="4">
        <v>-36.597078459999999</v>
      </c>
      <c r="V43" s="4">
        <v>174.66181144000001</v>
      </c>
      <c r="W43" s="4"/>
      <c r="X43" s="5">
        <v>41061</v>
      </c>
      <c r="Y43" s="4"/>
      <c r="Z43" s="4"/>
      <c r="AA43" s="4" t="s">
        <v>171</v>
      </c>
      <c r="AB43" s="3" t="str">
        <f>HYPERLINK("https://sitebase.nzcomms.co.nz/spm/spmcandidateview/AKL-004-009-D/","AKL-004-009-D")</f>
        <v>AKL-004-009-D</v>
      </c>
      <c r="AC43" s="4" t="b">
        <v>0</v>
      </c>
      <c r="AD43" s="4" t="b">
        <v>0</v>
      </c>
      <c r="AE43" s="4"/>
      <c r="AF43" s="4"/>
      <c r="AG43" s="4" t="b">
        <v>0</v>
      </c>
      <c r="AH43" s="4"/>
      <c r="AI43" s="5">
        <v>41116</v>
      </c>
      <c r="AJ43" s="5">
        <v>41116</v>
      </c>
      <c r="AK43" s="5">
        <v>41121</v>
      </c>
      <c r="AL43" s="5">
        <v>41120</v>
      </c>
      <c r="AM43" s="5">
        <v>41148</v>
      </c>
      <c r="AN43" s="5">
        <v>41156</v>
      </c>
      <c r="AO43" s="4">
        <v>1</v>
      </c>
      <c r="AP43" s="5">
        <v>41148</v>
      </c>
      <c r="AQ43" s="5">
        <v>41156</v>
      </c>
      <c r="AR43" s="5">
        <v>41197</v>
      </c>
      <c r="AS43" s="5">
        <v>41197</v>
      </c>
      <c r="AT43" s="5">
        <v>41320</v>
      </c>
      <c r="AU43" s="5">
        <v>41323</v>
      </c>
      <c r="AV43" s="4"/>
      <c r="AW43" s="5">
        <v>41326</v>
      </c>
      <c r="AX43" s="5">
        <v>41348</v>
      </c>
      <c r="AY43" s="4" t="s">
        <v>183</v>
      </c>
      <c r="AZ43" s="5">
        <v>41198</v>
      </c>
      <c r="BA43" s="5">
        <v>41197</v>
      </c>
      <c r="BB43" s="5">
        <v>41236</v>
      </c>
      <c r="BC43" s="5">
        <v>41228</v>
      </c>
      <c r="BD43" s="4">
        <v>1</v>
      </c>
      <c r="BE43" s="5">
        <v>41262</v>
      </c>
      <c r="BF43" s="5">
        <v>41228</v>
      </c>
      <c r="BG43" s="4"/>
      <c r="BH43" s="4"/>
      <c r="BI43" s="5">
        <v>41313</v>
      </c>
      <c r="BJ43" s="5">
        <v>41298</v>
      </c>
      <c r="BK43" s="4">
        <v>1</v>
      </c>
      <c r="BL43" s="4"/>
      <c r="BM43" s="5">
        <v>41313</v>
      </c>
      <c r="BN43" s="5">
        <v>41298</v>
      </c>
      <c r="BO43" s="5">
        <v>41351</v>
      </c>
      <c r="BP43" s="4"/>
      <c r="BQ43" s="4"/>
      <c r="BR43" s="4"/>
      <c r="BS43" s="4"/>
      <c r="BT43" s="5">
        <v>41352</v>
      </c>
      <c r="BU43" s="5">
        <v>41345</v>
      </c>
      <c r="BV43" s="5">
        <v>41402</v>
      </c>
      <c r="BW43" s="5">
        <v>41402</v>
      </c>
      <c r="BX43" s="5">
        <v>41345</v>
      </c>
      <c r="BY43" s="5">
        <v>41407</v>
      </c>
      <c r="BZ43" s="5">
        <v>41408</v>
      </c>
      <c r="CA43" s="4"/>
      <c r="CB43" s="4"/>
      <c r="CC43" s="4"/>
      <c r="CD43" s="4"/>
      <c r="CE43" s="4"/>
      <c r="CF43" s="4"/>
      <c r="CG43" s="4"/>
      <c r="CH43" s="4"/>
      <c r="CI43" s="5">
        <v>41408</v>
      </c>
      <c r="CJ43" s="5">
        <v>41421</v>
      </c>
      <c r="CK43" s="5">
        <v>41418</v>
      </c>
      <c r="CL43" s="5">
        <v>41422</v>
      </c>
      <c r="CM43" s="5">
        <v>41422</v>
      </c>
      <c r="CN43" s="5">
        <v>41516</v>
      </c>
      <c r="CO43" s="5">
        <v>41523</v>
      </c>
      <c r="CP43" s="4" t="s">
        <v>308</v>
      </c>
      <c r="CQ43" s="4" t="s">
        <v>230</v>
      </c>
      <c r="CR43" s="5">
        <v>41407</v>
      </c>
      <c r="CS43" s="5">
        <v>41337</v>
      </c>
      <c r="CT43" s="5">
        <v>41337</v>
      </c>
      <c r="CU43" s="5">
        <v>41338</v>
      </c>
      <c r="CV43" s="5">
        <v>41338</v>
      </c>
      <c r="CW43" s="5">
        <v>41351</v>
      </c>
      <c r="CX43" s="5">
        <v>41351</v>
      </c>
      <c r="CY43" s="5">
        <v>41361</v>
      </c>
      <c r="CZ43" s="5">
        <v>41360</v>
      </c>
      <c r="DA43" s="5">
        <v>41407</v>
      </c>
      <c r="DB43" s="5">
        <v>41407</v>
      </c>
      <c r="DC43" s="4"/>
      <c r="DD43" s="4"/>
      <c r="DE43" s="4" t="s">
        <v>194</v>
      </c>
      <c r="DF43" s="4"/>
      <c r="DG43" s="4"/>
      <c r="DH43" s="4" t="s">
        <v>174</v>
      </c>
      <c r="DI43" s="5">
        <v>41352</v>
      </c>
      <c r="DJ43" s="4" t="b">
        <v>0</v>
      </c>
      <c r="DK43" s="4"/>
      <c r="DL43" s="4">
        <v>2659137</v>
      </c>
      <c r="DM43" s="4">
        <v>6510257</v>
      </c>
      <c r="DN43" s="4" t="s">
        <v>309</v>
      </c>
      <c r="DO43" s="4"/>
      <c r="DP43" s="4"/>
      <c r="DQ43" s="4" t="s">
        <v>148</v>
      </c>
      <c r="DR43" s="4"/>
      <c r="DS43" s="4"/>
      <c r="DT43" s="4"/>
      <c r="DU43" s="4"/>
      <c r="DV43" s="4"/>
      <c r="DW43" s="4"/>
      <c r="DX43" s="4"/>
      <c r="DY43" s="4"/>
      <c r="DZ43" s="4"/>
      <c r="EA43" s="4"/>
      <c r="EB43" s="4"/>
      <c r="EC43" s="4"/>
      <c r="ED43" s="4"/>
      <c r="EE43" s="4"/>
      <c r="EF43" s="4"/>
      <c r="EG43" s="5">
        <v>41410</v>
      </c>
      <c r="EH43" s="5">
        <v>41410</v>
      </c>
      <c r="EI43" s="4"/>
    </row>
    <row r="44" spans="1:139" hidden="1" x14ac:dyDescent="0.2">
      <c r="A44">
        <f>VLOOKUP(B44,Sheet1!$A$1:$B$18,2,FALSE)</f>
        <v>0</v>
      </c>
      <c r="B44" t="str">
        <f t="shared" si="0"/>
        <v>AKL</v>
      </c>
      <c r="C44" s="2">
        <v>43</v>
      </c>
      <c r="D44" s="3" t="str">
        <f>HYPERLINK("https://sitebase.nzcomms.co.nz/spm/spmnominalview/AKL-004-055/","AKL-004-055")</f>
        <v>AKL-004-055</v>
      </c>
      <c r="E44" s="4" t="s">
        <v>310</v>
      </c>
      <c r="F44" s="3" t="str">
        <f>HYPERLINK("https://sitebase.nzcomms.co.nz/spm/spmcandidateview/AKL-004-055-A/","AKL-004-055-A")</f>
        <v>AKL-004-055-A</v>
      </c>
      <c r="G44" s="4" t="s">
        <v>310</v>
      </c>
      <c r="H44" s="4" t="s">
        <v>138</v>
      </c>
      <c r="I44" s="4">
        <v>3</v>
      </c>
      <c r="J44" s="4" t="s">
        <v>180</v>
      </c>
      <c r="K44" s="4" t="s">
        <v>141</v>
      </c>
      <c r="L44" s="4" t="s">
        <v>150</v>
      </c>
      <c r="M44" s="4" t="s">
        <v>190</v>
      </c>
      <c r="N44" s="4" t="s">
        <v>216</v>
      </c>
      <c r="O44" s="4"/>
      <c r="P44" s="4" t="s">
        <v>182</v>
      </c>
      <c r="Q44" s="4" t="s">
        <v>170</v>
      </c>
      <c r="R44" s="4">
        <v>19.5</v>
      </c>
      <c r="S44" s="4">
        <v>20</v>
      </c>
      <c r="T44" s="4"/>
      <c r="U44" s="4">
        <v>-36.631177370000003</v>
      </c>
      <c r="V44" s="4">
        <v>174.73496347</v>
      </c>
      <c r="W44" s="4"/>
      <c r="X44" s="5">
        <v>41066</v>
      </c>
      <c r="Y44" s="4"/>
      <c r="Z44" s="4"/>
      <c r="AA44" s="4" t="s">
        <v>145</v>
      </c>
      <c r="AB44" s="3" t="str">
        <f>HYPERLINK("https://sitebase.nzcomms.co.nz/spm/spmcandidateview/AKL-005-078-A/","AKL-005-078-A")</f>
        <v>AKL-005-078-A</v>
      </c>
      <c r="AC44" s="4" t="b">
        <v>0</v>
      </c>
      <c r="AD44" s="4" t="b">
        <v>0</v>
      </c>
      <c r="AE44" s="4"/>
      <c r="AF44" s="4"/>
      <c r="AG44" s="4" t="b">
        <v>0</v>
      </c>
      <c r="AH44" s="4"/>
      <c r="AI44" s="5">
        <v>41100</v>
      </c>
      <c r="AJ44" s="5">
        <v>41100</v>
      </c>
      <c r="AK44" s="5">
        <v>41107</v>
      </c>
      <c r="AL44" s="5">
        <v>41107</v>
      </c>
      <c r="AM44" s="5">
        <v>41148</v>
      </c>
      <c r="AN44" s="5">
        <v>41148</v>
      </c>
      <c r="AO44" s="4">
        <v>2</v>
      </c>
      <c r="AP44" s="5">
        <v>41148</v>
      </c>
      <c r="AQ44" s="5">
        <v>41226</v>
      </c>
      <c r="AR44" s="5">
        <v>41187</v>
      </c>
      <c r="AS44" s="5">
        <v>41184</v>
      </c>
      <c r="AT44" s="5">
        <v>41236</v>
      </c>
      <c r="AU44" s="5">
        <v>41243</v>
      </c>
      <c r="AV44" s="4">
        <v>2</v>
      </c>
      <c r="AW44" s="5">
        <v>41241</v>
      </c>
      <c r="AX44" s="5">
        <v>41243</v>
      </c>
      <c r="AY44" s="4" t="s">
        <v>247</v>
      </c>
      <c r="AZ44" s="5">
        <v>41193</v>
      </c>
      <c r="BA44" s="5">
        <v>41569</v>
      </c>
      <c r="BB44" s="5">
        <v>41320</v>
      </c>
      <c r="BC44" s="4"/>
      <c r="BD44" s="4">
        <v>2</v>
      </c>
      <c r="BE44" s="5">
        <v>41327</v>
      </c>
      <c r="BF44" s="5">
        <v>41233</v>
      </c>
      <c r="BG44" s="4"/>
      <c r="BH44" s="4"/>
      <c r="BI44" s="5">
        <v>41298</v>
      </c>
      <c r="BJ44" s="5">
        <v>41310</v>
      </c>
      <c r="BK44" s="4">
        <v>1</v>
      </c>
      <c r="BL44" s="4"/>
      <c r="BM44" s="5">
        <v>41298</v>
      </c>
      <c r="BN44" s="5">
        <v>41310</v>
      </c>
      <c r="BO44" s="5">
        <v>41317</v>
      </c>
      <c r="BP44" s="4"/>
      <c r="BQ44" s="4"/>
      <c r="BR44" s="5">
        <v>41291</v>
      </c>
      <c r="BS44" s="4"/>
      <c r="BT44" s="5">
        <v>41323</v>
      </c>
      <c r="BU44" s="5">
        <v>41320</v>
      </c>
      <c r="BV44" s="5">
        <v>41341</v>
      </c>
      <c r="BW44" s="5">
        <v>41334</v>
      </c>
      <c r="BX44" s="5">
        <v>41337</v>
      </c>
      <c r="BY44" s="5">
        <v>41346</v>
      </c>
      <c r="BZ44" s="5">
        <v>41346</v>
      </c>
      <c r="CA44" s="5">
        <v>41344</v>
      </c>
      <c r="CB44" s="5">
        <v>41344</v>
      </c>
      <c r="CC44" s="4"/>
      <c r="CD44" s="4"/>
      <c r="CE44" s="4"/>
      <c r="CF44" s="4"/>
      <c r="CG44" s="4"/>
      <c r="CH44" s="4"/>
      <c r="CI44" s="5">
        <v>41347</v>
      </c>
      <c r="CJ44" s="5">
        <v>41376</v>
      </c>
      <c r="CK44" s="5">
        <v>41376</v>
      </c>
      <c r="CL44" s="5">
        <v>41366</v>
      </c>
      <c r="CM44" s="5">
        <v>41361</v>
      </c>
      <c r="CN44" s="5">
        <v>41517</v>
      </c>
      <c r="CO44" s="5">
        <v>41628</v>
      </c>
      <c r="CP44" s="4" t="s">
        <v>311</v>
      </c>
      <c r="CQ44" s="4"/>
      <c r="CR44" s="5">
        <v>41346</v>
      </c>
      <c r="CS44" s="5">
        <v>41309</v>
      </c>
      <c r="CT44" s="5">
        <v>41309</v>
      </c>
      <c r="CU44" s="5">
        <v>41317</v>
      </c>
      <c r="CV44" s="5">
        <v>41317</v>
      </c>
      <c r="CW44" s="5">
        <v>41317</v>
      </c>
      <c r="CX44" s="5">
        <v>41317</v>
      </c>
      <c r="CY44" s="5">
        <v>41353</v>
      </c>
      <c r="CZ44" s="5">
        <v>41348</v>
      </c>
      <c r="DA44" s="5">
        <v>41351</v>
      </c>
      <c r="DB44" s="5">
        <v>41351</v>
      </c>
      <c r="DC44" s="4"/>
      <c r="DD44" s="4"/>
      <c r="DE44" s="4" t="s">
        <v>194</v>
      </c>
      <c r="DF44" s="5">
        <v>41341</v>
      </c>
      <c r="DG44" s="5">
        <v>41341</v>
      </c>
      <c r="DH44" s="4" t="s">
        <v>174</v>
      </c>
      <c r="DI44" s="5">
        <v>41338</v>
      </c>
      <c r="DJ44" s="4" t="b">
        <v>1</v>
      </c>
      <c r="DK44" s="4"/>
      <c r="DL44" s="4">
        <v>2665605</v>
      </c>
      <c r="DM44" s="4">
        <v>6506344</v>
      </c>
      <c r="DN44" s="4" t="s">
        <v>312</v>
      </c>
      <c r="DO44" s="4"/>
      <c r="DP44" s="4"/>
      <c r="DQ44" s="4" t="s">
        <v>148</v>
      </c>
      <c r="DR44" s="4"/>
      <c r="DS44" s="4"/>
      <c r="DT44" s="4"/>
      <c r="DU44" s="4"/>
      <c r="DV44" s="4"/>
      <c r="DW44" s="4"/>
      <c r="DX44" s="4"/>
      <c r="DY44" s="4"/>
      <c r="DZ44" s="4"/>
      <c r="EA44" s="4"/>
      <c r="EB44" s="4"/>
      <c r="EC44" s="4"/>
      <c r="ED44" s="4"/>
      <c r="EE44" s="4"/>
      <c r="EF44" s="4"/>
      <c r="EG44" s="5">
        <v>41355</v>
      </c>
      <c r="EH44" s="5">
        <v>41351</v>
      </c>
      <c r="EI44" s="4"/>
    </row>
    <row r="45" spans="1:139" hidden="1" x14ac:dyDescent="0.2">
      <c r="A45">
        <f>VLOOKUP(B45,Sheet1!$A$1:$B$18,2,FALSE)</f>
        <v>0</v>
      </c>
      <c r="B45" t="str">
        <f t="shared" si="0"/>
        <v>AKL</v>
      </c>
      <c r="C45" s="2">
        <v>44</v>
      </c>
      <c r="D45" s="3" t="str">
        <f>HYPERLINK("https://sitebase.nzcomms.co.nz/spm/spmnominalview/AKL-004-056/","AKL-004-056")</f>
        <v>AKL-004-056</v>
      </c>
      <c r="E45" s="4" t="s">
        <v>313</v>
      </c>
      <c r="F45" s="3" t="str">
        <f>HYPERLINK("https://sitebase.nzcomms.co.nz/spm/spmcandidateview/AKL-004-056-A/","AKL-004-056-A")</f>
        <v>AKL-004-056-A</v>
      </c>
      <c r="G45" s="4" t="s">
        <v>313</v>
      </c>
      <c r="H45" s="4" t="s">
        <v>138</v>
      </c>
      <c r="I45" s="4">
        <v>3</v>
      </c>
      <c r="J45" s="4" t="s">
        <v>180</v>
      </c>
      <c r="K45" s="4" t="s">
        <v>141</v>
      </c>
      <c r="L45" s="4" t="s">
        <v>150</v>
      </c>
      <c r="M45" s="4" t="s">
        <v>190</v>
      </c>
      <c r="N45" s="4" t="s">
        <v>167</v>
      </c>
      <c r="O45" s="4"/>
      <c r="P45" s="4" t="s">
        <v>182</v>
      </c>
      <c r="Q45" s="4" t="s">
        <v>170</v>
      </c>
      <c r="R45" s="4">
        <v>19.5</v>
      </c>
      <c r="S45" s="4">
        <v>20</v>
      </c>
      <c r="T45" s="4"/>
      <c r="U45" s="4">
        <v>-36.641208710000001</v>
      </c>
      <c r="V45" s="4">
        <v>174.63084458</v>
      </c>
      <c r="W45" s="4"/>
      <c r="X45" s="4"/>
      <c r="Y45" s="4"/>
      <c r="Z45" s="4"/>
      <c r="AA45" s="4" t="s">
        <v>171</v>
      </c>
      <c r="AB45" s="3" t="str">
        <f>HYPERLINK("https://sitebase.nzcomms.co.nz/spm/spmcandidateview/AKL-004-043-D/","AKL-004-043-D")</f>
        <v>AKL-004-043-D</v>
      </c>
      <c r="AC45" s="4" t="b">
        <v>0</v>
      </c>
      <c r="AD45" s="4" t="b">
        <v>0</v>
      </c>
      <c r="AE45" s="4"/>
      <c r="AF45" s="4"/>
      <c r="AG45" s="4" t="b">
        <v>0</v>
      </c>
      <c r="AH45" s="4"/>
      <c r="AI45" s="5">
        <v>41108</v>
      </c>
      <c r="AJ45" s="5">
        <v>41108</v>
      </c>
      <c r="AK45" s="5">
        <v>41117</v>
      </c>
      <c r="AL45" s="5">
        <v>41113</v>
      </c>
      <c r="AM45" s="5">
        <v>41141</v>
      </c>
      <c r="AN45" s="5">
        <v>41143</v>
      </c>
      <c r="AO45" s="4">
        <v>2</v>
      </c>
      <c r="AP45" s="5">
        <v>41141</v>
      </c>
      <c r="AQ45" s="5">
        <v>41166</v>
      </c>
      <c r="AR45" s="5">
        <v>41162</v>
      </c>
      <c r="AS45" s="5">
        <v>41162</v>
      </c>
      <c r="AT45" s="5">
        <v>41166</v>
      </c>
      <c r="AU45" s="5">
        <v>41166</v>
      </c>
      <c r="AV45" s="4"/>
      <c r="AW45" s="5">
        <v>41166</v>
      </c>
      <c r="AX45" s="5">
        <v>41206</v>
      </c>
      <c r="AY45" s="4" t="s">
        <v>247</v>
      </c>
      <c r="AZ45" s="5">
        <v>41176</v>
      </c>
      <c r="BA45" s="5">
        <v>41162</v>
      </c>
      <c r="BB45" s="5">
        <v>41204</v>
      </c>
      <c r="BC45" s="5">
        <v>41193</v>
      </c>
      <c r="BD45" s="4">
        <v>2</v>
      </c>
      <c r="BE45" s="5">
        <v>41211</v>
      </c>
      <c r="BF45" s="5">
        <v>41193</v>
      </c>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t="s">
        <v>314</v>
      </c>
      <c r="CQ45" s="4"/>
      <c r="CR45" s="4"/>
      <c r="CS45" s="4"/>
      <c r="CT45" s="4"/>
      <c r="CU45" s="4"/>
      <c r="CV45" s="4"/>
      <c r="CW45" s="4"/>
      <c r="CX45" s="4"/>
      <c r="CY45" s="4"/>
      <c r="CZ45" s="4"/>
      <c r="DA45" s="4"/>
      <c r="DB45" s="4"/>
      <c r="DC45" s="4"/>
      <c r="DD45" s="4"/>
      <c r="DE45" s="4" t="s">
        <v>194</v>
      </c>
      <c r="DF45" s="4"/>
      <c r="DG45" s="4"/>
      <c r="DH45" s="4" t="s">
        <v>240</v>
      </c>
      <c r="DI45" s="4"/>
      <c r="DJ45" s="4" t="b">
        <v>1</v>
      </c>
      <c r="DK45" s="4"/>
      <c r="DL45" s="4">
        <v>2656273</v>
      </c>
      <c r="DM45" s="4">
        <v>6505414</v>
      </c>
      <c r="DN45" s="4" t="s">
        <v>315</v>
      </c>
      <c r="DO45" s="4"/>
      <c r="DP45" s="4"/>
      <c r="DQ45" s="4" t="s">
        <v>148</v>
      </c>
      <c r="DR45" s="4" t="s">
        <v>244</v>
      </c>
      <c r="DS45" s="4"/>
      <c r="DT45" s="4"/>
      <c r="DU45" s="4"/>
      <c r="DV45" s="4"/>
      <c r="DW45" s="4"/>
      <c r="DX45" s="4"/>
      <c r="DY45" s="4"/>
      <c r="DZ45" s="4"/>
      <c r="EA45" s="4"/>
      <c r="EB45" s="4"/>
      <c r="EC45" s="4"/>
      <c r="ED45" s="4"/>
      <c r="EE45" s="4"/>
      <c r="EF45" s="4"/>
      <c r="EG45" s="4"/>
      <c r="EH45" s="4"/>
      <c r="EI45" s="4"/>
    </row>
    <row r="46" spans="1:139" hidden="1" x14ac:dyDescent="0.2">
      <c r="A46">
        <f>VLOOKUP(B46,Sheet1!$A$1:$B$18,2,FALSE)</f>
        <v>0</v>
      </c>
      <c r="B46" t="str">
        <f t="shared" si="0"/>
        <v>AKL</v>
      </c>
      <c r="C46" s="2">
        <v>45</v>
      </c>
      <c r="D46" s="3" t="str">
        <f>HYPERLINK("https://sitebase.nzcomms.co.nz/spm/spmnominalview/AKL-004-057/","AKL-004-057")</f>
        <v>AKL-004-057</v>
      </c>
      <c r="E46" s="4" t="s">
        <v>316</v>
      </c>
      <c r="F46" s="4"/>
      <c r="G46" s="4"/>
      <c r="H46" s="4" t="s">
        <v>138</v>
      </c>
      <c r="I46" s="4"/>
      <c r="J46" s="4" t="s">
        <v>317</v>
      </c>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row>
    <row r="47" spans="1:139" hidden="1" x14ac:dyDescent="0.2">
      <c r="A47">
        <f>VLOOKUP(B47,Sheet1!$A$1:$B$18,2,FALSE)</f>
        <v>0</v>
      </c>
      <c r="B47" t="str">
        <f t="shared" si="0"/>
        <v>AKL</v>
      </c>
      <c r="C47" s="2">
        <v>46</v>
      </c>
      <c r="D47" s="3" t="str">
        <f>HYPERLINK("https://sitebase.nzcomms.co.nz/spm/spmnominalview/AKL-004-058/","AKL-004-058")</f>
        <v>AKL-004-058</v>
      </c>
      <c r="E47" s="4" t="s">
        <v>294</v>
      </c>
      <c r="F47" s="4"/>
      <c r="G47" s="4"/>
      <c r="H47" s="4" t="s">
        <v>138</v>
      </c>
      <c r="I47" s="4"/>
      <c r="J47" s="4" t="s">
        <v>196</v>
      </c>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row>
    <row r="48" spans="1:139" hidden="1" x14ac:dyDescent="0.2">
      <c r="A48">
        <f>VLOOKUP(B48,Sheet1!$A$1:$B$18,2,FALSE)</f>
        <v>0</v>
      </c>
      <c r="B48" t="str">
        <f t="shared" si="0"/>
        <v>AKL</v>
      </c>
      <c r="C48" s="2">
        <v>47</v>
      </c>
      <c r="D48" s="3" t="str">
        <f>HYPERLINK("https://sitebase.nzcomms.co.nz/spm/spmnominalview/AKL-004-059/","AKL-004-059")</f>
        <v>AKL-004-059</v>
      </c>
      <c r="E48" s="4" t="s">
        <v>318</v>
      </c>
      <c r="F48" s="3" t="str">
        <f>HYPERLINK("https://sitebase.nzcomms.co.nz/spm/spmcandidateview/AKL-004-059-A/","AKL-004-059-A")</f>
        <v>AKL-004-059-A</v>
      </c>
      <c r="G48" s="4" t="s">
        <v>319</v>
      </c>
      <c r="H48" s="4" t="s">
        <v>138</v>
      </c>
      <c r="I48" s="4">
        <v>23</v>
      </c>
      <c r="J48" s="4" t="s">
        <v>165</v>
      </c>
      <c r="K48" s="4" t="s">
        <v>141</v>
      </c>
      <c r="L48" s="4" t="s">
        <v>142</v>
      </c>
      <c r="M48" s="4" t="s">
        <v>190</v>
      </c>
      <c r="N48" s="4" t="s">
        <v>142</v>
      </c>
      <c r="O48" s="4"/>
      <c r="P48" s="4" t="s">
        <v>169</v>
      </c>
      <c r="Q48" s="4" t="s">
        <v>142</v>
      </c>
      <c r="R48" s="4">
        <v>35</v>
      </c>
      <c r="S48" s="4">
        <v>35</v>
      </c>
      <c r="T48" s="4"/>
      <c r="U48" s="4">
        <v>-36.615053260000003</v>
      </c>
      <c r="V48" s="4">
        <v>174.47629945</v>
      </c>
      <c r="W48" s="4"/>
      <c r="X48" s="4"/>
      <c r="Y48" s="4"/>
      <c r="Z48" s="4"/>
      <c r="AA48" s="4" t="s">
        <v>171</v>
      </c>
      <c r="AB48" s="3" t="str">
        <f>HYPERLINK("https://sitebase.nzcomms.co.nz/spm/spmcandidateview/AKL-004-060-A/","AKL-004-060-A")</f>
        <v>AKL-004-060-A</v>
      </c>
      <c r="AC48" s="4" t="b">
        <v>0</v>
      </c>
      <c r="AD48" s="4" t="b">
        <v>0</v>
      </c>
      <c r="AE48" s="4"/>
      <c r="AF48" s="4"/>
      <c r="AG48" s="4" t="b">
        <v>0</v>
      </c>
      <c r="AH48" s="4"/>
      <c r="AI48" s="5">
        <v>41977</v>
      </c>
      <c r="AJ48" s="5">
        <v>41977</v>
      </c>
      <c r="AK48" s="5">
        <v>42051</v>
      </c>
      <c r="AL48" s="5">
        <v>42053</v>
      </c>
      <c r="AM48" s="5">
        <v>42076</v>
      </c>
      <c r="AN48" s="5">
        <v>42087</v>
      </c>
      <c r="AO48" s="4">
        <v>1</v>
      </c>
      <c r="AP48" s="5">
        <v>42083</v>
      </c>
      <c r="AQ48" s="5">
        <v>42087</v>
      </c>
      <c r="AR48" s="5">
        <v>42160</v>
      </c>
      <c r="AS48" s="5">
        <v>42137</v>
      </c>
      <c r="AT48" s="5">
        <v>42237</v>
      </c>
      <c r="AU48" s="5">
        <v>42268</v>
      </c>
      <c r="AV48" s="4"/>
      <c r="AW48" s="5">
        <v>42265</v>
      </c>
      <c r="AX48" s="5">
        <v>42268</v>
      </c>
      <c r="AY48" s="4" t="s">
        <v>183</v>
      </c>
      <c r="AZ48" s="5">
        <v>42142</v>
      </c>
      <c r="BA48" s="5">
        <v>42114</v>
      </c>
      <c r="BB48" s="5">
        <v>42181</v>
      </c>
      <c r="BC48" s="5">
        <v>42143</v>
      </c>
      <c r="BD48" s="4">
        <v>1</v>
      </c>
      <c r="BE48" s="5">
        <v>42188</v>
      </c>
      <c r="BF48" s="5">
        <v>42143</v>
      </c>
      <c r="BG48" s="5">
        <v>42139</v>
      </c>
      <c r="BH48" s="5">
        <v>42139</v>
      </c>
      <c r="BI48" s="5">
        <v>42174</v>
      </c>
      <c r="BJ48" s="5">
        <v>42164</v>
      </c>
      <c r="BK48" s="4">
        <v>2</v>
      </c>
      <c r="BL48" s="4"/>
      <c r="BM48" s="5">
        <v>42174</v>
      </c>
      <c r="BN48" s="5">
        <v>42256</v>
      </c>
      <c r="BO48" s="4"/>
      <c r="BP48" s="4"/>
      <c r="BQ48" s="4"/>
      <c r="BR48" s="4"/>
      <c r="BS48" s="4"/>
      <c r="BT48" s="5">
        <v>42291</v>
      </c>
      <c r="BU48" s="5">
        <v>42291</v>
      </c>
      <c r="BV48" s="5">
        <v>42314</v>
      </c>
      <c r="BW48" s="5">
        <v>42325</v>
      </c>
      <c r="BX48" s="4"/>
      <c r="BY48" s="5">
        <v>42314</v>
      </c>
      <c r="BZ48" s="5">
        <v>42325</v>
      </c>
      <c r="CA48" s="4"/>
      <c r="CB48" s="4"/>
      <c r="CC48" s="4"/>
      <c r="CD48" s="4"/>
      <c r="CE48" s="4"/>
      <c r="CF48" s="4"/>
      <c r="CG48" s="4"/>
      <c r="CH48" s="4"/>
      <c r="CI48" s="4"/>
      <c r="CJ48" s="5">
        <v>42338</v>
      </c>
      <c r="CK48" s="5">
        <v>42338</v>
      </c>
      <c r="CL48" s="4"/>
      <c r="CM48" s="4"/>
      <c r="CN48" s="4"/>
      <c r="CO48" s="4"/>
      <c r="CP48" s="4" t="s">
        <v>320</v>
      </c>
      <c r="CQ48" s="4" t="s">
        <v>230</v>
      </c>
      <c r="CR48" s="4"/>
      <c r="CS48" s="4"/>
      <c r="CT48" s="4"/>
      <c r="CU48" s="4"/>
      <c r="CV48" s="4"/>
      <c r="CW48" s="4"/>
      <c r="CX48" s="4"/>
      <c r="CY48" s="4"/>
      <c r="CZ48" s="4"/>
      <c r="DA48" s="5">
        <v>42335</v>
      </c>
      <c r="DB48" s="5">
        <v>42332</v>
      </c>
      <c r="DC48" s="4"/>
      <c r="DD48" s="4"/>
      <c r="DE48" s="4"/>
      <c r="DF48" s="4"/>
      <c r="DG48" s="4"/>
      <c r="DH48" s="4" t="s">
        <v>174</v>
      </c>
      <c r="DI48" s="4"/>
      <c r="DJ48" s="4" t="b">
        <v>0</v>
      </c>
      <c r="DK48" s="4"/>
      <c r="DL48" s="4">
        <v>2642505</v>
      </c>
      <c r="DM48" s="4">
        <v>6508569</v>
      </c>
      <c r="DN48" s="4" t="s">
        <v>321</v>
      </c>
      <c r="DO48" s="4"/>
      <c r="DP48" s="4"/>
      <c r="DQ48" s="4" t="s">
        <v>148</v>
      </c>
      <c r="DR48" s="4"/>
      <c r="DS48" s="4"/>
      <c r="DT48" s="4"/>
      <c r="DU48" s="4" t="s">
        <v>178</v>
      </c>
      <c r="DV48" s="4"/>
      <c r="DW48" s="4"/>
      <c r="DX48" s="5">
        <v>42118</v>
      </c>
      <c r="DY48" s="5">
        <v>42174</v>
      </c>
      <c r="DZ48" s="5">
        <v>42171</v>
      </c>
      <c r="EA48" s="4"/>
      <c r="EB48" s="4"/>
      <c r="EC48" s="4"/>
      <c r="ED48" s="4"/>
      <c r="EE48" s="5">
        <v>42230</v>
      </c>
      <c r="EF48" s="5">
        <v>42230</v>
      </c>
      <c r="EG48" s="4"/>
      <c r="EH48" s="4"/>
      <c r="EI48" s="5">
        <v>42053</v>
      </c>
    </row>
    <row r="49" spans="1:139" hidden="1" x14ac:dyDescent="0.2">
      <c r="A49">
        <f>VLOOKUP(B49,Sheet1!$A$1:$B$18,2,FALSE)</f>
        <v>0</v>
      </c>
      <c r="B49" t="str">
        <f t="shared" si="0"/>
        <v>AKL</v>
      </c>
      <c r="C49" s="2">
        <v>48</v>
      </c>
      <c r="D49" s="3" t="str">
        <f>HYPERLINK("https://sitebase.nzcomms.co.nz/spm/spmnominalview/AKL-004-060/","AKL-004-060")</f>
        <v>AKL-004-060</v>
      </c>
      <c r="E49" s="4" t="s">
        <v>322</v>
      </c>
      <c r="F49" s="3" t="str">
        <f>HYPERLINK("https://sitebase.nzcomms.co.nz/spm/spmcandidateview/AKL-004-060-A/","AKL-004-060-A")</f>
        <v>AKL-004-060-A</v>
      </c>
      <c r="G49" s="4" t="s">
        <v>323</v>
      </c>
      <c r="H49" s="4" t="s">
        <v>138</v>
      </c>
      <c r="I49" s="4">
        <v>23</v>
      </c>
      <c r="J49" s="4" t="s">
        <v>165</v>
      </c>
      <c r="K49" s="4" t="s">
        <v>141</v>
      </c>
      <c r="L49" s="4" t="s">
        <v>142</v>
      </c>
      <c r="M49" s="4" t="s">
        <v>324</v>
      </c>
      <c r="N49" s="4" t="s">
        <v>325</v>
      </c>
      <c r="O49" s="4"/>
      <c r="P49" s="4"/>
      <c r="Q49" s="4" t="s">
        <v>142</v>
      </c>
      <c r="R49" s="4">
        <v>4.5</v>
      </c>
      <c r="S49" s="4">
        <v>5.2</v>
      </c>
      <c r="T49" s="4"/>
      <c r="U49" s="4"/>
      <c r="V49" s="4"/>
      <c r="W49" s="4"/>
      <c r="X49" s="4"/>
      <c r="Y49" s="4"/>
      <c r="Z49" s="4"/>
      <c r="AA49" s="4" t="s">
        <v>145</v>
      </c>
      <c r="AB49" s="3" t="str">
        <f>HYPERLINK("https://sitebase.nzcomms.co.nz/spm/spmcandidateview/AKL-006-058-A/","AKL-006-058-A")</f>
        <v>AKL-006-058-A</v>
      </c>
      <c r="AC49" s="4" t="b">
        <v>0</v>
      </c>
      <c r="AD49" s="4" t="b">
        <v>0</v>
      </c>
      <c r="AE49" s="4"/>
      <c r="AF49" s="4"/>
      <c r="AG49" s="4" t="b">
        <v>0</v>
      </c>
      <c r="AH49" s="4"/>
      <c r="AI49" s="5">
        <v>41977</v>
      </c>
      <c r="AJ49" s="5">
        <v>41977</v>
      </c>
      <c r="AK49" s="5">
        <v>42051</v>
      </c>
      <c r="AL49" s="5">
        <v>42048</v>
      </c>
      <c r="AM49" s="5">
        <v>42065</v>
      </c>
      <c r="AN49" s="5">
        <v>42073</v>
      </c>
      <c r="AO49" s="4">
        <v>1</v>
      </c>
      <c r="AP49" s="5">
        <v>42094</v>
      </c>
      <c r="AQ49" s="5">
        <v>42073</v>
      </c>
      <c r="AR49" s="5">
        <v>42146</v>
      </c>
      <c r="AS49" s="5">
        <v>42132</v>
      </c>
      <c r="AT49" s="5">
        <v>42167</v>
      </c>
      <c r="AU49" s="5">
        <v>42146</v>
      </c>
      <c r="AV49" s="4"/>
      <c r="AW49" s="5">
        <v>42174</v>
      </c>
      <c r="AX49" s="5">
        <v>42146</v>
      </c>
      <c r="AY49" s="4" t="s">
        <v>203</v>
      </c>
      <c r="AZ49" s="5">
        <v>42095</v>
      </c>
      <c r="BA49" s="5">
        <v>42094</v>
      </c>
      <c r="BB49" s="5">
        <v>42163</v>
      </c>
      <c r="BC49" s="5">
        <v>42130</v>
      </c>
      <c r="BD49" s="4">
        <v>1</v>
      </c>
      <c r="BE49" s="5">
        <v>42170</v>
      </c>
      <c r="BF49" s="5">
        <v>42130</v>
      </c>
      <c r="BG49" s="5">
        <v>42137</v>
      </c>
      <c r="BH49" s="5">
        <v>42123</v>
      </c>
      <c r="BI49" s="5">
        <v>42158</v>
      </c>
      <c r="BJ49" s="5">
        <v>42157</v>
      </c>
      <c r="BK49" s="4">
        <v>1</v>
      </c>
      <c r="BL49" s="4"/>
      <c r="BM49" s="5">
        <v>42165</v>
      </c>
      <c r="BN49" s="5">
        <v>42157</v>
      </c>
      <c r="BO49" s="4"/>
      <c r="BP49" s="4"/>
      <c r="BQ49" s="4"/>
      <c r="BR49" s="4"/>
      <c r="BS49" s="4"/>
      <c r="BT49" s="5">
        <v>42261</v>
      </c>
      <c r="BU49" s="5">
        <v>42241</v>
      </c>
      <c r="BV49" s="4"/>
      <c r="BW49" s="4"/>
      <c r="BX49" s="4"/>
      <c r="BY49" s="4"/>
      <c r="BZ49" s="4"/>
      <c r="CA49" s="5">
        <v>42270</v>
      </c>
      <c r="CB49" s="5">
        <v>42268</v>
      </c>
      <c r="CC49" s="4"/>
      <c r="CD49" s="4"/>
      <c r="CE49" s="4"/>
      <c r="CF49" s="4"/>
      <c r="CG49" s="4"/>
      <c r="CH49" s="4"/>
      <c r="CI49" s="4"/>
      <c r="CJ49" s="5">
        <v>42335</v>
      </c>
      <c r="CK49" s="5">
        <v>42338</v>
      </c>
      <c r="CL49" s="4"/>
      <c r="CM49" s="4"/>
      <c r="CN49" s="4"/>
      <c r="CO49" s="4"/>
      <c r="CP49" s="4" t="s">
        <v>326</v>
      </c>
      <c r="CQ49" s="4" t="s">
        <v>205</v>
      </c>
      <c r="CR49" s="4"/>
      <c r="CS49" s="4"/>
      <c r="CT49" s="4"/>
      <c r="CU49" s="4"/>
      <c r="CV49" s="4"/>
      <c r="CW49" s="4"/>
      <c r="CX49" s="4"/>
      <c r="CY49" s="4"/>
      <c r="CZ49" s="4"/>
      <c r="DA49" s="5">
        <v>42328</v>
      </c>
      <c r="DB49" s="5">
        <v>42338</v>
      </c>
      <c r="DC49" s="4"/>
      <c r="DD49" s="4"/>
      <c r="DE49" s="4"/>
      <c r="DF49" s="5">
        <v>42270</v>
      </c>
      <c r="DG49" s="5">
        <v>42268</v>
      </c>
      <c r="DH49" s="4" t="s">
        <v>174</v>
      </c>
      <c r="DI49" s="4"/>
      <c r="DJ49" s="4" t="b">
        <v>0</v>
      </c>
      <c r="DK49" s="4"/>
      <c r="DL49" s="4"/>
      <c r="DM49" s="4"/>
      <c r="DN49" s="4" t="s">
        <v>327</v>
      </c>
      <c r="DO49" s="4"/>
      <c r="DP49" s="4"/>
      <c r="DQ49" s="4" t="s">
        <v>328</v>
      </c>
      <c r="DR49" s="4"/>
      <c r="DS49" s="4"/>
      <c r="DT49" s="4"/>
      <c r="DU49" s="4" t="s">
        <v>178</v>
      </c>
      <c r="DV49" s="4"/>
      <c r="DW49" s="4"/>
      <c r="DX49" s="5">
        <v>42076</v>
      </c>
      <c r="DY49" s="5">
        <v>42188</v>
      </c>
      <c r="DZ49" s="5">
        <v>42171</v>
      </c>
      <c r="EA49" s="5">
        <v>42117</v>
      </c>
      <c r="EB49" s="5">
        <v>42117</v>
      </c>
      <c r="EC49" s="5">
        <v>42117</v>
      </c>
      <c r="ED49" s="5">
        <v>42117</v>
      </c>
      <c r="EE49" s="5">
        <v>42230</v>
      </c>
      <c r="EF49" s="5">
        <v>42228</v>
      </c>
      <c r="EG49" s="4"/>
      <c r="EH49" s="4"/>
      <c r="EI49" s="5">
        <v>42048</v>
      </c>
    </row>
    <row r="50" spans="1:139" hidden="1" x14ac:dyDescent="0.2">
      <c r="A50">
        <f>VLOOKUP(B50,Sheet1!$A$1:$B$18,2,FALSE)</f>
        <v>0</v>
      </c>
      <c r="B50" t="str">
        <f t="shared" si="0"/>
        <v>AKL</v>
      </c>
      <c r="C50" s="2">
        <v>49</v>
      </c>
      <c r="D50" s="3" t="str">
        <f>HYPERLINK("https://sitebase.nzcomms.co.nz/spm/spmnominalview/AKL-004-061/","AKL-004-061")</f>
        <v>AKL-004-061</v>
      </c>
      <c r="E50" s="4" t="s">
        <v>329</v>
      </c>
      <c r="F50" s="4"/>
      <c r="G50" s="4"/>
      <c r="H50" s="4" t="s">
        <v>138</v>
      </c>
      <c r="I50" s="4"/>
      <c r="J50" s="4" t="s">
        <v>196</v>
      </c>
      <c r="K50" s="4"/>
      <c r="L50" s="4"/>
      <c r="M50" s="4"/>
      <c r="N50" s="4"/>
      <c r="O50" s="4"/>
      <c r="P50" s="4"/>
      <c r="Q50" s="4"/>
      <c r="R50" s="4"/>
      <c r="S50" s="4"/>
      <c r="T50" s="4"/>
      <c r="U50" s="4"/>
      <c r="V50" s="4"/>
      <c r="W50" s="4"/>
      <c r="X50" s="4"/>
      <c r="Y50" s="4"/>
      <c r="Z50" s="4"/>
      <c r="AA50" s="4"/>
      <c r="AB50" s="4"/>
      <c r="AC50" s="4"/>
      <c r="AD50" s="4"/>
      <c r="AE50" s="4"/>
      <c r="AF50" s="4"/>
      <c r="AG50" s="4" t="b">
        <v>0</v>
      </c>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row>
    <row r="51" spans="1:139" hidden="1" x14ac:dyDescent="0.2">
      <c r="A51">
        <f>VLOOKUP(B51,Sheet1!$A$1:$B$18,2,FALSE)</f>
        <v>0</v>
      </c>
      <c r="B51" t="str">
        <f t="shared" si="0"/>
        <v>AKL</v>
      </c>
      <c r="C51" s="2">
        <v>50</v>
      </c>
      <c r="D51" s="3" t="str">
        <f>HYPERLINK("https://sitebase.nzcomms.co.nz/spm/spmnominalview/AKL-004-062/","AKL-004-062")</f>
        <v>AKL-004-062</v>
      </c>
      <c r="E51" s="4" t="s">
        <v>330</v>
      </c>
      <c r="F51" s="3" t="str">
        <f>HYPERLINK("https://sitebase.nzcomms.co.nz/spm/spmcandidateview/AKL-004-062-A/","AKL-004-062-A")</f>
        <v>AKL-004-062-A</v>
      </c>
      <c r="G51" s="4" t="s">
        <v>330</v>
      </c>
      <c r="H51" s="4" t="s">
        <v>138</v>
      </c>
      <c r="I51" s="4">
        <v>25</v>
      </c>
      <c r="J51" s="4" t="s">
        <v>331</v>
      </c>
      <c r="K51" s="4" t="s">
        <v>141</v>
      </c>
      <c r="L51" s="4" t="s">
        <v>150</v>
      </c>
      <c r="M51" s="4" t="s">
        <v>166</v>
      </c>
      <c r="N51" s="4" t="s">
        <v>216</v>
      </c>
      <c r="O51" s="4"/>
      <c r="P51" s="4" t="s">
        <v>169</v>
      </c>
      <c r="Q51" s="4" t="s">
        <v>170</v>
      </c>
      <c r="R51" s="4">
        <v>18</v>
      </c>
      <c r="S51" s="4">
        <v>19.45</v>
      </c>
      <c r="T51" s="4"/>
      <c r="U51" s="4">
        <v>-36.363162580000001</v>
      </c>
      <c r="V51" s="4">
        <v>174.71507188999999</v>
      </c>
      <c r="W51" s="4"/>
      <c r="X51" s="4"/>
      <c r="Y51" s="4"/>
      <c r="Z51" s="4"/>
      <c r="AA51" s="4" t="s">
        <v>145</v>
      </c>
      <c r="AB51" s="3" t="str">
        <f>HYPERLINK("https://sitebase.nzcomms.co.nz/spm/spmcandidateview/AKL-005-088-A/","AKL-005-088-A")</f>
        <v>AKL-005-088-A</v>
      </c>
      <c r="AC51" s="4" t="b">
        <v>0</v>
      </c>
      <c r="AD51" s="4" t="b">
        <v>0</v>
      </c>
      <c r="AE51" s="4"/>
      <c r="AF51" s="4"/>
      <c r="AG51" s="4" t="b">
        <v>0</v>
      </c>
      <c r="AH51" s="4"/>
      <c r="AI51" s="5">
        <v>42270</v>
      </c>
      <c r="AJ51" s="5">
        <v>42275</v>
      </c>
      <c r="AK51" s="5">
        <v>42286</v>
      </c>
      <c r="AL51" s="5">
        <v>42275</v>
      </c>
      <c r="AM51" s="5">
        <v>42307</v>
      </c>
      <c r="AN51" s="5">
        <v>42297</v>
      </c>
      <c r="AO51" s="4">
        <v>2</v>
      </c>
      <c r="AP51" s="5">
        <v>42333</v>
      </c>
      <c r="AQ51" s="5">
        <v>42332</v>
      </c>
      <c r="AR51" s="5">
        <v>42332</v>
      </c>
      <c r="AS51" s="5">
        <v>42326</v>
      </c>
      <c r="AT51" s="5">
        <v>42355</v>
      </c>
      <c r="AU51" s="5">
        <v>42396</v>
      </c>
      <c r="AV51" s="4"/>
      <c r="AW51" s="5">
        <v>42356</v>
      </c>
      <c r="AX51" s="5">
        <v>42410</v>
      </c>
      <c r="AY51" s="4" t="s">
        <v>203</v>
      </c>
      <c r="AZ51" s="5">
        <v>42331</v>
      </c>
      <c r="BA51" s="5">
        <v>42332</v>
      </c>
      <c r="BB51" s="5">
        <v>42382</v>
      </c>
      <c r="BC51" s="5">
        <v>42354</v>
      </c>
      <c r="BD51" s="4">
        <v>2</v>
      </c>
      <c r="BE51" s="5">
        <v>42387</v>
      </c>
      <c r="BF51" s="5">
        <v>42354</v>
      </c>
      <c r="BG51" s="5">
        <v>42360</v>
      </c>
      <c r="BH51" s="5">
        <v>42356</v>
      </c>
      <c r="BI51" s="5">
        <v>42412</v>
      </c>
      <c r="BJ51" s="4"/>
      <c r="BK51" s="4"/>
      <c r="BL51" s="4"/>
      <c r="BM51" s="5">
        <v>42416</v>
      </c>
      <c r="BN51" s="4"/>
      <c r="BO51" s="4"/>
      <c r="BP51" s="4"/>
      <c r="BQ51" s="4"/>
      <c r="BR51" s="4"/>
      <c r="BS51" s="4"/>
      <c r="BT51" s="5">
        <v>42443</v>
      </c>
      <c r="BU51" s="4"/>
      <c r="BV51" s="5">
        <v>42450</v>
      </c>
      <c r="BW51" s="4"/>
      <c r="BX51" s="4"/>
      <c r="BY51" s="5">
        <v>42460</v>
      </c>
      <c r="BZ51" s="4"/>
      <c r="CA51" s="5">
        <v>42460</v>
      </c>
      <c r="CB51" s="4"/>
      <c r="CC51" s="5">
        <v>42443</v>
      </c>
      <c r="CD51" s="4"/>
      <c r="CE51" s="5">
        <v>42424</v>
      </c>
      <c r="CF51" s="4"/>
      <c r="CG51" s="5">
        <v>42398</v>
      </c>
      <c r="CH51" s="5">
        <v>42396</v>
      </c>
      <c r="CI51" s="4"/>
      <c r="CJ51" s="5">
        <v>42475</v>
      </c>
      <c r="CK51" s="4"/>
      <c r="CL51" s="4"/>
      <c r="CM51" s="4"/>
      <c r="CN51" s="4"/>
      <c r="CO51" s="4"/>
      <c r="CP51" s="4" t="s">
        <v>332</v>
      </c>
      <c r="CQ51" s="4"/>
      <c r="CR51" s="4"/>
      <c r="CS51" s="4"/>
      <c r="CT51" s="4"/>
      <c r="CU51" s="4"/>
      <c r="CV51" s="4"/>
      <c r="CW51" s="4"/>
      <c r="CX51" s="4"/>
      <c r="CY51" s="4"/>
      <c r="CZ51" s="4"/>
      <c r="DA51" s="5">
        <v>42468</v>
      </c>
      <c r="DB51" s="4"/>
      <c r="DC51" s="4"/>
      <c r="DD51" s="4"/>
      <c r="DE51" s="4"/>
      <c r="DF51" s="5">
        <v>42458</v>
      </c>
      <c r="DG51" s="4"/>
      <c r="DH51" s="4" t="s">
        <v>174</v>
      </c>
      <c r="DI51" s="5">
        <v>42450</v>
      </c>
      <c r="DJ51" s="4" t="b">
        <v>0</v>
      </c>
      <c r="DK51" s="4"/>
      <c r="DL51" s="4">
        <v>2664421</v>
      </c>
      <c r="DM51" s="4">
        <v>6536116</v>
      </c>
      <c r="DN51" s="4" t="s">
        <v>333</v>
      </c>
      <c r="DO51" s="4"/>
      <c r="DP51" s="4"/>
      <c r="DQ51" s="4" t="s">
        <v>148</v>
      </c>
      <c r="DR51" s="4"/>
      <c r="DS51" s="4"/>
      <c r="DT51" s="4"/>
      <c r="DU51" s="4" t="s">
        <v>178</v>
      </c>
      <c r="DV51" s="4"/>
      <c r="DW51" s="5">
        <v>42383</v>
      </c>
      <c r="DX51" s="4"/>
      <c r="DY51" s="5">
        <v>42415</v>
      </c>
      <c r="DZ51" s="4"/>
      <c r="EA51" s="5">
        <v>42298</v>
      </c>
      <c r="EB51" s="5">
        <v>42299</v>
      </c>
      <c r="EC51" s="5">
        <v>42349</v>
      </c>
      <c r="ED51" s="5">
        <v>42342</v>
      </c>
      <c r="EE51" s="5">
        <v>42424</v>
      </c>
      <c r="EF51" s="4"/>
      <c r="EG51" s="4"/>
      <c r="EH51" s="4"/>
      <c r="EI51" s="5">
        <v>42275</v>
      </c>
    </row>
    <row r="52" spans="1:139" hidden="1" x14ac:dyDescent="0.2">
      <c r="A52">
        <f>VLOOKUP(B52,Sheet1!$A$1:$B$18,2,FALSE)</f>
        <v>0</v>
      </c>
      <c r="B52" t="str">
        <f t="shared" si="0"/>
        <v>AKL</v>
      </c>
      <c r="C52" s="2">
        <v>51</v>
      </c>
      <c r="D52" s="3" t="str">
        <f>HYPERLINK("https://sitebase.nzcomms.co.nz/spm/spmnominalview/AKL-004-063/","AKL-004-063")</f>
        <v>AKL-004-063</v>
      </c>
      <c r="E52" s="4" t="s">
        <v>334</v>
      </c>
      <c r="F52" s="3" t="str">
        <f>HYPERLINK("https://sitebase.nzcomms.co.nz/spm/spmcandidateview/AKL-004-063-A/","AKL-004-063-A")</f>
        <v>AKL-004-063-A</v>
      </c>
      <c r="G52" s="4" t="s">
        <v>334</v>
      </c>
      <c r="H52" s="4" t="s">
        <v>138</v>
      </c>
      <c r="I52" s="4">
        <v>25</v>
      </c>
      <c r="J52" s="4" t="s">
        <v>331</v>
      </c>
      <c r="K52" s="4" t="s">
        <v>141</v>
      </c>
      <c r="L52" s="4" t="s">
        <v>142</v>
      </c>
      <c r="M52" s="4" t="s">
        <v>190</v>
      </c>
      <c r="N52" s="4" t="s">
        <v>335</v>
      </c>
      <c r="O52" s="4"/>
      <c r="P52" s="4" t="s">
        <v>169</v>
      </c>
      <c r="Q52" s="4" t="s">
        <v>142</v>
      </c>
      <c r="R52" s="4">
        <v>16.89</v>
      </c>
      <c r="S52" s="4">
        <v>19</v>
      </c>
      <c r="T52" s="4"/>
      <c r="U52" s="4">
        <v>-36.41732262</v>
      </c>
      <c r="V52" s="4">
        <v>174.83397547000001</v>
      </c>
      <c r="W52" s="4"/>
      <c r="X52" s="4"/>
      <c r="Y52" s="4"/>
      <c r="Z52" s="4"/>
      <c r="AA52" s="4"/>
      <c r="AB52" s="4"/>
      <c r="AC52" s="4" t="b">
        <v>0</v>
      </c>
      <c r="AD52" s="4" t="b">
        <v>0</v>
      </c>
      <c r="AE52" s="4"/>
      <c r="AF52" s="4"/>
      <c r="AG52" s="4" t="b">
        <v>0</v>
      </c>
      <c r="AH52" s="4"/>
      <c r="AI52" s="5">
        <v>42285</v>
      </c>
      <c r="AJ52" s="5">
        <v>42226</v>
      </c>
      <c r="AK52" s="5">
        <v>42318</v>
      </c>
      <c r="AL52" s="5">
        <v>42321</v>
      </c>
      <c r="AM52" s="5">
        <v>42326</v>
      </c>
      <c r="AN52" s="5">
        <v>42331</v>
      </c>
      <c r="AO52" s="4">
        <v>2</v>
      </c>
      <c r="AP52" s="5">
        <v>42328</v>
      </c>
      <c r="AQ52" s="5">
        <v>42333</v>
      </c>
      <c r="AR52" s="5">
        <v>42419</v>
      </c>
      <c r="AS52" s="4"/>
      <c r="AT52" s="5">
        <v>42444</v>
      </c>
      <c r="AU52" s="4"/>
      <c r="AV52" s="4"/>
      <c r="AW52" s="5">
        <v>42444</v>
      </c>
      <c r="AX52" s="4"/>
      <c r="AY52" s="4"/>
      <c r="AZ52" s="5">
        <v>42444</v>
      </c>
      <c r="BA52" s="4"/>
      <c r="BB52" s="5">
        <v>42474</v>
      </c>
      <c r="BC52" s="4"/>
      <c r="BD52" s="4"/>
      <c r="BE52" s="5">
        <v>42475</v>
      </c>
      <c r="BF52" s="4"/>
      <c r="BG52" s="5">
        <v>42433</v>
      </c>
      <c r="BH52" s="4"/>
      <c r="BI52" s="5">
        <v>42440</v>
      </c>
      <c r="BJ52" s="4"/>
      <c r="BK52" s="4"/>
      <c r="BL52" s="4"/>
      <c r="BM52" s="4"/>
      <c r="BN52" s="4"/>
      <c r="BO52" s="4"/>
      <c r="BP52" s="4"/>
      <c r="BQ52" s="4"/>
      <c r="BR52" s="4"/>
      <c r="BS52" s="4"/>
      <c r="BT52" s="5">
        <v>42485</v>
      </c>
      <c r="BU52" s="4"/>
      <c r="BV52" s="5">
        <v>42500</v>
      </c>
      <c r="BW52" s="4"/>
      <c r="BX52" s="4"/>
      <c r="BY52" s="5">
        <v>42503</v>
      </c>
      <c r="BZ52" s="4"/>
      <c r="CA52" s="5">
        <v>42468</v>
      </c>
      <c r="CB52" s="4"/>
      <c r="CC52" s="5">
        <v>42494</v>
      </c>
      <c r="CD52" s="4"/>
      <c r="CE52" s="5">
        <v>42466</v>
      </c>
      <c r="CF52" s="4"/>
      <c r="CG52" s="5">
        <v>42424</v>
      </c>
      <c r="CH52" s="4"/>
      <c r="CI52" s="4"/>
      <c r="CJ52" s="5">
        <v>42521</v>
      </c>
      <c r="CK52" s="4"/>
      <c r="CL52" s="4"/>
      <c r="CM52" s="4"/>
      <c r="CN52" s="4"/>
      <c r="CO52" s="4"/>
      <c r="CP52" s="4" t="s">
        <v>336</v>
      </c>
      <c r="CQ52" s="4" t="s">
        <v>230</v>
      </c>
      <c r="CR52" s="4"/>
      <c r="CS52" s="4"/>
      <c r="CT52" s="4"/>
      <c r="CU52" s="4"/>
      <c r="CV52" s="4"/>
      <c r="CW52" s="4"/>
      <c r="CX52" s="4"/>
      <c r="CY52" s="4"/>
      <c r="CZ52" s="4"/>
      <c r="DA52" s="5">
        <v>42510</v>
      </c>
      <c r="DB52" s="4"/>
      <c r="DC52" s="4"/>
      <c r="DD52" s="4"/>
      <c r="DE52" s="4"/>
      <c r="DF52" s="4"/>
      <c r="DG52" s="4"/>
      <c r="DH52" s="4" t="s">
        <v>174</v>
      </c>
      <c r="DI52" s="5">
        <v>42479</v>
      </c>
      <c r="DJ52" s="4" t="b">
        <v>0</v>
      </c>
      <c r="DK52" s="4"/>
      <c r="DL52" s="4">
        <v>2674963</v>
      </c>
      <c r="DM52" s="4">
        <v>6529887</v>
      </c>
      <c r="DN52" s="4" t="s">
        <v>337</v>
      </c>
      <c r="DO52" s="4"/>
      <c r="DP52" s="4"/>
      <c r="DQ52" s="4" t="s">
        <v>148</v>
      </c>
      <c r="DR52" s="4"/>
      <c r="DS52" s="4"/>
      <c r="DT52" s="4"/>
      <c r="DU52" s="4" t="s">
        <v>178</v>
      </c>
      <c r="DV52" s="4"/>
      <c r="DW52" s="4"/>
      <c r="DX52" s="4"/>
      <c r="DY52" s="5">
        <v>42426</v>
      </c>
      <c r="DZ52" s="4"/>
      <c r="EA52" s="4"/>
      <c r="EB52" s="4"/>
      <c r="EC52" s="4"/>
      <c r="ED52" s="4"/>
      <c r="EE52" s="5">
        <v>42445</v>
      </c>
      <c r="EF52" s="4"/>
      <c r="EG52" s="4"/>
      <c r="EH52" s="4"/>
      <c r="EI52" s="5">
        <v>42312</v>
      </c>
    </row>
    <row r="53" spans="1:139" hidden="1" x14ac:dyDescent="0.2">
      <c r="A53">
        <f>VLOOKUP(B53,Sheet1!$A$1:$B$18,2,FALSE)</f>
        <v>0</v>
      </c>
      <c r="B53" t="str">
        <f t="shared" si="0"/>
        <v>AKL</v>
      </c>
      <c r="C53" s="2">
        <v>52</v>
      </c>
      <c r="D53" s="3" t="str">
        <f>HYPERLINK("https://sitebase.nzcomms.co.nz/spm/spmnominalview/AKL-004-064/","AKL-004-064")</f>
        <v>AKL-004-064</v>
      </c>
      <c r="E53" s="4" t="s">
        <v>338</v>
      </c>
      <c r="F53" s="4"/>
      <c r="G53" s="4"/>
      <c r="H53" s="4" t="s">
        <v>138</v>
      </c>
      <c r="I53" s="4">
        <v>25</v>
      </c>
      <c r="J53" s="4" t="s">
        <v>196</v>
      </c>
      <c r="K53" s="4"/>
      <c r="L53" s="4"/>
      <c r="M53" s="4"/>
      <c r="N53" s="4"/>
      <c r="O53" s="4"/>
      <c r="P53" s="4"/>
      <c r="Q53" s="4"/>
      <c r="R53" s="4"/>
      <c r="S53" s="4"/>
      <c r="T53" s="4"/>
      <c r="U53" s="4"/>
      <c r="V53" s="4"/>
      <c r="W53" s="4"/>
      <c r="X53" s="4"/>
      <c r="Y53" s="4"/>
      <c r="Z53" s="4"/>
      <c r="AA53" s="4"/>
      <c r="AB53" s="4"/>
      <c r="AC53" s="4"/>
      <c r="AD53" s="4"/>
      <c r="AE53" s="4"/>
      <c r="AF53" s="4"/>
      <c r="AG53" s="4" t="b">
        <v>0</v>
      </c>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t="s">
        <v>339</v>
      </c>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row>
    <row r="54" spans="1:139" hidden="1" x14ac:dyDescent="0.2">
      <c r="A54">
        <f>VLOOKUP(B54,Sheet1!$A$1:$B$18,2,FALSE)</f>
        <v>0</v>
      </c>
      <c r="B54" t="str">
        <f t="shared" si="0"/>
        <v>AKL</v>
      </c>
      <c r="C54" s="2">
        <v>53</v>
      </c>
      <c r="D54" s="3" t="str">
        <f>HYPERLINK("https://sitebase.nzcomms.co.nz/spm/spmnominalview/AKL-004-065/","AKL-004-065")</f>
        <v>AKL-004-065</v>
      </c>
      <c r="E54" s="4" t="s">
        <v>340</v>
      </c>
      <c r="F54" s="3" t="str">
        <f>HYPERLINK("https://sitebase.nzcomms.co.nz/spm/spmcandidateview/AKL-004-065-A/","AKL-004-065-A")</f>
        <v>AKL-004-065-A</v>
      </c>
      <c r="G54" s="4" t="s">
        <v>341</v>
      </c>
      <c r="H54" s="4" t="s">
        <v>138</v>
      </c>
      <c r="I54" s="4">
        <v>22</v>
      </c>
      <c r="J54" s="4" t="s">
        <v>331</v>
      </c>
      <c r="K54" s="4" t="s">
        <v>141</v>
      </c>
      <c r="L54" s="4" t="s">
        <v>150</v>
      </c>
      <c r="M54" s="4" t="s">
        <v>166</v>
      </c>
      <c r="N54" s="4" t="s">
        <v>167</v>
      </c>
      <c r="O54" s="4"/>
      <c r="P54" s="4" t="s">
        <v>169</v>
      </c>
      <c r="Q54" s="4" t="s">
        <v>192</v>
      </c>
      <c r="R54" s="4">
        <v>19.5</v>
      </c>
      <c r="S54" s="4">
        <v>20</v>
      </c>
      <c r="T54" s="4"/>
      <c r="U54" s="4">
        <v>-36.53329944</v>
      </c>
      <c r="V54" s="4">
        <v>174.68828557000001</v>
      </c>
      <c r="W54" s="4"/>
      <c r="X54" s="4"/>
      <c r="Y54" s="4"/>
      <c r="Z54" s="4"/>
      <c r="AA54" s="4" t="s">
        <v>171</v>
      </c>
      <c r="AB54" s="3" t="str">
        <f>HYPERLINK("https://sitebase.nzcomms.co.nz/spm/spmcandidateview/AKL-004-066-A/","AKL-004-066-A")</f>
        <v>AKL-004-066-A</v>
      </c>
      <c r="AC54" s="4" t="b">
        <v>0</v>
      </c>
      <c r="AD54" s="4" t="b">
        <v>0</v>
      </c>
      <c r="AE54" s="4"/>
      <c r="AF54" s="4"/>
      <c r="AG54" s="4" t="b">
        <v>0</v>
      </c>
      <c r="AH54" s="4"/>
      <c r="AI54" s="5">
        <v>42359</v>
      </c>
      <c r="AJ54" s="5">
        <v>42359</v>
      </c>
      <c r="AK54" s="5">
        <v>42359</v>
      </c>
      <c r="AL54" s="5">
        <v>42359</v>
      </c>
      <c r="AM54" s="5">
        <v>42401</v>
      </c>
      <c r="AN54" s="5">
        <v>42396</v>
      </c>
      <c r="AO54" s="4">
        <v>1</v>
      </c>
      <c r="AP54" s="5">
        <v>42408</v>
      </c>
      <c r="AQ54" s="5">
        <v>42396</v>
      </c>
      <c r="AR54" s="5">
        <v>42447</v>
      </c>
      <c r="AS54" s="4"/>
      <c r="AT54" s="5">
        <v>42489</v>
      </c>
      <c r="AU54" s="4"/>
      <c r="AV54" s="4"/>
      <c r="AW54" s="5">
        <v>42489</v>
      </c>
      <c r="AX54" s="4"/>
      <c r="AY54" s="4" t="s">
        <v>183</v>
      </c>
      <c r="AZ54" s="5">
        <v>42447</v>
      </c>
      <c r="BA54" s="4"/>
      <c r="BB54" s="5">
        <v>42551</v>
      </c>
      <c r="BC54" s="4"/>
      <c r="BD54" s="4"/>
      <c r="BE54" s="5">
        <v>42551</v>
      </c>
      <c r="BF54" s="4"/>
      <c r="BG54" s="5">
        <v>42450</v>
      </c>
      <c r="BH54" s="4"/>
      <c r="BI54" s="5">
        <v>42492</v>
      </c>
      <c r="BJ54" s="4"/>
      <c r="BK54" s="4"/>
      <c r="BL54" s="4"/>
      <c r="BM54" s="5">
        <v>42499</v>
      </c>
      <c r="BN54" s="4"/>
      <c r="BO54" s="4"/>
      <c r="BP54" s="4"/>
      <c r="BQ54" s="4"/>
      <c r="BR54" s="4"/>
      <c r="BS54" s="4"/>
      <c r="BT54" s="5">
        <v>42590</v>
      </c>
      <c r="BU54" s="4"/>
      <c r="BV54" s="5">
        <v>42618</v>
      </c>
      <c r="BW54" s="4"/>
      <c r="BX54" s="4"/>
      <c r="BY54" s="5">
        <v>42632</v>
      </c>
      <c r="BZ54" s="4"/>
      <c r="CA54" s="4"/>
      <c r="CB54" s="4"/>
      <c r="CC54" s="4"/>
      <c r="CD54" s="4"/>
      <c r="CE54" s="4"/>
      <c r="CF54" s="4"/>
      <c r="CG54" s="4"/>
      <c r="CH54" s="4"/>
      <c r="CI54" s="4"/>
      <c r="CJ54" s="5">
        <v>42660</v>
      </c>
      <c r="CK54" s="4"/>
      <c r="CL54" s="4"/>
      <c r="CM54" s="4"/>
      <c r="CN54" s="4"/>
      <c r="CO54" s="4"/>
      <c r="CP54" s="4" t="s">
        <v>342</v>
      </c>
      <c r="CQ54" s="4"/>
      <c r="CR54" s="4"/>
      <c r="CS54" s="4"/>
      <c r="CT54" s="4"/>
      <c r="CU54" s="4"/>
      <c r="CV54" s="4"/>
      <c r="CW54" s="4"/>
      <c r="CX54" s="4"/>
      <c r="CY54" s="4"/>
      <c r="CZ54" s="4"/>
      <c r="DA54" s="5">
        <v>42646</v>
      </c>
      <c r="DB54" s="4"/>
      <c r="DC54" s="4"/>
      <c r="DD54" s="4"/>
      <c r="DE54" s="4"/>
      <c r="DF54" s="4"/>
      <c r="DG54" s="4"/>
      <c r="DH54" s="4" t="s">
        <v>174</v>
      </c>
      <c r="DI54" s="4"/>
      <c r="DJ54" s="4" t="b">
        <v>0</v>
      </c>
      <c r="DK54" s="4"/>
      <c r="DL54" s="4">
        <v>2661645</v>
      </c>
      <c r="DM54" s="4">
        <v>6517287</v>
      </c>
      <c r="DN54" s="4" t="s">
        <v>343</v>
      </c>
      <c r="DO54" s="4"/>
      <c r="DP54" s="4"/>
      <c r="DQ54" s="4" t="s">
        <v>148</v>
      </c>
      <c r="DR54" s="4" t="s">
        <v>255</v>
      </c>
      <c r="DS54" s="4"/>
      <c r="DT54" s="4"/>
      <c r="DU54" s="4" t="s">
        <v>178</v>
      </c>
      <c r="DV54" s="4"/>
      <c r="DW54" s="4"/>
      <c r="DX54" s="4"/>
      <c r="DY54" s="5">
        <v>42551</v>
      </c>
      <c r="DZ54" s="4"/>
      <c r="EA54" s="4"/>
      <c r="EB54" s="4"/>
      <c r="EC54" s="4"/>
      <c r="ED54" s="4"/>
      <c r="EE54" s="5">
        <v>42569</v>
      </c>
      <c r="EF54" s="4"/>
      <c r="EG54" s="4"/>
      <c r="EH54" s="4"/>
      <c r="EI54" s="5">
        <v>42359</v>
      </c>
    </row>
    <row r="55" spans="1:139" hidden="1" x14ac:dyDescent="0.2">
      <c r="A55">
        <f>VLOOKUP(B55,Sheet1!$A$1:$B$18,2,FALSE)</f>
        <v>0</v>
      </c>
      <c r="B55" t="str">
        <f t="shared" si="0"/>
        <v>AKL</v>
      </c>
      <c r="C55" s="2">
        <v>54</v>
      </c>
      <c r="D55" s="3" t="str">
        <f>HYPERLINK("https://sitebase.nzcomms.co.nz/spm/spmnominalview/AKL-004-066/","AKL-004-066")</f>
        <v>AKL-004-066</v>
      </c>
      <c r="E55" s="4" t="s">
        <v>344</v>
      </c>
      <c r="F55" s="3" t="str">
        <f>HYPERLINK("https://sitebase.nzcomms.co.nz/spm/spmcandidateview/AKL-004-066-A/","AKL-004-066-A")</f>
        <v>AKL-004-066-A</v>
      </c>
      <c r="G55" s="4" t="s">
        <v>345</v>
      </c>
      <c r="H55" s="4" t="s">
        <v>138</v>
      </c>
      <c r="I55" s="4">
        <v>22</v>
      </c>
      <c r="J55" s="4" t="s">
        <v>331</v>
      </c>
      <c r="K55" s="4" t="s">
        <v>141</v>
      </c>
      <c r="L55" s="4" t="s">
        <v>150</v>
      </c>
      <c r="M55" s="4" t="s">
        <v>190</v>
      </c>
      <c r="N55" s="4" t="s">
        <v>346</v>
      </c>
      <c r="O55" s="4"/>
      <c r="P55" s="4" t="s">
        <v>169</v>
      </c>
      <c r="Q55" s="4" t="s">
        <v>170</v>
      </c>
      <c r="R55" s="4">
        <v>12</v>
      </c>
      <c r="S55" s="4">
        <v>12</v>
      </c>
      <c r="T55" s="4"/>
      <c r="U55" s="4">
        <v>-36.48278311</v>
      </c>
      <c r="V55" s="4">
        <v>174.65795510000001</v>
      </c>
      <c r="W55" s="4"/>
      <c r="X55" s="4"/>
      <c r="Y55" s="4"/>
      <c r="Z55" s="4"/>
      <c r="AA55" s="4" t="s">
        <v>145</v>
      </c>
      <c r="AB55" s="3" t="str">
        <f>HYPERLINK("https://sitebase.nzcomms.co.nz/spm/spmcandidateview/AKL-005-088-A/","AKL-005-088-A")</f>
        <v>AKL-005-088-A</v>
      </c>
      <c r="AC55" s="4" t="b">
        <v>0</v>
      </c>
      <c r="AD55" s="4" t="b">
        <v>0</v>
      </c>
      <c r="AE55" s="4"/>
      <c r="AF55" s="4"/>
      <c r="AG55" s="4" t="b">
        <v>0</v>
      </c>
      <c r="AH55" s="4"/>
      <c r="AI55" s="5">
        <v>42394</v>
      </c>
      <c r="AJ55" s="5">
        <v>42394</v>
      </c>
      <c r="AK55" s="5">
        <v>42397</v>
      </c>
      <c r="AL55" s="5">
        <v>42395</v>
      </c>
      <c r="AM55" s="5">
        <v>42429</v>
      </c>
      <c r="AN55" s="4"/>
      <c r="AO55" s="4"/>
      <c r="AP55" s="5">
        <v>42436</v>
      </c>
      <c r="AQ55" s="4"/>
      <c r="AR55" s="5">
        <v>42457</v>
      </c>
      <c r="AS55" s="4"/>
      <c r="AT55" s="5">
        <v>42499</v>
      </c>
      <c r="AU55" s="4"/>
      <c r="AV55" s="4"/>
      <c r="AW55" s="5">
        <v>42499</v>
      </c>
      <c r="AX55" s="4"/>
      <c r="AY55" s="4" t="s">
        <v>183</v>
      </c>
      <c r="AZ55" s="5">
        <v>42464</v>
      </c>
      <c r="BA55" s="4"/>
      <c r="BB55" s="5">
        <v>42506</v>
      </c>
      <c r="BC55" s="4"/>
      <c r="BD55" s="4"/>
      <c r="BE55" s="5">
        <v>42506</v>
      </c>
      <c r="BF55" s="4"/>
      <c r="BG55" s="5">
        <v>42464</v>
      </c>
      <c r="BH55" s="4"/>
      <c r="BI55" s="5">
        <v>42499</v>
      </c>
      <c r="BJ55" s="4"/>
      <c r="BK55" s="4"/>
      <c r="BL55" s="4"/>
      <c r="BM55" s="5">
        <v>42506</v>
      </c>
      <c r="BN55" s="4"/>
      <c r="BO55" s="4"/>
      <c r="BP55" s="4"/>
      <c r="BQ55" s="4"/>
      <c r="BR55" s="4"/>
      <c r="BS55" s="4"/>
      <c r="BT55" s="5">
        <v>42555</v>
      </c>
      <c r="BU55" s="4"/>
      <c r="BV55" s="5">
        <v>42590</v>
      </c>
      <c r="BW55" s="4"/>
      <c r="BX55" s="4"/>
      <c r="BY55" s="5">
        <v>42604</v>
      </c>
      <c r="BZ55" s="4"/>
      <c r="CA55" s="4"/>
      <c r="CB55" s="4"/>
      <c r="CC55" s="4"/>
      <c r="CD55" s="4"/>
      <c r="CE55" s="4"/>
      <c r="CF55" s="4"/>
      <c r="CG55" s="4"/>
      <c r="CH55" s="4"/>
      <c r="CI55" s="4"/>
      <c r="CJ55" s="5">
        <v>42639</v>
      </c>
      <c r="CK55" s="4"/>
      <c r="CL55" s="4"/>
      <c r="CM55" s="4"/>
      <c r="CN55" s="4"/>
      <c r="CO55" s="4"/>
      <c r="CP55" s="4" t="s">
        <v>347</v>
      </c>
      <c r="CQ55" s="4"/>
      <c r="CR55" s="4"/>
      <c r="CS55" s="4"/>
      <c r="CT55" s="4"/>
      <c r="CU55" s="4"/>
      <c r="CV55" s="4"/>
      <c r="CW55" s="4"/>
      <c r="CX55" s="4"/>
      <c r="CY55" s="4"/>
      <c r="CZ55" s="4"/>
      <c r="DA55" s="5">
        <v>42625</v>
      </c>
      <c r="DB55" s="4"/>
      <c r="DC55" s="4"/>
      <c r="DD55" s="4"/>
      <c r="DE55" s="4"/>
      <c r="DF55" s="4"/>
      <c r="DG55" s="4"/>
      <c r="DH55" s="4" t="s">
        <v>174</v>
      </c>
      <c r="DI55" s="4"/>
      <c r="DJ55" s="4" t="b">
        <v>0</v>
      </c>
      <c r="DK55" s="4"/>
      <c r="DL55" s="4">
        <v>2659038</v>
      </c>
      <c r="DM55" s="4">
        <v>6522945</v>
      </c>
      <c r="DN55" s="4" t="s">
        <v>348</v>
      </c>
      <c r="DO55" s="4"/>
      <c r="DP55" s="4"/>
      <c r="DQ55" s="4" t="s">
        <v>148</v>
      </c>
      <c r="DR55" s="4" t="s">
        <v>255</v>
      </c>
      <c r="DS55" s="4"/>
      <c r="DT55" s="4"/>
      <c r="DU55" s="4" t="s">
        <v>178</v>
      </c>
      <c r="DV55" s="4"/>
      <c r="DW55" s="4"/>
      <c r="DX55" s="4"/>
      <c r="DY55" s="5">
        <v>42506</v>
      </c>
      <c r="DZ55" s="4"/>
      <c r="EA55" s="5">
        <v>42394</v>
      </c>
      <c r="EB55" s="4"/>
      <c r="EC55" s="5">
        <v>42471</v>
      </c>
      <c r="ED55" s="4"/>
      <c r="EE55" s="5">
        <v>42534</v>
      </c>
      <c r="EF55" s="4"/>
      <c r="EG55" s="4"/>
      <c r="EH55" s="4"/>
      <c r="EI55" s="5">
        <v>42395</v>
      </c>
    </row>
    <row r="56" spans="1:139" hidden="1" x14ac:dyDescent="0.2">
      <c r="A56">
        <f>VLOOKUP(B56,Sheet1!$A$1:$B$18,2,FALSE)</f>
        <v>0</v>
      </c>
      <c r="B56" t="str">
        <f t="shared" si="0"/>
        <v>AKL</v>
      </c>
      <c r="C56" s="2">
        <v>55</v>
      </c>
      <c r="D56" s="3" t="str">
        <f>HYPERLINK("https://sitebase.nzcomms.co.nz/spm/spmnominalview/AKL-004-067/","AKL-004-067")</f>
        <v>AKL-004-067</v>
      </c>
      <c r="E56" s="4" t="s">
        <v>349</v>
      </c>
      <c r="F56" s="3" t="str">
        <f>HYPERLINK("https://sitebase.nzcomms.co.nz/spm/spmcandidateview/AKL-004-067-A/","AKL-004-067-A")</f>
        <v>AKL-004-067-A</v>
      </c>
      <c r="G56" s="4" t="s">
        <v>349</v>
      </c>
      <c r="H56" s="4" t="s">
        <v>138</v>
      </c>
      <c r="I56" s="4">
        <v>25</v>
      </c>
      <c r="J56" s="4" t="s">
        <v>331</v>
      </c>
      <c r="K56" s="4" t="s">
        <v>141</v>
      </c>
      <c r="L56" s="4" t="s">
        <v>142</v>
      </c>
      <c r="M56" s="4" t="s">
        <v>190</v>
      </c>
      <c r="N56" s="4" t="s">
        <v>142</v>
      </c>
      <c r="O56" s="4"/>
      <c r="P56" s="4" t="s">
        <v>169</v>
      </c>
      <c r="Q56" s="4" t="s">
        <v>142</v>
      </c>
      <c r="R56" s="4">
        <v>15</v>
      </c>
      <c r="S56" s="4">
        <v>15</v>
      </c>
      <c r="T56" s="4"/>
      <c r="U56" s="4">
        <v>-36.461197050000003</v>
      </c>
      <c r="V56" s="4">
        <v>174.65335277</v>
      </c>
      <c r="W56" s="4"/>
      <c r="X56" s="4"/>
      <c r="Y56" s="4"/>
      <c r="Z56" s="4"/>
      <c r="AA56" s="4" t="s">
        <v>145</v>
      </c>
      <c r="AB56" s="3" t="str">
        <f>HYPERLINK("https://sitebase.nzcomms.co.nz/spm/spmcandidateview/AKL-005-088-A/","AKL-005-088-A")</f>
        <v>AKL-005-088-A</v>
      </c>
      <c r="AC56" s="4" t="b">
        <v>0</v>
      </c>
      <c r="AD56" s="4" t="b">
        <v>0</v>
      </c>
      <c r="AE56" s="4"/>
      <c r="AF56" s="4"/>
      <c r="AG56" s="4" t="b">
        <v>0</v>
      </c>
      <c r="AH56" s="4"/>
      <c r="AI56" s="5">
        <v>42338</v>
      </c>
      <c r="AJ56" s="5">
        <v>42338</v>
      </c>
      <c r="AK56" s="5">
        <v>42352</v>
      </c>
      <c r="AL56" s="5">
        <v>42354</v>
      </c>
      <c r="AM56" s="5">
        <v>42389</v>
      </c>
      <c r="AN56" s="5">
        <v>42395</v>
      </c>
      <c r="AO56" s="4">
        <v>2</v>
      </c>
      <c r="AP56" s="5">
        <v>42391</v>
      </c>
      <c r="AQ56" s="5">
        <v>42395</v>
      </c>
      <c r="AR56" s="5">
        <v>42444</v>
      </c>
      <c r="AS56" s="4"/>
      <c r="AT56" s="5">
        <v>42461</v>
      </c>
      <c r="AU56" s="4"/>
      <c r="AV56" s="4"/>
      <c r="AW56" s="5">
        <v>42461</v>
      </c>
      <c r="AX56" s="4"/>
      <c r="AY56" s="4"/>
      <c r="AZ56" s="5">
        <v>42451</v>
      </c>
      <c r="BA56" s="4"/>
      <c r="BB56" s="5">
        <v>42479</v>
      </c>
      <c r="BC56" s="4"/>
      <c r="BD56" s="4"/>
      <c r="BE56" s="5">
        <v>42480</v>
      </c>
      <c r="BF56" s="4"/>
      <c r="BG56" s="5">
        <v>42479</v>
      </c>
      <c r="BH56" s="4"/>
      <c r="BI56" s="5">
        <v>42486</v>
      </c>
      <c r="BJ56" s="4"/>
      <c r="BK56" s="4"/>
      <c r="BL56" s="4"/>
      <c r="BM56" s="5">
        <v>42489</v>
      </c>
      <c r="BN56" s="4"/>
      <c r="BO56" s="4"/>
      <c r="BP56" s="4"/>
      <c r="BQ56" s="4"/>
      <c r="BR56" s="4"/>
      <c r="BS56" s="4"/>
      <c r="BT56" s="5">
        <v>42499</v>
      </c>
      <c r="BU56" s="4"/>
      <c r="BV56" s="5">
        <v>42507</v>
      </c>
      <c r="BW56" s="4"/>
      <c r="BX56" s="4"/>
      <c r="BY56" s="5">
        <v>42509</v>
      </c>
      <c r="BZ56" s="4"/>
      <c r="CA56" s="5">
        <v>42459</v>
      </c>
      <c r="CB56" s="4"/>
      <c r="CC56" s="5">
        <v>42454</v>
      </c>
      <c r="CD56" s="4"/>
      <c r="CE56" s="5">
        <v>42487</v>
      </c>
      <c r="CF56" s="4"/>
      <c r="CG56" s="5">
        <v>42466</v>
      </c>
      <c r="CH56" s="4"/>
      <c r="CI56" s="4"/>
      <c r="CJ56" s="5">
        <v>42521</v>
      </c>
      <c r="CK56" s="4"/>
      <c r="CL56" s="4"/>
      <c r="CM56" s="4"/>
      <c r="CN56" s="4"/>
      <c r="CO56" s="4"/>
      <c r="CP56" s="4" t="s">
        <v>350</v>
      </c>
      <c r="CQ56" s="4" t="s">
        <v>230</v>
      </c>
      <c r="CR56" s="4"/>
      <c r="CS56" s="4"/>
      <c r="CT56" s="4"/>
      <c r="CU56" s="4"/>
      <c r="CV56" s="4"/>
      <c r="CW56" s="4"/>
      <c r="CX56" s="4"/>
      <c r="CY56" s="4"/>
      <c r="CZ56" s="4"/>
      <c r="DA56" s="5">
        <v>42516</v>
      </c>
      <c r="DB56" s="4"/>
      <c r="DC56" s="4"/>
      <c r="DD56" s="4"/>
      <c r="DE56" s="4"/>
      <c r="DF56" s="5">
        <v>42458</v>
      </c>
      <c r="DG56" s="4"/>
      <c r="DH56" s="4" t="s">
        <v>174</v>
      </c>
      <c r="DI56" s="5">
        <v>42499</v>
      </c>
      <c r="DJ56" s="4" t="b">
        <v>0</v>
      </c>
      <c r="DK56" s="4"/>
      <c r="DL56" s="4">
        <v>2658672</v>
      </c>
      <c r="DM56" s="4">
        <v>6525348</v>
      </c>
      <c r="DN56" s="4" t="s">
        <v>351</v>
      </c>
      <c r="DO56" s="4"/>
      <c r="DP56" s="4"/>
      <c r="DQ56" s="4" t="s">
        <v>148</v>
      </c>
      <c r="DR56" s="4"/>
      <c r="DS56" s="4"/>
      <c r="DT56" s="4"/>
      <c r="DU56" s="4" t="s">
        <v>178</v>
      </c>
      <c r="DV56" s="4"/>
      <c r="DW56" s="4"/>
      <c r="DX56" s="4"/>
      <c r="DY56" s="5">
        <v>42457</v>
      </c>
      <c r="DZ56" s="4"/>
      <c r="EA56" s="5">
        <v>42340</v>
      </c>
      <c r="EB56" s="5">
        <v>42340</v>
      </c>
      <c r="EC56" s="5">
        <v>42391</v>
      </c>
      <c r="ED56" s="5">
        <v>42389</v>
      </c>
      <c r="EE56" s="5">
        <v>42471</v>
      </c>
      <c r="EF56" s="4"/>
      <c r="EG56" s="4"/>
      <c r="EH56" s="4"/>
      <c r="EI56" s="5">
        <v>42352</v>
      </c>
    </row>
    <row r="57" spans="1:139" hidden="1" x14ac:dyDescent="0.2">
      <c r="A57">
        <f>VLOOKUP(B57,Sheet1!$A$1:$B$18,2,FALSE)</f>
        <v>0</v>
      </c>
      <c r="B57" t="str">
        <f t="shared" si="0"/>
        <v>AKL</v>
      </c>
      <c r="C57" s="2">
        <v>56</v>
      </c>
      <c r="D57" s="3" t="str">
        <f>HYPERLINK("https://sitebase.nzcomms.co.nz/spm/spmnominalview/AKL-005-001/","AKL-005-001")</f>
        <v>AKL-005-001</v>
      </c>
      <c r="E57" s="4"/>
      <c r="F57" s="3" t="str">
        <f>HYPERLINK("https://sitebase.nzcomms.co.nz/spm/spmcandidateview/AKL-005-001-A/","AKL-005-001-A")</f>
        <v>AKL-005-001-A</v>
      </c>
      <c r="G57" s="4" t="s">
        <v>352</v>
      </c>
      <c r="H57" s="4" t="s">
        <v>353</v>
      </c>
      <c r="I57" s="4"/>
      <c r="J57" s="4" t="s">
        <v>139</v>
      </c>
      <c r="K57" s="4" t="s">
        <v>141</v>
      </c>
      <c r="L57" s="4" t="s">
        <v>189</v>
      </c>
      <c r="M57" s="4" t="s">
        <v>354</v>
      </c>
      <c r="N57" s="4" t="s">
        <v>355</v>
      </c>
      <c r="O57" s="4" t="s">
        <v>356</v>
      </c>
      <c r="P57" s="4"/>
      <c r="Q57" s="4"/>
      <c r="R57" s="4">
        <v>10</v>
      </c>
      <c r="S57" s="4">
        <v>10</v>
      </c>
      <c r="T57" s="4"/>
      <c r="U57" s="4">
        <v>-36.824645609999997</v>
      </c>
      <c r="V57" s="4">
        <v>174.79867217</v>
      </c>
      <c r="W57" s="4"/>
      <c r="X57" s="4"/>
      <c r="Y57" s="4"/>
      <c r="Z57" s="4"/>
      <c r="AA57" s="4" t="s">
        <v>171</v>
      </c>
      <c r="AB57" s="3" t="str">
        <f>HYPERLINK("https://sitebase.nzcomms.co.nz/spm/spmcandidateview/AKL-005-008-D/","AKL-005-008-D")</f>
        <v>AKL-005-008-D</v>
      </c>
      <c r="AC57" s="4"/>
      <c r="AD57" s="4"/>
      <c r="AE57" s="4"/>
      <c r="AF57" s="4"/>
      <c r="AG57" s="4"/>
      <c r="AH57" s="4" t="s">
        <v>357</v>
      </c>
      <c r="AI57" s="4"/>
      <c r="AJ57" s="4"/>
      <c r="AK57" s="4"/>
      <c r="AL57" s="4"/>
      <c r="AM57" s="4"/>
      <c r="AN57" s="5">
        <v>39365</v>
      </c>
      <c r="AO57" s="4">
        <v>5</v>
      </c>
      <c r="AP57" s="4"/>
      <c r="AQ57" s="5">
        <v>39686</v>
      </c>
      <c r="AR57" s="4"/>
      <c r="AS57" s="4"/>
      <c r="AT57" s="5">
        <v>39506</v>
      </c>
      <c r="AU57" s="5">
        <v>39506</v>
      </c>
      <c r="AV57" s="4">
        <v>5</v>
      </c>
      <c r="AW57" s="5">
        <v>39506</v>
      </c>
      <c r="AX57" s="5">
        <v>39506</v>
      </c>
      <c r="AY57" s="4"/>
      <c r="AZ57" s="4"/>
      <c r="BA57" s="4"/>
      <c r="BB57" s="5">
        <v>39721</v>
      </c>
      <c r="BC57" s="4"/>
      <c r="BD57" s="4"/>
      <c r="BE57" s="5">
        <v>39702</v>
      </c>
      <c r="BF57" s="5">
        <v>39702</v>
      </c>
      <c r="BG57" s="4"/>
      <c r="BH57" s="5">
        <v>39504</v>
      </c>
      <c r="BI57" s="4"/>
      <c r="BJ57" s="5">
        <v>39532</v>
      </c>
      <c r="BK57" s="4">
        <v>4</v>
      </c>
      <c r="BL57" s="4">
        <v>5</v>
      </c>
      <c r="BM57" s="5">
        <v>39722</v>
      </c>
      <c r="BN57" s="5">
        <v>39722</v>
      </c>
      <c r="BO57" s="4"/>
      <c r="BP57" s="4"/>
      <c r="BQ57" s="4"/>
      <c r="BR57" s="4"/>
      <c r="BS57" s="4"/>
      <c r="BT57" s="4"/>
      <c r="BU57" s="5">
        <v>39715</v>
      </c>
      <c r="BV57" s="5">
        <v>39752</v>
      </c>
      <c r="BW57" s="5">
        <v>39752</v>
      </c>
      <c r="BX57" s="4"/>
      <c r="BY57" s="5">
        <v>39752</v>
      </c>
      <c r="BZ57" s="5">
        <v>39741</v>
      </c>
      <c r="CA57" s="4"/>
      <c r="CB57" s="4"/>
      <c r="CC57" s="4"/>
      <c r="CD57" s="4"/>
      <c r="CE57" s="4"/>
      <c r="CF57" s="4"/>
      <c r="CG57" s="4"/>
      <c r="CH57" s="4"/>
      <c r="CI57" s="5">
        <v>39885</v>
      </c>
      <c r="CJ57" s="5">
        <v>39888</v>
      </c>
      <c r="CK57" s="5">
        <v>39885</v>
      </c>
      <c r="CL57" s="4"/>
      <c r="CM57" s="4"/>
      <c r="CN57" s="4"/>
      <c r="CO57" s="4"/>
      <c r="CP57" s="4" t="s">
        <v>157</v>
      </c>
      <c r="CQ57" s="4"/>
      <c r="CR57" s="5">
        <v>39888</v>
      </c>
      <c r="CS57" s="4"/>
      <c r="CT57" s="4"/>
      <c r="CU57" s="4"/>
      <c r="CV57" s="4"/>
      <c r="CW57" s="4"/>
      <c r="CX57" s="4"/>
      <c r="CY57" s="4"/>
      <c r="CZ57" s="4"/>
      <c r="DA57" s="4"/>
      <c r="DB57" s="4"/>
      <c r="DC57" s="4"/>
      <c r="DD57" s="4"/>
      <c r="DE57" s="4"/>
      <c r="DF57" s="4"/>
      <c r="DG57" s="4"/>
      <c r="DH57" s="4"/>
      <c r="DI57" s="4"/>
      <c r="DJ57" s="4" t="b">
        <v>0</v>
      </c>
      <c r="DK57" s="4"/>
      <c r="DL57" s="4">
        <v>2670854</v>
      </c>
      <c r="DM57" s="4">
        <v>6484762</v>
      </c>
      <c r="DN57" s="4" t="s">
        <v>358</v>
      </c>
      <c r="DO57" s="4"/>
      <c r="DP57" s="4"/>
      <c r="DQ57" s="4" t="s">
        <v>148</v>
      </c>
      <c r="DR57" s="4"/>
      <c r="DS57" s="4"/>
      <c r="DT57" s="5">
        <v>41887</v>
      </c>
      <c r="DU57" s="4"/>
      <c r="DV57" s="4"/>
      <c r="DW57" s="4"/>
      <c r="DX57" s="4"/>
      <c r="DY57" s="4"/>
      <c r="DZ57" s="5">
        <v>39707</v>
      </c>
      <c r="EA57" s="4"/>
      <c r="EB57" s="4"/>
      <c r="EC57" s="4"/>
      <c r="ED57" s="4"/>
      <c r="EE57" s="4"/>
      <c r="EF57" s="4"/>
      <c r="EG57" s="4"/>
      <c r="EH57" s="4"/>
      <c r="EI57" s="5">
        <v>39344</v>
      </c>
    </row>
    <row r="58" spans="1:139" hidden="1" x14ac:dyDescent="0.2">
      <c r="A58">
        <f>VLOOKUP(B58,Sheet1!$A$1:$B$18,2,FALSE)</f>
        <v>0</v>
      </c>
      <c r="B58" t="str">
        <f t="shared" si="0"/>
        <v>AKL</v>
      </c>
      <c r="C58" s="2">
        <v>57</v>
      </c>
      <c r="D58" s="3" t="str">
        <f>HYPERLINK("https://sitebase.nzcomms.co.nz/spm/spmnominalview/AKL-005-002/","AKL-005-002")</f>
        <v>AKL-005-002</v>
      </c>
      <c r="E58" s="4"/>
      <c r="F58" s="3" t="str">
        <f>HYPERLINK("https://sitebase.nzcomms.co.nz/spm/spmcandidateview/AKL-005-002-D/","AKL-005-002-D")</f>
        <v>AKL-005-002-D</v>
      </c>
      <c r="G58" s="4" t="s">
        <v>359</v>
      </c>
      <c r="H58" s="4" t="s">
        <v>353</v>
      </c>
      <c r="I58" s="4"/>
      <c r="J58" s="4" t="s">
        <v>139</v>
      </c>
      <c r="K58" s="4" t="s">
        <v>141</v>
      </c>
      <c r="L58" s="4" t="s">
        <v>189</v>
      </c>
      <c r="M58" s="4" t="s">
        <v>354</v>
      </c>
      <c r="N58" s="4" t="s">
        <v>355</v>
      </c>
      <c r="O58" s="4" t="s">
        <v>356</v>
      </c>
      <c r="P58" s="4"/>
      <c r="Q58" s="4"/>
      <c r="R58" s="4">
        <v>9.6</v>
      </c>
      <c r="S58" s="4">
        <v>9.6</v>
      </c>
      <c r="T58" s="4"/>
      <c r="U58" s="4">
        <v>-36.823198329999997</v>
      </c>
      <c r="V58" s="4">
        <v>174.78928450000001</v>
      </c>
      <c r="W58" s="4"/>
      <c r="X58" s="4"/>
      <c r="Y58" s="4"/>
      <c r="Z58" s="4"/>
      <c r="AA58" s="4" t="s">
        <v>171</v>
      </c>
      <c r="AB58" s="3" t="str">
        <f>HYPERLINK("https://sitebase.nzcomms.co.nz/spm/spmcandidateview/AKL-005-008-D/","AKL-005-008-D")</f>
        <v>AKL-005-008-D</v>
      </c>
      <c r="AC58" s="4"/>
      <c r="AD58" s="4"/>
      <c r="AE58" s="4"/>
      <c r="AF58" s="4"/>
      <c r="AG58" s="4"/>
      <c r="AH58" s="4" t="s">
        <v>360</v>
      </c>
      <c r="AI58" s="4"/>
      <c r="AJ58" s="4"/>
      <c r="AK58" s="4"/>
      <c r="AL58" s="4"/>
      <c r="AM58" s="4"/>
      <c r="AN58" s="5">
        <v>39364</v>
      </c>
      <c r="AO58" s="4">
        <v>7</v>
      </c>
      <c r="AP58" s="5">
        <v>39798</v>
      </c>
      <c r="AQ58" s="5">
        <v>39798</v>
      </c>
      <c r="AR58" s="4"/>
      <c r="AS58" s="4"/>
      <c r="AT58" s="5">
        <v>39506</v>
      </c>
      <c r="AU58" s="5">
        <v>39506</v>
      </c>
      <c r="AV58" s="4">
        <v>3</v>
      </c>
      <c r="AW58" s="5">
        <v>39863</v>
      </c>
      <c r="AX58" s="5">
        <v>39884</v>
      </c>
      <c r="AY58" s="4"/>
      <c r="AZ58" s="4"/>
      <c r="BA58" s="4"/>
      <c r="BB58" s="5">
        <v>39833</v>
      </c>
      <c r="BC58" s="4"/>
      <c r="BD58" s="4"/>
      <c r="BE58" s="5">
        <v>39798</v>
      </c>
      <c r="BF58" s="5">
        <v>39798</v>
      </c>
      <c r="BG58" s="4"/>
      <c r="BH58" s="5">
        <v>39468</v>
      </c>
      <c r="BI58" s="4"/>
      <c r="BJ58" s="5">
        <v>39532</v>
      </c>
      <c r="BK58" s="4">
        <v>4</v>
      </c>
      <c r="BL58" s="4">
        <v>7</v>
      </c>
      <c r="BM58" s="5">
        <v>39825</v>
      </c>
      <c r="BN58" s="5">
        <v>39825</v>
      </c>
      <c r="BO58" s="5">
        <v>39832</v>
      </c>
      <c r="BP58" s="4"/>
      <c r="BQ58" s="4"/>
      <c r="BR58" s="4"/>
      <c r="BS58" s="4"/>
      <c r="BT58" s="4"/>
      <c r="BU58" s="5">
        <v>39847</v>
      </c>
      <c r="BV58" s="5">
        <v>39860</v>
      </c>
      <c r="BW58" s="5">
        <v>39860</v>
      </c>
      <c r="BX58" s="4"/>
      <c r="BY58" s="5">
        <v>39860</v>
      </c>
      <c r="BZ58" s="5">
        <v>39860</v>
      </c>
      <c r="CA58" s="4"/>
      <c r="CB58" s="4"/>
      <c r="CC58" s="4"/>
      <c r="CD58" s="4"/>
      <c r="CE58" s="4"/>
      <c r="CF58" s="4"/>
      <c r="CG58" s="4"/>
      <c r="CH58" s="4"/>
      <c r="CI58" s="5">
        <v>39905</v>
      </c>
      <c r="CJ58" s="5">
        <v>39918</v>
      </c>
      <c r="CK58" s="5">
        <v>39905</v>
      </c>
      <c r="CL58" s="4"/>
      <c r="CM58" s="4"/>
      <c r="CN58" s="4"/>
      <c r="CO58" s="4"/>
      <c r="CP58" s="4" t="s">
        <v>361</v>
      </c>
      <c r="CQ58" s="4"/>
      <c r="CR58" s="5">
        <v>39918</v>
      </c>
      <c r="CS58" s="4"/>
      <c r="CT58" s="4"/>
      <c r="CU58" s="4"/>
      <c r="CV58" s="4"/>
      <c r="CW58" s="4"/>
      <c r="CX58" s="5">
        <v>39832</v>
      </c>
      <c r="CY58" s="4"/>
      <c r="CZ58" s="4"/>
      <c r="DA58" s="4"/>
      <c r="DB58" s="4"/>
      <c r="DC58" s="4"/>
      <c r="DD58" s="4"/>
      <c r="DE58" s="4"/>
      <c r="DF58" s="4"/>
      <c r="DG58" s="4"/>
      <c r="DH58" s="4"/>
      <c r="DI58" s="4"/>
      <c r="DJ58" s="4" t="b">
        <v>0</v>
      </c>
      <c r="DK58" s="4"/>
      <c r="DL58" s="4">
        <v>2670020</v>
      </c>
      <c r="DM58" s="4">
        <v>6484940</v>
      </c>
      <c r="DN58" s="4" t="s">
        <v>362</v>
      </c>
      <c r="DO58" s="4"/>
      <c r="DP58" s="4"/>
      <c r="DQ58" s="4" t="s">
        <v>148</v>
      </c>
      <c r="DR58" s="4"/>
      <c r="DS58" s="4"/>
      <c r="DT58" s="5">
        <v>41887</v>
      </c>
      <c r="DU58" s="4"/>
      <c r="DV58" s="4"/>
      <c r="DW58" s="4"/>
      <c r="DX58" s="4"/>
      <c r="DY58" s="4"/>
      <c r="DZ58" s="5">
        <v>39829</v>
      </c>
      <c r="EA58" s="4"/>
      <c r="EB58" s="4"/>
      <c r="EC58" s="4"/>
      <c r="ED58" s="4"/>
      <c r="EE58" s="4"/>
      <c r="EF58" s="4"/>
      <c r="EG58" s="4"/>
      <c r="EH58" s="4"/>
      <c r="EI58" s="5">
        <v>39343</v>
      </c>
    </row>
    <row r="59" spans="1:139" hidden="1" x14ac:dyDescent="0.2">
      <c r="A59">
        <f>VLOOKUP(B59,Sheet1!$A$1:$B$18,2,FALSE)</f>
        <v>0</v>
      </c>
      <c r="B59" t="str">
        <f t="shared" si="0"/>
        <v>AKL</v>
      </c>
      <c r="C59" s="2">
        <v>58</v>
      </c>
      <c r="D59" s="3" t="str">
        <f>HYPERLINK("https://sitebase.nzcomms.co.nz/spm/spmnominalview/AKL-005-003/","AKL-005-003")</f>
        <v>AKL-005-003</v>
      </c>
      <c r="E59" s="4"/>
      <c r="F59" s="3" t="str">
        <f>HYPERLINK("https://sitebase.nzcomms.co.nz/spm/spmcandidateview/AKL-005-003-A/","AKL-005-003-A")</f>
        <v>AKL-005-003-A</v>
      </c>
      <c r="G59" s="4" t="s">
        <v>363</v>
      </c>
      <c r="H59" s="4" t="s">
        <v>353</v>
      </c>
      <c r="I59" s="4"/>
      <c r="J59" s="4" t="s">
        <v>139</v>
      </c>
      <c r="K59" s="4" t="s">
        <v>141</v>
      </c>
      <c r="L59" s="4" t="s">
        <v>181</v>
      </c>
      <c r="M59" s="4" t="s">
        <v>354</v>
      </c>
      <c r="N59" s="4" t="s">
        <v>364</v>
      </c>
      <c r="O59" s="4" t="s">
        <v>144</v>
      </c>
      <c r="P59" s="4"/>
      <c r="Q59" s="4"/>
      <c r="R59" s="4">
        <v>13.8</v>
      </c>
      <c r="S59" s="4">
        <v>13.8</v>
      </c>
      <c r="T59" s="4"/>
      <c r="U59" s="4">
        <v>-36.832096100000001</v>
      </c>
      <c r="V59" s="4">
        <v>174.79672393999999</v>
      </c>
      <c r="W59" s="4"/>
      <c r="X59" s="4"/>
      <c r="Y59" s="4"/>
      <c r="Z59" s="4"/>
      <c r="AA59" s="4" t="s">
        <v>171</v>
      </c>
      <c r="AB59" s="3" t="str">
        <f>HYPERLINK("https://sitebase.nzcomms.co.nz/spm/spmcandidateview/AKL-007-112-A/","AKL-007-112-A")</f>
        <v>AKL-007-112-A</v>
      </c>
      <c r="AC59" s="4"/>
      <c r="AD59" s="4"/>
      <c r="AE59" s="4"/>
      <c r="AF59" s="4"/>
      <c r="AG59" s="4"/>
      <c r="AH59" s="4" t="s">
        <v>365</v>
      </c>
      <c r="AI59" s="4"/>
      <c r="AJ59" s="4"/>
      <c r="AK59" s="4"/>
      <c r="AL59" s="4"/>
      <c r="AM59" s="4"/>
      <c r="AN59" s="5">
        <v>39295</v>
      </c>
      <c r="AO59" s="4">
        <v>5</v>
      </c>
      <c r="AP59" s="4"/>
      <c r="AQ59" s="5">
        <v>39945</v>
      </c>
      <c r="AR59" s="4"/>
      <c r="AS59" s="4"/>
      <c r="AT59" s="5">
        <v>39435</v>
      </c>
      <c r="AU59" s="5">
        <v>39435</v>
      </c>
      <c r="AV59" s="4">
        <v>1</v>
      </c>
      <c r="AW59" s="5">
        <v>39435</v>
      </c>
      <c r="AX59" s="5">
        <v>39435</v>
      </c>
      <c r="AY59" s="4"/>
      <c r="AZ59" s="4"/>
      <c r="BA59" s="4"/>
      <c r="BB59" s="5">
        <v>39691</v>
      </c>
      <c r="BC59" s="4"/>
      <c r="BD59" s="4"/>
      <c r="BE59" s="5">
        <v>39687</v>
      </c>
      <c r="BF59" s="5">
        <v>39687</v>
      </c>
      <c r="BG59" s="4"/>
      <c r="BH59" s="5">
        <v>39346</v>
      </c>
      <c r="BI59" s="4"/>
      <c r="BJ59" s="5">
        <v>39486</v>
      </c>
      <c r="BK59" s="4">
        <v>1</v>
      </c>
      <c r="BL59" s="4">
        <v>1</v>
      </c>
      <c r="BM59" s="5">
        <v>39486</v>
      </c>
      <c r="BN59" s="5">
        <v>39486</v>
      </c>
      <c r="BO59" s="4"/>
      <c r="BP59" s="4"/>
      <c r="BQ59" s="4"/>
      <c r="BR59" s="4"/>
      <c r="BS59" s="4"/>
      <c r="BT59" s="4"/>
      <c r="BU59" s="5">
        <v>39706</v>
      </c>
      <c r="BV59" s="5">
        <v>39724</v>
      </c>
      <c r="BW59" s="5">
        <v>39716</v>
      </c>
      <c r="BX59" s="4"/>
      <c r="BY59" s="5">
        <v>39741</v>
      </c>
      <c r="BZ59" s="5">
        <v>39731</v>
      </c>
      <c r="CA59" s="4"/>
      <c r="CB59" s="4"/>
      <c r="CC59" s="4"/>
      <c r="CD59" s="4"/>
      <c r="CE59" s="4"/>
      <c r="CF59" s="4"/>
      <c r="CG59" s="4"/>
      <c r="CH59" s="4"/>
      <c r="CI59" s="5">
        <v>39777</v>
      </c>
      <c r="CJ59" s="5">
        <v>39785</v>
      </c>
      <c r="CK59" s="5">
        <v>39777</v>
      </c>
      <c r="CL59" s="4"/>
      <c r="CM59" s="4"/>
      <c r="CN59" s="4"/>
      <c r="CO59" s="4"/>
      <c r="CP59" s="4" t="s">
        <v>157</v>
      </c>
      <c r="CQ59" s="4"/>
      <c r="CR59" s="5">
        <v>39771</v>
      </c>
      <c r="CS59" s="4"/>
      <c r="CT59" s="4"/>
      <c r="CU59" s="4"/>
      <c r="CV59" s="4"/>
      <c r="CW59" s="4"/>
      <c r="CX59" s="4"/>
      <c r="CY59" s="4"/>
      <c r="CZ59" s="4"/>
      <c r="DA59" s="4"/>
      <c r="DB59" s="4"/>
      <c r="DC59" s="4"/>
      <c r="DD59" s="4"/>
      <c r="DE59" s="4"/>
      <c r="DF59" s="4"/>
      <c r="DG59" s="4"/>
      <c r="DH59" s="4"/>
      <c r="DI59" s="4"/>
      <c r="DJ59" s="4" t="b">
        <v>0</v>
      </c>
      <c r="DK59" s="4"/>
      <c r="DL59" s="4">
        <v>2670663</v>
      </c>
      <c r="DM59" s="4">
        <v>6483939</v>
      </c>
      <c r="DN59" s="4" t="s">
        <v>366</v>
      </c>
      <c r="DO59" s="4"/>
      <c r="DP59" s="4"/>
      <c r="DQ59" s="4" t="s">
        <v>148</v>
      </c>
      <c r="DR59" s="4"/>
      <c r="DS59" s="4"/>
      <c r="DT59" s="5">
        <v>41887</v>
      </c>
      <c r="DU59" s="4"/>
      <c r="DV59" s="4"/>
      <c r="DW59" s="4"/>
      <c r="DX59" s="4"/>
      <c r="DY59" s="4"/>
      <c r="DZ59" s="5">
        <v>39702</v>
      </c>
      <c r="EA59" s="4"/>
      <c r="EB59" s="4"/>
      <c r="EC59" s="4"/>
      <c r="ED59" s="4"/>
      <c r="EE59" s="4"/>
      <c r="EF59" s="4"/>
      <c r="EG59" s="4"/>
      <c r="EH59" s="4"/>
      <c r="EI59" s="5">
        <v>39244</v>
      </c>
    </row>
    <row r="60" spans="1:139" hidden="1" x14ac:dyDescent="0.2">
      <c r="A60">
        <f>VLOOKUP(B60,Sheet1!$A$1:$B$18,2,FALSE)</f>
        <v>0</v>
      </c>
      <c r="B60" t="str">
        <f t="shared" si="0"/>
        <v>AKL</v>
      </c>
      <c r="C60" s="2">
        <v>59</v>
      </c>
      <c r="D60" s="3" t="str">
        <f>HYPERLINK("https://sitebase.nzcomms.co.nz/spm/spmnominalview/AKL-005-004/","AKL-005-004")</f>
        <v>AKL-005-004</v>
      </c>
      <c r="E60" s="4"/>
      <c r="F60" s="3" t="str">
        <f>HYPERLINK("https://sitebase.nzcomms.co.nz/spm/spmcandidateview/AKL-005-004-H/","AKL-005-004-H")</f>
        <v>AKL-005-004-H</v>
      </c>
      <c r="G60" s="4" t="s">
        <v>367</v>
      </c>
      <c r="H60" s="4" t="s">
        <v>353</v>
      </c>
      <c r="I60" s="4"/>
      <c r="J60" s="4" t="s">
        <v>139</v>
      </c>
      <c r="K60" s="4" t="s">
        <v>141</v>
      </c>
      <c r="L60" s="4" t="s">
        <v>150</v>
      </c>
      <c r="M60" s="4" t="s">
        <v>368</v>
      </c>
      <c r="N60" s="4" t="s">
        <v>274</v>
      </c>
      <c r="O60" s="4" t="s">
        <v>144</v>
      </c>
      <c r="P60" s="4"/>
      <c r="Q60" s="4" t="s">
        <v>170</v>
      </c>
      <c r="R60" s="4"/>
      <c r="S60" s="4"/>
      <c r="T60" s="4"/>
      <c r="U60" s="4">
        <v>-36.807759910000001</v>
      </c>
      <c r="V60" s="4">
        <v>174.79029817</v>
      </c>
      <c r="W60" s="4"/>
      <c r="X60" s="4"/>
      <c r="Y60" s="4"/>
      <c r="Z60" s="4"/>
      <c r="AA60" s="4" t="s">
        <v>152</v>
      </c>
      <c r="AB60" s="3" t="str">
        <f>HYPERLINK("https://sitebase.nzcomms.co.nz/spm/spmcandidateview/AKL-007-106-A/","AKL-007-106-A")</f>
        <v>AKL-007-106-A</v>
      </c>
      <c r="AC60" s="4"/>
      <c r="AD60" s="4"/>
      <c r="AE60" s="4"/>
      <c r="AF60" s="4"/>
      <c r="AG60" s="4"/>
      <c r="AH60" s="4"/>
      <c r="AI60" s="5">
        <v>40074</v>
      </c>
      <c r="AJ60" s="5">
        <v>40074</v>
      </c>
      <c r="AK60" s="4"/>
      <c r="AL60" s="4"/>
      <c r="AM60" s="4"/>
      <c r="AN60" s="5">
        <v>40107</v>
      </c>
      <c r="AO60" s="4">
        <v>4</v>
      </c>
      <c r="AP60" s="5">
        <v>40142</v>
      </c>
      <c r="AQ60" s="5">
        <v>40304</v>
      </c>
      <c r="AR60" s="4"/>
      <c r="AS60" s="4"/>
      <c r="AT60" s="5">
        <v>40165</v>
      </c>
      <c r="AU60" s="5">
        <v>40116</v>
      </c>
      <c r="AV60" s="4">
        <v>2</v>
      </c>
      <c r="AW60" s="5">
        <v>40226</v>
      </c>
      <c r="AX60" s="5">
        <v>40225</v>
      </c>
      <c r="AY60" s="4" t="s">
        <v>369</v>
      </c>
      <c r="AZ60" s="5">
        <v>40148</v>
      </c>
      <c r="BA60" s="5">
        <v>40259</v>
      </c>
      <c r="BB60" s="5">
        <v>40287</v>
      </c>
      <c r="BC60" s="5">
        <v>40288</v>
      </c>
      <c r="BD60" s="4">
        <v>3</v>
      </c>
      <c r="BE60" s="5">
        <v>40329</v>
      </c>
      <c r="BF60" s="5">
        <v>40325</v>
      </c>
      <c r="BG60" s="5">
        <v>40147</v>
      </c>
      <c r="BH60" s="5">
        <v>40149</v>
      </c>
      <c r="BI60" s="4"/>
      <c r="BJ60" s="5">
        <v>40128</v>
      </c>
      <c r="BK60" s="4">
        <v>3</v>
      </c>
      <c r="BL60" s="4">
        <v>3</v>
      </c>
      <c r="BM60" s="5">
        <v>40158</v>
      </c>
      <c r="BN60" s="5">
        <v>40205</v>
      </c>
      <c r="BO60" s="5">
        <v>40162</v>
      </c>
      <c r="BP60" s="4"/>
      <c r="BQ60" s="4"/>
      <c r="BR60" s="4"/>
      <c r="BS60" s="4"/>
      <c r="BT60" s="5">
        <v>40301</v>
      </c>
      <c r="BU60" s="5">
        <v>40302</v>
      </c>
      <c r="BV60" s="5">
        <v>40333</v>
      </c>
      <c r="BW60" s="5">
        <v>40333</v>
      </c>
      <c r="BX60" s="4"/>
      <c r="BY60" s="5">
        <v>40337</v>
      </c>
      <c r="BZ60" s="5">
        <v>40333</v>
      </c>
      <c r="CA60" s="4"/>
      <c r="CB60" s="4"/>
      <c r="CC60" s="4"/>
      <c r="CD60" s="4"/>
      <c r="CE60" s="4"/>
      <c r="CF60" s="4"/>
      <c r="CG60" s="4"/>
      <c r="CH60" s="4"/>
      <c r="CI60" s="5">
        <v>40340</v>
      </c>
      <c r="CJ60" s="5">
        <v>40340</v>
      </c>
      <c r="CK60" s="5">
        <v>40340</v>
      </c>
      <c r="CL60" s="4"/>
      <c r="CM60" s="4"/>
      <c r="CN60" s="4"/>
      <c r="CO60" s="4"/>
      <c r="CP60" s="4" t="s">
        <v>370</v>
      </c>
      <c r="CQ60" s="4"/>
      <c r="CR60" s="5">
        <v>40340</v>
      </c>
      <c r="CS60" s="4"/>
      <c r="CT60" s="4"/>
      <c r="CU60" s="4"/>
      <c r="CV60" s="4"/>
      <c r="CW60" s="5">
        <v>40171</v>
      </c>
      <c r="CX60" s="5">
        <v>40162</v>
      </c>
      <c r="CY60" s="4"/>
      <c r="CZ60" s="4"/>
      <c r="DA60" s="4"/>
      <c r="DB60" s="4"/>
      <c r="DC60" s="4"/>
      <c r="DD60" s="4"/>
      <c r="DE60" s="4"/>
      <c r="DF60" s="4"/>
      <c r="DG60" s="4"/>
      <c r="DH60" s="4"/>
      <c r="DI60" s="4"/>
      <c r="DJ60" s="4" t="b">
        <v>0</v>
      </c>
      <c r="DK60" s="4"/>
      <c r="DL60" s="4">
        <v>2670146</v>
      </c>
      <c r="DM60" s="4">
        <v>6486651</v>
      </c>
      <c r="DN60" s="4" t="s">
        <v>371</v>
      </c>
      <c r="DO60" s="4"/>
      <c r="DP60" s="4"/>
      <c r="DQ60" s="4" t="s">
        <v>148</v>
      </c>
      <c r="DR60" s="4"/>
      <c r="DS60" s="4"/>
      <c r="DT60" s="5">
        <v>41887</v>
      </c>
      <c r="DU60" s="4"/>
      <c r="DV60" s="4"/>
      <c r="DW60" s="4"/>
      <c r="DX60" s="4"/>
      <c r="DY60" s="5">
        <v>40301</v>
      </c>
      <c r="DZ60" s="5">
        <v>40302</v>
      </c>
      <c r="EA60" s="4"/>
      <c r="EB60" s="4"/>
      <c r="EC60" s="4"/>
      <c r="ED60" s="4"/>
      <c r="EE60" s="4"/>
      <c r="EF60" s="4"/>
      <c r="EG60" s="4"/>
      <c r="EH60" s="4"/>
      <c r="EI60" s="5">
        <v>40077</v>
      </c>
    </row>
    <row r="61" spans="1:139" hidden="1" x14ac:dyDescent="0.2">
      <c r="A61">
        <f>VLOOKUP(B61,Sheet1!$A$1:$B$18,2,FALSE)</f>
        <v>0</v>
      </c>
      <c r="B61" t="str">
        <f t="shared" si="0"/>
        <v>AKL</v>
      </c>
      <c r="C61" s="2">
        <v>60</v>
      </c>
      <c r="D61" s="3" t="str">
        <f>HYPERLINK("https://sitebase.nzcomms.co.nz/spm/spmnominalview/AKL-005-005/","AKL-005-005")</f>
        <v>AKL-005-005</v>
      </c>
      <c r="E61" s="4"/>
      <c r="F61" s="3" t="str">
        <f>HYPERLINK("https://sitebase.nzcomms.co.nz/spm/spmcandidateview/AKL-005-005-B/","AKL-005-005-B")</f>
        <v>AKL-005-005-B</v>
      </c>
      <c r="G61" s="4" t="s">
        <v>372</v>
      </c>
      <c r="H61" s="4" t="s">
        <v>353</v>
      </c>
      <c r="I61" s="4"/>
      <c r="J61" s="4" t="s">
        <v>139</v>
      </c>
      <c r="K61" s="4" t="s">
        <v>141</v>
      </c>
      <c r="L61" s="4" t="s">
        <v>189</v>
      </c>
      <c r="M61" s="4" t="s">
        <v>354</v>
      </c>
      <c r="N61" s="4" t="s">
        <v>355</v>
      </c>
      <c r="O61" s="4" t="s">
        <v>356</v>
      </c>
      <c r="P61" s="4"/>
      <c r="Q61" s="4"/>
      <c r="R61" s="4">
        <v>15</v>
      </c>
      <c r="S61" s="4">
        <v>15</v>
      </c>
      <c r="T61" s="4"/>
      <c r="U61" s="4">
        <v>-36.797691210000004</v>
      </c>
      <c r="V61" s="4">
        <v>174.78062385999999</v>
      </c>
      <c r="W61" s="4"/>
      <c r="X61" s="4"/>
      <c r="Y61" s="4"/>
      <c r="Z61" s="4"/>
      <c r="AA61" s="4" t="s">
        <v>171</v>
      </c>
      <c r="AB61" s="3" t="str">
        <f>HYPERLINK("https://sitebase.nzcomms.co.nz/spm/spmcandidateview/AKL-005-015-B/","AKL-005-015-B")</f>
        <v>AKL-005-015-B</v>
      </c>
      <c r="AC61" s="4"/>
      <c r="AD61" s="4"/>
      <c r="AE61" s="4"/>
      <c r="AF61" s="4"/>
      <c r="AG61" s="4"/>
      <c r="AH61" s="4" t="s">
        <v>360</v>
      </c>
      <c r="AI61" s="4"/>
      <c r="AJ61" s="4"/>
      <c r="AK61" s="4"/>
      <c r="AL61" s="4"/>
      <c r="AM61" s="4"/>
      <c r="AN61" s="5">
        <v>39359</v>
      </c>
      <c r="AO61" s="4">
        <v>2</v>
      </c>
      <c r="AP61" s="4"/>
      <c r="AQ61" s="5">
        <v>39636</v>
      </c>
      <c r="AR61" s="4"/>
      <c r="AS61" s="4"/>
      <c r="AT61" s="5">
        <v>39506</v>
      </c>
      <c r="AU61" s="5">
        <v>39506</v>
      </c>
      <c r="AV61" s="4">
        <v>2</v>
      </c>
      <c r="AW61" s="5">
        <v>39506</v>
      </c>
      <c r="AX61" s="5">
        <v>39506</v>
      </c>
      <c r="AY61" s="4"/>
      <c r="AZ61" s="4"/>
      <c r="BA61" s="4"/>
      <c r="BB61" s="5">
        <v>39691</v>
      </c>
      <c r="BC61" s="4"/>
      <c r="BD61" s="4"/>
      <c r="BE61" s="5">
        <v>39687</v>
      </c>
      <c r="BF61" s="5">
        <v>39687</v>
      </c>
      <c r="BG61" s="4"/>
      <c r="BH61" s="5">
        <v>39504</v>
      </c>
      <c r="BI61" s="4"/>
      <c r="BJ61" s="5">
        <v>39535</v>
      </c>
      <c r="BK61" s="4">
        <v>2</v>
      </c>
      <c r="BL61" s="4">
        <v>2</v>
      </c>
      <c r="BM61" s="5">
        <v>39646</v>
      </c>
      <c r="BN61" s="5">
        <v>39646</v>
      </c>
      <c r="BO61" s="4"/>
      <c r="BP61" s="4"/>
      <c r="BQ61" s="4"/>
      <c r="BR61" s="4"/>
      <c r="BS61" s="4"/>
      <c r="BT61" s="4"/>
      <c r="BU61" s="5">
        <v>39701</v>
      </c>
      <c r="BV61" s="5">
        <v>39712</v>
      </c>
      <c r="BW61" s="5">
        <v>39712</v>
      </c>
      <c r="BX61" s="4"/>
      <c r="BY61" s="5">
        <v>39717</v>
      </c>
      <c r="BZ61" s="5">
        <v>39714</v>
      </c>
      <c r="CA61" s="4"/>
      <c r="CB61" s="4"/>
      <c r="CC61" s="4"/>
      <c r="CD61" s="4"/>
      <c r="CE61" s="4"/>
      <c r="CF61" s="4"/>
      <c r="CG61" s="4"/>
      <c r="CH61" s="4"/>
      <c r="CI61" s="5">
        <v>39777</v>
      </c>
      <c r="CJ61" s="5">
        <v>39813</v>
      </c>
      <c r="CK61" s="5">
        <v>39777</v>
      </c>
      <c r="CL61" s="4"/>
      <c r="CM61" s="4"/>
      <c r="CN61" s="4"/>
      <c r="CO61" s="4"/>
      <c r="CP61" s="4" t="s">
        <v>157</v>
      </c>
      <c r="CQ61" s="4"/>
      <c r="CR61" s="4"/>
      <c r="CS61" s="4"/>
      <c r="CT61" s="4"/>
      <c r="CU61" s="4"/>
      <c r="CV61" s="4"/>
      <c r="CW61" s="4"/>
      <c r="CX61" s="4"/>
      <c r="CY61" s="4"/>
      <c r="CZ61" s="4"/>
      <c r="DA61" s="4"/>
      <c r="DB61" s="4"/>
      <c r="DC61" s="4"/>
      <c r="DD61" s="4"/>
      <c r="DE61" s="4"/>
      <c r="DF61" s="4"/>
      <c r="DG61" s="4"/>
      <c r="DH61" s="4"/>
      <c r="DI61" s="4"/>
      <c r="DJ61" s="4" t="b">
        <v>0</v>
      </c>
      <c r="DK61" s="4"/>
      <c r="DL61" s="4">
        <v>2669306</v>
      </c>
      <c r="DM61" s="4">
        <v>6487786</v>
      </c>
      <c r="DN61" s="4" t="s">
        <v>373</v>
      </c>
      <c r="DO61" s="4"/>
      <c r="DP61" s="4"/>
      <c r="DQ61" s="4" t="s">
        <v>148</v>
      </c>
      <c r="DR61" s="4"/>
      <c r="DS61" s="4"/>
      <c r="DT61" s="5">
        <v>41887</v>
      </c>
      <c r="DU61" s="4"/>
      <c r="DV61" s="4"/>
      <c r="DW61" s="4"/>
      <c r="DX61" s="4"/>
      <c r="DY61" s="4"/>
      <c r="DZ61" s="5">
        <v>39701</v>
      </c>
      <c r="EA61" s="4"/>
      <c r="EB61" s="4"/>
      <c r="EC61" s="4"/>
      <c r="ED61" s="4"/>
      <c r="EE61" s="4"/>
      <c r="EF61" s="4"/>
      <c r="EG61" s="4"/>
      <c r="EH61" s="4"/>
      <c r="EI61" s="5">
        <v>39344</v>
      </c>
    </row>
    <row r="62" spans="1:139" hidden="1" x14ac:dyDescent="0.2">
      <c r="A62">
        <f>VLOOKUP(B62,Sheet1!$A$1:$B$18,2,FALSE)</f>
        <v>0</v>
      </c>
      <c r="B62" t="str">
        <f t="shared" si="0"/>
        <v>AKL</v>
      </c>
      <c r="C62" s="2">
        <v>61</v>
      </c>
      <c r="D62" s="3" t="str">
        <f>HYPERLINK("https://sitebase.nzcomms.co.nz/spm/spmnominalview/AKL-005-006/","AKL-005-006")</f>
        <v>AKL-005-006</v>
      </c>
      <c r="E62" s="4"/>
      <c r="F62" s="3" t="str">
        <f>HYPERLINK("https://sitebase.nzcomms.co.nz/spm/spmcandidateview/AKL-005-006-B/","AKL-005-006-B")</f>
        <v>AKL-005-006-B</v>
      </c>
      <c r="G62" s="4" t="s">
        <v>374</v>
      </c>
      <c r="H62" s="4" t="s">
        <v>353</v>
      </c>
      <c r="I62" s="4"/>
      <c r="J62" s="4" t="s">
        <v>139</v>
      </c>
      <c r="K62" s="4" t="s">
        <v>141</v>
      </c>
      <c r="L62" s="4" t="s">
        <v>142</v>
      </c>
      <c r="M62" s="4" t="s">
        <v>354</v>
      </c>
      <c r="N62" s="4" t="s">
        <v>142</v>
      </c>
      <c r="O62" s="4" t="s">
        <v>144</v>
      </c>
      <c r="P62" s="4"/>
      <c r="Q62" s="4" t="s">
        <v>170</v>
      </c>
      <c r="R62" s="4">
        <v>12</v>
      </c>
      <c r="S62" s="4">
        <v>12</v>
      </c>
      <c r="T62" s="4"/>
      <c r="U62" s="4">
        <v>-36.822664250000003</v>
      </c>
      <c r="V62" s="4">
        <v>174.75070485000001</v>
      </c>
      <c r="W62" s="4"/>
      <c r="X62" s="4"/>
      <c r="Y62" s="4"/>
      <c r="Z62" s="4"/>
      <c r="AA62" s="4" t="s">
        <v>152</v>
      </c>
      <c r="AB62" s="3" t="str">
        <f>HYPERLINK("https://sitebase.nzcomms.co.nz/spm/spmcandidateview/AKL-007-106-A/","AKL-007-106-A")</f>
        <v>AKL-007-106-A</v>
      </c>
      <c r="AC62" s="4"/>
      <c r="AD62" s="4"/>
      <c r="AE62" s="4"/>
      <c r="AF62" s="4"/>
      <c r="AG62" s="4"/>
      <c r="AH62" s="4"/>
      <c r="AI62" s="4"/>
      <c r="AJ62" s="4"/>
      <c r="AK62" s="4"/>
      <c r="AL62" s="4"/>
      <c r="AM62" s="4"/>
      <c r="AN62" s="5">
        <v>39402</v>
      </c>
      <c r="AO62" s="4">
        <v>5</v>
      </c>
      <c r="AP62" s="5">
        <v>39743</v>
      </c>
      <c r="AQ62" s="5">
        <v>39743</v>
      </c>
      <c r="AR62" s="4"/>
      <c r="AS62" s="4"/>
      <c r="AT62" s="5">
        <v>39904</v>
      </c>
      <c r="AU62" s="5">
        <v>39902</v>
      </c>
      <c r="AV62" s="4">
        <v>4</v>
      </c>
      <c r="AW62" s="5">
        <v>39909</v>
      </c>
      <c r="AX62" s="5">
        <v>39902</v>
      </c>
      <c r="AY62" s="4"/>
      <c r="AZ62" s="4"/>
      <c r="BA62" s="4"/>
      <c r="BB62" s="5">
        <v>39570</v>
      </c>
      <c r="BC62" s="4"/>
      <c r="BD62" s="4"/>
      <c r="BE62" s="5">
        <v>39878</v>
      </c>
      <c r="BF62" s="5">
        <v>39871</v>
      </c>
      <c r="BG62" s="4"/>
      <c r="BH62" s="5">
        <v>39591</v>
      </c>
      <c r="BI62" s="4"/>
      <c r="BJ62" s="5">
        <v>39658</v>
      </c>
      <c r="BK62" s="4">
        <v>4</v>
      </c>
      <c r="BL62" s="4">
        <v>5</v>
      </c>
      <c r="BM62" s="5">
        <v>39847</v>
      </c>
      <c r="BN62" s="5">
        <v>39847</v>
      </c>
      <c r="BO62" s="4"/>
      <c r="BP62" s="4"/>
      <c r="BQ62" s="4"/>
      <c r="BR62" s="4"/>
      <c r="BS62" s="4"/>
      <c r="BT62" s="5">
        <v>39905</v>
      </c>
      <c r="BU62" s="5">
        <v>39905</v>
      </c>
      <c r="BV62" s="5">
        <v>39927</v>
      </c>
      <c r="BW62" s="5">
        <v>39927</v>
      </c>
      <c r="BX62" s="4"/>
      <c r="BY62" s="5">
        <v>39948</v>
      </c>
      <c r="BZ62" s="5">
        <v>39946</v>
      </c>
      <c r="CA62" s="4"/>
      <c r="CB62" s="4"/>
      <c r="CC62" s="4"/>
      <c r="CD62" s="4"/>
      <c r="CE62" s="4"/>
      <c r="CF62" s="4"/>
      <c r="CG62" s="4"/>
      <c r="CH62" s="4"/>
      <c r="CI62" s="5">
        <v>39963</v>
      </c>
      <c r="CJ62" s="5">
        <v>39969</v>
      </c>
      <c r="CK62" s="5">
        <v>39963</v>
      </c>
      <c r="CL62" s="4"/>
      <c r="CM62" s="4"/>
      <c r="CN62" s="4"/>
      <c r="CO62" s="4"/>
      <c r="CP62" s="4" t="s">
        <v>375</v>
      </c>
      <c r="CQ62" s="4"/>
      <c r="CR62" s="5">
        <v>39969</v>
      </c>
      <c r="CS62" s="4"/>
      <c r="CT62" s="4"/>
      <c r="CU62" s="4"/>
      <c r="CV62" s="4"/>
      <c r="CW62" s="4"/>
      <c r="CX62" s="4"/>
      <c r="CY62" s="4"/>
      <c r="CZ62" s="4"/>
      <c r="DA62" s="4"/>
      <c r="DB62" s="4"/>
      <c r="DC62" s="4"/>
      <c r="DD62" s="4"/>
      <c r="DE62" s="4"/>
      <c r="DF62" s="4"/>
      <c r="DG62" s="4"/>
      <c r="DH62" s="4"/>
      <c r="DI62" s="4"/>
      <c r="DJ62" s="4" t="b">
        <v>0</v>
      </c>
      <c r="DK62" s="4"/>
      <c r="DL62" s="4">
        <v>2666580</v>
      </c>
      <c r="DM62" s="4">
        <v>6485070</v>
      </c>
      <c r="DN62" s="4" t="s">
        <v>376</v>
      </c>
      <c r="DO62" s="4"/>
      <c r="DP62" s="4"/>
      <c r="DQ62" s="4" t="s">
        <v>148</v>
      </c>
      <c r="DR62" s="4"/>
      <c r="DS62" s="4"/>
      <c r="DT62" s="5">
        <v>41887</v>
      </c>
      <c r="DU62" s="4"/>
      <c r="DV62" s="4"/>
      <c r="DW62" s="4"/>
      <c r="DX62" s="4"/>
      <c r="DY62" s="5">
        <v>39905</v>
      </c>
      <c r="DZ62" s="5">
        <v>39905</v>
      </c>
      <c r="EA62" s="4"/>
      <c r="EB62" s="4"/>
      <c r="EC62" s="4"/>
      <c r="ED62" s="4"/>
      <c r="EE62" s="4"/>
      <c r="EF62" s="4"/>
      <c r="EG62" s="4"/>
      <c r="EH62" s="4"/>
      <c r="EI62" s="5">
        <v>39395</v>
      </c>
    </row>
    <row r="63" spans="1:139" hidden="1" x14ac:dyDescent="0.2">
      <c r="A63">
        <f>VLOOKUP(B63,Sheet1!$A$1:$B$18,2,FALSE)</f>
        <v>0</v>
      </c>
      <c r="B63" t="str">
        <f t="shared" si="0"/>
        <v>AKL</v>
      </c>
      <c r="C63" s="2">
        <v>62</v>
      </c>
      <c r="D63" s="3" t="str">
        <f>HYPERLINK("https://sitebase.nzcomms.co.nz/spm/spmnominalview/AKL-005-007/","AKL-005-007")</f>
        <v>AKL-005-007</v>
      </c>
      <c r="E63" s="4" t="s">
        <v>377</v>
      </c>
      <c r="F63" s="3" t="str">
        <f>HYPERLINK("https://sitebase.nzcomms.co.nz/spm/spmcandidateview/AKL-005-007-A/","AKL-005-007-A")</f>
        <v>AKL-005-007-A</v>
      </c>
      <c r="G63" s="4" t="s">
        <v>377</v>
      </c>
      <c r="H63" s="4" t="s">
        <v>353</v>
      </c>
      <c r="I63" s="4">
        <v>3</v>
      </c>
      <c r="J63" s="4" t="s">
        <v>194</v>
      </c>
      <c r="K63" s="4" t="s">
        <v>141</v>
      </c>
      <c r="L63" s="4" t="s">
        <v>181</v>
      </c>
      <c r="M63" s="4" t="s">
        <v>378</v>
      </c>
      <c r="N63" s="4" t="s">
        <v>364</v>
      </c>
      <c r="O63" s="4" t="s">
        <v>144</v>
      </c>
      <c r="P63" s="4" t="s">
        <v>182</v>
      </c>
      <c r="Q63" s="4" t="s">
        <v>170</v>
      </c>
      <c r="R63" s="4">
        <v>13</v>
      </c>
      <c r="S63" s="4">
        <v>13.5</v>
      </c>
      <c r="T63" s="4"/>
      <c r="U63" s="4">
        <v>-36.817411610000001</v>
      </c>
      <c r="V63" s="4">
        <v>174.73232175000001</v>
      </c>
      <c r="W63" s="4"/>
      <c r="X63" s="4"/>
      <c r="Y63" s="4"/>
      <c r="Z63" s="4"/>
      <c r="AA63" s="4" t="s">
        <v>171</v>
      </c>
      <c r="AB63" s="3" t="str">
        <f>HYPERLINK("https://sitebase.nzcomms.co.nz/spm/spmcandidateview/AKL-007-129-B/","AKL-007-129-B")</f>
        <v>AKL-007-129-B</v>
      </c>
      <c r="AC63" s="4" t="b">
        <v>0</v>
      </c>
      <c r="AD63" s="4" t="b">
        <v>0</v>
      </c>
      <c r="AE63" s="4"/>
      <c r="AF63" s="4"/>
      <c r="AG63" s="4" t="b">
        <v>0</v>
      </c>
      <c r="AH63" s="4"/>
      <c r="AI63" s="4"/>
      <c r="AJ63" s="5">
        <v>40591</v>
      </c>
      <c r="AK63" s="4"/>
      <c r="AL63" s="5">
        <v>40591</v>
      </c>
      <c r="AM63" s="4"/>
      <c r="AN63" s="5">
        <v>39741</v>
      </c>
      <c r="AO63" s="4">
        <v>3</v>
      </c>
      <c r="AP63" s="5">
        <v>40058</v>
      </c>
      <c r="AQ63" s="5">
        <v>40056</v>
      </c>
      <c r="AR63" s="4"/>
      <c r="AS63" s="5">
        <v>40164</v>
      </c>
      <c r="AT63" s="5">
        <v>40165</v>
      </c>
      <c r="AU63" s="5">
        <v>40164</v>
      </c>
      <c r="AV63" s="4">
        <v>3</v>
      </c>
      <c r="AW63" s="5">
        <v>40165</v>
      </c>
      <c r="AX63" s="5">
        <v>40165</v>
      </c>
      <c r="AY63" s="4" t="s">
        <v>247</v>
      </c>
      <c r="AZ63" s="5">
        <v>40149</v>
      </c>
      <c r="BA63" s="5">
        <v>39681</v>
      </c>
      <c r="BB63" s="5">
        <v>40170</v>
      </c>
      <c r="BC63" s="5">
        <v>40169</v>
      </c>
      <c r="BD63" s="4">
        <v>3</v>
      </c>
      <c r="BE63" s="5">
        <v>40207</v>
      </c>
      <c r="BF63" s="5">
        <v>40169</v>
      </c>
      <c r="BG63" s="4"/>
      <c r="BH63" s="4"/>
      <c r="BI63" s="4"/>
      <c r="BJ63" s="5">
        <v>40170</v>
      </c>
      <c r="BK63" s="4">
        <v>2</v>
      </c>
      <c r="BL63" s="4">
        <v>3</v>
      </c>
      <c r="BM63" s="4"/>
      <c r="BN63" s="5">
        <v>40647</v>
      </c>
      <c r="BO63" s="5">
        <v>40800</v>
      </c>
      <c r="BP63" s="4"/>
      <c r="BQ63" s="4"/>
      <c r="BR63" s="4"/>
      <c r="BS63" s="4"/>
      <c r="BT63" s="5">
        <v>40756</v>
      </c>
      <c r="BU63" s="5">
        <v>40756</v>
      </c>
      <c r="BV63" s="5">
        <v>40797</v>
      </c>
      <c r="BW63" s="5">
        <v>40797</v>
      </c>
      <c r="BX63" s="5">
        <v>40789</v>
      </c>
      <c r="BY63" s="5">
        <v>40804</v>
      </c>
      <c r="BZ63" s="5">
        <v>40800</v>
      </c>
      <c r="CA63" s="4"/>
      <c r="CB63" s="4"/>
      <c r="CC63" s="4"/>
      <c r="CD63" s="4"/>
      <c r="CE63" s="4"/>
      <c r="CF63" s="4"/>
      <c r="CG63" s="4"/>
      <c r="CH63" s="4"/>
      <c r="CI63" s="5">
        <v>40805</v>
      </c>
      <c r="CJ63" s="5">
        <v>40805</v>
      </c>
      <c r="CK63" s="5">
        <v>40805</v>
      </c>
      <c r="CL63" s="5">
        <v>40816</v>
      </c>
      <c r="CM63" s="5">
        <v>40816</v>
      </c>
      <c r="CN63" s="5">
        <v>40906</v>
      </c>
      <c r="CO63" s="5">
        <v>40990</v>
      </c>
      <c r="CP63" s="4" t="s">
        <v>379</v>
      </c>
      <c r="CQ63" s="4"/>
      <c r="CR63" s="5">
        <v>40801</v>
      </c>
      <c r="CS63" s="5">
        <v>40777</v>
      </c>
      <c r="CT63" s="5">
        <v>40777</v>
      </c>
      <c r="CU63" s="5">
        <v>40777</v>
      </c>
      <c r="CV63" s="5">
        <v>40777</v>
      </c>
      <c r="CW63" s="5">
        <v>40800</v>
      </c>
      <c r="CX63" s="5">
        <v>40800</v>
      </c>
      <c r="CY63" s="5">
        <v>40779</v>
      </c>
      <c r="CZ63" s="5">
        <v>40787</v>
      </c>
      <c r="DA63" s="4"/>
      <c r="DB63" s="4"/>
      <c r="DC63" s="4"/>
      <c r="DD63" s="4"/>
      <c r="DE63" s="4"/>
      <c r="DF63" s="4"/>
      <c r="DG63" s="4"/>
      <c r="DH63" s="4"/>
      <c r="DI63" s="5">
        <v>40789</v>
      </c>
      <c r="DJ63" s="4" t="b">
        <v>0</v>
      </c>
      <c r="DK63" s="4"/>
      <c r="DL63" s="4">
        <v>2664952</v>
      </c>
      <c r="DM63" s="4">
        <v>6485686</v>
      </c>
      <c r="DN63" s="4" t="s">
        <v>380</v>
      </c>
      <c r="DO63" s="4"/>
      <c r="DP63" s="4"/>
      <c r="DQ63" s="4" t="s">
        <v>148</v>
      </c>
      <c r="DR63" s="4"/>
      <c r="DS63" s="4"/>
      <c r="DT63" s="5">
        <v>41887</v>
      </c>
      <c r="DU63" s="4"/>
      <c r="DV63" s="4"/>
      <c r="DW63" s="4"/>
      <c r="DX63" s="4"/>
      <c r="DY63" s="4"/>
      <c r="DZ63" s="4"/>
      <c r="EA63" s="4"/>
      <c r="EB63" s="4"/>
      <c r="EC63" s="4"/>
      <c r="ED63" s="4"/>
      <c r="EE63" s="4"/>
      <c r="EF63" s="4"/>
      <c r="EG63" s="5">
        <v>40807</v>
      </c>
      <c r="EH63" s="5">
        <v>40806</v>
      </c>
      <c r="EI63" s="5">
        <v>39710</v>
      </c>
    </row>
    <row r="64" spans="1:139" hidden="1" x14ac:dyDescent="0.2">
      <c r="A64">
        <f>VLOOKUP(B64,Sheet1!$A$1:$B$18,2,FALSE)</f>
        <v>0</v>
      </c>
      <c r="B64" t="str">
        <f t="shared" si="0"/>
        <v>AKL</v>
      </c>
      <c r="C64" s="2">
        <v>63</v>
      </c>
      <c r="D64" s="3" t="str">
        <f>HYPERLINK("https://sitebase.nzcomms.co.nz/spm/spmnominalview/AKL-005-008/","AKL-005-008")</f>
        <v>AKL-005-008</v>
      </c>
      <c r="E64" s="4"/>
      <c r="F64" s="3" t="str">
        <f>HYPERLINK("https://sitebase.nzcomms.co.nz/spm/spmcandidateview/AKL-005-008-D/","AKL-005-008-D")</f>
        <v>AKL-005-008-D</v>
      </c>
      <c r="G64" s="4" t="s">
        <v>381</v>
      </c>
      <c r="H64" s="4" t="s">
        <v>353</v>
      </c>
      <c r="I64" s="4"/>
      <c r="J64" s="4" t="s">
        <v>139</v>
      </c>
      <c r="K64" s="4" t="s">
        <v>141</v>
      </c>
      <c r="L64" s="4" t="s">
        <v>181</v>
      </c>
      <c r="M64" s="4" t="s">
        <v>378</v>
      </c>
      <c r="N64" s="4" t="s">
        <v>364</v>
      </c>
      <c r="O64" s="4" t="s">
        <v>144</v>
      </c>
      <c r="P64" s="4"/>
      <c r="Q64" s="4"/>
      <c r="R64" s="4">
        <v>13</v>
      </c>
      <c r="S64" s="4">
        <v>13</v>
      </c>
      <c r="T64" s="4"/>
      <c r="U64" s="4">
        <v>-36.811021840000002</v>
      </c>
      <c r="V64" s="4">
        <v>174.72449445999999</v>
      </c>
      <c r="W64" s="4"/>
      <c r="X64" s="4"/>
      <c r="Y64" s="4"/>
      <c r="Z64" s="4"/>
      <c r="AA64" s="4" t="s">
        <v>382</v>
      </c>
      <c r="AB64" s="4" t="s">
        <v>383</v>
      </c>
      <c r="AC64" s="4"/>
      <c r="AD64" s="4"/>
      <c r="AE64" s="4"/>
      <c r="AF64" s="4"/>
      <c r="AG64" s="4"/>
      <c r="AH64" s="4" t="s">
        <v>357</v>
      </c>
      <c r="AI64" s="4"/>
      <c r="AJ64" s="4"/>
      <c r="AK64" s="4"/>
      <c r="AL64" s="4"/>
      <c r="AM64" s="4"/>
      <c r="AN64" s="5">
        <v>39360</v>
      </c>
      <c r="AO64" s="4">
        <v>5</v>
      </c>
      <c r="AP64" s="4"/>
      <c r="AQ64" s="5">
        <v>39983</v>
      </c>
      <c r="AR64" s="4"/>
      <c r="AS64" s="4"/>
      <c r="AT64" s="5">
        <v>39568</v>
      </c>
      <c r="AU64" s="5">
        <v>39612</v>
      </c>
      <c r="AV64" s="4">
        <v>3</v>
      </c>
      <c r="AW64" s="5">
        <v>39568</v>
      </c>
      <c r="AX64" s="5">
        <v>39612</v>
      </c>
      <c r="AY64" s="4"/>
      <c r="AZ64" s="4"/>
      <c r="BA64" s="4"/>
      <c r="BB64" s="5">
        <v>39483</v>
      </c>
      <c r="BC64" s="4"/>
      <c r="BD64" s="4"/>
      <c r="BE64" s="5">
        <v>39633</v>
      </c>
      <c r="BF64" s="5">
        <v>39633</v>
      </c>
      <c r="BG64" s="4"/>
      <c r="BH64" s="5">
        <v>39392</v>
      </c>
      <c r="BI64" s="4"/>
      <c r="BJ64" s="5">
        <v>39498</v>
      </c>
      <c r="BK64" s="4">
        <v>2</v>
      </c>
      <c r="BL64" s="4">
        <v>3</v>
      </c>
      <c r="BM64" s="5">
        <v>39722</v>
      </c>
      <c r="BN64" s="5">
        <v>39722</v>
      </c>
      <c r="BO64" s="4"/>
      <c r="BP64" s="4"/>
      <c r="BQ64" s="4"/>
      <c r="BR64" s="4"/>
      <c r="BS64" s="4"/>
      <c r="BT64" s="4"/>
      <c r="BU64" s="5">
        <v>39689</v>
      </c>
      <c r="BV64" s="5">
        <v>39724</v>
      </c>
      <c r="BW64" s="5">
        <v>39724</v>
      </c>
      <c r="BX64" s="4"/>
      <c r="BY64" s="5">
        <v>39855</v>
      </c>
      <c r="BZ64" s="5">
        <v>39855</v>
      </c>
      <c r="CA64" s="4"/>
      <c r="CB64" s="4"/>
      <c r="CC64" s="4"/>
      <c r="CD64" s="4"/>
      <c r="CE64" s="4"/>
      <c r="CF64" s="4"/>
      <c r="CG64" s="4"/>
      <c r="CH64" s="4"/>
      <c r="CI64" s="5">
        <v>39885</v>
      </c>
      <c r="CJ64" s="5">
        <v>39888</v>
      </c>
      <c r="CK64" s="5">
        <v>39885</v>
      </c>
      <c r="CL64" s="4"/>
      <c r="CM64" s="4"/>
      <c r="CN64" s="4"/>
      <c r="CO64" s="4"/>
      <c r="CP64" s="4" t="s">
        <v>157</v>
      </c>
      <c r="CQ64" s="4"/>
      <c r="CR64" s="5">
        <v>39888</v>
      </c>
      <c r="CS64" s="4"/>
      <c r="CT64" s="4"/>
      <c r="CU64" s="4"/>
      <c r="CV64" s="4"/>
      <c r="CW64" s="4"/>
      <c r="CX64" s="4"/>
      <c r="CY64" s="4"/>
      <c r="CZ64" s="4"/>
      <c r="DA64" s="4"/>
      <c r="DB64" s="4"/>
      <c r="DC64" s="4"/>
      <c r="DD64" s="4"/>
      <c r="DE64" s="4"/>
      <c r="DF64" s="4"/>
      <c r="DG64" s="4"/>
      <c r="DH64" s="4"/>
      <c r="DI64" s="4"/>
      <c r="DJ64" s="4" t="b">
        <v>0</v>
      </c>
      <c r="DK64" s="4"/>
      <c r="DL64" s="4">
        <v>2664268</v>
      </c>
      <c r="DM64" s="4">
        <v>6486409</v>
      </c>
      <c r="DN64" s="4" t="s">
        <v>384</v>
      </c>
      <c r="DO64" s="4"/>
      <c r="DP64" s="4"/>
      <c r="DQ64" s="4" t="s">
        <v>148</v>
      </c>
      <c r="DR64" s="4"/>
      <c r="DS64" s="4"/>
      <c r="DT64" s="5">
        <v>41887</v>
      </c>
      <c r="DU64" s="4"/>
      <c r="DV64" s="4"/>
      <c r="DW64" s="4"/>
      <c r="DX64" s="4"/>
      <c r="DY64" s="4"/>
      <c r="DZ64" s="5">
        <v>39624</v>
      </c>
      <c r="EA64" s="4"/>
      <c r="EB64" s="4"/>
      <c r="EC64" s="4"/>
      <c r="ED64" s="4"/>
      <c r="EE64" s="4"/>
      <c r="EF64" s="4"/>
      <c r="EG64" s="4"/>
      <c r="EH64" s="4"/>
      <c r="EI64" s="5">
        <v>39324</v>
      </c>
    </row>
    <row r="65" spans="1:139" hidden="1" x14ac:dyDescent="0.2">
      <c r="A65">
        <f>VLOOKUP(B65,Sheet1!$A$1:$B$18,2,FALSE)</f>
        <v>0</v>
      </c>
      <c r="B65" t="str">
        <f t="shared" si="0"/>
        <v>AKL</v>
      </c>
      <c r="C65" s="2">
        <v>64</v>
      </c>
      <c r="D65" s="3" t="str">
        <f>HYPERLINK("https://sitebase.nzcomms.co.nz/spm/spmnominalview/AKL-005-009/","AKL-005-009")</f>
        <v>AKL-005-009</v>
      </c>
      <c r="E65" s="4"/>
      <c r="F65" s="3" t="str">
        <f>HYPERLINK("https://sitebase.nzcomms.co.nz/spm/spmcandidateview/AKL-005-009-C/","AKL-005-009-C")</f>
        <v>AKL-005-009-C</v>
      </c>
      <c r="G65" s="4" t="s">
        <v>385</v>
      </c>
      <c r="H65" s="4" t="s">
        <v>353</v>
      </c>
      <c r="I65" s="4"/>
      <c r="J65" s="4" t="s">
        <v>139</v>
      </c>
      <c r="K65" s="4" t="s">
        <v>141</v>
      </c>
      <c r="L65" s="4" t="s">
        <v>181</v>
      </c>
      <c r="M65" s="4" t="s">
        <v>378</v>
      </c>
      <c r="N65" s="4" t="s">
        <v>364</v>
      </c>
      <c r="O65" s="4" t="s">
        <v>144</v>
      </c>
      <c r="P65" s="4"/>
      <c r="Q65" s="4"/>
      <c r="R65" s="4">
        <v>8.8000000000000007</v>
      </c>
      <c r="S65" s="4">
        <v>8.8000000000000007</v>
      </c>
      <c r="T65" s="4"/>
      <c r="U65" s="4">
        <v>-36.811431570000003</v>
      </c>
      <c r="V65" s="4">
        <v>174.71303768999999</v>
      </c>
      <c r="W65" s="4"/>
      <c r="X65" s="4"/>
      <c r="Y65" s="4"/>
      <c r="Z65" s="4"/>
      <c r="AA65" s="4" t="s">
        <v>217</v>
      </c>
      <c r="AB65" s="4" t="s">
        <v>386</v>
      </c>
      <c r="AC65" s="4"/>
      <c r="AD65" s="4"/>
      <c r="AE65" s="4"/>
      <c r="AF65" s="4"/>
      <c r="AG65" s="4"/>
      <c r="AH65" s="4" t="s">
        <v>387</v>
      </c>
      <c r="AI65" s="4"/>
      <c r="AJ65" s="4"/>
      <c r="AK65" s="4"/>
      <c r="AL65" s="4"/>
      <c r="AM65" s="4"/>
      <c r="AN65" s="5">
        <v>39436</v>
      </c>
      <c r="AO65" s="4">
        <v>6</v>
      </c>
      <c r="AP65" s="5">
        <v>39868</v>
      </c>
      <c r="AQ65" s="5">
        <v>39868</v>
      </c>
      <c r="AR65" s="4"/>
      <c r="AS65" s="4"/>
      <c r="AT65" s="5">
        <v>39491</v>
      </c>
      <c r="AU65" s="5">
        <v>39491</v>
      </c>
      <c r="AV65" s="4">
        <v>1</v>
      </c>
      <c r="AW65" s="5">
        <v>39523</v>
      </c>
      <c r="AX65" s="5">
        <v>39491</v>
      </c>
      <c r="AY65" s="4"/>
      <c r="AZ65" s="4"/>
      <c r="BA65" s="4"/>
      <c r="BB65" s="5">
        <v>39721</v>
      </c>
      <c r="BC65" s="4"/>
      <c r="BD65" s="4"/>
      <c r="BE65" s="5">
        <v>39871</v>
      </c>
      <c r="BF65" s="5">
        <v>39841</v>
      </c>
      <c r="BG65" s="4"/>
      <c r="BH65" s="5">
        <v>39469</v>
      </c>
      <c r="BI65" s="4"/>
      <c r="BJ65" s="5">
        <v>39506</v>
      </c>
      <c r="BK65" s="4">
        <v>2</v>
      </c>
      <c r="BL65" s="4">
        <v>4</v>
      </c>
      <c r="BM65" s="5">
        <v>39805</v>
      </c>
      <c r="BN65" s="5">
        <v>39805</v>
      </c>
      <c r="BO65" s="4"/>
      <c r="BP65" s="4"/>
      <c r="BQ65" s="4"/>
      <c r="BR65" s="4"/>
      <c r="BS65" s="4"/>
      <c r="BT65" s="4"/>
      <c r="BU65" s="5">
        <v>39833</v>
      </c>
      <c r="BV65" s="5">
        <v>39867</v>
      </c>
      <c r="BW65" s="5">
        <v>39864</v>
      </c>
      <c r="BX65" s="4"/>
      <c r="BY65" s="5">
        <v>39892</v>
      </c>
      <c r="BZ65" s="5">
        <v>39892</v>
      </c>
      <c r="CA65" s="4"/>
      <c r="CB65" s="4"/>
      <c r="CC65" s="4"/>
      <c r="CD65" s="4"/>
      <c r="CE65" s="4"/>
      <c r="CF65" s="4"/>
      <c r="CG65" s="4"/>
      <c r="CH65" s="4"/>
      <c r="CI65" s="5">
        <v>39895</v>
      </c>
      <c r="CJ65" s="5">
        <v>39899</v>
      </c>
      <c r="CK65" s="5">
        <v>39895</v>
      </c>
      <c r="CL65" s="4"/>
      <c r="CM65" s="4"/>
      <c r="CN65" s="4"/>
      <c r="CO65" s="4"/>
      <c r="CP65" s="4" t="s">
        <v>157</v>
      </c>
      <c r="CQ65" s="4"/>
      <c r="CR65" s="5">
        <v>39899</v>
      </c>
      <c r="CS65" s="4"/>
      <c r="CT65" s="4"/>
      <c r="CU65" s="4"/>
      <c r="CV65" s="4"/>
      <c r="CW65" s="4"/>
      <c r="CX65" s="4"/>
      <c r="CY65" s="4"/>
      <c r="CZ65" s="4"/>
      <c r="DA65" s="4"/>
      <c r="DB65" s="4"/>
      <c r="DC65" s="4"/>
      <c r="DD65" s="4"/>
      <c r="DE65" s="4"/>
      <c r="DF65" s="4"/>
      <c r="DG65" s="4"/>
      <c r="DH65" s="4"/>
      <c r="DI65" s="4"/>
      <c r="DJ65" s="4" t="b">
        <v>0</v>
      </c>
      <c r="DK65" s="4"/>
      <c r="DL65" s="4">
        <v>2663245</v>
      </c>
      <c r="DM65" s="4">
        <v>6486384</v>
      </c>
      <c r="DN65" s="4" t="s">
        <v>388</v>
      </c>
      <c r="DO65" s="4"/>
      <c r="DP65" s="4"/>
      <c r="DQ65" s="4" t="s">
        <v>148</v>
      </c>
      <c r="DR65" s="4"/>
      <c r="DS65" s="4"/>
      <c r="DT65" s="5">
        <v>41887</v>
      </c>
      <c r="DU65" s="4"/>
      <c r="DV65" s="4"/>
      <c r="DW65" s="4"/>
      <c r="DX65" s="4"/>
      <c r="DY65" s="5">
        <v>39806</v>
      </c>
      <c r="DZ65" s="5">
        <v>39827</v>
      </c>
      <c r="EA65" s="4"/>
      <c r="EB65" s="4"/>
      <c r="EC65" s="4"/>
      <c r="ED65" s="4"/>
      <c r="EE65" s="4"/>
      <c r="EF65" s="4"/>
      <c r="EG65" s="4"/>
      <c r="EH65" s="4"/>
      <c r="EI65" s="5">
        <v>39479</v>
      </c>
    </row>
    <row r="66" spans="1:139" hidden="1" x14ac:dyDescent="0.2">
      <c r="A66">
        <f>VLOOKUP(B66,Sheet1!$A$1:$B$18,2,FALSE)</f>
        <v>0</v>
      </c>
      <c r="B66" t="str">
        <f t="shared" si="0"/>
        <v>AKL</v>
      </c>
      <c r="C66" s="2">
        <v>65</v>
      </c>
      <c r="D66" s="3" t="str">
        <f>HYPERLINK("https://sitebase.nzcomms.co.nz/spm/spmnominalview/AKL-005-010/","AKL-005-010")</f>
        <v>AKL-005-010</v>
      </c>
      <c r="E66" s="4"/>
      <c r="F66" s="3" t="str">
        <f>HYPERLINK("https://sitebase.nzcomms.co.nz/spm/spmcandidateview/AKL-005-010-A/","AKL-005-010-A")</f>
        <v>AKL-005-010-A</v>
      </c>
      <c r="G66" s="4" t="s">
        <v>389</v>
      </c>
      <c r="H66" s="4" t="s">
        <v>353</v>
      </c>
      <c r="I66" s="4"/>
      <c r="J66" s="4" t="s">
        <v>139</v>
      </c>
      <c r="K66" s="4" t="s">
        <v>141</v>
      </c>
      <c r="L66" s="4" t="s">
        <v>189</v>
      </c>
      <c r="M66" s="4" t="s">
        <v>354</v>
      </c>
      <c r="N66" s="4" t="s">
        <v>355</v>
      </c>
      <c r="O66" s="4" t="s">
        <v>356</v>
      </c>
      <c r="P66" s="4"/>
      <c r="Q66" s="4"/>
      <c r="R66" s="4">
        <v>12</v>
      </c>
      <c r="S66" s="4">
        <v>12</v>
      </c>
      <c r="T66" s="4"/>
      <c r="U66" s="4">
        <v>-36.806219599999999</v>
      </c>
      <c r="V66" s="4">
        <v>174.70644107999999</v>
      </c>
      <c r="W66" s="4"/>
      <c r="X66" s="4"/>
      <c r="Y66" s="4"/>
      <c r="Z66" s="4"/>
      <c r="AA66" s="4" t="s">
        <v>171</v>
      </c>
      <c r="AB66" s="3" t="str">
        <f>HYPERLINK("https://sitebase.nzcomms.co.nz/spm/spmcandidateview/AKL-005-015-B/","AKL-005-015-B")</f>
        <v>AKL-005-015-B</v>
      </c>
      <c r="AC66" s="4"/>
      <c r="AD66" s="4"/>
      <c r="AE66" s="4"/>
      <c r="AF66" s="4"/>
      <c r="AG66" s="4"/>
      <c r="AH66" s="4" t="s">
        <v>360</v>
      </c>
      <c r="AI66" s="4"/>
      <c r="AJ66" s="4"/>
      <c r="AK66" s="4"/>
      <c r="AL66" s="4"/>
      <c r="AM66" s="4"/>
      <c r="AN66" s="5">
        <v>39367</v>
      </c>
      <c r="AO66" s="4">
        <v>4</v>
      </c>
      <c r="AP66" s="4"/>
      <c r="AQ66" s="5">
        <v>39673</v>
      </c>
      <c r="AR66" s="4"/>
      <c r="AS66" s="4"/>
      <c r="AT66" s="5">
        <v>39507</v>
      </c>
      <c r="AU66" s="5">
        <v>39503</v>
      </c>
      <c r="AV66" s="4">
        <v>4</v>
      </c>
      <c r="AW66" s="5">
        <v>39507</v>
      </c>
      <c r="AX66" s="5">
        <v>39503</v>
      </c>
      <c r="AY66" s="4"/>
      <c r="AZ66" s="4"/>
      <c r="BA66" s="4"/>
      <c r="BB66" s="5">
        <v>39691</v>
      </c>
      <c r="BC66" s="4"/>
      <c r="BD66" s="4"/>
      <c r="BE66" s="5">
        <v>39687</v>
      </c>
      <c r="BF66" s="5">
        <v>39687</v>
      </c>
      <c r="BG66" s="4"/>
      <c r="BH66" s="5">
        <v>39602</v>
      </c>
      <c r="BI66" s="4"/>
      <c r="BJ66" s="5">
        <v>39623</v>
      </c>
      <c r="BK66" s="4">
        <v>2</v>
      </c>
      <c r="BL66" s="4">
        <v>4</v>
      </c>
      <c r="BM66" s="5">
        <v>39702</v>
      </c>
      <c r="BN66" s="5">
        <v>39702</v>
      </c>
      <c r="BO66" s="4"/>
      <c r="BP66" s="4"/>
      <c r="BQ66" s="4"/>
      <c r="BR66" s="4"/>
      <c r="BS66" s="4"/>
      <c r="BT66" s="4"/>
      <c r="BU66" s="5">
        <v>39734</v>
      </c>
      <c r="BV66" s="5">
        <v>39750</v>
      </c>
      <c r="BW66" s="5">
        <v>39752</v>
      </c>
      <c r="BX66" s="4"/>
      <c r="BY66" s="5">
        <v>39764</v>
      </c>
      <c r="BZ66" s="5">
        <v>39764</v>
      </c>
      <c r="CA66" s="4"/>
      <c r="CB66" s="4"/>
      <c r="CC66" s="4"/>
      <c r="CD66" s="4"/>
      <c r="CE66" s="4"/>
      <c r="CF66" s="4"/>
      <c r="CG66" s="4"/>
      <c r="CH66" s="4"/>
      <c r="CI66" s="5">
        <v>39778</v>
      </c>
      <c r="CJ66" s="5">
        <v>39785</v>
      </c>
      <c r="CK66" s="5">
        <v>39778</v>
      </c>
      <c r="CL66" s="4"/>
      <c r="CM66" s="4"/>
      <c r="CN66" s="4"/>
      <c r="CO66" s="4"/>
      <c r="CP66" s="4" t="s">
        <v>157</v>
      </c>
      <c r="CQ66" s="4"/>
      <c r="CR66" s="5">
        <v>39771</v>
      </c>
      <c r="CS66" s="4"/>
      <c r="CT66" s="4"/>
      <c r="CU66" s="4"/>
      <c r="CV66" s="4"/>
      <c r="CW66" s="4"/>
      <c r="CX66" s="4"/>
      <c r="CY66" s="4"/>
      <c r="CZ66" s="4"/>
      <c r="DA66" s="4"/>
      <c r="DB66" s="4"/>
      <c r="DC66" s="4"/>
      <c r="DD66" s="4"/>
      <c r="DE66" s="4"/>
      <c r="DF66" s="4"/>
      <c r="DG66" s="4"/>
      <c r="DH66" s="4"/>
      <c r="DI66" s="4"/>
      <c r="DJ66" s="4" t="b">
        <v>0</v>
      </c>
      <c r="DK66" s="4"/>
      <c r="DL66" s="4">
        <v>2662668</v>
      </c>
      <c r="DM66" s="4">
        <v>6486974</v>
      </c>
      <c r="DN66" s="4" t="s">
        <v>390</v>
      </c>
      <c r="DO66" s="4"/>
      <c r="DP66" s="4"/>
      <c r="DQ66" s="4" t="s">
        <v>148</v>
      </c>
      <c r="DR66" s="4"/>
      <c r="DS66" s="4"/>
      <c r="DT66" s="5">
        <v>41887</v>
      </c>
      <c r="DU66" s="4"/>
      <c r="DV66" s="4"/>
      <c r="DW66" s="4"/>
      <c r="DX66" s="4"/>
      <c r="DY66" s="4"/>
      <c r="DZ66" s="5">
        <v>39707</v>
      </c>
      <c r="EA66" s="4"/>
      <c r="EB66" s="4"/>
      <c r="EC66" s="4"/>
      <c r="ED66" s="4"/>
      <c r="EE66" s="4"/>
      <c r="EF66" s="4"/>
      <c r="EG66" s="4"/>
      <c r="EH66" s="4"/>
      <c r="EI66" s="5">
        <v>39329</v>
      </c>
    </row>
    <row r="67" spans="1:139" hidden="1" x14ac:dyDescent="0.2">
      <c r="A67">
        <f>VLOOKUP(B67,Sheet1!$A$1:$B$18,2,FALSE)</f>
        <v>0</v>
      </c>
      <c r="B67" t="str">
        <f t="shared" ref="B67:B130" si="1">LEFT(D67,3)</f>
        <v>AKL</v>
      </c>
      <c r="C67" s="2">
        <v>66</v>
      </c>
      <c r="D67" s="3" t="str">
        <f>HYPERLINK("https://sitebase.nzcomms.co.nz/spm/spmnominalview/AKL-005-011/","AKL-005-011")</f>
        <v>AKL-005-011</v>
      </c>
      <c r="E67" s="4"/>
      <c r="F67" s="3" t="str">
        <f>HYPERLINK("https://sitebase.nzcomms.co.nz/spm/spmcandidateview/AKL-005-011-H/","AKL-005-011-H")</f>
        <v>AKL-005-011-H</v>
      </c>
      <c r="G67" s="4" t="s">
        <v>391</v>
      </c>
      <c r="H67" s="4" t="s">
        <v>353</v>
      </c>
      <c r="I67" s="4"/>
      <c r="J67" s="4" t="s">
        <v>139</v>
      </c>
      <c r="K67" s="4" t="s">
        <v>141</v>
      </c>
      <c r="L67" s="4" t="s">
        <v>150</v>
      </c>
      <c r="M67" s="4" t="s">
        <v>354</v>
      </c>
      <c r="N67" s="4" t="s">
        <v>346</v>
      </c>
      <c r="O67" s="4" t="s">
        <v>144</v>
      </c>
      <c r="P67" s="4"/>
      <c r="Q67" s="4"/>
      <c r="R67" s="4">
        <v>18.8</v>
      </c>
      <c r="S67" s="4">
        <v>18.8</v>
      </c>
      <c r="T67" s="4"/>
      <c r="U67" s="4">
        <v>-36.807731910000001</v>
      </c>
      <c r="V67" s="4">
        <v>174.74118050000001</v>
      </c>
      <c r="W67" s="4"/>
      <c r="X67" s="4"/>
      <c r="Y67" s="4"/>
      <c r="Z67" s="4"/>
      <c r="AA67" s="4" t="s">
        <v>152</v>
      </c>
      <c r="AB67" s="3" t="str">
        <f>HYPERLINK("https://sitebase.nzcomms.co.nz/spm/spmcandidateview/AKL-007-106-A/","AKL-007-106-A")</f>
        <v>AKL-007-106-A</v>
      </c>
      <c r="AC67" s="4"/>
      <c r="AD67" s="4"/>
      <c r="AE67" s="4"/>
      <c r="AF67" s="4"/>
      <c r="AG67" s="4"/>
      <c r="AH67" s="4"/>
      <c r="AI67" s="4"/>
      <c r="AJ67" s="4"/>
      <c r="AK67" s="4"/>
      <c r="AL67" s="4"/>
      <c r="AM67" s="4"/>
      <c r="AN67" s="5">
        <v>39904</v>
      </c>
      <c r="AO67" s="4">
        <v>2</v>
      </c>
      <c r="AP67" s="5">
        <v>39902</v>
      </c>
      <c r="AQ67" s="5">
        <v>39939</v>
      </c>
      <c r="AR67" s="4"/>
      <c r="AS67" s="4"/>
      <c r="AT67" s="5">
        <v>39917</v>
      </c>
      <c r="AU67" s="5">
        <v>39910</v>
      </c>
      <c r="AV67" s="4"/>
      <c r="AW67" s="5">
        <v>39962</v>
      </c>
      <c r="AX67" s="5">
        <v>39967</v>
      </c>
      <c r="AY67" s="4"/>
      <c r="AZ67" s="5">
        <v>39906</v>
      </c>
      <c r="BA67" s="4"/>
      <c r="BB67" s="5">
        <v>39948</v>
      </c>
      <c r="BC67" s="4"/>
      <c r="BD67" s="4"/>
      <c r="BE67" s="5">
        <v>39948</v>
      </c>
      <c r="BF67" s="5">
        <v>39930</v>
      </c>
      <c r="BG67" s="5">
        <v>39917</v>
      </c>
      <c r="BH67" s="5">
        <v>39904</v>
      </c>
      <c r="BI67" s="4"/>
      <c r="BJ67" s="5">
        <v>39969</v>
      </c>
      <c r="BK67" s="4">
        <v>1</v>
      </c>
      <c r="BL67" s="4">
        <v>1</v>
      </c>
      <c r="BM67" s="5">
        <v>39976</v>
      </c>
      <c r="BN67" s="5">
        <v>39969</v>
      </c>
      <c r="BO67" s="5">
        <v>39994</v>
      </c>
      <c r="BP67" s="4"/>
      <c r="BQ67" s="4"/>
      <c r="BR67" s="4"/>
      <c r="BS67" s="4"/>
      <c r="BT67" s="5">
        <v>39986</v>
      </c>
      <c r="BU67" s="5">
        <v>39986</v>
      </c>
      <c r="BV67" s="5">
        <v>40018</v>
      </c>
      <c r="BW67" s="5">
        <v>40018</v>
      </c>
      <c r="BX67" s="4"/>
      <c r="BY67" s="5">
        <v>40021</v>
      </c>
      <c r="BZ67" s="5">
        <v>40021</v>
      </c>
      <c r="CA67" s="4"/>
      <c r="CB67" s="4"/>
      <c r="CC67" s="4"/>
      <c r="CD67" s="4"/>
      <c r="CE67" s="4"/>
      <c r="CF67" s="4"/>
      <c r="CG67" s="4"/>
      <c r="CH67" s="4"/>
      <c r="CI67" s="5">
        <v>40028</v>
      </c>
      <c r="CJ67" s="5">
        <v>40035</v>
      </c>
      <c r="CK67" s="5">
        <v>40028</v>
      </c>
      <c r="CL67" s="4"/>
      <c r="CM67" s="4"/>
      <c r="CN67" s="4"/>
      <c r="CO67" s="4"/>
      <c r="CP67" s="4" t="s">
        <v>157</v>
      </c>
      <c r="CQ67" s="4"/>
      <c r="CR67" s="5">
        <v>40035</v>
      </c>
      <c r="CS67" s="4"/>
      <c r="CT67" s="4"/>
      <c r="CU67" s="4"/>
      <c r="CV67" s="4"/>
      <c r="CW67" s="5">
        <v>39990</v>
      </c>
      <c r="CX67" s="5">
        <v>39994</v>
      </c>
      <c r="CY67" s="4"/>
      <c r="CZ67" s="4"/>
      <c r="DA67" s="4"/>
      <c r="DB67" s="4"/>
      <c r="DC67" s="4"/>
      <c r="DD67" s="4"/>
      <c r="DE67" s="4"/>
      <c r="DF67" s="4"/>
      <c r="DG67" s="4"/>
      <c r="DH67" s="4"/>
      <c r="DI67" s="4"/>
      <c r="DJ67" s="4" t="b">
        <v>0</v>
      </c>
      <c r="DK67" s="4"/>
      <c r="DL67" s="4">
        <v>2665764</v>
      </c>
      <c r="DM67" s="4">
        <v>6486744</v>
      </c>
      <c r="DN67" s="4" t="s">
        <v>392</v>
      </c>
      <c r="DO67" s="4"/>
      <c r="DP67" s="4"/>
      <c r="DQ67" s="4" t="s">
        <v>148</v>
      </c>
      <c r="DR67" s="4"/>
      <c r="DS67" s="4"/>
      <c r="DT67" s="5">
        <v>41887</v>
      </c>
      <c r="DU67" s="4"/>
      <c r="DV67" s="4"/>
      <c r="DW67" s="4"/>
      <c r="DX67" s="4"/>
      <c r="DY67" s="5">
        <v>39986</v>
      </c>
      <c r="DZ67" s="5">
        <v>39986</v>
      </c>
      <c r="EA67" s="4"/>
      <c r="EB67" s="4"/>
      <c r="EC67" s="4"/>
      <c r="ED67" s="4"/>
      <c r="EE67" s="4"/>
      <c r="EF67" s="4"/>
      <c r="EG67" s="4"/>
      <c r="EH67" s="4"/>
      <c r="EI67" s="5">
        <v>39888</v>
      </c>
    </row>
    <row r="68" spans="1:139" hidden="1" x14ac:dyDescent="0.2">
      <c r="A68">
        <f>VLOOKUP(B68,Sheet1!$A$1:$B$18,2,FALSE)</f>
        <v>0</v>
      </c>
      <c r="B68" t="str">
        <f t="shared" si="1"/>
        <v>AKL</v>
      </c>
      <c r="C68" s="2">
        <v>67</v>
      </c>
      <c r="D68" s="3" t="str">
        <f>HYPERLINK("https://sitebase.nzcomms.co.nz/spm/spmnominalview/AKL-005-012/","AKL-005-012")</f>
        <v>AKL-005-012</v>
      </c>
      <c r="E68" s="4"/>
      <c r="F68" s="3" t="str">
        <f>HYPERLINK("https://sitebase.nzcomms.co.nz/spm/spmcandidateview/AKL-005-012-A/","AKL-005-012-A")</f>
        <v>AKL-005-012-A</v>
      </c>
      <c r="G68" s="4" t="s">
        <v>393</v>
      </c>
      <c r="H68" s="4" t="s">
        <v>353</v>
      </c>
      <c r="I68" s="4"/>
      <c r="J68" s="4" t="s">
        <v>139</v>
      </c>
      <c r="K68" s="4" t="s">
        <v>141</v>
      </c>
      <c r="L68" s="4" t="s">
        <v>189</v>
      </c>
      <c r="M68" s="4" t="s">
        <v>354</v>
      </c>
      <c r="N68" s="4" t="s">
        <v>355</v>
      </c>
      <c r="O68" s="4" t="s">
        <v>356</v>
      </c>
      <c r="P68" s="4"/>
      <c r="Q68" s="4"/>
      <c r="R68" s="4">
        <v>12.3</v>
      </c>
      <c r="S68" s="4">
        <v>12.3</v>
      </c>
      <c r="T68" s="4"/>
      <c r="U68" s="4">
        <v>-36.777652799999998</v>
      </c>
      <c r="V68" s="4">
        <v>174.72300035999999</v>
      </c>
      <c r="W68" s="4"/>
      <c r="X68" s="4"/>
      <c r="Y68" s="4"/>
      <c r="Z68" s="4"/>
      <c r="AA68" s="4" t="s">
        <v>382</v>
      </c>
      <c r="AB68" s="4" t="s">
        <v>394</v>
      </c>
      <c r="AC68" s="4"/>
      <c r="AD68" s="4"/>
      <c r="AE68" s="4"/>
      <c r="AF68" s="4"/>
      <c r="AG68" s="4"/>
      <c r="AH68" s="4" t="s">
        <v>395</v>
      </c>
      <c r="AI68" s="4"/>
      <c r="AJ68" s="4"/>
      <c r="AK68" s="4"/>
      <c r="AL68" s="4"/>
      <c r="AM68" s="4"/>
      <c r="AN68" s="5">
        <v>39374</v>
      </c>
      <c r="AO68" s="4">
        <v>6</v>
      </c>
      <c r="AP68" s="5">
        <v>39737</v>
      </c>
      <c r="AQ68" s="5">
        <v>40102</v>
      </c>
      <c r="AR68" s="4"/>
      <c r="AS68" s="4"/>
      <c r="AT68" s="5">
        <v>39506</v>
      </c>
      <c r="AU68" s="5">
        <v>39506</v>
      </c>
      <c r="AV68" s="4">
        <v>1</v>
      </c>
      <c r="AW68" s="5">
        <v>39506</v>
      </c>
      <c r="AX68" s="5">
        <v>39506</v>
      </c>
      <c r="AY68" s="4"/>
      <c r="AZ68" s="4"/>
      <c r="BA68" s="4"/>
      <c r="BB68" s="5">
        <v>39785</v>
      </c>
      <c r="BC68" s="4"/>
      <c r="BD68" s="4"/>
      <c r="BE68" s="5">
        <v>39785</v>
      </c>
      <c r="BF68" s="5">
        <v>39785</v>
      </c>
      <c r="BG68" s="4"/>
      <c r="BH68" s="5">
        <v>39504</v>
      </c>
      <c r="BI68" s="4"/>
      <c r="BJ68" s="5">
        <v>39821</v>
      </c>
      <c r="BK68" s="4">
        <v>1</v>
      </c>
      <c r="BL68" s="4">
        <v>3</v>
      </c>
      <c r="BM68" s="5">
        <v>39821</v>
      </c>
      <c r="BN68" s="5">
        <v>39821</v>
      </c>
      <c r="BO68" s="5">
        <v>39763</v>
      </c>
      <c r="BP68" s="4"/>
      <c r="BQ68" s="4"/>
      <c r="BR68" s="4"/>
      <c r="BS68" s="4"/>
      <c r="BT68" s="4"/>
      <c r="BU68" s="5">
        <v>39856</v>
      </c>
      <c r="BV68" s="5">
        <v>39871</v>
      </c>
      <c r="BW68" s="5">
        <v>39871</v>
      </c>
      <c r="BX68" s="4"/>
      <c r="BY68" s="5">
        <v>39872</v>
      </c>
      <c r="BZ68" s="5">
        <v>39871</v>
      </c>
      <c r="CA68" s="4"/>
      <c r="CB68" s="4"/>
      <c r="CC68" s="4"/>
      <c r="CD68" s="4"/>
      <c r="CE68" s="4"/>
      <c r="CF68" s="4"/>
      <c r="CG68" s="4"/>
      <c r="CH68" s="4"/>
      <c r="CI68" s="5">
        <v>39940</v>
      </c>
      <c r="CJ68" s="5">
        <v>39958</v>
      </c>
      <c r="CK68" s="5">
        <v>39940</v>
      </c>
      <c r="CL68" s="4"/>
      <c r="CM68" s="4"/>
      <c r="CN68" s="4"/>
      <c r="CO68" s="4"/>
      <c r="CP68" s="4" t="s">
        <v>157</v>
      </c>
      <c r="CQ68" s="4"/>
      <c r="CR68" s="5">
        <v>39958</v>
      </c>
      <c r="CS68" s="4"/>
      <c r="CT68" s="4"/>
      <c r="CU68" s="4"/>
      <c r="CV68" s="4"/>
      <c r="CW68" s="4"/>
      <c r="CX68" s="5">
        <v>39763</v>
      </c>
      <c r="CY68" s="4"/>
      <c r="CZ68" s="4"/>
      <c r="DA68" s="4"/>
      <c r="DB68" s="4"/>
      <c r="DC68" s="4"/>
      <c r="DD68" s="4"/>
      <c r="DE68" s="4"/>
      <c r="DF68" s="4"/>
      <c r="DG68" s="4"/>
      <c r="DH68" s="4"/>
      <c r="DI68" s="4"/>
      <c r="DJ68" s="4" t="b">
        <v>0</v>
      </c>
      <c r="DK68" s="4"/>
      <c r="DL68" s="4">
        <v>2664209</v>
      </c>
      <c r="DM68" s="4">
        <v>6490114</v>
      </c>
      <c r="DN68" s="4" t="s">
        <v>396</v>
      </c>
      <c r="DO68" s="4"/>
      <c r="DP68" s="4"/>
      <c r="DQ68" s="4" t="s">
        <v>148</v>
      </c>
      <c r="DR68" s="4"/>
      <c r="DS68" s="4"/>
      <c r="DT68" s="5">
        <v>41887</v>
      </c>
      <c r="DU68" s="4"/>
      <c r="DV68" s="4"/>
      <c r="DW68" s="4"/>
      <c r="DX68" s="4"/>
      <c r="DY68" s="4"/>
      <c r="DZ68" s="5">
        <v>39847</v>
      </c>
      <c r="EA68" s="4"/>
      <c r="EB68" s="4"/>
      <c r="EC68" s="4"/>
      <c r="ED68" s="4"/>
      <c r="EE68" s="4"/>
      <c r="EF68" s="4"/>
      <c r="EG68" s="4"/>
      <c r="EH68" s="4"/>
      <c r="EI68" s="5">
        <v>39344</v>
      </c>
    </row>
    <row r="69" spans="1:139" hidden="1" x14ac:dyDescent="0.2">
      <c r="A69">
        <f>VLOOKUP(B69,Sheet1!$A$1:$B$18,2,FALSE)</f>
        <v>0</v>
      </c>
      <c r="B69" t="str">
        <f t="shared" si="1"/>
        <v>AKL</v>
      </c>
      <c r="C69" s="2">
        <v>68</v>
      </c>
      <c r="D69" s="3" t="str">
        <f>HYPERLINK("https://sitebase.nzcomms.co.nz/spm/spmnominalview/AKL-005-013/","AKL-005-013")</f>
        <v>AKL-005-013</v>
      </c>
      <c r="E69" s="4"/>
      <c r="F69" s="3" t="str">
        <f>HYPERLINK("https://sitebase.nzcomms.co.nz/spm/spmcandidateview/AKL-005-013-A/","AKL-005-013-A")</f>
        <v>AKL-005-013-A</v>
      </c>
      <c r="G69" s="4" t="s">
        <v>397</v>
      </c>
      <c r="H69" s="4" t="s">
        <v>353</v>
      </c>
      <c r="I69" s="4"/>
      <c r="J69" s="4" t="s">
        <v>139</v>
      </c>
      <c r="K69" s="4" t="s">
        <v>141</v>
      </c>
      <c r="L69" s="4" t="s">
        <v>189</v>
      </c>
      <c r="M69" s="4" t="s">
        <v>354</v>
      </c>
      <c r="N69" s="4" t="s">
        <v>355</v>
      </c>
      <c r="O69" s="4" t="s">
        <v>356</v>
      </c>
      <c r="P69" s="4"/>
      <c r="Q69" s="4"/>
      <c r="R69" s="4">
        <v>12</v>
      </c>
      <c r="S69" s="4">
        <v>12</v>
      </c>
      <c r="T69" s="4"/>
      <c r="U69" s="4">
        <v>-36.788080039999997</v>
      </c>
      <c r="V69" s="4">
        <v>174.69944834</v>
      </c>
      <c r="W69" s="4"/>
      <c r="X69" s="4"/>
      <c r="Y69" s="4"/>
      <c r="Z69" s="4"/>
      <c r="AA69" s="4" t="s">
        <v>152</v>
      </c>
      <c r="AB69" s="3" t="str">
        <f>HYPERLINK("https://sitebase.nzcomms.co.nz/spm/spmcandidateview/AKL-007-106-A/","AKL-007-106-A")</f>
        <v>AKL-007-106-A</v>
      </c>
      <c r="AC69" s="4"/>
      <c r="AD69" s="4"/>
      <c r="AE69" s="4"/>
      <c r="AF69" s="4"/>
      <c r="AG69" s="4"/>
      <c r="AH69" s="4"/>
      <c r="AI69" s="4"/>
      <c r="AJ69" s="4"/>
      <c r="AK69" s="4"/>
      <c r="AL69" s="4"/>
      <c r="AM69" s="4"/>
      <c r="AN69" s="5">
        <v>39367</v>
      </c>
      <c r="AO69" s="4">
        <v>1</v>
      </c>
      <c r="AP69" s="5">
        <v>39367</v>
      </c>
      <c r="AQ69" s="5">
        <v>39367</v>
      </c>
      <c r="AR69" s="4"/>
      <c r="AS69" s="4"/>
      <c r="AT69" s="5">
        <v>39506</v>
      </c>
      <c r="AU69" s="5">
        <v>39506</v>
      </c>
      <c r="AV69" s="4">
        <v>1</v>
      </c>
      <c r="AW69" s="5">
        <v>39506</v>
      </c>
      <c r="AX69" s="5">
        <v>39506</v>
      </c>
      <c r="AY69" s="4"/>
      <c r="AZ69" s="4"/>
      <c r="BA69" s="4"/>
      <c r="BB69" s="5">
        <v>39644</v>
      </c>
      <c r="BC69" s="4"/>
      <c r="BD69" s="4"/>
      <c r="BE69" s="5">
        <v>39611</v>
      </c>
      <c r="BF69" s="5">
        <v>39611</v>
      </c>
      <c r="BG69" s="4"/>
      <c r="BH69" s="5">
        <v>39504</v>
      </c>
      <c r="BI69" s="4"/>
      <c r="BJ69" s="5">
        <v>39532</v>
      </c>
      <c r="BK69" s="4">
        <v>1</v>
      </c>
      <c r="BL69" s="4">
        <v>1</v>
      </c>
      <c r="BM69" s="5">
        <v>39532</v>
      </c>
      <c r="BN69" s="5">
        <v>39532</v>
      </c>
      <c r="BO69" s="4"/>
      <c r="BP69" s="4"/>
      <c r="BQ69" s="4"/>
      <c r="BR69" s="4"/>
      <c r="BS69" s="4"/>
      <c r="BT69" s="4"/>
      <c r="BU69" s="5">
        <v>39651</v>
      </c>
      <c r="BV69" s="5">
        <v>39679</v>
      </c>
      <c r="BW69" s="5">
        <v>39679</v>
      </c>
      <c r="BX69" s="4"/>
      <c r="BY69" s="5">
        <v>39699</v>
      </c>
      <c r="BZ69" s="5">
        <v>39689</v>
      </c>
      <c r="CA69" s="4"/>
      <c r="CB69" s="4"/>
      <c r="CC69" s="4"/>
      <c r="CD69" s="4"/>
      <c r="CE69" s="4"/>
      <c r="CF69" s="4"/>
      <c r="CG69" s="4"/>
      <c r="CH69" s="4"/>
      <c r="CI69" s="5">
        <v>39885</v>
      </c>
      <c r="CJ69" s="5">
        <v>39889</v>
      </c>
      <c r="CK69" s="5">
        <v>39885</v>
      </c>
      <c r="CL69" s="4"/>
      <c r="CM69" s="4"/>
      <c r="CN69" s="4"/>
      <c r="CO69" s="4"/>
      <c r="CP69" s="4" t="s">
        <v>398</v>
      </c>
      <c r="CQ69" s="4"/>
      <c r="CR69" s="5">
        <v>39889</v>
      </c>
      <c r="CS69" s="4"/>
      <c r="CT69" s="4"/>
      <c r="CU69" s="4"/>
      <c r="CV69" s="4"/>
      <c r="CW69" s="4"/>
      <c r="CX69" s="4"/>
      <c r="CY69" s="4"/>
      <c r="CZ69" s="4"/>
      <c r="DA69" s="4"/>
      <c r="DB69" s="4"/>
      <c r="DC69" s="4"/>
      <c r="DD69" s="4"/>
      <c r="DE69" s="4"/>
      <c r="DF69" s="4"/>
      <c r="DG69" s="4"/>
      <c r="DH69" s="4"/>
      <c r="DI69" s="4"/>
      <c r="DJ69" s="4" t="b">
        <v>0</v>
      </c>
      <c r="DK69" s="4"/>
      <c r="DL69" s="4">
        <v>2662084</v>
      </c>
      <c r="DM69" s="4">
        <v>6488999</v>
      </c>
      <c r="DN69" s="4" t="s">
        <v>399</v>
      </c>
      <c r="DO69" s="4"/>
      <c r="DP69" s="4"/>
      <c r="DQ69" s="4" t="s">
        <v>148</v>
      </c>
      <c r="DR69" s="4"/>
      <c r="DS69" s="4"/>
      <c r="DT69" s="5">
        <v>41887</v>
      </c>
      <c r="DU69" s="4"/>
      <c r="DV69" s="4"/>
      <c r="DW69" s="4"/>
      <c r="DX69" s="4"/>
      <c r="DY69" s="4"/>
      <c r="DZ69" s="5">
        <v>39612</v>
      </c>
      <c r="EA69" s="4"/>
      <c r="EB69" s="4"/>
      <c r="EC69" s="4"/>
      <c r="ED69" s="4"/>
      <c r="EE69" s="4"/>
      <c r="EF69" s="4"/>
      <c r="EG69" s="4"/>
      <c r="EH69" s="4"/>
      <c r="EI69" s="5">
        <v>39344</v>
      </c>
    </row>
    <row r="70" spans="1:139" hidden="1" x14ac:dyDescent="0.2">
      <c r="A70">
        <f>VLOOKUP(B70,Sheet1!$A$1:$B$18,2,FALSE)</f>
        <v>0</v>
      </c>
      <c r="B70" t="str">
        <f t="shared" si="1"/>
        <v>AKL</v>
      </c>
      <c r="C70" s="2">
        <v>69</v>
      </c>
      <c r="D70" s="3" t="str">
        <f>HYPERLINK("https://sitebase.nzcomms.co.nz/spm/spmnominalview/AKL-005-014/","AKL-005-014")</f>
        <v>AKL-005-014</v>
      </c>
      <c r="E70" s="4" t="s">
        <v>400</v>
      </c>
      <c r="F70" s="3" t="str">
        <f>HYPERLINK("https://sitebase.nzcomms.co.nz/spm/spmcandidateview/AKL-005-014-C/","AKL-005-014-C")</f>
        <v>AKL-005-014-C</v>
      </c>
      <c r="G70" s="4" t="s">
        <v>401</v>
      </c>
      <c r="H70" s="4" t="s">
        <v>353</v>
      </c>
      <c r="I70" s="4"/>
      <c r="J70" s="4" t="s">
        <v>139</v>
      </c>
      <c r="K70" s="4" t="s">
        <v>141</v>
      </c>
      <c r="L70" s="4" t="s">
        <v>189</v>
      </c>
      <c r="M70" s="4" t="s">
        <v>354</v>
      </c>
      <c r="N70" s="4" t="s">
        <v>274</v>
      </c>
      <c r="O70" s="4" t="s">
        <v>356</v>
      </c>
      <c r="P70" s="4"/>
      <c r="Q70" s="4"/>
      <c r="R70" s="4"/>
      <c r="S70" s="4"/>
      <c r="T70" s="4"/>
      <c r="U70" s="4">
        <v>-36.792381990000003</v>
      </c>
      <c r="V70" s="4">
        <v>174.74840306999999</v>
      </c>
      <c r="W70" s="4"/>
      <c r="X70" s="4"/>
      <c r="Y70" s="4"/>
      <c r="Z70" s="4"/>
      <c r="AA70" s="4" t="s">
        <v>171</v>
      </c>
      <c r="AB70" s="3" t="str">
        <f>HYPERLINK("https://sitebase.nzcomms.co.nz/spm/spmcandidateview/AKL-007-112-A/","AKL-007-112-A")</f>
        <v>AKL-007-112-A</v>
      </c>
      <c r="AC70" s="4"/>
      <c r="AD70" s="4"/>
      <c r="AE70" s="4"/>
      <c r="AF70" s="4"/>
      <c r="AG70" s="4"/>
      <c r="AH70" s="4" t="s">
        <v>402</v>
      </c>
      <c r="AI70" s="4"/>
      <c r="AJ70" s="4"/>
      <c r="AK70" s="4"/>
      <c r="AL70" s="4"/>
      <c r="AM70" s="4"/>
      <c r="AN70" s="5">
        <v>39696</v>
      </c>
      <c r="AO70" s="4">
        <v>7</v>
      </c>
      <c r="AP70" s="5">
        <v>40086</v>
      </c>
      <c r="AQ70" s="5">
        <v>40086</v>
      </c>
      <c r="AR70" s="4"/>
      <c r="AS70" s="4"/>
      <c r="AT70" s="5">
        <v>39920</v>
      </c>
      <c r="AU70" s="5">
        <v>39927</v>
      </c>
      <c r="AV70" s="4"/>
      <c r="AW70" s="5">
        <v>40130</v>
      </c>
      <c r="AX70" s="5">
        <v>40140</v>
      </c>
      <c r="AY70" s="4"/>
      <c r="AZ70" s="5">
        <v>39969</v>
      </c>
      <c r="BA70" s="4"/>
      <c r="BB70" s="5">
        <v>40039</v>
      </c>
      <c r="BC70" s="4"/>
      <c r="BD70" s="4"/>
      <c r="BE70" s="5">
        <v>40123</v>
      </c>
      <c r="BF70" s="5">
        <v>40121</v>
      </c>
      <c r="BG70" s="5">
        <v>39890</v>
      </c>
      <c r="BH70" s="5">
        <v>39898</v>
      </c>
      <c r="BI70" s="4"/>
      <c r="BJ70" s="5">
        <v>39898</v>
      </c>
      <c r="BK70" s="4">
        <v>4</v>
      </c>
      <c r="BL70" s="4"/>
      <c r="BM70" s="5">
        <v>40094</v>
      </c>
      <c r="BN70" s="5">
        <v>40091</v>
      </c>
      <c r="BO70" s="5">
        <v>40039</v>
      </c>
      <c r="BP70" s="4"/>
      <c r="BQ70" s="4"/>
      <c r="BR70" s="4"/>
      <c r="BS70" s="4"/>
      <c r="BT70" s="5">
        <v>40133</v>
      </c>
      <c r="BU70" s="5">
        <v>40133</v>
      </c>
      <c r="BV70" s="5">
        <v>40151</v>
      </c>
      <c r="BW70" s="5">
        <v>40150</v>
      </c>
      <c r="BX70" s="4"/>
      <c r="BY70" s="5">
        <v>40151</v>
      </c>
      <c r="BZ70" s="5">
        <v>40150</v>
      </c>
      <c r="CA70" s="4"/>
      <c r="CB70" s="4"/>
      <c r="CC70" s="4"/>
      <c r="CD70" s="4"/>
      <c r="CE70" s="4"/>
      <c r="CF70" s="4"/>
      <c r="CG70" s="4"/>
      <c r="CH70" s="4"/>
      <c r="CI70" s="5">
        <v>40150</v>
      </c>
      <c r="CJ70" s="5">
        <v>40156</v>
      </c>
      <c r="CK70" s="5">
        <v>40150</v>
      </c>
      <c r="CL70" s="4"/>
      <c r="CM70" s="4"/>
      <c r="CN70" s="4"/>
      <c r="CO70" s="4"/>
      <c r="CP70" s="4" t="s">
        <v>157</v>
      </c>
      <c r="CQ70" s="4"/>
      <c r="CR70" s="5">
        <v>40156</v>
      </c>
      <c r="CS70" s="4"/>
      <c r="CT70" s="4"/>
      <c r="CU70" s="4"/>
      <c r="CV70" s="4"/>
      <c r="CW70" s="5">
        <v>40046</v>
      </c>
      <c r="CX70" s="5">
        <v>40039</v>
      </c>
      <c r="CY70" s="4"/>
      <c r="CZ70" s="4"/>
      <c r="DA70" s="4"/>
      <c r="DB70" s="4"/>
      <c r="DC70" s="4"/>
      <c r="DD70" s="4"/>
      <c r="DE70" s="4"/>
      <c r="DF70" s="4"/>
      <c r="DG70" s="4"/>
      <c r="DH70" s="4"/>
      <c r="DI70" s="4"/>
      <c r="DJ70" s="4" t="b">
        <v>0</v>
      </c>
      <c r="DK70" s="4"/>
      <c r="DL70" s="4">
        <v>2666443</v>
      </c>
      <c r="DM70" s="4">
        <v>6488434</v>
      </c>
      <c r="DN70" s="4" t="s">
        <v>403</v>
      </c>
      <c r="DO70" s="4"/>
      <c r="DP70" s="4"/>
      <c r="DQ70" s="4" t="s">
        <v>148</v>
      </c>
      <c r="DR70" s="4"/>
      <c r="DS70" s="4"/>
      <c r="DT70" s="5">
        <v>41887</v>
      </c>
      <c r="DU70" s="4"/>
      <c r="DV70" s="4"/>
      <c r="DW70" s="4"/>
      <c r="DX70" s="4"/>
      <c r="DY70" s="4"/>
      <c r="DZ70" s="5">
        <v>40133</v>
      </c>
      <c r="EA70" s="4"/>
      <c r="EB70" s="4"/>
      <c r="EC70" s="4"/>
      <c r="ED70" s="4"/>
      <c r="EE70" s="4"/>
      <c r="EF70" s="4"/>
      <c r="EG70" s="4"/>
      <c r="EH70" s="4"/>
      <c r="EI70" s="5">
        <v>39672</v>
      </c>
    </row>
    <row r="71" spans="1:139" hidden="1" x14ac:dyDescent="0.2">
      <c r="A71">
        <f>VLOOKUP(B71,Sheet1!$A$1:$B$18,2,FALSE)</f>
        <v>0</v>
      </c>
      <c r="B71" t="str">
        <f t="shared" si="1"/>
        <v>AKL</v>
      </c>
      <c r="C71" s="2">
        <v>70</v>
      </c>
      <c r="D71" s="3" t="str">
        <f>HYPERLINK("https://sitebase.nzcomms.co.nz/spm/spmnominalview/AKL-005-015/","AKL-005-015")</f>
        <v>AKL-005-015</v>
      </c>
      <c r="E71" s="4"/>
      <c r="F71" s="3" t="str">
        <f>HYPERLINK("https://sitebase.nzcomms.co.nz/spm/spmcandidateview/AKL-005-015-B/","AKL-005-015-B")</f>
        <v>AKL-005-015-B</v>
      </c>
      <c r="G71" s="4" t="s">
        <v>404</v>
      </c>
      <c r="H71" s="4" t="s">
        <v>353</v>
      </c>
      <c r="I71" s="4"/>
      <c r="J71" s="4" t="s">
        <v>139</v>
      </c>
      <c r="K71" s="4" t="s">
        <v>141</v>
      </c>
      <c r="L71" s="4" t="s">
        <v>181</v>
      </c>
      <c r="M71" s="4" t="s">
        <v>354</v>
      </c>
      <c r="N71" s="4" t="s">
        <v>364</v>
      </c>
      <c r="O71" s="4" t="s">
        <v>144</v>
      </c>
      <c r="P71" s="4"/>
      <c r="Q71" s="4"/>
      <c r="R71" s="4">
        <v>43</v>
      </c>
      <c r="S71" s="4">
        <v>43</v>
      </c>
      <c r="T71" s="4"/>
      <c r="U71" s="4">
        <v>-36.790393160000001</v>
      </c>
      <c r="V71" s="4">
        <v>174.77177379</v>
      </c>
      <c r="W71" s="4"/>
      <c r="X71" s="4"/>
      <c r="Y71" s="4"/>
      <c r="Z71" s="4"/>
      <c r="AA71" s="4" t="s">
        <v>171</v>
      </c>
      <c r="AB71" s="3" t="str">
        <f>HYPERLINK("https://sitebase.nzcomms.co.nz/spm/spmcandidateview/AKL-007-112-A/","AKL-007-112-A")</f>
        <v>AKL-007-112-A</v>
      </c>
      <c r="AC71" s="4"/>
      <c r="AD71" s="4"/>
      <c r="AE71" s="4"/>
      <c r="AF71" s="4"/>
      <c r="AG71" s="4"/>
      <c r="AH71" s="4" t="s">
        <v>357</v>
      </c>
      <c r="AI71" s="4"/>
      <c r="AJ71" s="4"/>
      <c r="AK71" s="4"/>
      <c r="AL71" s="4"/>
      <c r="AM71" s="4"/>
      <c r="AN71" s="5">
        <v>39350</v>
      </c>
      <c r="AO71" s="4">
        <v>6</v>
      </c>
      <c r="AP71" s="4"/>
      <c r="AQ71" s="5">
        <v>42255</v>
      </c>
      <c r="AR71" s="4"/>
      <c r="AS71" s="4"/>
      <c r="AT71" s="5">
        <v>39568</v>
      </c>
      <c r="AU71" s="5">
        <v>39589</v>
      </c>
      <c r="AV71" s="4">
        <v>4</v>
      </c>
      <c r="AW71" s="5">
        <v>39568</v>
      </c>
      <c r="AX71" s="5">
        <v>39589</v>
      </c>
      <c r="AY71" s="4"/>
      <c r="AZ71" s="4"/>
      <c r="BA71" s="4"/>
      <c r="BB71" s="5">
        <v>39644</v>
      </c>
      <c r="BC71" s="4"/>
      <c r="BD71" s="4"/>
      <c r="BE71" s="5">
        <v>39618</v>
      </c>
      <c r="BF71" s="5">
        <v>39618</v>
      </c>
      <c r="BG71" s="4"/>
      <c r="BH71" s="5">
        <v>39392</v>
      </c>
      <c r="BI71" s="4"/>
      <c r="BJ71" s="5">
        <v>39465</v>
      </c>
      <c r="BK71" s="4">
        <v>2</v>
      </c>
      <c r="BL71" s="4">
        <v>5</v>
      </c>
      <c r="BM71" s="5">
        <v>39465</v>
      </c>
      <c r="BN71" s="5">
        <v>39814</v>
      </c>
      <c r="BO71" s="4"/>
      <c r="BP71" s="4"/>
      <c r="BQ71" s="4"/>
      <c r="BR71" s="4"/>
      <c r="BS71" s="4"/>
      <c r="BT71" s="4"/>
      <c r="BU71" s="5">
        <v>39639</v>
      </c>
      <c r="BV71" s="5">
        <v>39689</v>
      </c>
      <c r="BW71" s="5">
        <v>39689</v>
      </c>
      <c r="BX71" s="4"/>
      <c r="BY71" s="5">
        <v>39741</v>
      </c>
      <c r="BZ71" s="5">
        <v>39741</v>
      </c>
      <c r="CA71" s="4"/>
      <c r="CB71" s="4"/>
      <c r="CC71" s="4"/>
      <c r="CD71" s="4"/>
      <c r="CE71" s="4"/>
      <c r="CF71" s="4"/>
      <c r="CG71" s="4"/>
      <c r="CH71" s="4"/>
      <c r="CI71" s="5">
        <v>39769</v>
      </c>
      <c r="CJ71" s="5">
        <v>39785</v>
      </c>
      <c r="CK71" s="5">
        <v>39769</v>
      </c>
      <c r="CL71" s="4"/>
      <c r="CM71" s="4"/>
      <c r="CN71" s="4"/>
      <c r="CO71" s="4"/>
      <c r="CP71" s="4" t="s">
        <v>405</v>
      </c>
      <c r="CQ71" s="4"/>
      <c r="CR71" s="5">
        <v>39771</v>
      </c>
      <c r="CS71" s="4"/>
      <c r="CT71" s="4"/>
      <c r="CU71" s="4"/>
      <c r="CV71" s="4"/>
      <c r="CW71" s="4"/>
      <c r="CX71" s="4"/>
      <c r="CY71" s="4"/>
      <c r="CZ71" s="4"/>
      <c r="DA71" s="4"/>
      <c r="DB71" s="4"/>
      <c r="DC71" s="4"/>
      <c r="DD71" s="4"/>
      <c r="DE71" s="4"/>
      <c r="DF71" s="4"/>
      <c r="DG71" s="4"/>
      <c r="DH71" s="4"/>
      <c r="DI71" s="4"/>
      <c r="DJ71" s="4" t="b">
        <v>0</v>
      </c>
      <c r="DK71" s="4"/>
      <c r="DL71" s="4">
        <v>2668533</v>
      </c>
      <c r="DM71" s="4">
        <v>6488612</v>
      </c>
      <c r="DN71" s="4" t="s">
        <v>406</v>
      </c>
      <c r="DO71" s="4"/>
      <c r="DP71" s="4"/>
      <c r="DQ71" s="4" t="s">
        <v>148</v>
      </c>
      <c r="DR71" s="4"/>
      <c r="DS71" s="4"/>
      <c r="DT71" s="5">
        <v>41887</v>
      </c>
      <c r="DU71" s="4"/>
      <c r="DV71" s="4"/>
      <c r="DW71" s="4"/>
      <c r="DX71" s="4"/>
      <c r="DY71" s="4"/>
      <c r="DZ71" s="5">
        <v>39619</v>
      </c>
      <c r="EA71" s="4"/>
      <c r="EB71" s="4"/>
      <c r="EC71" s="4"/>
      <c r="ED71" s="4"/>
      <c r="EE71" s="4"/>
      <c r="EF71" s="4"/>
      <c r="EG71" s="4"/>
      <c r="EH71" s="4"/>
      <c r="EI71" s="5">
        <v>39316</v>
      </c>
    </row>
    <row r="72" spans="1:139" hidden="1" x14ac:dyDescent="0.2">
      <c r="A72">
        <f>VLOOKUP(B72,Sheet1!$A$1:$B$18,2,FALSE)</f>
        <v>0</v>
      </c>
      <c r="B72" t="str">
        <f t="shared" si="1"/>
        <v>AKL</v>
      </c>
      <c r="C72" s="2">
        <v>71</v>
      </c>
      <c r="D72" s="3" t="str">
        <f>HYPERLINK("https://sitebase.nzcomms.co.nz/spm/spmnominalview/AKL-005-016/","AKL-005-016")</f>
        <v>AKL-005-016</v>
      </c>
      <c r="E72" s="4"/>
      <c r="F72" s="3" t="str">
        <f>HYPERLINK("https://sitebase.nzcomms.co.nz/spm/spmcandidateview/AKL-005-016-D/","AKL-005-016-D")</f>
        <v>AKL-005-016-D</v>
      </c>
      <c r="G72" s="4" t="s">
        <v>407</v>
      </c>
      <c r="H72" s="4" t="s">
        <v>353</v>
      </c>
      <c r="I72" s="4"/>
      <c r="J72" s="4" t="s">
        <v>139</v>
      </c>
      <c r="K72" s="4" t="s">
        <v>141</v>
      </c>
      <c r="L72" s="4" t="s">
        <v>181</v>
      </c>
      <c r="M72" s="4" t="s">
        <v>378</v>
      </c>
      <c r="N72" s="4" t="s">
        <v>364</v>
      </c>
      <c r="O72" s="4" t="s">
        <v>144</v>
      </c>
      <c r="P72" s="4"/>
      <c r="Q72" s="4"/>
      <c r="R72" s="4">
        <v>19.5</v>
      </c>
      <c r="S72" s="4">
        <v>19.5</v>
      </c>
      <c r="T72" s="4"/>
      <c r="U72" s="4">
        <v>-36.787568440000001</v>
      </c>
      <c r="V72" s="4">
        <v>174.75833295999999</v>
      </c>
      <c r="W72" s="4"/>
      <c r="X72" s="4"/>
      <c r="Y72" s="4"/>
      <c r="Z72" s="4"/>
      <c r="AA72" s="4" t="s">
        <v>171</v>
      </c>
      <c r="AB72" s="3" t="str">
        <f>HYPERLINK("https://sitebase.nzcomms.co.nz/spm/spmcandidateview/AKL-005-015-B/","AKL-005-015-B")</f>
        <v>AKL-005-015-B</v>
      </c>
      <c r="AC72" s="4"/>
      <c r="AD72" s="4"/>
      <c r="AE72" s="4"/>
      <c r="AF72" s="4"/>
      <c r="AG72" s="4"/>
      <c r="AH72" s="4" t="s">
        <v>408</v>
      </c>
      <c r="AI72" s="4"/>
      <c r="AJ72" s="4"/>
      <c r="AK72" s="4"/>
      <c r="AL72" s="4"/>
      <c r="AM72" s="4"/>
      <c r="AN72" s="5">
        <v>39771</v>
      </c>
      <c r="AO72" s="4">
        <v>5</v>
      </c>
      <c r="AP72" s="5">
        <v>39920</v>
      </c>
      <c r="AQ72" s="5">
        <v>40861</v>
      </c>
      <c r="AR72" s="4"/>
      <c r="AS72" s="4"/>
      <c r="AT72" s="5">
        <v>39969</v>
      </c>
      <c r="AU72" s="5">
        <v>39981</v>
      </c>
      <c r="AV72" s="4">
        <v>2</v>
      </c>
      <c r="AW72" s="5">
        <v>40046</v>
      </c>
      <c r="AX72" s="5">
        <v>40049</v>
      </c>
      <c r="AY72" s="4"/>
      <c r="AZ72" s="5">
        <v>39794</v>
      </c>
      <c r="BA72" s="4"/>
      <c r="BB72" s="5">
        <v>39872</v>
      </c>
      <c r="BC72" s="4"/>
      <c r="BD72" s="4"/>
      <c r="BE72" s="5">
        <v>39872</v>
      </c>
      <c r="BF72" s="5">
        <v>39843</v>
      </c>
      <c r="BG72" s="5">
        <v>39983</v>
      </c>
      <c r="BH72" s="5">
        <v>39959</v>
      </c>
      <c r="BI72" s="5">
        <v>39941</v>
      </c>
      <c r="BJ72" s="5">
        <v>39993</v>
      </c>
      <c r="BK72" s="4">
        <v>2</v>
      </c>
      <c r="BL72" s="4">
        <v>4</v>
      </c>
      <c r="BM72" s="5">
        <v>39997</v>
      </c>
      <c r="BN72" s="5">
        <v>40021</v>
      </c>
      <c r="BO72" s="4"/>
      <c r="BP72" s="4"/>
      <c r="BQ72" s="4"/>
      <c r="BR72" s="4"/>
      <c r="BS72" s="4"/>
      <c r="BT72" s="5">
        <v>40024</v>
      </c>
      <c r="BU72" s="5">
        <v>40024</v>
      </c>
      <c r="BV72" s="5">
        <v>40065</v>
      </c>
      <c r="BW72" s="5">
        <v>40065</v>
      </c>
      <c r="BX72" s="4"/>
      <c r="BY72" s="5">
        <v>40072</v>
      </c>
      <c r="BZ72" s="5">
        <v>40072</v>
      </c>
      <c r="CA72" s="4"/>
      <c r="CB72" s="4"/>
      <c r="CC72" s="4"/>
      <c r="CD72" s="4"/>
      <c r="CE72" s="4"/>
      <c r="CF72" s="4"/>
      <c r="CG72" s="4"/>
      <c r="CH72" s="4"/>
      <c r="CI72" s="5">
        <v>40077</v>
      </c>
      <c r="CJ72" s="5">
        <v>40077</v>
      </c>
      <c r="CK72" s="5">
        <v>40077</v>
      </c>
      <c r="CL72" s="4"/>
      <c r="CM72" s="4"/>
      <c r="CN72" s="4"/>
      <c r="CO72" s="4"/>
      <c r="CP72" s="4" t="s">
        <v>157</v>
      </c>
      <c r="CQ72" s="4"/>
      <c r="CR72" s="5">
        <v>40077</v>
      </c>
      <c r="CS72" s="4"/>
      <c r="CT72" s="4"/>
      <c r="CU72" s="4"/>
      <c r="CV72" s="4"/>
      <c r="CW72" s="4"/>
      <c r="CX72" s="4"/>
      <c r="CY72" s="4"/>
      <c r="CZ72" s="4"/>
      <c r="DA72" s="4"/>
      <c r="DB72" s="4"/>
      <c r="DC72" s="4"/>
      <c r="DD72" s="4"/>
      <c r="DE72" s="4"/>
      <c r="DF72" s="4"/>
      <c r="DG72" s="4"/>
      <c r="DH72" s="4"/>
      <c r="DI72" s="4"/>
      <c r="DJ72" s="4" t="b">
        <v>0</v>
      </c>
      <c r="DK72" s="4"/>
      <c r="DL72" s="4">
        <v>2667340</v>
      </c>
      <c r="DM72" s="4">
        <v>6488950</v>
      </c>
      <c r="DN72" s="4" t="s">
        <v>409</v>
      </c>
      <c r="DO72" s="4"/>
      <c r="DP72" s="4"/>
      <c r="DQ72" s="4" t="s">
        <v>148</v>
      </c>
      <c r="DR72" s="4"/>
      <c r="DS72" s="4"/>
      <c r="DT72" s="5">
        <v>41887</v>
      </c>
      <c r="DU72" s="4"/>
      <c r="DV72" s="4"/>
      <c r="DW72" s="4"/>
      <c r="DX72" s="4"/>
      <c r="DY72" s="5">
        <v>40024</v>
      </c>
      <c r="DZ72" s="5">
        <v>40024</v>
      </c>
      <c r="EA72" s="4"/>
      <c r="EB72" s="4"/>
      <c r="EC72" s="4"/>
      <c r="ED72" s="4"/>
      <c r="EE72" s="4"/>
      <c r="EF72" s="4"/>
      <c r="EG72" s="4"/>
      <c r="EH72" s="4"/>
      <c r="EI72" s="5">
        <v>39710</v>
      </c>
    </row>
    <row r="73" spans="1:139" hidden="1" x14ac:dyDescent="0.2">
      <c r="A73">
        <f>VLOOKUP(B73,Sheet1!$A$1:$B$18,2,FALSE)</f>
        <v>0</v>
      </c>
      <c r="B73" t="str">
        <f t="shared" si="1"/>
        <v>AKL</v>
      </c>
      <c r="C73" s="2">
        <v>72</v>
      </c>
      <c r="D73" s="3" t="str">
        <f>HYPERLINK("https://sitebase.nzcomms.co.nz/spm/spmnominalview/AKL-005-017/","AKL-005-017")</f>
        <v>AKL-005-017</v>
      </c>
      <c r="E73" s="4"/>
      <c r="F73" s="3" t="str">
        <f>HYPERLINK("https://sitebase.nzcomms.co.nz/spm/spmcandidateview/AKL-005-017-F/","AKL-005-017-F")</f>
        <v>AKL-005-017-F</v>
      </c>
      <c r="G73" s="4" t="s">
        <v>410</v>
      </c>
      <c r="H73" s="4" t="s">
        <v>353</v>
      </c>
      <c r="I73" s="4"/>
      <c r="J73" s="4" t="s">
        <v>139</v>
      </c>
      <c r="K73" s="4" t="s">
        <v>141</v>
      </c>
      <c r="L73" s="4" t="s">
        <v>189</v>
      </c>
      <c r="M73" s="4" t="s">
        <v>354</v>
      </c>
      <c r="N73" s="4" t="s">
        <v>355</v>
      </c>
      <c r="O73" s="4" t="s">
        <v>356</v>
      </c>
      <c r="P73" s="4"/>
      <c r="Q73" s="4"/>
      <c r="R73" s="4">
        <v>12.6</v>
      </c>
      <c r="S73" s="4">
        <v>12.6</v>
      </c>
      <c r="T73" s="4"/>
      <c r="U73" s="4">
        <v>-36.773815689999999</v>
      </c>
      <c r="V73" s="4">
        <v>174.76973629</v>
      </c>
      <c r="W73" s="4"/>
      <c r="X73" s="4"/>
      <c r="Y73" s="4"/>
      <c r="Z73" s="4"/>
      <c r="AA73" s="4" t="s">
        <v>152</v>
      </c>
      <c r="AB73" s="3" t="str">
        <f>HYPERLINK("https://sitebase.nzcomms.co.nz/spm/spmcandidateview/AKL-007-106-A/","AKL-007-106-A")</f>
        <v>AKL-007-106-A</v>
      </c>
      <c r="AC73" s="4"/>
      <c r="AD73" s="4"/>
      <c r="AE73" s="4"/>
      <c r="AF73" s="4"/>
      <c r="AG73" s="4"/>
      <c r="AH73" s="4"/>
      <c r="AI73" s="4"/>
      <c r="AJ73" s="4"/>
      <c r="AK73" s="4"/>
      <c r="AL73" s="4"/>
      <c r="AM73" s="4"/>
      <c r="AN73" s="5">
        <v>39626</v>
      </c>
      <c r="AO73" s="4">
        <v>4</v>
      </c>
      <c r="AP73" s="5">
        <v>39895</v>
      </c>
      <c r="AQ73" s="5">
        <v>39891</v>
      </c>
      <c r="AR73" s="4"/>
      <c r="AS73" s="4"/>
      <c r="AT73" s="5">
        <v>39933</v>
      </c>
      <c r="AU73" s="5">
        <v>39927</v>
      </c>
      <c r="AV73" s="4"/>
      <c r="AW73" s="5">
        <v>39941</v>
      </c>
      <c r="AX73" s="5">
        <v>40071</v>
      </c>
      <c r="AY73" s="4"/>
      <c r="AZ73" s="4"/>
      <c r="BA73" s="4"/>
      <c r="BB73" s="5">
        <v>39892</v>
      </c>
      <c r="BC73" s="4"/>
      <c r="BD73" s="4"/>
      <c r="BE73" s="5">
        <v>39918</v>
      </c>
      <c r="BF73" s="5">
        <v>39927</v>
      </c>
      <c r="BG73" s="4"/>
      <c r="BH73" s="5">
        <v>39717</v>
      </c>
      <c r="BI73" s="4"/>
      <c r="BJ73" s="5">
        <v>39730</v>
      </c>
      <c r="BK73" s="4">
        <v>3</v>
      </c>
      <c r="BL73" s="4">
        <v>4</v>
      </c>
      <c r="BM73" s="5">
        <v>39906</v>
      </c>
      <c r="BN73" s="5">
        <v>39904</v>
      </c>
      <c r="BO73" s="5">
        <v>39861</v>
      </c>
      <c r="BP73" s="4"/>
      <c r="BQ73" s="4"/>
      <c r="BR73" s="4"/>
      <c r="BS73" s="4"/>
      <c r="BT73" s="5">
        <v>39940</v>
      </c>
      <c r="BU73" s="5">
        <v>39937</v>
      </c>
      <c r="BV73" s="5">
        <v>39953</v>
      </c>
      <c r="BW73" s="5">
        <v>39948</v>
      </c>
      <c r="BX73" s="4"/>
      <c r="BY73" s="5">
        <v>39951</v>
      </c>
      <c r="BZ73" s="5">
        <v>39948</v>
      </c>
      <c r="CA73" s="4"/>
      <c r="CB73" s="4"/>
      <c r="CC73" s="4"/>
      <c r="CD73" s="4"/>
      <c r="CE73" s="4"/>
      <c r="CF73" s="4"/>
      <c r="CG73" s="4"/>
      <c r="CH73" s="4"/>
      <c r="CI73" s="5">
        <v>39962</v>
      </c>
      <c r="CJ73" s="5">
        <v>39962</v>
      </c>
      <c r="CK73" s="5">
        <v>39962</v>
      </c>
      <c r="CL73" s="4"/>
      <c r="CM73" s="4"/>
      <c r="CN73" s="4"/>
      <c r="CO73" s="4"/>
      <c r="CP73" s="4" t="s">
        <v>411</v>
      </c>
      <c r="CQ73" s="4"/>
      <c r="CR73" s="5">
        <v>39962</v>
      </c>
      <c r="CS73" s="4"/>
      <c r="CT73" s="4"/>
      <c r="CU73" s="4"/>
      <c r="CV73" s="4"/>
      <c r="CW73" s="4"/>
      <c r="CX73" s="5">
        <v>39861</v>
      </c>
      <c r="CY73" s="4"/>
      <c r="CZ73" s="4"/>
      <c r="DA73" s="4"/>
      <c r="DB73" s="4"/>
      <c r="DC73" s="4"/>
      <c r="DD73" s="4"/>
      <c r="DE73" s="4"/>
      <c r="DF73" s="4"/>
      <c r="DG73" s="4"/>
      <c r="DH73" s="4"/>
      <c r="DI73" s="4"/>
      <c r="DJ73" s="4" t="b">
        <v>0</v>
      </c>
      <c r="DK73" s="4"/>
      <c r="DL73" s="4">
        <v>2668389</v>
      </c>
      <c r="DM73" s="4">
        <v>6490455</v>
      </c>
      <c r="DN73" s="4" t="s">
        <v>412</v>
      </c>
      <c r="DO73" s="4"/>
      <c r="DP73" s="4"/>
      <c r="DQ73" s="4" t="s">
        <v>148</v>
      </c>
      <c r="DR73" s="4"/>
      <c r="DS73" s="4"/>
      <c r="DT73" s="5">
        <v>41887</v>
      </c>
      <c r="DU73" s="4"/>
      <c r="DV73" s="4"/>
      <c r="DW73" s="4"/>
      <c r="DX73" s="4"/>
      <c r="DY73" s="5">
        <v>39940</v>
      </c>
      <c r="DZ73" s="5">
        <v>39937</v>
      </c>
      <c r="EA73" s="4"/>
      <c r="EB73" s="4"/>
      <c r="EC73" s="4"/>
      <c r="ED73" s="4"/>
      <c r="EE73" s="4"/>
      <c r="EF73" s="4"/>
      <c r="EG73" s="4"/>
      <c r="EH73" s="4"/>
      <c r="EI73" s="5">
        <v>39612</v>
      </c>
    </row>
    <row r="74" spans="1:139" hidden="1" x14ac:dyDescent="0.2">
      <c r="A74">
        <f>VLOOKUP(B74,Sheet1!$A$1:$B$18,2,FALSE)</f>
        <v>0</v>
      </c>
      <c r="B74" t="str">
        <f t="shared" si="1"/>
        <v>AKL</v>
      </c>
      <c r="C74" s="2">
        <v>73</v>
      </c>
      <c r="D74" s="3" t="str">
        <f>HYPERLINK("https://sitebase.nzcomms.co.nz/spm/spmnominalview/AKL-005-018/","AKL-005-018")</f>
        <v>AKL-005-018</v>
      </c>
      <c r="E74" s="4"/>
      <c r="F74" s="3" t="str">
        <f>HYPERLINK("https://sitebase.nzcomms.co.nz/spm/spmcandidateview/AKL-005-018-A/","AKL-005-018-A")</f>
        <v>AKL-005-018-A</v>
      </c>
      <c r="G74" s="4" t="s">
        <v>413</v>
      </c>
      <c r="H74" s="4" t="s">
        <v>353</v>
      </c>
      <c r="I74" s="4"/>
      <c r="J74" s="4" t="s">
        <v>139</v>
      </c>
      <c r="K74" s="4" t="s">
        <v>141</v>
      </c>
      <c r="L74" s="4" t="s">
        <v>189</v>
      </c>
      <c r="M74" s="4" t="s">
        <v>143</v>
      </c>
      <c r="N74" s="4" t="s">
        <v>355</v>
      </c>
      <c r="O74" s="4" t="s">
        <v>356</v>
      </c>
      <c r="P74" s="4"/>
      <c r="Q74" s="4"/>
      <c r="R74" s="4">
        <v>12</v>
      </c>
      <c r="S74" s="4">
        <v>12</v>
      </c>
      <c r="T74" s="4"/>
      <c r="U74" s="4">
        <v>-36.776673930000001</v>
      </c>
      <c r="V74" s="4">
        <v>174.66954398999999</v>
      </c>
      <c r="W74" s="4"/>
      <c r="X74" s="4"/>
      <c r="Y74" s="4"/>
      <c r="Z74" s="4"/>
      <c r="AA74" s="4" t="s">
        <v>171</v>
      </c>
      <c r="AB74" s="3" t="str">
        <f>HYPERLINK("https://sitebase.nzcomms.co.nz/spm/spmcandidateview/AKL-005-023-G/","AKL-005-023-G")</f>
        <v>AKL-005-023-G</v>
      </c>
      <c r="AC74" s="4"/>
      <c r="AD74" s="4"/>
      <c r="AE74" s="4"/>
      <c r="AF74" s="4"/>
      <c r="AG74" s="4"/>
      <c r="AH74" s="4" t="s">
        <v>360</v>
      </c>
      <c r="AI74" s="4"/>
      <c r="AJ74" s="4"/>
      <c r="AK74" s="4"/>
      <c r="AL74" s="4"/>
      <c r="AM74" s="4"/>
      <c r="AN74" s="5">
        <v>39367</v>
      </c>
      <c r="AO74" s="4">
        <v>1</v>
      </c>
      <c r="AP74" s="4"/>
      <c r="AQ74" s="5">
        <v>39367</v>
      </c>
      <c r="AR74" s="4"/>
      <c r="AS74" s="4"/>
      <c r="AT74" s="5">
        <v>39506</v>
      </c>
      <c r="AU74" s="5">
        <v>39506</v>
      </c>
      <c r="AV74" s="4">
        <v>1</v>
      </c>
      <c r="AW74" s="5">
        <v>39506</v>
      </c>
      <c r="AX74" s="5">
        <v>39506</v>
      </c>
      <c r="AY74" s="4"/>
      <c r="AZ74" s="4"/>
      <c r="BA74" s="4"/>
      <c r="BB74" s="5">
        <v>39782</v>
      </c>
      <c r="BC74" s="4"/>
      <c r="BD74" s="4"/>
      <c r="BE74" s="5">
        <v>39766</v>
      </c>
      <c r="BF74" s="5">
        <v>39766</v>
      </c>
      <c r="BG74" s="4"/>
      <c r="BH74" s="5">
        <v>39504</v>
      </c>
      <c r="BI74" s="4"/>
      <c r="BJ74" s="5">
        <v>39532</v>
      </c>
      <c r="BK74" s="4">
        <v>1</v>
      </c>
      <c r="BL74" s="4">
        <v>1</v>
      </c>
      <c r="BM74" s="5">
        <v>39532</v>
      </c>
      <c r="BN74" s="5">
        <v>39532</v>
      </c>
      <c r="BO74" s="4"/>
      <c r="BP74" s="4"/>
      <c r="BQ74" s="4"/>
      <c r="BR74" s="4"/>
      <c r="BS74" s="4"/>
      <c r="BT74" s="4"/>
      <c r="BU74" s="5">
        <v>39786</v>
      </c>
      <c r="BV74" s="5">
        <v>39801</v>
      </c>
      <c r="BW74" s="5">
        <v>39800</v>
      </c>
      <c r="BX74" s="4"/>
      <c r="BY74" s="5">
        <v>39801</v>
      </c>
      <c r="BZ74" s="5">
        <v>39805</v>
      </c>
      <c r="CA74" s="4"/>
      <c r="CB74" s="4"/>
      <c r="CC74" s="4"/>
      <c r="CD74" s="4"/>
      <c r="CE74" s="4"/>
      <c r="CF74" s="4"/>
      <c r="CG74" s="4"/>
      <c r="CH74" s="4"/>
      <c r="CI74" s="5">
        <v>39857</v>
      </c>
      <c r="CJ74" s="5">
        <v>39862</v>
      </c>
      <c r="CK74" s="5">
        <v>39857</v>
      </c>
      <c r="CL74" s="4"/>
      <c r="CM74" s="4"/>
      <c r="CN74" s="4"/>
      <c r="CO74" s="4"/>
      <c r="CP74" s="4" t="s">
        <v>157</v>
      </c>
      <c r="CQ74" s="4"/>
      <c r="CR74" s="5">
        <v>39862</v>
      </c>
      <c r="CS74" s="4"/>
      <c r="CT74" s="4"/>
      <c r="CU74" s="4"/>
      <c r="CV74" s="4"/>
      <c r="CW74" s="4"/>
      <c r="CX74" s="4"/>
      <c r="CY74" s="4"/>
      <c r="CZ74" s="4"/>
      <c r="DA74" s="4"/>
      <c r="DB74" s="4"/>
      <c r="DC74" s="4"/>
      <c r="DD74" s="4"/>
      <c r="DE74" s="4"/>
      <c r="DF74" s="4"/>
      <c r="DG74" s="4"/>
      <c r="DH74" s="4"/>
      <c r="DI74" s="4"/>
      <c r="DJ74" s="4" t="b">
        <v>0</v>
      </c>
      <c r="DK74" s="4"/>
      <c r="DL74" s="4">
        <v>2659440</v>
      </c>
      <c r="DM74" s="4">
        <v>6490317</v>
      </c>
      <c r="DN74" s="4" t="s">
        <v>414</v>
      </c>
      <c r="DO74" s="4"/>
      <c r="DP74" s="4"/>
      <c r="DQ74" s="4" t="s">
        <v>148</v>
      </c>
      <c r="DR74" s="4"/>
      <c r="DS74" s="4"/>
      <c r="DT74" s="5">
        <v>42348</v>
      </c>
      <c r="DU74" s="4"/>
      <c r="DV74" s="4"/>
      <c r="DW74" s="4"/>
      <c r="DX74" s="4"/>
      <c r="DY74" s="4"/>
      <c r="DZ74" s="5">
        <v>39784</v>
      </c>
      <c r="EA74" s="4"/>
      <c r="EB74" s="4"/>
      <c r="EC74" s="4"/>
      <c r="ED74" s="4"/>
      <c r="EE74" s="4"/>
      <c r="EF74" s="4"/>
      <c r="EG74" s="4"/>
      <c r="EH74" s="4"/>
      <c r="EI74" s="5">
        <v>39344</v>
      </c>
    </row>
    <row r="75" spans="1:139" hidden="1" x14ac:dyDescent="0.2">
      <c r="A75">
        <f>VLOOKUP(B75,Sheet1!$A$1:$B$18,2,FALSE)</f>
        <v>0</v>
      </c>
      <c r="B75" t="str">
        <f t="shared" si="1"/>
        <v>AKL</v>
      </c>
      <c r="C75" s="2">
        <v>74</v>
      </c>
      <c r="D75" s="3" t="str">
        <f>HYPERLINK("https://sitebase.nzcomms.co.nz/spm/spmnominalview/AKL-005-019/","AKL-005-019")</f>
        <v>AKL-005-019</v>
      </c>
      <c r="E75" s="4"/>
      <c r="F75" s="3" t="str">
        <f>HYPERLINK("https://sitebase.nzcomms.co.nz/spm/spmcandidateview/AKL-005-019-C/","AKL-005-019-C")</f>
        <v>AKL-005-019-C</v>
      </c>
      <c r="G75" s="4" t="s">
        <v>415</v>
      </c>
      <c r="H75" s="4" t="s">
        <v>353</v>
      </c>
      <c r="I75" s="4"/>
      <c r="J75" s="4" t="s">
        <v>139</v>
      </c>
      <c r="K75" s="4" t="s">
        <v>141</v>
      </c>
      <c r="L75" s="4" t="s">
        <v>189</v>
      </c>
      <c r="M75" s="4" t="s">
        <v>143</v>
      </c>
      <c r="N75" s="4" t="s">
        <v>355</v>
      </c>
      <c r="O75" s="4" t="s">
        <v>356</v>
      </c>
      <c r="P75" s="4"/>
      <c r="Q75" s="4"/>
      <c r="R75" s="4">
        <v>14.2</v>
      </c>
      <c r="S75" s="4">
        <v>14.2</v>
      </c>
      <c r="T75" s="4"/>
      <c r="U75" s="4">
        <v>-36.780925910000001</v>
      </c>
      <c r="V75" s="4">
        <v>174.67827460999999</v>
      </c>
      <c r="W75" s="4"/>
      <c r="X75" s="4"/>
      <c r="Y75" s="4"/>
      <c r="Z75" s="4"/>
      <c r="AA75" s="4" t="s">
        <v>382</v>
      </c>
      <c r="AB75" s="4" t="s">
        <v>416</v>
      </c>
      <c r="AC75" s="4"/>
      <c r="AD75" s="4"/>
      <c r="AE75" s="4"/>
      <c r="AF75" s="4"/>
      <c r="AG75" s="4"/>
      <c r="AH75" s="4" t="s">
        <v>402</v>
      </c>
      <c r="AI75" s="4"/>
      <c r="AJ75" s="4"/>
      <c r="AK75" s="4"/>
      <c r="AL75" s="4"/>
      <c r="AM75" s="4"/>
      <c r="AN75" s="5">
        <v>39779</v>
      </c>
      <c r="AO75" s="4">
        <v>1</v>
      </c>
      <c r="AP75" s="5">
        <v>39779</v>
      </c>
      <c r="AQ75" s="5">
        <v>39779</v>
      </c>
      <c r="AR75" s="4"/>
      <c r="AS75" s="4"/>
      <c r="AT75" s="5">
        <v>39885</v>
      </c>
      <c r="AU75" s="5">
        <v>39864</v>
      </c>
      <c r="AV75" s="4"/>
      <c r="AW75" s="5">
        <v>39902</v>
      </c>
      <c r="AX75" s="5">
        <v>39899</v>
      </c>
      <c r="AY75" s="4"/>
      <c r="AZ75" s="5">
        <v>39806</v>
      </c>
      <c r="BA75" s="4"/>
      <c r="BB75" s="5">
        <v>39948</v>
      </c>
      <c r="BC75" s="4"/>
      <c r="BD75" s="4"/>
      <c r="BE75" s="5">
        <v>39948</v>
      </c>
      <c r="BF75" s="5">
        <v>39947</v>
      </c>
      <c r="BG75" s="5">
        <v>39804</v>
      </c>
      <c r="BH75" s="5">
        <v>39821</v>
      </c>
      <c r="BI75" s="4"/>
      <c r="BJ75" s="5">
        <v>39875</v>
      </c>
      <c r="BK75" s="4">
        <v>2</v>
      </c>
      <c r="BL75" s="4">
        <v>1</v>
      </c>
      <c r="BM75" s="5">
        <v>39919</v>
      </c>
      <c r="BN75" s="5">
        <v>39920</v>
      </c>
      <c r="BO75" s="5">
        <v>39924</v>
      </c>
      <c r="BP75" s="4"/>
      <c r="BQ75" s="4"/>
      <c r="BR75" s="4"/>
      <c r="BS75" s="4"/>
      <c r="BT75" s="5">
        <v>39951</v>
      </c>
      <c r="BU75" s="5">
        <v>39951</v>
      </c>
      <c r="BV75" s="5">
        <v>39976</v>
      </c>
      <c r="BW75" s="5">
        <v>39976</v>
      </c>
      <c r="BX75" s="4"/>
      <c r="BY75" s="5">
        <v>39980</v>
      </c>
      <c r="BZ75" s="5">
        <v>39980</v>
      </c>
      <c r="CA75" s="4"/>
      <c r="CB75" s="4"/>
      <c r="CC75" s="4"/>
      <c r="CD75" s="4"/>
      <c r="CE75" s="4"/>
      <c r="CF75" s="4"/>
      <c r="CG75" s="4"/>
      <c r="CH75" s="4"/>
      <c r="CI75" s="5">
        <v>39992</v>
      </c>
      <c r="CJ75" s="5">
        <v>39992</v>
      </c>
      <c r="CK75" s="5">
        <v>39992</v>
      </c>
      <c r="CL75" s="4"/>
      <c r="CM75" s="4"/>
      <c r="CN75" s="4"/>
      <c r="CO75" s="4"/>
      <c r="CP75" s="4" t="s">
        <v>417</v>
      </c>
      <c r="CQ75" s="4"/>
      <c r="CR75" s="5">
        <v>39992</v>
      </c>
      <c r="CS75" s="4"/>
      <c r="CT75" s="4"/>
      <c r="CU75" s="4"/>
      <c r="CV75" s="4"/>
      <c r="CW75" s="5">
        <v>39925</v>
      </c>
      <c r="CX75" s="5">
        <v>39924</v>
      </c>
      <c r="CY75" s="4"/>
      <c r="CZ75" s="4"/>
      <c r="DA75" s="4"/>
      <c r="DB75" s="4"/>
      <c r="DC75" s="4"/>
      <c r="DD75" s="4"/>
      <c r="DE75" s="4"/>
      <c r="DF75" s="4"/>
      <c r="DG75" s="4"/>
      <c r="DH75" s="4"/>
      <c r="DI75" s="4"/>
      <c r="DJ75" s="4" t="b">
        <v>0</v>
      </c>
      <c r="DK75" s="4"/>
      <c r="DL75" s="4">
        <v>2660210</v>
      </c>
      <c r="DM75" s="4">
        <v>6489830</v>
      </c>
      <c r="DN75" s="4" t="s">
        <v>418</v>
      </c>
      <c r="DO75" s="4"/>
      <c r="DP75" s="4"/>
      <c r="DQ75" s="4" t="s">
        <v>148</v>
      </c>
      <c r="DR75" s="4"/>
      <c r="DS75" s="4"/>
      <c r="DT75" s="5">
        <v>42348</v>
      </c>
      <c r="DU75" s="4"/>
      <c r="DV75" s="4"/>
      <c r="DW75" s="4"/>
      <c r="DX75" s="4"/>
      <c r="DY75" s="5">
        <v>39951</v>
      </c>
      <c r="DZ75" s="5">
        <v>39951</v>
      </c>
      <c r="EA75" s="4"/>
      <c r="EB75" s="4"/>
      <c r="EC75" s="4"/>
      <c r="ED75" s="4"/>
      <c r="EE75" s="4"/>
      <c r="EF75" s="4"/>
      <c r="EG75" s="4"/>
      <c r="EH75" s="4"/>
      <c r="EI75" s="5">
        <v>39731</v>
      </c>
    </row>
    <row r="76" spans="1:139" hidden="1" x14ac:dyDescent="0.2">
      <c r="A76">
        <f>VLOOKUP(B76,Sheet1!$A$1:$B$18,2,FALSE)</f>
        <v>0</v>
      </c>
      <c r="B76" t="str">
        <f t="shared" si="1"/>
        <v>AKL</v>
      </c>
      <c r="C76" s="2">
        <v>75</v>
      </c>
      <c r="D76" s="3" t="str">
        <f>HYPERLINK("https://sitebase.nzcomms.co.nz/spm/spmnominalview/AKL-005-020/","AKL-005-020")</f>
        <v>AKL-005-020</v>
      </c>
      <c r="E76" s="4"/>
      <c r="F76" s="3" t="str">
        <f>HYPERLINK("https://sitebase.nzcomms.co.nz/spm/spmcandidateview/AKL-005-020-C/","AKL-005-020-C")</f>
        <v>AKL-005-020-C</v>
      </c>
      <c r="G76" s="4" t="s">
        <v>419</v>
      </c>
      <c r="H76" s="4" t="s">
        <v>353</v>
      </c>
      <c r="I76" s="4"/>
      <c r="J76" s="4" t="s">
        <v>139</v>
      </c>
      <c r="K76" s="4" t="s">
        <v>141</v>
      </c>
      <c r="L76" s="4" t="s">
        <v>189</v>
      </c>
      <c r="M76" s="4" t="s">
        <v>354</v>
      </c>
      <c r="N76" s="4" t="s">
        <v>355</v>
      </c>
      <c r="O76" s="4" t="s">
        <v>144</v>
      </c>
      <c r="P76" s="4"/>
      <c r="Q76" s="4"/>
      <c r="R76" s="4">
        <v>12.7</v>
      </c>
      <c r="S76" s="4">
        <v>12.7</v>
      </c>
      <c r="T76" s="4"/>
      <c r="U76" s="4">
        <v>-36.798950779999998</v>
      </c>
      <c r="V76" s="4">
        <v>174.72354301999999</v>
      </c>
      <c r="W76" s="4"/>
      <c r="X76" s="4"/>
      <c r="Y76" s="4"/>
      <c r="Z76" s="4"/>
      <c r="AA76" s="4" t="s">
        <v>171</v>
      </c>
      <c r="AB76" s="3" t="str">
        <f>HYPERLINK("https://sitebase.nzcomms.co.nz/spm/spmcandidateview/AKL-005-015-B/","AKL-005-015-B")</f>
        <v>AKL-005-015-B</v>
      </c>
      <c r="AC76" s="4"/>
      <c r="AD76" s="4"/>
      <c r="AE76" s="4"/>
      <c r="AF76" s="4"/>
      <c r="AG76" s="4"/>
      <c r="AH76" s="4" t="s">
        <v>395</v>
      </c>
      <c r="AI76" s="4"/>
      <c r="AJ76" s="4"/>
      <c r="AK76" s="4"/>
      <c r="AL76" s="4"/>
      <c r="AM76" s="4"/>
      <c r="AN76" s="5">
        <v>39702</v>
      </c>
      <c r="AO76" s="4">
        <v>4</v>
      </c>
      <c r="AP76" s="5">
        <v>39974</v>
      </c>
      <c r="AQ76" s="5">
        <v>39974</v>
      </c>
      <c r="AR76" s="4"/>
      <c r="AS76" s="4"/>
      <c r="AT76" s="5">
        <v>39933</v>
      </c>
      <c r="AU76" s="5">
        <v>39927</v>
      </c>
      <c r="AV76" s="4"/>
      <c r="AW76" s="5">
        <v>39941</v>
      </c>
      <c r="AX76" s="5">
        <v>39987</v>
      </c>
      <c r="AY76" s="4"/>
      <c r="AZ76" s="4"/>
      <c r="BA76" s="4"/>
      <c r="BB76" s="5">
        <v>39843</v>
      </c>
      <c r="BC76" s="4"/>
      <c r="BD76" s="4"/>
      <c r="BE76" s="5">
        <v>39832</v>
      </c>
      <c r="BF76" s="5">
        <v>39832</v>
      </c>
      <c r="BG76" s="5">
        <v>39843</v>
      </c>
      <c r="BH76" s="5">
        <v>39834</v>
      </c>
      <c r="BI76" s="4"/>
      <c r="BJ76" s="5">
        <v>39856</v>
      </c>
      <c r="BK76" s="4">
        <v>3</v>
      </c>
      <c r="BL76" s="4">
        <v>4</v>
      </c>
      <c r="BM76" s="5">
        <v>39974</v>
      </c>
      <c r="BN76" s="5">
        <v>39974</v>
      </c>
      <c r="BO76" s="5">
        <v>39937</v>
      </c>
      <c r="BP76" s="4"/>
      <c r="BQ76" s="4"/>
      <c r="BR76" s="4"/>
      <c r="BS76" s="4"/>
      <c r="BT76" s="5">
        <v>39979</v>
      </c>
      <c r="BU76" s="5">
        <v>39979</v>
      </c>
      <c r="BV76" s="5">
        <v>39997</v>
      </c>
      <c r="BW76" s="5">
        <v>39996</v>
      </c>
      <c r="BX76" s="4"/>
      <c r="BY76" s="5">
        <v>40004</v>
      </c>
      <c r="BZ76" s="5">
        <v>40004</v>
      </c>
      <c r="CA76" s="4"/>
      <c r="CB76" s="4"/>
      <c r="CC76" s="4"/>
      <c r="CD76" s="4"/>
      <c r="CE76" s="4"/>
      <c r="CF76" s="4"/>
      <c r="CG76" s="4"/>
      <c r="CH76" s="4"/>
      <c r="CI76" s="5">
        <v>40014</v>
      </c>
      <c r="CJ76" s="5">
        <v>40016</v>
      </c>
      <c r="CK76" s="5">
        <v>40014</v>
      </c>
      <c r="CL76" s="4"/>
      <c r="CM76" s="4"/>
      <c r="CN76" s="4"/>
      <c r="CO76" s="4"/>
      <c r="CP76" s="4" t="s">
        <v>157</v>
      </c>
      <c r="CQ76" s="4"/>
      <c r="CR76" s="5">
        <v>40016</v>
      </c>
      <c r="CS76" s="4"/>
      <c r="CT76" s="4"/>
      <c r="CU76" s="4"/>
      <c r="CV76" s="4"/>
      <c r="CW76" s="5">
        <v>39934</v>
      </c>
      <c r="CX76" s="5">
        <v>39937</v>
      </c>
      <c r="CY76" s="4"/>
      <c r="CZ76" s="4"/>
      <c r="DA76" s="4"/>
      <c r="DB76" s="4"/>
      <c r="DC76" s="4"/>
      <c r="DD76" s="4"/>
      <c r="DE76" s="4"/>
      <c r="DF76" s="4"/>
      <c r="DG76" s="4"/>
      <c r="DH76" s="4"/>
      <c r="DI76" s="4"/>
      <c r="DJ76" s="4" t="b">
        <v>0</v>
      </c>
      <c r="DK76" s="4"/>
      <c r="DL76" s="4">
        <v>2664210</v>
      </c>
      <c r="DM76" s="4">
        <v>6487750</v>
      </c>
      <c r="DN76" s="4" t="s">
        <v>420</v>
      </c>
      <c r="DO76" s="4"/>
      <c r="DP76" s="4"/>
      <c r="DQ76" s="4" t="s">
        <v>148</v>
      </c>
      <c r="DR76" s="4"/>
      <c r="DS76" s="4"/>
      <c r="DT76" s="5">
        <v>41887</v>
      </c>
      <c r="DU76" s="4"/>
      <c r="DV76" s="4"/>
      <c r="DW76" s="4"/>
      <c r="DX76" s="4"/>
      <c r="DY76" s="5">
        <v>39979</v>
      </c>
      <c r="DZ76" s="5">
        <v>39979</v>
      </c>
      <c r="EA76" s="4"/>
      <c r="EB76" s="4"/>
      <c r="EC76" s="4"/>
      <c r="ED76" s="4"/>
      <c r="EE76" s="4"/>
      <c r="EF76" s="4"/>
      <c r="EG76" s="4"/>
      <c r="EH76" s="4"/>
      <c r="EI76" s="5">
        <v>39672</v>
      </c>
    </row>
    <row r="77" spans="1:139" hidden="1" x14ac:dyDescent="0.2">
      <c r="A77">
        <f>VLOOKUP(B77,Sheet1!$A$1:$B$18,2,FALSE)</f>
        <v>0</v>
      </c>
      <c r="B77" t="str">
        <f t="shared" si="1"/>
        <v>AKL</v>
      </c>
      <c r="C77" s="2">
        <v>76</v>
      </c>
      <c r="D77" s="3" t="str">
        <f>HYPERLINK("https://sitebase.nzcomms.co.nz/spm/spmnominalview/AKL-005-021/","AKL-005-021")</f>
        <v>AKL-005-021</v>
      </c>
      <c r="E77" s="4"/>
      <c r="F77" s="3" t="str">
        <f>HYPERLINK("https://sitebase.nzcomms.co.nz/spm/spmcandidateview/AKL-005-021-D/","AKL-005-021-D")</f>
        <v>AKL-005-021-D</v>
      </c>
      <c r="G77" s="4" t="s">
        <v>421</v>
      </c>
      <c r="H77" s="4" t="s">
        <v>353</v>
      </c>
      <c r="I77" s="4"/>
      <c r="J77" s="4" t="s">
        <v>139</v>
      </c>
      <c r="K77" s="4" t="s">
        <v>141</v>
      </c>
      <c r="L77" s="4" t="s">
        <v>150</v>
      </c>
      <c r="M77" s="4" t="s">
        <v>354</v>
      </c>
      <c r="N77" s="4" t="s">
        <v>246</v>
      </c>
      <c r="O77" s="4" t="s">
        <v>144</v>
      </c>
      <c r="P77" s="4"/>
      <c r="Q77" s="4"/>
      <c r="R77" s="4">
        <v>15</v>
      </c>
      <c r="S77" s="4">
        <v>15</v>
      </c>
      <c r="T77" s="4"/>
      <c r="U77" s="4">
        <v>-36.781909229999997</v>
      </c>
      <c r="V77" s="4">
        <v>174.74009315999999</v>
      </c>
      <c r="W77" s="4"/>
      <c r="X77" s="4"/>
      <c r="Y77" s="4"/>
      <c r="Z77" s="4"/>
      <c r="AA77" s="4" t="s">
        <v>171</v>
      </c>
      <c r="AB77" s="3" t="str">
        <f>HYPERLINK("https://sitebase.nzcomms.co.nz/spm/spmcandidateview/AKL-005-015-B/","AKL-005-015-B")</f>
        <v>AKL-005-015-B</v>
      </c>
      <c r="AC77" s="4"/>
      <c r="AD77" s="4"/>
      <c r="AE77" s="4"/>
      <c r="AF77" s="4"/>
      <c r="AG77" s="4"/>
      <c r="AH77" s="4" t="s">
        <v>360</v>
      </c>
      <c r="AI77" s="4"/>
      <c r="AJ77" s="4"/>
      <c r="AK77" s="4"/>
      <c r="AL77" s="4"/>
      <c r="AM77" s="4"/>
      <c r="AN77" s="5">
        <v>39542</v>
      </c>
      <c r="AO77" s="4">
        <v>2</v>
      </c>
      <c r="AP77" s="4"/>
      <c r="AQ77" s="5">
        <v>39549</v>
      </c>
      <c r="AR77" s="4"/>
      <c r="AS77" s="4"/>
      <c r="AT77" s="5">
        <v>39567</v>
      </c>
      <c r="AU77" s="5">
        <v>39567</v>
      </c>
      <c r="AV77" s="4">
        <v>2</v>
      </c>
      <c r="AW77" s="5">
        <v>39567</v>
      </c>
      <c r="AX77" s="5">
        <v>39567</v>
      </c>
      <c r="AY77" s="4"/>
      <c r="AZ77" s="4"/>
      <c r="BA77" s="4"/>
      <c r="BB77" s="4"/>
      <c r="BC77" s="4"/>
      <c r="BD77" s="4"/>
      <c r="BE77" s="5">
        <v>39594</v>
      </c>
      <c r="BF77" s="5">
        <v>39594</v>
      </c>
      <c r="BG77" s="4"/>
      <c r="BH77" s="5">
        <v>39559</v>
      </c>
      <c r="BI77" s="4"/>
      <c r="BJ77" s="5">
        <v>39596</v>
      </c>
      <c r="BK77" s="4">
        <v>1</v>
      </c>
      <c r="BL77" s="4">
        <v>2</v>
      </c>
      <c r="BM77" s="5">
        <v>39596</v>
      </c>
      <c r="BN77" s="5">
        <v>39596</v>
      </c>
      <c r="BO77" s="4"/>
      <c r="BP77" s="4"/>
      <c r="BQ77" s="4"/>
      <c r="BR77" s="4"/>
      <c r="BS77" s="4"/>
      <c r="BT77" s="4"/>
      <c r="BU77" s="5">
        <v>39624</v>
      </c>
      <c r="BV77" s="5">
        <v>39629</v>
      </c>
      <c r="BW77" s="5">
        <v>39643</v>
      </c>
      <c r="BX77" s="4"/>
      <c r="BY77" s="5">
        <v>39668</v>
      </c>
      <c r="BZ77" s="5">
        <v>39668</v>
      </c>
      <c r="CA77" s="4"/>
      <c r="CB77" s="4"/>
      <c r="CC77" s="4"/>
      <c r="CD77" s="4"/>
      <c r="CE77" s="4"/>
      <c r="CF77" s="4"/>
      <c r="CG77" s="4"/>
      <c r="CH77" s="4"/>
      <c r="CI77" s="5">
        <v>39766</v>
      </c>
      <c r="CJ77" s="4"/>
      <c r="CK77" s="5">
        <v>39766</v>
      </c>
      <c r="CL77" s="4"/>
      <c r="CM77" s="4"/>
      <c r="CN77" s="4"/>
      <c r="CO77" s="4"/>
      <c r="CP77" s="4" t="s">
        <v>157</v>
      </c>
      <c r="CQ77" s="4"/>
      <c r="CR77" s="4"/>
      <c r="CS77" s="4"/>
      <c r="CT77" s="4"/>
      <c r="CU77" s="4"/>
      <c r="CV77" s="4"/>
      <c r="CW77" s="4"/>
      <c r="CX77" s="4"/>
      <c r="CY77" s="4"/>
      <c r="CZ77" s="4"/>
      <c r="DA77" s="4"/>
      <c r="DB77" s="4"/>
      <c r="DC77" s="4"/>
      <c r="DD77" s="4"/>
      <c r="DE77" s="4"/>
      <c r="DF77" s="4"/>
      <c r="DG77" s="4"/>
      <c r="DH77" s="4"/>
      <c r="DI77" s="4"/>
      <c r="DJ77" s="4" t="b">
        <v>0</v>
      </c>
      <c r="DK77" s="4"/>
      <c r="DL77" s="4">
        <v>2665725</v>
      </c>
      <c r="DM77" s="4">
        <v>6489611</v>
      </c>
      <c r="DN77" s="4" t="s">
        <v>422</v>
      </c>
      <c r="DO77" s="4"/>
      <c r="DP77" s="4"/>
      <c r="DQ77" s="4" t="s">
        <v>148</v>
      </c>
      <c r="DR77" s="4"/>
      <c r="DS77" s="4"/>
      <c r="DT77" s="5">
        <v>41887</v>
      </c>
      <c r="DU77" s="4"/>
      <c r="DV77" s="4"/>
      <c r="DW77" s="4"/>
      <c r="DX77" s="4"/>
      <c r="DY77" s="4"/>
      <c r="DZ77" s="5">
        <v>39597</v>
      </c>
      <c r="EA77" s="4"/>
      <c r="EB77" s="4"/>
      <c r="EC77" s="4"/>
      <c r="ED77" s="4"/>
      <c r="EE77" s="4"/>
      <c r="EF77" s="4"/>
      <c r="EG77" s="4"/>
      <c r="EH77" s="4"/>
      <c r="EI77" s="5">
        <v>39505</v>
      </c>
    </row>
    <row r="78" spans="1:139" hidden="1" x14ac:dyDescent="0.2">
      <c r="A78">
        <f>VLOOKUP(B78,Sheet1!$A$1:$B$18,2,FALSE)</f>
        <v>0</v>
      </c>
      <c r="B78" t="str">
        <f t="shared" si="1"/>
        <v>AKL</v>
      </c>
      <c r="C78" s="2">
        <v>77</v>
      </c>
      <c r="D78" s="3" t="str">
        <f>HYPERLINK("https://sitebase.nzcomms.co.nz/spm/spmnominalview/AKL-005-022/","AKL-005-022")</f>
        <v>AKL-005-022</v>
      </c>
      <c r="E78" s="4" t="s">
        <v>423</v>
      </c>
      <c r="F78" s="3" t="str">
        <f>HYPERLINK("https://sitebase.nzcomms.co.nz/spm/spmcandidateview/AKL-005-022-J/","AKL-005-022-J")</f>
        <v>AKL-005-022-J</v>
      </c>
      <c r="G78" s="4" t="s">
        <v>424</v>
      </c>
      <c r="H78" s="4" t="s">
        <v>353</v>
      </c>
      <c r="I78" s="4">
        <v>3</v>
      </c>
      <c r="J78" s="4" t="s">
        <v>180</v>
      </c>
      <c r="K78" s="4" t="s">
        <v>141</v>
      </c>
      <c r="L78" s="4" t="s">
        <v>150</v>
      </c>
      <c r="M78" s="4" t="s">
        <v>190</v>
      </c>
      <c r="N78" s="4" t="s">
        <v>246</v>
      </c>
      <c r="O78" s="4"/>
      <c r="P78" s="4" t="s">
        <v>182</v>
      </c>
      <c r="Q78" s="4" t="s">
        <v>192</v>
      </c>
      <c r="R78" s="4"/>
      <c r="S78" s="4">
        <v>15</v>
      </c>
      <c r="T78" s="4"/>
      <c r="U78" s="4">
        <v>-36.759816749999999</v>
      </c>
      <c r="V78" s="4">
        <v>174.64953281999999</v>
      </c>
      <c r="W78" s="4"/>
      <c r="X78" s="5">
        <v>41061</v>
      </c>
      <c r="Y78" s="4"/>
      <c r="Z78" s="4"/>
      <c r="AA78" s="4" t="s">
        <v>171</v>
      </c>
      <c r="AB78" s="3" t="str">
        <f>HYPERLINK("https://sitebase.nzcomms.co.nz/spm/spmcandidateview/AKL-006-028-D/","AKL-006-028-D")</f>
        <v>AKL-006-028-D</v>
      </c>
      <c r="AC78" s="4" t="b">
        <v>0</v>
      </c>
      <c r="AD78" s="4" t="b">
        <v>0</v>
      </c>
      <c r="AE78" s="4"/>
      <c r="AF78" s="4"/>
      <c r="AG78" s="4" t="b">
        <v>0</v>
      </c>
      <c r="AH78" s="4"/>
      <c r="AI78" s="5">
        <v>41100</v>
      </c>
      <c r="AJ78" s="5">
        <v>41100</v>
      </c>
      <c r="AK78" s="5">
        <v>41107</v>
      </c>
      <c r="AL78" s="5">
        <v>41107</v>
      </c>
      <c r="AM78" s="5">
        <v>41144</v>
      </c>
      <c r="AN78" s="5">
        <v>41143</v>
      </c>
      <c r="AO78" s="4">
        <v>3</v>
      </c>
      <c r="AP78" s="5">
        <v>41144</v>
      </c>
      <c r="AQ78" s="5">
        <v>42136</v>
      </c>
      <c r="AR78" s="5">
        <v>41165</v>
      </c>
      <c r="AS78" s="5">
        <v>41162</v>
      </c>
      <c r="AT78" s="5">
        <v>41229</v>
      </c>
      <c r="AU78" s="5">
        <v>41232</v>
      </c>
      <c r="AV78" s="4">
        <v>2</v>
      </c>
      <c r="AW78" s="5">
        <v>41236</v>
      </c>
      <c r="AX78" s="5">
        <v>41232</v>
      </c>
      <c r="AY78" s="4" t="s">
        <v>247</v>
      </c>
      <c r="AZ78" s="5">
        <v>41232</v>
      </c>
      <c r="BA78" s="5">
        <v>41228</v>
      </c>
      <c r="BB78" s="5">
        <v>41299</v>
      </c>
      <c r="BC78" s="5">
        <v>41292</v>
      </c>
      <c r="BD78" s="4">
        <v>2</v>
      </c>
      <c r="BE78" s="5">
        <v>41302</v>
      </c>
      <c r="BF78" s="5">
        <v>41292</v>
      </c>
      <c r="BG78" s="4"/>
      <c r="BH78" s="4"/>
      <c r="BI78" s="5">
        <v>41298</v>
      </c>
      <c r="BJ78" s="5">
        <v>41303</v>
      </c>
      <c r="BK78" s="4">
        <v>1</v>
      </c>
      <c r="BL78" s="4"/>
      <c r="BM78" s="5">
        <v>41298</v>
      </c>
      <c r="BN78" s="5">
        <v>41303</v>
      </c>
      <c r="BO78" s="5">
        <v>41316</v>
      </c>
      <c r="BP78" s="4"/>
      <c r="BQ78" s="4"/>
      <c r="BR78" s="5">
        <v>41295</v>
      </c>
      <c r="BS78" s="4"/>
      <c r="BT78" s="5">
        <v>41326</v>
      </c>
      <c r="BU78" s="5">
        <v>41325</v>
      </c>
      <c r="BV78" s="5">
        <v>41352</v>
      </c>
      <c r="BW78" s="5">
        <v>41352</v>
      </c>
      <c r="BX78" s="5">
        <v>41348</v>
      </c>
      <c r="BY78" s="5">
        <v>41359</v>
      </c>
      <c r="BZ78" s="5">
        <v>41359</v>
      </c>
      <c r="CA78" s="4"/>
      <c r="CB78" s="4"/>
      <c r="CC78" s="4"/>
      <c r="CD78" s="4"/>
      <c r="CE78" s="4"/>
      <c r="CF78" s="4"/>
      <c r="CG78" s="4"/>
      <c r="CH78" s="4"/>
      <c r="CI78" s="5">
        <v>41361</v>
      </c>
      <c r="CJ78" s="5">
        <v>41373</v>
      </c>
      <c r="CK78" s="5">
        <v>41375</v>
      </c>
      <c r="CL78" s="5">
        <v>41379</v>
      </c>
      <c r="CM78" s="5">
        <v>41379</v>
      </c>
      <c r="CN78" s="5">
        <v>41517</v>
      </c>
      <c r="CO78" s="5">
        <v>41537</v>
      </c>
      <c r="CP78" s="4"/>
      <c r="CQ78" s="4"/>
      <c r="CR78" s="5">
        <v>41361</v>
      </c>
      <c r="CS78" s="5">
        <v>41310</v>
      </c>
      <c r="CT78" s="5">
        <v>41310</v>
      </c>
      <c r="CU78" s="5">
        <v>41309</v>
      </c>
      <c r="CV78" s="5">
        <v>41309</v>
      </c>
      <c r="CW78" s="5">
        <v>41316</v>
      </c>
      <c r="CX78" s="5">
        <v>41316</v>
      </c>
      <c r="CY78" s="5">
        <v>41355</v>
      </c>
      <c r="CZ78" s="5">
        <v>41355</v>
      </c>
      <c r="DA78" s="5">
        <v>41359</v>
      </c>
      <c r="DB78" s="5">
        <v>41366</v>
      </c>
      <c r="DC78" s="4"/>
      <c r="DD78" s="4"/>
      <c r="DE78" s="4" t="s">
        <v>194</v>
      </c>
      <c r="DF78" s="4"/>
      <c r="DG78" s="4"/>
      <c r="DH78" s="4" t="s">
        <v>174</v>
      </c>
      <c r="DI78" s="5">
        <v>41348</v>
      </c>
      <c r="DJ78" s="4" t="b">
        <v>1</v>
      </c>
      <c r="DK78" s="5">
        <v>41296</v>
      </c>
      <c r="DL78" s="4">
        <v>2657690</v>
      </c>
      <c r="DM78" s="4">
        <v>6492222</v>
      </c>
      <c r="DN78" s="4" t="s">
        <v>425</v>
      </c>
      <c r="DO78" s="4"/>
      <c r="DP78" s="4"/>
      <c r="DQ78" s="4" t="s">
        <v>148</v>
      </c>
      <c r="DR78" s="4"/>
      <c r="DS78" s="4"/>
      <c r="DT78" s="4"/>
      <c r="DU78" s="4"/>
      <c r="DV78" s="4"/>
      <c r="DW78" s="4"/>
      <c r="DX78" s="4"/>
      <c r="DY78" s="4"/>
      <c r="DZ78" s="4"/>
      <c r="EA78" s="4"/>
      <c r="EB78" s="4"/>
      <c r="EC78" s="4"/>
      <c r="ED78" s="4"/>
      <c r="EE78" s="4"/>
      <c r="EF78" s="4"/>
      <c r="EG78" s="5">
        <v>41366</v>
      </c>
      <c r="EH78" s="5">
        <v>41366</v>
      </c>
      <c r="EI78" s="4"/>
    </row>
    <row r="79" spans="1:139" hidden="1" x14ac:dyDescent="0.2">
      <c r="A79">
        <f>VLOOKUP(B79,Sheet1!$A$1:$B$18,2,FALSE)</f>
        <v>0</v>
      </c>
      <c r="B79" t="str">
        <f t="shared" si="1"/>
        <v>AKL</v>
      </c>
      <c r="C79" s="2">
        <v>78</v>
      </c>
      <c r="D79" s="3" t="str">
        <f>HYPERLINK("https://sitebase.nzcomms.co.nz/spm/spmnominalview/AKL-005-023/","AKL-005-023")</f>
        <v>AKL-005-023</v>
      </c>
      <c r="E79" s="4"/>
      <c r="F79" s="3" t="str">
        <f>HYPERLINK("https://sitebase.nzcomms.co.nz/spm/spmcandidateview/AKL-005-023-G/","AKL-005-023-G")</f>
        <v>AKL-005-023-G</v>
      </c>
      <c r="G79" s="4" t="s">
        <v>426</v>
      </c>
      <c r="H79" s="4" t="s">
        <v>353</v>
      </c>
      <c r="I79" s="4"/>
      <c r="J79" s="4" t="s">
        <v>139</v>
      </c>
      <c r="K79" s="4" t="s">
        <v>141</v>
      </c>
      <c r="L79" s="4" t="s">
        <v>189</v>
      </c>
      <c r="M79" s="4" t="s">
        <v>354</v>
      </c>
      <c r="N79" s="4" t="s">
        <v>355</v>
      </c>
      <c r="O79" s="4" t="s">
        <v>356</v>
      </c>
      <c r="P79" s="4"/>
      <c r="Q79" s="4"/>
      <c r="R79" s="4">
        <v>12</v>
      </c>
      <c r="S79" s="4">
        <v>12</v>
      </c>
      <c r="T79" s="4"/>
      <c r="U79" s="4">
        <v>-36.756704790000001</v>
      </c>
      <c r="V79" s="4">
        <v>174.7029095</v>
      </c>
      <c r="W79" s="4"/>
      <c r="X79" s="4"/>
      <c r="Y79" s="4"/>
      <c r="Z79" s="4"/>
      <c r="AA79" s="4" t="s">
        <v>382</v>
      </c>
      <c r="AB79" s="4" t="s">
        <v>427</v>
      </c>
      <c r="AC79" s="4"/>
      <c r="AD79" s="4"/>
      <c r="AE79" s="4"/>
      <c r="AF79" s="4"/>
      <c r="AG79" s="4"/>
      <c r="AH79" s="4" t="s">
        <v>408</v>
      </c>
      <c r="AI79" s="4"/>
      <c r="AJ79" s="4"/>
      <c r="AK79" s="4"/>
      <c r="AL79" s="4"/>
      <c r="AM79" s="4"/>
      <c r="AN79" s="5">
        <v>39374</v>
      </c>
      <c r="AO79" s="4">
        <v>4</v>
      </c>
      <c r="AP79" s="5">
        <v>39671</v>
      </c>
      <c r="AQ79" s="5">
        <v>40102</v>
      </c>
      <c r="AR79" s="4"/>
      <c r="AS79" s="4"/>
      <c r="AT79" s="5">
        <v>39506</v>
      </c>
      <c r="AU79" s="5">
        <v>39506</v>
      </c>
      <c r="AV79" s="4">
        <v>3</v>
      </c>
      <c r="AW79" s="5">
        <v>39506</v>
      </c>
      <c r="AX79" s="5">
        <v>39506</v>
      </c>
      <c r="AY79" s="4"/>
      <c r="AZ79" s="4"/>
      <c r="BA79" s="4"/>
      <c r="BB79" s="5">
        <v>39641</v>
      </c>
      <c r="BC79" s="4"/>
      <c r="BD79" s="4"/>
      <c r="BE79" s="5">
        <v>39675</v>
      </c>
      <c r="BF79" s="5">
        <v>39675</v>
      </c>
      <c r="BG79" s="4"/>
      <c r="BH79" s="5">
        <v>39518</v>
      </c>
      <c r="BI79" s="4"/>
      <c r="BJ79" s="5">
        <v>39568</v>
      </c>
      <c r="BK79" s="4">
        <v>3</v>
      </c>
      <c r="BL79" s="4">
        <v>3</v>
      </c>
      <c r="BM79" s="5">
        <v>39672</v>
      </c>
      <c r="BN79" s="5">
        <v>39672</v>
      </c>
      <c r="BO79" s="4"/>
      <c r="BP79" s="4"/>
      <c r="BQ79" s="4"/>
      <c r="BR79" s="4"/>
      <c r="BS79" s="4"/>
      <c r="BT79" s="4"/>
      <c r="BU79" s="5">
        <v>39647</v>
      </c>
      <c r="BV79" s="5">
        <v>39685</v>
      </c>
      <c r="BW79" s="5">
        <v>39675</v>
      </c>
      <c r="BX79" s="4"/>
      <c r="BY79" s="5">
        <v>39703</v>
      </c>
      <c r="BZ79" s="5">
        <v>39695</v>
      </c>
      <c r="CA79" s="4"/>
      <c r="CB79" s="4"/>
      <c r="CC79" s="4"/>
      <c r="CD79" s="4"/>
      <c r="CE79" s="4"/>
      <c r="CF79" s="4"/>
      <c r="CG79" s="4"/>
      <c r="CH79" s="4"/>
      <c r="CI79" s="5">
        <v>39857</v>
      </c>
      <c r="CJ79" s="5">
        <v>39862</v>
      </c>
      <c r="CK79" s="5">
        <v>39857</v>
      </c>
      <c r="CL79" s="4"/>
      <c r="CM79" s="4"/>
      <c r="CN79" s="4"/>
      <c r="CO79" s="4"/>
      <c r="CP79" s="4" t="s">
        <v>428</v>
      </c>
      <c r="CQ79" s="4"/>
      <c r="CR79" s="5">
        <v>39862</v>
      </c>
      <c r="CS79" s="4"/>
      <c r="CT79" s="4"/>
      <c r="CU79" s="4"/>
      <c r="CV79" s="4"/>
      <c r="CW79" s="4"/>
      <c r="CX79" s="4"/>
      <c r="CY79" s="4"/>
      <c r="CZ79" s="4"/>
      <c r="DA79" s="4"/>
      <c r="DB79" s="4"/>
      <c r="DC79" s="4"/>
      <c r="DD79" s="4"/>
      <c r="DE79" s="4"/>
      <c r="DF79" s="4"/>
      <c r="DG79" s="4"/>
      <c r="DH79" s="4"/>
      <c r="DI79" s="4"/>
      <c r="DJ79" s="4" t="b">
        <v>0</v>
      </c>
      <c r="DK79" s="4"/>
      <c r="DL79" s="4">
        <v>2662462</v>
      </c>
      <c r="DM79" s="4">
        <v>6492474</v>
      </c>
      <c r="DN79" s="4" t="s">
        <v>429</v>
      </c>
      <c r="DO79" s="4"/>
      <c r="DP79" s="4"/>
      <c r="DQ79" s="4" t="s">
        <v>148</v>
      </c>
      <c r="DR79" s="4"/>
      <c r="DS79" s="4"/>
      <c r="DT79" s="5">
        <v>41887</v>
      </c>
      <c r="DU79" s="4"/>
      <c r="DV79" s="4"/>
      <c r="DW79" s="4"/>
      <c r="DX79" s="4"/>
      <c r="DY79" s="4"/>
      <c r="DZ79" s="5">
        <v>39610</v>
      </c>
      <c r="EA79" s="4"/>
      <c r="EB79" s="4"/>
      <c r="EC79" s="4"/>
      <c r="ED79" s="4"/>
      <c r="EE79" s="4"/>
      <c r="EF79" s="4"/>
      <c r="EG79" s="4"/>
      <c r="EH79" s="4"/>
      <c r="EI79" s="5">
        <v>39345</v>
      </c>
    </row>
    <row r="80" spans="1:139" hidden="1" x14ac:dyDescent="0.2">
      <c r="A80">
        <f>VLOOKUP(B80,Sheet1!$A$1:$B$18,2,FALSE)</f>
        <v>0</v>
      </c>
      <c r="B80" t="str">
        <f t="shared" si="1"/>
        <v>AKL</v>
      </c>
      <c r="C80" s="2">
        <v>79</v>
      </c>
      <c r="D80" s="3" t="str">
        <f>HYPERLINK("https://sitebase.nzcomms.co.nz/spm/spmnominalview/AKL-005-024/","AKL-005-024")</f>
        <v>AKL-005-024</v>
      </c>
      <c r="E80" s="4"/>
      <c r="F80" s="3" t="str">
        <f>HYPERLINK("https://sitebase.nzcomms.co.nz/spm/spmcandidateview/AKL-005-024-E/","AKL-005-024-E")</f>
        <v>AKL-005-024-E</v>
      </c>
      <c r="G80" s="4" t="s">
        <v>430</v>
      </c>
      <c r="H80" s="4" t="s">
        <v>353</v>
      </c>
      <c r="I80" s="4"/>
      <c r="J80" s="4" t="s">
        <v>139</v>
      </c>
      <c r="K80" s="4" t="s">
        <v>141</v>
      </c>
      <c r="L80" s="4" t="s">
        <v>181</v>
      </c>
      <c r="M80" s="4" t="s">
        <v>378</v>
      </c>
      <c r="N80" s="4" t="s">
        <v>364</v>
      </c>
      <c r="O80" s="4" t="s">
        <v>144</v>
      </c>
      <c r="P80" s="4"/>
      <c r="Q80" s="4"/>
      <c r="R80" s="4">
        <v>14</v>
      </c>
      <c r="S80" s="4">
        <v>14</v>
      </c>
      <c r="T80" s="4"/>
      <c r="U80" s="4">
        <v>-36.769335419999997</v>
      </c>
      <c r="V80" s="4">
        <v>174.73569877</v>
      </c>
      <c r="W80" s="4"/>
      <c r="X80" s="4"/>
      <c r="Y80" s="4"/>
      <c r="Z80" s="4"/>
      <c r="AA80" s="4" t="s">
        <v>171</v>
      </c>
      <c r="AB80" s="3" t="str">
        <f>HYPERLINK("https://sitebase.nzcomms.co.nz/spm/spmcandidateview/AKL-005-025-A/","AKL-005-025-A")</f>
        <v>AKL-005-025-A</v>
      </c>
      <c r="AC80" s="4"/>
      <c r="AD80" s="4"/>
      <c r="AE80" s="4"/>
      <c r="AF80" s="4"/>
      <c r="AG80" s="4"/>
      <c r="AH80" s="4" t="s">
        <v>360</v>
      </c>
      <c r="AI80" s="4"/>
      <c r="AJ80" s="4"/>
      <c r="AK80" s="4"/>
      <c r="AL80" s="4"/>
      <c r="AM80" s="4"/>
      <c r="AN80" s="5">
        <v>39304</v>
      </c>
      <c r="AO80" s="4">
        <v>3</v>
      </c>
      <c r="AP80" s="5">
        <v>39905</v>
      </c>
      <c r="AQ80" s="5">
        <v>39904</v>
      </c>
      <c r="AR80" s="4"/>
      <c r="AS80" s="4"/>
      <c r="AT80" s="5">
        <v>39511</v>
      </c>
      <c r="AU80" s="5">
        <v>39511</v>
      </c>
      <c r="AV80" s="4">
        <v>2</v>
      </c>
      <c r="AW80" s="5">
        <v>39511</v>
      </c>
      <c r="AX80" s="5">
        <v>39511</v>
      </c>
      <c r="AY80" s="4"/>
      <c r="AZ80" s="4"/>
      <c r="BA80" s="4"/>
      <c r="BB80" s="5">
        <v>39465</v>
      </c>
      <c r="BC80" s="4"/>
      <c r="BD80" s="4"/>
      <c r="BE80" s="5">
        <v>39465</v>
      </c>
      <c r="BF80" s="5">
        <v>39465</v>
      </c>
      <c r="BG80" s="4"/>
      <c r="BH80" s="5">
        <v>39394</v>
      </c>
      <c r="BI80" s="4"/>
      <c r="BJ80" s="5">
        <v>39499</v>
      </c>
      <c r="BK80" s="4">
        <v>2</v>
      </c>
      <c r="BL80" s="4">
        <v>2</v>
      </c>
      <c r="BM80" s="5">
        <v>39567</v>
      </c>
      <c r="BN80" s="5">
        <v>39567</v>
      </c>
      <c r="BO80" s="4"/>
      <c r="BP80" s="4"/>
      <c r="BQ80" s="4"/>
      <c r="BR80" s="4"/>
      <c r="BS80" s="4"/>
      <c r="BT80" s="4"/>
      <c r="BU80" s="5">
        <v>39587</v>
      </c>
      <c r="BV80" s="5">
        <v>39597</v>
      </c>
      <c r="BW80" s="5">
        <v>39597</v>
      </c>
      <c r="BX80" s="4"/>
      <c r="BY80" s="5">
        <v>39627</v>
      </c>
      <c r="BZ80" s="5">
        <v>39637</v>
      </c>
      <c r="CA80" s="4"/>
      <c r="CB80" s="4"/>
      <c r="CC80" s="4"/>
      <c r="CD80" s="4"/>
      <c r="CE80" s="4"/>
      <c r="CF80" s="4"/>
      <c r="CG80" s="4"/>
      <c r="CH80" s="4"/>
      <c r="CI80" s="5">
        <v>39854</v>
      </c>
      <c r="CJ80" s="5">
        <v>39871</v>
      </c>
      <c r="CK80" s="5">
        <v>39855</v>
      </c>
      <c r="CL80" s="4"/>
      <c r="CM80" s="4"/>
      <c r="CN80" s="4"/>
      <c r="CO80" s="4"/>
      <c r="CP80" s="4" t="s">
        <v>428</v>
      </c>
      <c r="CQ80" s="4"/>
      <c r="CR80" s="5">
        <v>39871</v>
      </c>
      <c r="CS80" s="4"/>
      <c r="CT80" s="4"/>
      <c r="CU80" s="4"/>
      <c r="CV80" s="4"/>
      <c r="CW80" s="4"/>
      <c r="CX80" s="4"/>
      <c r="CY80" s="4"/>
      <c r="CZ80" s="4"/>
      <c r="DA80" s="4"/>
      <c r="DB80" s="4"/>
      <c r="DC80" s="4"/>
      <c r="DD80" s="4"/>
      <c r="DE80" s="4"/>
      <c r="DF80" s="4"/>
      <c r="DG80" s="4"/>
      <c r="DH80" s="4"/>
      <c r="DI80" s="4"/>
      <c r="DJ80" s="4" t="b">
        <v>0</v>
      </c>
      <c r="DK80" s="4"/>
      <c r="DL80" s="4">
        <v>2665361</v>
      </c>
      <c r="DM80" s="4">
        <v>6491014</v>
      </c>
      <c r="DN80" s="4" t="s">
        <v>431</v>
      </c>
      <c r="DO80" s="4"/>
      <c r="DP80" s="4"/>
      <c r="DQ80" s="4" t="s">
        <v>148</v>
      </c>
      <c r="DR80" s="4"/>
      <c r="DS80" s="4"/>
      <c r="DT80" s="5">
        <v>41887</v>
      </c>
      <c r="DU80" s="4"/>
      <c r="DV80" s="4"/>
      <c r="DW80" s="4"/>
      <c r="DX80" s="4"/>
      <c r="DY80" s="4"/>
      <c r="DZ80" s="5">
        <v>39568</v>
      </c>
      <c r="EA80" s="4"/>
      <c r="EB80" s="4"/>
      <c r="EC80" s="4"/>
      <c r="ED80" s="4"/>
      <c r="EE80" s="4"/>
      <c r="EF80" s="4"/>
      <c r="EG80" s="4"/>
      <c r="EH80" s="4"/>
      <c r="EI80" s="5">
        <v>39272</v>
      </c>
    </row>
    <row r="81" spans="1:139" hidden="1" x14ac:dyDescent="0.2">
      <c r="A81">
        <f>VLOOKUP(B81,Sheet1!$A$1:$B$18,2,FALSE)</f>
        <v>0</v>
      </c>
      <c r="B81" t="str">
        <f t="shared" si="1"/>
        <v>AKL</v>
      </c>
      <c r="C81" s="2">
        <v>80</v>
      </c>
      <c r="D81" s="3" t="str">
        <f>HYPERLINK("https://sitebase.nzcomms.co.nz/spm/spmnominalview/AKL-005-025/","AKL-005-025")</f>
        <v>AKL-005-025</v>
      </c>
      <c r="E81" s="4"/>
      <c r="F81" s="3" t="str">
        <f>HYPERLINK("https://sitebase.nzcomms.co.nz/spm/spmcandidateview/AKL-005-025-A/","AKL-005-025-A")</f>
        <v>AKL-005-025-A</v>
      </c>
      <c r="G81" s="4" t="s">
        <v>432</v>
      </c>
      <c r="H81" s="4" t="s">
        <v>353</v>
      </c>
      <c r="I81" s="4"/>
      <c r="J81" s="4" t="s">
        <v>139</v>
      </c>
      <c r="K81" s="4" t="s">
        <v>141</v>
      </c>
      <c r="L81" s="4" t="s">
        <v>150</v>
      </c>
      <c r="M81" s="4" t="s">
        <v>354</v>
      </c>
      <c r="N81" s="4" t="s">
        <v>291</v>
      </c>
      <c r="O81" s="4" t="s">
        <v>144</v>
      </c>
      <c r="P81" s="4"/>
      <c r="Q81" s="4"/>
      <c r="R81" s="4">
        <v>15</v>
      </c>
      <c r="S81" s="4">
        <v>15</v>
      </c>
      <c r="T81" s="4"/>
      <c r="U81" s="4">
        <v>-36.77622873</v>
      </c>
      <c r="V81" s="4">
        <v>174.73857207</v>
      </c>
      <c r="W81" s="4"/>
      <c r="X81" s="4"/>
      <c r="Y81" s="4"/>
      <c r="Z81" s="4"/>
      <c r="AA81" s="4" t="s">
        <v>171</v>
      </c>
      <c r="AB81" s="3" t="str">
        <f>HYPERLINK("https://sitebase.nzcomms.co.nz/spm/spmcandidateview/AKL-005-015-B/","AKL-005-015-B")</f>
        <v>AKL-005-015-B</v>
      </c>
      <c r="AC81" s="4"/>
      <c r="AD81" s="4"/>
      <c r="AE81" s="4"/>
      <c r="AF81" s="4"/>
      <c r="AG81" s="4"/>
      <c r="AH81" s="4" t="s">
        <v>360</v>
      </c>
      <c r="AI81" s="4"/>
      <c r="AJ81" s="4"/>
      <c r="AK81" s="4"/>
      <c r="AL81" s="4"/>
      <c r="AM81" s="4"/>
      <c r="AN81" s="5">
        <v>39429</v>
      </c>
      <c r="AO81" s="4">
        <v>2</v>
      </c>
      <c r="AP81" s="4"/>
      <c r="AQ81" s="5">
        <v>39589</v>
      </c>
      <c r="AR81" s="4"/>
      <c r="AS81" s="4"/>
      <c r="AT81" s="5">
        <v>39434</v>
      </c>
      <c r="AU81" s="5">
        <v>39434</v>
      </c>
      <c r="AV81" s="4">
        <v>1</v>
      </c>
      <c r="AW81" s="5">
        <v>39434</v>
      </c>
      <c r="AX81" s="5">
        <v>39434</v>
      </c>
      <c r="AY81" s="4"/>
      <c r="AZ81" s="4"/>
      <c r="BA81" s="4"/>
      <c r="BB81" s="5">
        <v>39629</v>
      </c>
      <c r="BC81" s="4"/>
      <c r="BD81" s="4"/>
      <c r="BE81" s="5">
        <v>39618</v>
      </c>
      <c r="BF81" s="5">
        <v>39618</v>
      </c>
      <c r="BG81" s="4"/>
      <c r="BH81" s="5">
        <v>39392</v>
      </c>
      <c r="BI81" s="4"/>
      <c r="BJ81" s="5">
        <v>39538</v>
      </c>
      <c r="BK81" s="4">
        <v>1</v>
      </c>
      <c r="BL81" s="4">
        <v>2</v>
      </c>
      <c r="BM81" s="5">
        <v>39538</v>
      </c>
      <c r="BN81" s="5">
        <v>39538</v>
      </c>
      <c r="BO81" s="4"/>
      <c r="BP81" s="4"/>
      <c r="BQ81" s="4"/>
      <c r="BR81" s="4"/>
      <c r="BS81" s="4"/>
      <c r="BT81" s="4"/>
      <c r="BU81" s="5">
        <v>39636</v>
      </c>
      <c r="BV81" s="5">
        <v>39675</v>
      </c>
      <c r="BW81" s="5">
        <v>39671</v>
      </c>
      <c r="BX81" s="4"/>
      <c r="BY81" s="5">
        <v>39682</v>
      </c>
      <c r="BZ81" s="5">
        <v>39682</v>
      </c>
      <c r="CA81" s="4"/>
      <c r="CB81" s="4"/>
      <c r="CC81" s="4"/>
      <c r="CD81" s="4"/>
      <c r="CE81" s="4"/>
      <c r="CF81" s="4"/>
      <c r="CG81" s="4"/>
      <c r="CH81" s="4"/>
      <c r="CI81" s="5">
        <v>39778</v>
      </c>
      <c r="CJ81" s="5">
        <v>39786</v>
      </c>
      <c r="CK81" s="5">
        <v>39778</v>
      </c>
      <c r="CL81" s="4"/>
      <c r="CM81" s="4"/>
      <c r="CN81" s="4"/>
      <c r="CO81" s="4"/>
      <c r="CP81" s="4" t="s">
        <v>157</v>
      </c>
      <c r="CQ81" s="4"/>
      <c r="CR81" s="5">
        <v>39772</v>
      </c>
      <c r="CS81" s="4"/>
      <c r="CT81" s="4"/>
      <c r="CU81" s="4"/>
      <c r="CV81" s="4"/>
      <c r="CW81" s="4"/>
      <c r="CX81" s="4"/>
      <c r="CY81" s="4"/>
      <c r="CZ81" s="4"/>
      <c r="DA81" s="4"/>
      <c r="DB81" s="4"/>
      <c r="DC81" s="4"/>
      <c r="DD81" s="4"/>
      <c r="DE81" s="4"/>
      <c r="DF81" s="4"/>
      <c r="DG81" s="4"/>
      <c r="DH81" s="4"/>
      <c r="DI81" s="4"/>
      <c r="DJ81" s="4" t="b">
        <v>0</v>
      </c>
      <c r="DK81" s="4"/>
      <c r="DL81" s="4">
        <v>2665602</v>
      </c>
      <c r="DM81" s="4">
        <v>6490244</v>
      </c>
      <c r="DN81" s="4" t="s">
        <v>433</v>
      </c>
      <c r="DO81" s="4"/>
      <c r="DP81" s="4"/>
      <c r="DQ81" s="4" t="s">
        <v>148</v>
      </c>
      <c r="DR81" s="4"/>
      <c r="DS81" s="4"/>
      <c r="DT81" s="5">
        <v>41887</v>
      </c>
      <c r="DU81" s="4"/>
      <c r="DV81" s="4"/>
      <c r="DW81" s="4"/>
      <c r="DX81" s="4"/>
      <c r="DY81" s="4"/>
      <c r="DZ81" s="5">
        <v>39623</v>
      </c>
      <c r="EA81" s="4"/>
      <c r="EB81" s="4"/>
      <c r="EC81" s="4"/>
      <c r="ED81" s="4"/>
      <c r="EE81" s="4"/>
      <c r="EF81" s="4"/>
      <c r="EG81" s="4"/>
      <c r="EH81" s="4"/>
      <c r="EI81" s="5">
        <v>39386</v>
      </c>
    </row>
    <row r="82" spans="1:139" hidden="1" x14ac:dyDescent="0.2">
      <c r="A82">
        <f>VLOOKUP(B82,Sheet1!$A$1:$B$18,2,FALSE)</f>
        <v>0</v>
      </c>
      <c r="B82" t="str">
        <f t="shared" si="1"/>
        <v>AKL</v>
      </c>
      <c r="C82" s="2">
        <v>81</v>
      </c>
      <c r="D82" s="3" t="str">
        <f>HYPERLINK("https://sitebase.nzcomms.co.nz/spm/spmnominalview/AKL-005-026/","AKL-005-026")</f>
        <v>AKL-005-026</v>
      </c>
      <c r="E82" s="4"/>
      <c r="F82" s="3" t="str">
        <f>HYPERLINK("https://sitebase.nzcomms.co.nz/spm/spmcandidateview/AKL-005-026-C/","AKL-005-026-C")</f>
        <v>AKL-005-026-C</v>
      </c>
      <c r="G82" s="4" t="s">
        <v>434</v>
      </c>
      <c r="H82" s="4" t="s">
        <v>353</v>
      </c>
      <c r="I82" s="4"/>
      <c r="J82" s="4" t="s">
        <v>139</v>
      </c>
      <c r="K82" s="4" t="s">
        <v>141</v>
      </c>
      <c r="L82" s="4" t="s">
        <v>189</v>
      </c>
      <c r="M82" s="4" t="s">
        <v>296</v>
      </c>
      <c r="N82" s="4" t="s">
        <v>191</v>
      </c>
      <c r="O82" s="4" t="s">
        <v>356</v>
      </c>
      <c r="P82" s="4"/>
      <c r="Q82" s="4"/>
      <c r="R82" s="4">
        <v>12.3</v>
      </c>
      <c r="S82" s="4">
        <v>12.3</v>
      </c>
      <c r="T82" s="4"/>
      <c r="U82" s="4">
        <v>-36.755187479999996</v>
      </c>
      <c r="V82" s="4">
        <v>174.76416376</v>
      </c>
      <c r="W82" s="4"/>
      <c r="X82" s="4"/>
      <c r="Y82" s="4"/>
      <c r="Z82" s="4"/>
      <c r="AA82" s="4" t="s">
        <v>152</v>
      </c>
      <c r="AB82" s="3" t="str">
        <f>HYPERLINK("https://sitebase.nzcomms.co.nz/spm/spmcandidateview/AKL-007-106-A/","AKL-007-106-A")</f>
        <v>AKL-007-106-A</v>
      </c>
      <c r="AC82" s="4"/>
      <c r="AD82" s="4"/>
      <c r="AE82" s="4"/>
      <c r="AF82" s="4"/>
      <c r="AG82" s="4"/>
      <c r="AH82" s="4"/>
      <c r="AI82" s="4"/>
      <c r="AJ82" s="4"/>
      <c r="AK82" s="4"/>
      <c r="AL82" s="4"/>
      <c r="AM82" s="4"/>
      <c r="AN82" s="5">
        <v>39638</v>
      </c>
      <c r="AO82" s="4">
        <v>3</v>
      </c>
      <c r="AP82" s="5">
        <v>39791</v>
      </c>
      <c r="AQ82" s="5">
        <v>39791</v>
      </c>
      <c r="AR82" s="4"/>
      <c r="AS82" s="4"/>
      <c r="AT82" s="5">
        <v>39933</v>
      </c>
      <c r="AU82" s="5">
        <v>39927</v>
      </c>
      <c r="AV82" s="4"/>
      <c r="AW82" s="5">
        <v>39941</v>
      </c>
      <c r="AX82" s="5">
        <v>40071</v>
      </c>
      <c r="AY82" s="4"/>
      <c r="AZ82" s="5">
        <v>39839</v>
      </c>
      <c r="BA82" s="4"/>
      <c r="BB82" s="5">
        <v>39902</v>
      </c>
      <c r="BC82" s="4"/>
      <c r="BD82" s="4"/>
      <c r="BE82" s="5">
        <v>39902</v>
      </c>
      <c r="BF82" s="5">
        <v>39895</v>
      </c>
      <c r="BG82" s="5">
        <v>39794</v>
      </c>
      <c r="BH82" s="5">
        <v>39805</v>
      </c>
      <c r="BI82" s="4"/>
      <c r="BJ82" s="5">
        <v>39863</v>
      </c>
      <c r="BK82" s="4">
        <v>2</v>
      </c>
      <c r="BL82" s="4">
        <v>3</v>
      </c>
      <c r="BM82" s="5">
        <v>39904</v>
      </c>
      <c r="BN82" s="5">
        <v>39904</v>
      </c>
      <c r="BO82" s="5">
        <v>39933</v>
      </c>
      <c r="BP82" s="4"/>
      <c r="BQ82" s="4"/>
      <c r="BR82" s="4"/>
      <c r="BS82" s="4"/>
      <c r="BT82" s="5">
        <v>39951</v>
      </c>
      <c r="BU82" s="5">
        <v>39951</v>
      </c>
      <c r="BV82" s="5">
        <v>39962</v>
      </c>
      <c r="BW82" s="5">
        <v>39962</v>
      </c>
      <c r="BX82" s="4"/>
      <c r="BY82" s="5">
        <v>39969</v>
      </c>
      <c r="BZ82" s="5">
        <v>39969</v>
      </c>
      <c r="CA82" s="4"/>
      <c r="CB82" s="4"/>
      <c r="CC82" s="4"/>
      <c r="CD82" s="4"/>
      <c r="CE82" s="4"/>
      <c r="CF82" s="4"/>
      <c r="CG82" s="4"/>
      <c r="CH82" s="4"/>
      <c r="CI82" s="5">
        <v>39976</v>
      </c>
      <c r="CJ82" s="5">
        <v>39980</v>
      </c>
      <c r="CK82" s="5">
        <v>39976</v>
      </c>
      <c r="CL82" s="4"/>
      <c r="CM82" s="4"/>
      <c r="CN82" s="4"/>
      <c r="CO82" s="4"/>
      <c r="CP82" s="4" t="s">
        <v>435</v>
      </c>
      <c r="CQ82" s="4"/>
      <c r="CR82" s="5">
        <v>39980</v>
      </c>
      <c r="CS82" s="4"/>
      <c r="CT82" s="4"/>
      <c r="CU82" s="4"/>
      <c r="CV82" s="4"/>
      <c r="CW82" s="5">
        <v>39930</v>
      </c>
      <c r="CX82" s="5">
        <v>39933</v>
      </c>
      <c r="CY82" s="4"/>
      <c r="CZ82" s="4"/>
      <c r="DA82" s="4"/>
      <c r="DB82" s="4"/>
      <c r="DC82" s="4"/>
      <c r="DD82" s="4"/>
      <c r="DE82" s="4"/>
      <c r="DF82" s="4"/>
      <c r="DG82" s="4"/>
      <c r="DH82" s="4"/>
      <c r="DI82" s="4"/>
      <c r="DJ82" s="4" t="b">
        <v>0</v>
      </c>
      <c r="DK82" s="4"/>
      <c r="DL82" s="4">
        <v>2667934</v>
      </c>
      <c r="DM82" s="4">
        <v>6492532</v>
      </c>
      <c r="DN82" s="4" t="s">
        <v>436</v>
      </c>
      <c r="DO82" s="4"/>
      <c r="DP82" s="4"/>
      <c r="DQ82" s="4" t="s">
        <v>148</v>
      </c>
      <c r="DR82" s="4"/>
      <c r="DS82" s="4"/>
      <c r="DT82" s="4"/>
      <c r="DU82" s="4"/>
      <c r="DV82" s="4"/>
      <c r="DW82" s="4"/>
      <c r="DX82" s="4"/>
      <c r="DY82" s="5">
        <v>39951</v>
      </c>
      <c r="DZ82" s="5">
        <v>39951</v>
      </c>
      <c r="EA82" s="4"/>
      <c r="EB82" s="4"/>
      <c r="EC82" s="4"/>
      <c r="ED82" s="4"/>
      <c r="EE82" s="4"/>
      <c r="EF82" s="4"/>
      <c r="EG82" s="4"/>
      <c r="EH82" s="4"/>
      <c r="EI82" s="5">
        <v>39730</v>
      </c>
    </row>
    <row r="83" spans="1:139" hidden="1" x14ac:dyDescent="0.2">
      <c r="A83">
        <f>VLOOKUP(B83,Sheet1!$A$1:$B$18,2,FALSE)</f>
        <v>0</v>
      </c>
      <c r="B83" t="str">
        <f t="shared" si="1"/>
        <v>AKL</v>
      </c>
      <c r="C83" s="2">
        <v>82</v>
      </c>
      <c r="D83" s="3" t="str">
        <f>HYPERLINK("https://sitebase.nzcomms.co.nz/spm/spmnominalview/AKL-005-027/","AKL-005-027")</f>
        <v>AKL-005-027</v>
      </c>
      <c r="E83" s="4"/>
      <c r="F83" s="3" t="str">
        <f>HYPERLINK("https://sitebase.nzcomms.co.nz/spm/spmcandidateview/AKL-005-027-F/","AKL-005-027-F")</f>
        <v>AKL-005-027-F</v>
      </c>
      <c r="G83" s="4" t="s">
        <v>437</v>
      </c>
      <c r="H83" s="4" t="s">
        <v>353</v>
      </c>
      <c r="I83" s="4"/>
      <c r="J83" s="4" t="s">
        <v>139</v>
      </c>
      <c r="K83" s="4" t="s">
        <v>141</v>
      </c>
      <c r="L83" s="4" t="s">
        <v>150</v>
      </c>
      <c r="M83" s="4" t="s">
        <v>354</v>
      </c>
      <c r="N83" s="4" t="s">
        <v>291</v>
      </c>
      <c r="O83" s="4" t="s">
        <v>144</v>
      </c>
      <c r="P83" s="4"/>
      <c r="Q83" s="4"/>
      <c r="R83" s="4">
        <v>20</v>
      </c>
      <c r="S83" s="4">
        <v>20</v>
      </c>
      <c r="T83" s="4"/>
      <c r="U83" s="4">
        <v>-36.742230650000003</v>
      </c>
      <c r="V83" s="4">
        <v>174.7208291</v>
      </c>
      <c r="W83" s="4"/>
      <c r="X83" s="4"/>
      <c r="Y83" s="4"/>
      <c r="Z83" s="4"/>
      <c r="AA83" s="4" t="s">
        <v>171</v>
      </c>
      <c r="AB83" s="3" t="str">
        <f>HYPERLINK("https://sitebase.nzcomms.co.nz/spm/spmcandidateview/AKL-005-049-A/","AKL-005-049-A")</f>
        <v>AKL-005-049-A</v>
      </c>
      <c r="AC83" s="4"/>
      <c r="AD83" s="4"/>
      <c r="AE83" s="4"/>
      <c r="AF83" s="4"/>
      <c r="AG83" s="4"/>
      <c r="AH83" s="4" t="s">
        <v>395</v>
      </c>
      <c r="AI83" s="4"/>
      <c r="AJ83" s="4"/>
      <c r="AK83" s="4"/>
      <c r="AL83" s="4"/>
      <c r="AM83" s="4"/>
      <c r="AN83" s="5">
        <v>39549</v>
      </c>
      <c r="AO83" s="4">
        <v>2</v>
      </c>
      <c r="AP83" s="4"/>
      <c r="AQ83" s="5">
        <v>41785</v>
      </c>
      <c r="AR83" s="4"/>
      <c r="AS83" s="4"/>
      <c r="AT83" s="5">
        <v>39556</v>
      </c>
      <c r="AU83" s="5">
        <v>39556</v>
      </c>
      <c r="AV83" s="4">
        <v>1</v>
      </c>
      <c r="AW83" s="5">
        <v>39556</v>
      </c>
      <c r="AX83" s="5">
        <v>39556</v>
      </c>
      <c r="AY83" s="4"/>
      <c r="AZ83" s="4"/>
      <c r="BA83" s="4"/>
      <c r="BB83" s="5">
        <v>39794</v>
      </c>
      <c r="BC83" s="4"/>
      <c r="BD83" s="4"/>
      <c r="BE83" s="5">
        <v>39786</v>
      </c>
      <c r="BF83" s="5">
        <v>39786</v>
      </c>
      <c r="BG83" s="4"/>
      <c r="BH83" s="5">
        <v>39559</v>
      </c>
      <c r="BI83" s="4"/>
      <c r="BJ83" s="5">
        <v>39590</v>
      </c>
      <c r="BK83" s="4">
        <v>1</v>
      </c>
      <c r="BL83" s="4">
        <v>1</v>
      </c>
      <c r="BM83" s="5">
        <v>39590</v>
      </c>
      <c r="BN83" s="5">
        <v>39590</v>
      </c>
      <c r="BO83" s="5">
        <v>39801</v>
      </c>
      <c r="BP83" s="4"/>
      <c r="BQ83" s="4"/>
      <c r="BR83" s="4"/>
      <c r="BS83" s="4"/>
      <c r="BT83" s="4"/>
      <c r="BU83" s="5">
        <v>39794</v>
      </c>
      <c r="BV83" s="5">
        <v>39836</v>
      </c>
      <c r="BW83" s="5">
        <v>39833</v>
      </c>
      <c r="BX83" s="4"/>
      <c r="BY83" s="5">
        <v>39836</v>
      </c>
      <c r="BZ83" s="5">
        <v>39833</v>
      </c>
      <c r="CA83" s="4"/>
      <c r="CB83" s="4"/>
      <c r="CC83" s="4"/>
      <c r="CD83" s="4"/>
      <c r="CE83" s="4"/>
      <c r="CF83" s="4"/>
      <c r="CG83" s="4"/>
      <c r="CH83" s="4"/>
      <c r="CI83" s="5">
        <v>39896</v>
      </c>
      <c r="CJ83" s="5">
        <v>39899</v>
      </c>
      <c r="CK83" s="5">
        <v>39896</v>
      </c>
      <c r="CL83" s="4"/>
      <c r="CM83" s="4"/>
      <c r="CN83" s="4"/>
      <c r="CO83" s="4"/>
      <c r="CP83" s="4" t="s">
        <v>157</v>
      </c>
      <c r="CQ83" s="4"/>
      <c r="CR83" s="5">
        <v>39899</v>
      </c>
      <c r="CS83" s="4"/>
      <c r="CT83" s="4"/>
      <c r="CU83" s="4"/>
      <c r="CV83" s="4"/>
      <c r="CW83" s="4"/>
      <c r="CX83" s="5">
        <v>39801</v>
      </c>
      <c r="CY83" s="4"/>
      <c r="CZ83" s="4"/>
      <c r="DA83" s="4"/>
      <c r="DB83" s="4"/>
      <c r="DC83" s="4"/>
      <c r="DD83" s="4"/>
      <c r="DE83" s="4"/>
      <c r="DF83" s="4"/>
      <c r="DG83" s="4"/>
      <c r="DH83" s="4"/>
      <c r="DI83" s="4"/>
      <c r="DJ83" s="4" t="b">
        <v>0</v>
      </c>
      <c r="DK83" s="4"/>
      <c r="DL83" s="4">
        <v>2664094</v>
      </c>
      <c r="DM83" s="4">
        <v>6494048</v>
      </c>
      <c r="DN83" s="4" t="s">
        <v>438</v>
      </c>
      <c r="DO83" s="4"/>
      <c r="DP83" s="4"/>
      <c r="DQ83" s="4" t="s">
        <v>148</v>
      </c>
      <c r="DR83" s="4"/>
      <c r="DS83" s="4"/>
      <c r="DT83" s="5">
        <v>41887</v>
      </c>
      <c r="DU83" s="4"/>
      <c r="DV83" s="4"/>
      <c r="DW83" s="4"/>
      <c r="DX83" s="4"/>
      <c r="DY83" s="4"/>
      <c r="DZ83" s="5">
        <v>39787</v>
      </c>
      <c r="EA83" s="4"/>
      <c r="EB83" s="4"/>
      <c r="EC83" s="4"/>
      <c r="ED83" s="4"/>
      <c r="EE83" s="4"/>
      <c r="EF83" s="4"/>
      <c r="EG83" s="4"/>
      <c r="EH83" s="4"/>
      <c r="EI83" s="5">
        <v>39526</v>
      </c>
    </row>
    <row r="84" spans="1:139" hidden="1" x14ac:dyDescent="0.2">
      <c r="A84">
        <f>VLOOKUP(B84,Sheet1!$A$1:$B$18,2,FALSE)</f>
        <v>0</v>
      </c>
      <c r="B84" t="str">
        <f t="shared" si="1"/>
        <v>AKL</v>
      </c>
      <c r="C84" s="2">
        <v>83</v>
      </c>
      <c r="D84" s="3" t="str">
        <f>HYPERLINK("https://sitebase.nzcomms.co.nz/spm/spmnominalview/AKL-005-028/","AKL-005-028")</f>
        <v>AKL-005-028</v>
      </c>
      <c r="E84" s="4"/>
      <c r="F84" s="3" t="str">
        <f>HYPERLINK("https://sitebase.nzcomms.co.nz/spm/spmcandidateview/AKL-005-028-F/","AKL-005-028-F")</f>
        <v>AKL-005-028-F</v>
      </c>
      <c r="G84" s="4" t="s">
        <v>439</v>
      </c>
      <c r="H84" s="4" t="s">
        <v>353</v>
      </c>
      <c r="I84" s="4"/>
      <c r="J84" s="4" t="s">
        <v>139</v>
      </c>
      <c r="K84" s="4" t="s">
        <v>141</v>
      </c>
      <c r="L84" s="4" t="s">
        <v>181</v>
      </c>
      <c r="M84" s="4" t="s">
        <v>378</v>
      </c>
      <c r="N84" s="4" t="s">
        <v>364</v>
      </c>
      <c r="O84" s="4" t="s">
        <v>144</v>
      </c>
      <c r="P84" s="4"/>
      <c r="Q84" s="4"/>
      <c r="R84" s="4">
        <v>13.4</v>
      </c>
      <c r="S84" s="4">
        <v>13.4</v>
      </c>
      <c r="T84" s="4"/>
      <c r="U84" s="4">
        <v>-36.742445420000003</v>
      </c>
      <c r="V84" s="4">
        <v>174.73317584</v>
      </c>
      <c r="W84" s="4"/>
      <c r="X84" s="4"/>
      <c r="Y84" s="4"/>
      <c r="Z84" s="4"/>
      <c r="AA84" s="4" t="s">
        <v>171</v>
      </c>
      <c r="AB84" s="3" t="str">
        <f>HYPERLINK("https://sitebase.nzcomms.co.nz/spm/spmcandidateview/AKL-005-049-A/","AKL-005-049-A")</f>
        <v>AKL-005-049-A</v>
      </c>
      <c r="AC84" s="4"/>
      <c r="AD84" s="4"/>
      <c r="AE84" s="4"/>
      <c r="AF84" s="4"/>
      <c r="AG84" s="4"/>
      <c r="AH84" s="4" t="s">
        <v>395</v>
      </c>
      <c r="AI84" s="4"/>
      <c r="AJ84" s="4"/>
      <c r="AK84" s="4"/>
      <c r="AL84" s="4"/>
      <c r="AM84" s="4"/>
      <c r="AN84" s="5">
        <v>39727</v>
      </c>
      <c r="AO84" s="4">
        <v>4</v>
      </c>
      <c r="AP84" s="4"/>
      <c r="AQ84" s="5">
        <v>39771</v>
      </c>
      <c r="AR84" s="4"/>
      <c r="AS84" s="4"/>
      <c r="AT84" s="5">
        <v>39721</v>
      </c>
      <c r="AU84" s="5">
        <v>39741</v>
      </c>
      <c r="AV84" s="4">
        <v>2</v>
      </c>
      <c r="AW84" s="5">
        <v>39721</v>
      </c>
      <c r="AX84" s="5">
        <v>39741</v>
      </c>
      <c r="AY84" s="4"/>
      <c r="AZ84" s="5">
        <v>39787</v>
      </c>
      <c r="BA84" s="4"/>
      <c r="BB84" s="5">
        <v>39835</v>
      </c>
      <c r="BC84" s="4"/>
      <c r="BD84" s="4"/>
      <c r="BE84" s="5">
        <v>39871</v>
      </c>
      <c r="BF84" s="5">
        <v>39836</v>
      </c>
      <c r="BG84" s="4"/>
      <c r="BH84" s="5">
        <v>39755</v>
      </c>
      <c r="BI84" s="4"/>
      <c r="BJ84" s="5">
        <v>39784</v>
      </c>
      <c r="BK84" s="4">
        <v>1</v>
      </c>
      <c r="BL84" s="4">
        <v>4</v>
      </c>
      <c r="BM84" s="5">
        <v>39784</v>
      </c>
      <c r="BN84" s="5">
        <v>39784</v>
      </c>
      <c r="BO84" s="4"/>
      <c r="BP84" s="4"/>
      <c r="BQ84" s="4"/>
      <c r="BR84" s="4"/>
      <c r="BS84" s="4"/>
      <c r="BT84" s="4"/>
      <c r="BU84" s="5">
        <v>39818</v>
      </c>
      <c r="BV84" s="5">
        <v>39836</v>
      </c>
      <c r="BW84" s="5">
        <v>39836</v>
      </c>
      <c r="BX84" s="4"/>
      <c r="BY84" s="5">
        <v>39853</v>
      </c>
      <c r="BZ84" s="5">
        <v>39848</v>
      </c>
      <c r="CA84" s="4"/>
      <c r="CB84" s="4"/>
      <c r="CC84" s="4"/>
      <c r="CD84" s="4"/>
      <c r="CE84" s="4"/>
      <c r="CF84" s="4"/>
      <c r="CG84" s="4"/>
      <c r="CH84" s="4"/>
      <c r="CI84" s="5">
        <v>39909</v>
      </c>
      <c r="CJ84" s="5">
        <v>39906</v>
      </c>
      <c r="CK84" s="5">
        <v>39909</v>
      </c>
      <c r="CL84" s="4"/>
      <c r="CM84" s="4"/>
      <c r="CN84" s="4"/>
      <c r="CO84" s="4"/>
      <c r="CP84" s="4" t="s">
        <v>157</v>
      </c>
      <c r="CQ84" s="4"/>
      <c r="CR84" s="5">
        <v>39906</v>
      </c>
      <c r="CS84" s="4"/>
      <c r="CT84" s="4"/>
      <c r="CU84" s="4"/>
      <c r="CV84" s="4"/>
      <c r="CW84" s="4"/>
      <c r="CX84" s="4"/>
      <c r="CY84" s="4"/>
      <c r="CZ84" s="4"/>
      <c r="DA84" s="4"/>
      <c r="DB84" s="4"/>
      <c r="DC84" s="4"/>
      <c r="DD84" s="4"/>
      <c r="DE84" s="4"/>
      <c r="DF84" s="4"/>
      <c r="DG84" s="4"/>
      <c r="DH84" s="4"/>
      <c r="DI84" s="4"/>
      <c r="DJ84" s="4" t="b">
        <v>0</v>
      </c>
      <c r="DK84" s="4"/>
      <c r="DL84" s="4">
        <v>2665196</v>
      </c>
      <c r="DM84" s="4">
        <v>6494002</v>
      </c>
      <c r="DN84" s="4" t="s">
        <v>440</v>
      </c>
      <c r="DO84" s="4"/>
      <c r="DP84" s="4"/>
      <c r="DQ84" s="4" t="s">
        <v>148</v>
      </c>
      <c r="DR84" s="4"/>
      <c r="DS84" s="4"/>
      <c r="DT84" s="5">
        <v>41887</v>
      </c>
      <c r="DU84" s="4"/>
      <c r="DV84" s="4"/>
      <c r="DW84" s="4"/>
      <c r="DX84" s="4"/>
      <c r="DY84" s="4"/>
      <c r="DZ84" s="5">
        <v>39798</v>
      </c>
      <c r="EA84" s="4"/>
      <c r="EB84" s="4"/>
      <c r="EC84" s="4"/>
      <c r="ED84" s="4"/>
      <c r="EE84" s="4"/>
      <c r="EF84" s="4"/>
      <c r="EG84" s="4"/>
      <c r="EH84" s="4"/>
      <c r="EI84" s="5">
        <v>39603</v>
      </c>
    </row>
    <row r="85" spans="1:139" hidden="1" x14ac:dyDescent="0.2">
      <c r="A85">
        <f>VLOOKUP(B85,Sheet1!$A$1:$B$18,2,FALSE)</f>
        <v>0</v>
      </c>
      <c r="B85" t="str">
        <f t="shared" si="1"/>
        <v>AKL</v>
      </c>
      <c r="C85" s="2">
        <v>84</v>
      </c>
      <c r="D85" s="3" t="str">
        <f>HYPERLINK("https://sitebase.nzcomms.co.nz/spm/spmnominalview/AKL-005-029/","AKL-005-029")</f>
        <v>AKL-005-029</v>
      </c>
      <c r="E85" s="4"/>
      <c r="F85" s="3" t="str">
        <f>HYPERLINK("https://sitebase.nzcomms.co.nz/spm/spmcandidateview/AKL-005-029-A/","AKL-005-029-A")</f>
        <v>AKL-005-029-A</v>
      </c>
      <c r="G85" s="4" t="s">
        <v>441</v>
      </c>
      <c r="H85" s="4" t="s">
        <v>353</v>
      </c>
      <c r="I85" s="4"/>
      <c r="J85" s="4" t="s">
        <v>139</v>
      </c>
      <c r="K85" s="4" t="s">
        <v>141</v>
      </c>
      <c r="L85" s="4" t="s">
        <v>181</v>
      </c>
      <c r="M85" s="4" t="s">
        <v>442</v>
      </c>
      <c r="N85" s="4" t="s">
        <v>364</v>
      </c>
      <c r="O85" s="4" t="s">
        <v>144</v>
      </c>
      <c r="P85" s="4"/>
      <c r="Q85" s="4"/>
      <c r="R85" s="4">
        <v>10</v>
      </c>
      <c r="S85" s="4">
        <v>10</v>
      </c>
      <c r="T85" s="4"/>
      <c r="U85" s="4">
        <v>-36.73804191</v>
      </c>
      <c r="V85" s="4">
        <v>174.75336827999999</v>
      </c>
      <c r="W85" s="4"/>
      <c r="X85" s="4"/>
      <c r="Y85" s="4"/>
      <c r="Z85" s="4"/>
      <c r="AA85" s="4" t="s">
        <v>382</v>
      </c>
      <c r="AB85" s="4" t="s">
        <v>443</v>
      </c>
      <c r="AC85" s="4"/>
      <c r="AD85" s="4"/>
      <c r="AE85" s="4"/>
      <c r="AF85" s="4"/>
      <c r="AG85" s="4"/>
      <c r="AH85" s="4" t="s">
        <v>402</v>
      </c>
      <c r="AI85" s="4"/>
      <c r="AJ85" s="4"/>
      <c r="AK85" s="4"/>
      <c r="AL85" s="4"/>
      <c r="AM85" s="4"/>
      <c r="AN85" s="5">
        <v>39395</v>
      </c>
      <c r="AO85" s="4">
        <v>2</v>
      </c>
      <c r="AP85" s="5">
        <v>39395</v>
      </c>
      <c r="AQ85" s="5">
        <v>39898</v>
      </c>
      <c r="AR85" s="4"/>
      <c r="AS85" s="4"/>
      <c r="AT85" s="5">
        <v>39489</v>
      </c>
      <c r="AU85" s="5">
        <v>39489</v>
      </c>
      <c r="AV85" s="4">
        <v>1</v>
      </c>
      <c r="AW85" s="5">
        <v>39489</v>
      </c>
      <c r="AX85" s="5">
        <v>39489</v>
      </c>
      <c r="AY85" s="4"/>
      <c r="AZ85" s="4"/>
      <c r="BA85" s="4"/>
      <c r="BB85" s="5">
        <v>39486</v>
      </c>
      <c r="BC85" s="4"/>
      <c r="BD85" s="4"/>
      <c r="BE85" s="5">
        <v>39486</v>
      </c>
      <c r="BF85" s="5">
        <v>39486</v>
      </c>
      <c r="BG85" s="4"/>
      <c r="BH85" s="5">
        <v>39489</v>
      </c>
      <c r="BI85" s="4"/>
      <c r="BJ85" s="5">
        <v>39525</v>
      </c>
      <c r="BK85" s="4">
        <v>1</v>
      </c>
      <c r="BL85" s="4">
        <v>1</v>
      </c>
      <c r="BM85" s="5">
        <v>39525</v>
      </c>
      <c r="BN85" s="5">
        <v>39525</v>
      </c>
      <c r="BO85" s="4"/>
      <c r="BP85" s="4"/>
      <c r="BQ85" s="4"/>
      <c r="BR85" s="4"/>
      <c r="BS85" s="4"/>
      <c r="BT85" s="4"/>
      <c r="BU85" s="5">
        <v>39580</v>
      </c>
      <c r="BV85" s="5">
        <v>39591</v>
      </c>
      <c r="BW85" s="5">
        <v>39595</v>
      </c>
      <c r="BX85" s="4"/>
      <c r="BY85" s="5">
        <v>39605</v>
      </c>
      <c r="BZ85" s="5">
        <v>39598</v>
      </c>
      <c r="CA85" s="4"/>
      <c r="CB85" s="4"/>
      <c r="CC85" s="4"/>
      <c r="CD85" s="4"/>
      <c r="CE85" s="4"/>
      <c r="CF85" s="4"/>
      <c r="CG85" s="4"/>
      <c r="CH85" s="4"/>
      <c r="CI85" s="5">
        <v>39855</v>
      </c>
      <c r="CJ85" s="5">
        <v>39879</v>
      </c>
      <c r="CK85" s="5">
        <v>39855</v>
      </c>
      <c r="CL85" s="4"/>
      <c r="CM85" s="4"/>
      <c r="CN85" s="4"/>
      <c r="CO85" s="4"/>
      <c r="CP85" s="4" t="s">
        <v>428</v>
      </c>
      <c r="CQ85" s="4"/>
      <c r="CR85" s="5">
        <v>39879</v>
      </c>
      <c r="CS85" s="4"/>
      <c r="CT85" s="4"/>
      <c r="CU85" s="4"/>
      <c r="CV85" s="4"/>
      <c r="CW85" s="4"/>
      <c r="CX85" s="4"/>
      <c r="CY85" s="4"/>
      <c r="CZ85" s="4"/>
      <c r="DA85" s="4"/>
      <c r="DB85" s="4"/>
      <c r="DC85" s="4"/>
      <c r="DD85" s="4"/>
      <c r="DE85" s="4"/>
      <c r="DF85" s="4"/>
      <c r="DG85" s="4"/>
      <c r="DH85" s="4"/>
      <c r="DI85" s="4"/>
      <c r="DJ85" s="4" t="b">
        <v>0</v>
      </c>
      <c r="DK85" s="4"/>
      <c r="DL85" s="4">
        <v>2667009</v>
      </c>
      <c r="DM85" s="4">
        <v>6494454</v>
      </c>
      <c r="DN85" s="4" t="s">
        <v>444</v>
      </c>
      <c r="DO85" s="4"/>
      <c r="DP85" s="4"/>
      <c r="DQ85" s="4" t="s">
        <v>148</v>
      </c>
      <c r="DR85" s="4"/>
      <c r="DS85" s="4"/>
      <c r="DT85" s="4"/>
      <c r="DU85" s="4"/>
      <c r="DV85" s="4"/>
      <c r="DW85" s="4"/>
      <c r="DX85" s="4"/>
      <c r="DY85" s="4"/>
      <c r="DZ85" s="5">
        <v>39526</v>
      </c>
      <c r="EA85" s="4"/>
      <c r="EB85" s="4"/>
      <c r="EC85" s="4"/>
      <c r="ED85" s="4"/>
      <c r="EE85" s="4"/>
      <c r="EF85" s="4"/>
      <c r="EG85" s="4"/>
      <c r="EH85" s="4"/>
      <c r="EI85" s="5">
        <v>39321</v>
      </c>
    </row>
    <row r="86" spans="1:139" hidden="1" x14ac:dyDescent="0.2">
      <c r="A86">
        <f>VLOOKUP(B86,Sheet1!$A$1:$B$18,2,FALSE)</f>
        <v>0</v>
      </c>
      <c r="B86" t="str">
        <f t="shared" si="1"/>
        <v>AKL</v>
      </c>
      <c r="C86" s="2">
        <v>85</v>
      </c>
      <c r="D86" s="3" t="str">
        <f>HYPERLINK("https://sitebase.nzcomms.co.nz/spm/spmnominalview/AKL-005-030/","AKL-005-030")</f>
        <v>AKL-005-030</v>
      </c>
      <c r="E86" s="4"/>
      <c r="F86" s="3" t="str">
        <f>HYPERLINK("https://sitebase.nzcomms.co.nz/spm/spmcandidateview/AKL-005-030-C/","AKL-005-030-C")</f>
        <v>AKL-005-030-C</v>
      </c>
      <c r="G86" s="4" t="s">
        <v>445</v>
      </c>
      <c r="H86" s="4" t="s">
        <v>353</v>
      </c>
      <c r="I86" s="4"/>
      <c r="J86" s="4" t="s">
        <v>139</v>
      </c>
      <c r="K86" s="4" t="s">
        <v>141</v>
      </c>
      <c r="L86" s="4" t="s">
        <v>189</v>
      </c>
      <c r="M86" s="4" t="s">
        <v>143</v>
      </c>
      <c r="N86" s="4" t="s">
        <v>355</v>
      </c>
      <c r="O86" s="4" t="s">
        <v>356</v>
      </c>
      <c r="P86" s="4"/>
      <c r="Q86" s="4"/>
      <c r="R86" s="4">
        <v>11.2</v>
      </c>
      <c r="S86" s="4">
        <v>11.2</v>
      </c>
      <c r="T86" s="4"/>
      <c r="U86" s="4">
        <v>-36.726510869999998</v>
      </c>
      <c r="V86" s="4">
        <v>174.74861981999999</v>
      </c>
      <c r="W86" s="4"/>
      <c r="X86" s="4"/>
      <c r="Y86" s="4"/>
      <c r="Z86" s="4"/>
      <c r="AA86" s="4" t="s">
        <v>446</v>
      </c>
      <c r="AB86" s="4" t="s">
        <v>447</v>
      </c>
      <c r="AC86" s="4"/>
      <c r="AD86" s="4"/>
      <c r="AE86" s="4"/>
      <c r="AF86" s="4"/>
      <c r="AG86" s="4"/>
      <c r="AH86" s="4" t="s">
        <v>402</v>
      </c>
      <c r="AI86" s="4"/>
      <c r="AJ86" s="4"/>
      <c r="AK86" s="4"/>
      <c r="AL86" s="4"/>
      <c r="AM86" s="4"/>
      <c r="AN86" s="5">
        <v>39402</v>
      </c>
      <c r="AO86" s="4">
        <v>4</v>
      </c>
      <c r="AP86" s="5">
        <v>39854</v>
      </c>
      <c r="AQ86" s="5">
        <v>39854</v>
      </c>
      <c r="AR86" s="4"/>
      <c r="AS86" s="4"/>
      <c r="AT86" s="5">
        <v>39506</v>
      </c>
      <c r="AU86" s="5">
        <v>39506</v>
      </c>
      <c r="AV86" s="4">
        <v>2</v>
      </c>
      <c r="AW86" s="5">
        <v>39505</v>
      </c>
      <c r="AX86" s="5">
        <v>39861</v>
      </c>
      <c r="AY86" s="4"/>
      <c r="AZ86" s="4"/>
      <c r="BA86" s="4"/>
      <c r="BB86" s="5">
        <v>39787</v>
      </c>
      <c r="BC86" s="4"/>
      <c r="BD86" s="4"/>
      <c r="BE86" s="5">
        <v>39883</v>
      </c>
      <c r="BF86" s="5">
        <v>39856</v>
      </c>
      <c r="BG86" s="4"/>
      <c r="BH86" s="5">
        <v>39504</v>
      </c>
      <c r="BI86" s="4"/>
      <c r="BJ86" s="5">
        <v>39730</v>
      </c>
      <c r="BK86" s="4">
        <v>2</v>
      </c>
      <c r="BL86" s="4">
        <v>4</v>
      </c>
      <c r="BM86" s="5">
        <v>39863</v>
      </c>
      <c r="BN86" s="5">
        <v>39863</v>
      </c>
      <c r="BO86" s="5">
        <v>39832</v>
      </c>
      <c r="BP86" s="4"/>
      <c r="BQ86" s="4"/>
      <c r="BR86" s="4"/>
      <c r="BS86" s="4"/>
      <c r="BT86" s="4"/>
      <c r="BU86" s="5">
        <v>39862</v>
      </c>
      <c r="BV86" s="5">
        <v>39872</v>
      </c>
      <c r="BW86" s="5">
        <v>39876</v>
      </c>
      <c r="BX86" s="4"/>
      <c r="BY86" s="5">
        <v>39872</v>
      </c>
      <c r="BZ86" s="5">
        <v>39876</v>
      </c>
      <c r="CA86" s="4"/>
      <c r="CB86" s="4"/>
      <c r="CC86" s="4"/>
      <c r="CD86" s="4"/>
      <c r="CE86" s="4"/>
      <c r="CF86" s="4"/>
      <c r="CG86" s="4"/>
      <c r="CH86" s="4"/>
      <c r="CI86" s="5">
        <v>39940</v>
      </c>
      <c r="CJ86" s="5">
        <v>39941</v>
      </c>
      <c r="CK86" s="5">
        <v>39940</v>
      </c>
      <c r="CL86" s="4"/>
      <c r="CM86" s="4"/>
      <c r="CN86" s="4"/>
      <c r="CO86" s="4"/>
      <c r="CP86" s="4" t="s">
        <v>448</v>
      </c>
      <c r="CQ86" s="4"/>
      <c r="CR86" s="5">
        <v>39941</v>
      </c>
      <c r="CS86" s="4"/>
      <c r="CT86" s="4"/>
      <c r="CU86" s="4"/>
      <c r="CV86" s="4"/>
      <c r="CW86" s="4"/>
      <c r="CX86" s="5">
        <v>39832</v>
      </c>
      <c r="CY86" s="4"/>
      <c r="CZ86" s="4"/>
      <c r="DA86" s="4"/>
      <c r="DB86" s="4"/>
      <c r="DC86" s="4"/>
      <c r="DD86" s="4"/>
      <c r="DE86" s="4"/>
      <c r="DF86" s="4"/>
      <c r="DG86" s="4"/>
      <c r="DH86" s="4"/>
      <c r="DI86" s="4"/>
      <c r="DJ86" s="4" t="b">
        <v>0</v>
      </c>
      <c r="DK86" s="4"/>
      <c r="DL86" s="4">
        <v>2666611</v>
      </c>
      <c r="DM86" s="4">
        <v>6495742</v>
      </c>
      <c r="DN86" s="4" t="s">
        <v>449</v>
      </c>
      <c r="DO86" s="4"/>
      <c r="DP86" s="4"/>
      <c r="DQ86" s="4" t="s">
        <v>148</v>
      </c>
      <c r="DR86" s="4"/>
      <c r="DS86" s="4"/>
      <c r="DT86" s="4"/>
      <c r="DU86" s="4"/>
      <c r="DV86" s="4"/>
      <c r="DW86" s="4"/>
      <c r="DX86" s="4"/>
      <c r="DY86" s="5">
        <v>39884</v>
      </c>
      <c r="DZ86" s="5">
        <v>39860</v>
      </c>
      <c r="EA86" s="4"/>
      <c r="EB86" s="4"/>
      <c r="EC86" s="4"/>
      <c r="ED86" s="4"/>
      <c r="EE86" s="4"/>
      <c r="EF86" s="4"/>
      <c r="EG86" s="4"/>
      <c r="EH86" s="4"/>
      <c r="EI86" s="5">
        <v>39345</v>
      </c>
    </row>
    <row r="87" spans="1:139" hidden="1" x14ac:dyDescent="0.2">
      <c r="A87">
        <f>VLOOKUP(B87,Sheet1!$A$1:$B$18,2,FALSE)</f>
        <v>0</v>
      </c>
      <c r="B87" t="str">
        <f t="shared" si="1"/>
        <v>AKL</v>
      </c>
      <c r="C87" s="2">
        <v>86</v>
      </c>
      <c r="D87" s="3" t="str">
        <f>HYPERLINK("https://sitebase.nzcomms.co.nz/spm/spmnominalview/AKL-005-031/","AKL-005-031")</f>
        <v>AKL-005-031</v>
      </c>
      <c r="E87" s="4"/>
      <c r="F87" s="3" t="str">
        <f>HYPERLINK("https://sitebase.nzcomms.co.nz/spm/spmcandidateview/AKL-005-031-A/","AKL-005-031-A")</f>
        <v>AKL-005-031-A</v>
      </c>
      <c r="G87" s="4" t="s">
        <v>450</v>
      </c>
      <c r="H87" s="4" t="s">
        <v>353</v>
      </c>
      <c r="I87" s="4"/>
      <c r="J87" s="4" t="s">
        <v>139</v>
      </c>
      <c r="K87" s="4" t="s">
        <v>141</v>
      </c>
      <c r="L87" s="4" t="s">
        <v>150</v>
      </c>
      <c r="M87" s="4" t="s">
        <v>354</v>
      </c>
      <c r="N87" s="4" t="s">
        <v>364</v>
      </c>
      <c r="O87" s="4" t="s">
        <v>356</v>
      </c>
      <c r="P87" s="4"/>
      <c r="Q87" s="4"/>
      <c r="R87" s="4">
        <v>20</v>
      </c>
      <c r="S87" s="4">
        <v>20</v>
      </c>
      <c r="T87" s="4"/>
      <c r="U87" s="4">
        <v>-36.72786121</v>
      </c>
      <c r="V87" s="4">
        <v>174.7013469</v>
      </c>
      <c r="W87" s="4"/>
      <c r="X87" s="4"/>
      <c r="Y87" s="4"/>
      <c r="Z87" s="4"/>
      <c r="AA87" s="4" t="s">
        <v>446</v>
      </c>
      <c r="AB87" s="4" t="s">
        <v>451</v>
      </c>
      <c r="AC87" s="4"/>
      <c r="AD87" s="4"/>
      <c r="AE87" s="4"/>
      <c r="AF87" s="4"/>
      <c r="AG87" s="4"/>
      <c r="AH87" s="4" t="s">
        <v>408</v>
      </c>
      <c r="AI87" s="4"/>
      <c r="AJ87" s="4"/>
      <c r="AK87" s="4"/>
      <c r="AL87" s="4"/>
      <c r="AM87" s="4"/>
      <c r="AN87" s="5">
        <v>39416</v>
      </c>
      <c r="AO87" s="4">
        <v>4</v>
      </c>
      <c r="AP87" s="4"/>
      <c r="AQ87" s="5">
        <v>40067</v>
      </c>
      <c r="AR87" s="4"/>
      <c r="AS87" s="4"/>
      <c r="AT87" s="5">
        <v>39511</v>
      </c>
      <c r="AU87" s="5">
        <v>39511</v>
      </c>
      <c r="AV87" s="4">
        <v>2</v>
      </c>
      <c r="AW87" s="5">
        <v>39511</v>
      </c>
      <c r="AX87" s="5">
        <v>39511</v>
      </c>
      <c r="AY87" s="4"/>
      <c r="AZ87" s="4"/>
      <c r="BA87" s="4"/>
      <c r="BB87" s="5">
        <v>39568</v>
      </c>
      <c r="BC87" s="4"/>
      <c r="BD87" s="4"/>
      <c r="BE87" s="5">
        <v>39568</v>
      </c>
      <c r="BF87" s="5">
        <v>39568</v>
      </c>
      <c r="BG87" s="4"/>
      <c r="BH87" s="5">
        <v>39505</v>
      </c>
      <c r="BI87" s="4"/>
      <c r="BJ87" s="5">
        <v>39617</v>
      </c>
      <c r="BK87" s="4">
        <v>2</v>
      </c>
      <c r="BL87" s="4">
        <v>3</v>
      </c>
      <c r="BM87" s="5">
        <v>39631</v>
      </c>
      <c r="BN87" s="5">
        <v>39631</v>
      </c>
      <c r="BO87" s="4"/>
      <c r="BP87" s="4"/>
      <c r="BQ87" s="4"/>
      <c r="BR87" s="4"/>
      <c r="BS87" s="4"/>
      <c r="BT87" s="4"/>
      <c r="BU87" s="5">
        <v>39650</v>
      </c>
      <c r="BV87" s="5">
        <v>39679</v>
      </c>
      <c r="BW87" s="5">
        <v>39679</v>
      </c>
      <c r="BX87" s="4"/>
      <c r="BY87" s="5">
        <v>39689</v>
      </c>
      <c r="BZ87" s="5">
        <v>39687</v>
      </c>
      <c r="CA87" s="4"/>
      <c r="CB87" s="4"/>
      <c r="CC87" s="4"/>
      <c r="CD87" s="4"/>
      <c r="CE87" s="4"/>
      <c r="CF87" s="4"/>
      <c r="CG87" s="4"/>
      <c r="CH87" s="4"/>
      <c r="CI87" s="5">
        <v>39785</v>
      </c>
      <c r="CJ87" s="5">
        <v>39871</v>
      </c>
      <c r="CK87" s="5">
        <v>39785</v>
      </c>
      <c r="CL87" s="4"/>
      <c r="CM87" s="4"/>
      <c r="CN87" s="4"/>
      <c r="CO87" s="4"/>
      <c r="CP87" s="4" t="s">
        <v>157</v>
      </c>
      <c r="CQ87" s="4"/>
      <c r="CR87" s="5">
        <v>39871</v>
      </c>
      <c r="CS87" s="4"/>
      <c r="CT87" s="4"/>
      <c r="CU87" s="4"/>
      <c r="CV87" s="4"/>
      <c r="CW87" s="4"/>
      <c r="CX87" s="4"/>
      <c r="CY87" s="4"/>
      <c r="CZ87" s="4"/>
      <c r="DA87" s="4"/>
      <c r="DB87" s="4"/>
      <c r="DC87" s="4"/>
      <c r="DD87" s="4"/>
      <c r="DE87" s="4"/>
      <c r="DF87" s="4"/>
      <c r="DG87" s="4"/>
      <c r="DH87" s="4"/>
      <c r="DI87" s="4"/>
      <c r="DJ87" s="4" t="b">
        <v>0</v>
      </c>
      <c r="DK87" s="4"/>
      <c r="DL87" s="4">
        <v>2662386</v>
      </c>
      <c r="DM87" s="4">
        <v>6495677</v>
      </c>
      <c r="DN87" s="4" t="s">
        <v>452</v>
      </c>
      <c r="DO87" s="4"/>
      <c r="DP87" s="4"/>
      <c r="DQ87" s="4" t="s">
        <v>148</v>
      </c>
      <c r="DR87" s="4"/>
      <c r="DS87" s="4"/>
      <c r="DT87" s="5">
        <v>41887</v>
      </c>
      <c r="DU87" s="4"/>
      <c r="DV87" s="4"/>
      <c r="DW87" s="4"/>
      <c r="DX87" s="4"/>
      <c r="DY87" s="4"/>
      <c r="DZ87" s="5">
        <v>39632</v>
      </c>
      <c r="EA87" s="4"/>
      <c r="EB87" s="4"/>
      <c r="EC87" s="4"/>
      <c r="ED87" s="4"/>
      <c r="EE87" s="4"/>
      <c r="EF87" s="4"/>
      <c r="EG87" s="4"/>
      <c r="EH87" s="4"/>
      <c r="EI87" s="5">
        <v>39371</v>
      </c>
    </row>
    <row r="88" spans="1:139" hidden="1" x14ac:dyDescent="0.2">
      <c r="A88">
        <f>VLOOKUP(B88,Sheet1!$A$1:$B$18,2,FALSE)</f>
        <v>0</v>
      </c>
      <c r="B88" t="str">
        <f t="shared" si="1"/>
        <v>AKL</v>
      </c>
      <c r="C88" s="2">
        <v>87</v>
      </c>
      <c r="D88" s="3" t="str">
        <f>HYPERLINK("https://sitebase.nzcomms.co.nz/spm/spmnominalview/AKL-005-032/","AKL-005-032")</f>
        <v>AKL-005-032</v>
      </c>
      <c r="E88" s="4"/>
      <c r="F88" s="3" t="str">
        <f>HYPERLINK("https://sitebase.nzcomms.co.nz/spm/spmcandidateview/AKL-005-032-A/","AKL-005-032-A")</f>
        <v>AKL-005-032-A</v>
      </c>
      <c r="G88" s="4" t="s">
        <v>453</v>
      </c>
      <c r="H88" s="4" t="s">
        <v>353</v>
      </c>
      <c r="I88" s="4"/>
      <c r="J88" s="4" t="s">
        <v>139</v>
      </c>
      <c r="K88" s="4" t="s">
        <v>141</v>
      </c>
      <c r="L88" s="4" t="s">
        <v>189</v>
      </c>
      <c r="M88" s="4" t="s">
        <v>143</v>
      </c>
      <c r="N88" s="4" t="s">
        <v>355</v>
      </c>
      <c r="O88" s="4" t="s">
        <v>356</v>
      </c>
      <c r="P88" s="4"/>
      <c r="Q88" s="4"/>
      <c r="R88" s="4">
        <v>10.5</v>
      </c>
      <c r="S88" s="4">
        <v>10.5</v>
      </c>
      <c r="T88" s="4"/>
      <c r="U88" s="4">
        <v>-36.70033643</v>
      </c>
      <c r="V88" s="4">
        <v>174.72539355999999</v>
      </c>
      <c r="W88" s="4"/>
      <c r="X88" s="4"/>
      <c r="Y88" s="4"/>
      <c r="Z88" s="4"/>
      <c r="AA88" s="4" t="s">
        <v>446</v>
      </c>
      <c r="AB88" s="4" t="s">
        <v>447</v>
      </c>
      <c r="AC88" s="4"/>
      <c r="AD88" s="4"/>
      <c r="AE88" s="4"/>
      <c r="AF88" s="4"/>
      <c r="AG88" s="4"/>
      <c r="AH88" s="4" t="s">
        <v>402</v>
      </c>
      <c r="AI88" s="4"/>
      <c r="AJ88" s="4"/>
      <c r="AK88" s="4"/>
      <c r="AL88" s="4"/>
      <c r="AM88" s="4"/>
      <c r="AN88" s="5">
        <v>39364</v>
      </c>
      <c r="AO88" s="4">
        <v>2</v>
      </c>
      <c r="AP88" s="5">
        <v>39801</v>
      </c>
      <c r="AQ88" s="5">
        <v>39801</v>
      </c>
      <c r="AR88" s="4"/>
      <c r="AS88" s="4"/>
      <c r="AT88" s="5">
        <v>39871</v>
      </c>
      <c r="AU88" s="5">
        <v>39506</v>
      </c>
      <c r="AV88" s="4">
        <v>1</v>
      </c>
      <c r="AW88" s="5">
        <v>39871</v>
      </c>
      <c r="AX88" s="5">
        <v>39861</v>
      </c>
      <c r="AY88" s="4"/>
      <c r="AZ88" s="4"/>
      <c r="BA88" s="4"/>
      <c r="BB88" s="5">
        <v>39843</v>
      </c>
      <c r="BC88" s="4"/>
      <c r="BD88" s="4"/>
      <c r="BE88" s="5">
        <v>39913</v>
      </c>
      <c r="BF88" s="5">
        <v>39918</v>
      </c>
      <c r="BG88" s="4"/>
      <c r="BH88" s="5">
        <v>39504</v>
      </c>
      <c r="BI88" s="4"/>
      <c r="BJ88" s="5">
        <v>39535</v>
      </c>
      <c r="BK88" s="4">
        <v>2</v>
      </c>
      <c r="BL88" s="4">
        <v>2</v>
      </c>
      <c r="BM88" s="5">
        <v>39804</v>
      </c>
      <c r="BN88" s="5">
        <v>39804</v>
      </c>
      <c r="BO88" s="5">
        <v>39896</v>
      </c>
      <c r="BP88" s="4"/>
      <c r="BQ88" s="4"/>
      <c r="BR88" s="4"/>
      <c r="BS88" s="4"/>
      <c r="BT88" s="5">
        <v>39927</v>
      </c>
      <c r="BU88" s="5">
        <v>39930</v>
      </c>
      <c r="BV88" s="5">
        <v>39945</v>
      </c>
      <c r="BW88" s="5">
        <v>39945</v>
      </c>
      <c r="BX88" s="4"/>
      <c r="BY88" s="5">
        <v>39945</v>
      </c>
      <c r="BZ88" s="5">
        <v>39945</v>
      </c>
      <c r="CA88" s="4"/>
      <c r="CB88" s="4"/>
      <c r="CC88" s="4"/>
      <c r="CD88" s="4"/>
      <c r="CE88" s="4"/>
      <c r="CF88" s="4"/>
      <c r="CG88" s="4"/>
      <c r="CH88" s="4"/>
      <c r="CI88" s="5">
        <v>39960</v>
      </c>
      <c r="CJ88" s="5">
        <v>39960</v>
      </c>
      <c r="CK88" s="5">
        <v>39960</v>
      </c>
      <c r="CL88" s="4"/>
      <c r="CM88" s="4"/>
      <c r="CN88" s="4"/>
      <c r="CO88" s="4"/>
      <c r="CP88" s="4" t="s">
        <v>454</v>
      </c>
      <c r="CQ88" s="4"/>
      <c r="CR88" s="5">
        <v>39960</v>
      </c>
      <c r="CS88" s="4"/>
      <c r="CT88" s="4"/>
      <c r="CU88" s="4"/>
      <c r="CV88" s="4"/>
      <c r="CW88" s="5">
        <v>39941</v>
      </c>
      <c r="CX88" s="5">
        <v>39896</v>
      </c>
      <c r="CY88" s="4"/>
      <c r="CZ88" s="4"/>
      <c r="DA88" s="4"/>
      <c r="DB88" s="4"/>
      <c r="DC88" s="4"/>
      <c r="DD88" s="4"/>
      <c r="DE88" s="4"/>
      <c r="DF88" s="4"/>
      <c r="DG88" s="4"/>
      <c r="DH88" s="4"/>
      <c r="DI88" s="4"/>
      <c r="DJ88" s="4" t="b">
        <v>0</v>
      </c>
      <c r="DK88" s="4"/>
      <c r="DL88" s="4">
        <v>2664595</v>
      </c>
      <c r="DM88" s="4">
        <v>6498688</v>
      </c>
      <c r="DN88" s="4" t="s">
        <v>455</v>
      </c>
      <c r="DO88" s="4"/>
      <c r="DP88" s="4"/>
      <c r="DQ88" s="4" t="s">
        <v>148</v>
      </c>
      <c r="DR88" s="4"/>
      <c r="DS88" s="4"/>
      <c r="DT88" s="4"/>
      <c r="DU88" s="4"/>
      <c r="DV88" s="4"/>
      <c r="DW88" s="4"/>
      <c r="DX88" s="4"/>
      <c r="DY88" s="5">
        <v>39927</v>
      </c>
      <c r="DZ88" s="5">
        <v>39930</v>
      </c>
      <c r="EA88" s="4"/>
      <c r="EB88" s="4"/>
      <c r="EC88" s="4"/>
      <c r="ED88" s="4"/>
      <c r="EE88" s="4"/>
      <c r="EF88" s="4"/>
      <c r="EG88" s="4"/>
      <c r="EH88" s="4"/>
      <c r="EI88" s="5">
        <v>39345</v>
      </c>
    </row>
    <row r="89" spans="1:139" hidden="1" x14ac:dyDescent="0.2">
      <c r="A89">
        <f>VLOOKUP(B89,Sheet1!$A$1:$B$18,2,FALSE)</f>
        <v>0</v>
      </c>
      <c r="B89" t="str">
        <f t="shared" si="1"/>
        <v>AKL</v>
      </c>
      <c r="C89" s="2">
        <v>88</v>
      </c>
      <c r="D89" s="3" t="str">
        <f>HYPERLINK("https://sitebase.nzcomms.co.nz/spm/spmnominalview/AKL-005-033/","AKL-005-033")</f>
        <v>AKL-005-033</v>
      </c>
      <c r="E89" s="4"/>
      <c r="F89" s="3" t="str">
        <f>HYPERLINK("https://sitebase.nzcomms.co.nz/spm/spmcandidateview/AKL-005-033-H/","AKL-005-033-H")</f>
        <v>AKL-005-033-H</v>
      </c>
      <c r="G89" s="4" t="s">
        <v>456</v>
      </c>
      <c r="H89" s="4" t="s">
        <v>353</v>
      </c>
      <c r="I89" s="4"/>
      <c r="J89" s="4" t="s">
        <v>139</v>
      </c>
      <c r="K89" s="4" t="s">
        <v>141</v>
      </c>
      <c r="L89" s="4" t="s">
        <v>189</v>
      </c>
      <c r="M89" s="4" t="s">
        <v>296</v>
      </c>
      <c r="N89" s="4" t="s">
        <v>274</v>
      </c>
      <c r="O89" s="4" t="s">
        <v>356</v>
      </c>
      <c r="P89" s="4"/>
      <c r="Q89" s="4"/>
      <c r="R89" s="4"/>
      <c r="S89" s="4"/>
      <c r="T89" s="4"/>
      <c r="U89" s="4">
        <v>-36.707523780000002</v>
      </c>
      <c r="V89" s="4">
        <v>174.73791994000001</v>
      </c>
      <c r="W89" s="4"/>
      <c r="X89" s="4"/>
      <c r="Y89" s="4"/>
      <c r="Z89" s="4"/>
      <c r="AA89" s="4" t="s">
        <v>152</v>
      </c>
      <c r="AB89" s="3" t="str">
        <f>HYPERLINK("https://sitebase.nzcomms.co.nz/spm/spmcandidateview/AKL-007-106-A/","AKL-007-106-A")</f>
        <v>AKL-007-106-A</v>
      </c>
      <c r="AC89" s="4"/>
      <c r="AD89" s="4"/>
      <c r="AE89" s="4"/>
      <c r="AF89" s="4"/>
      <c r="AG89" s="4"/>
      <c r="AH89" s="4"/>
      <c r="AI89" s="4"/>
      <c r="AJ89" s="4"/>
      <c r="AK89" s="4"/>
      <c r="AL89" s="4"/>
      <c r="AM89" s="4"/>
      <c r="AN89" s="5">
        <v>39905</v>
      </c>
      <c r="AO89" s="4">
        <v>1</v>
      </c>
      <c r="AP89" s="5">
        <v>39904</v>
      </c>
      <c r="AQ89" s="5">
        <v>39905</v>
      </c>
      <c r="AR89" s="4"/>
      <c r="AS89" s="4"/>
      <c r="AT89" s="5">
        <v>40116</v>
      </c>
      <c r="AU89" s="5">
        <v>40114</v>
      </c>
      <c r="AV89" s="4"/>
      <c r="AW89" s="5">
        <v>40116</v>
      </c>
      <c r="AX89" s="5">
        <v>40116</v>
      </c>
      <c r="AY89" s="4"/>
      <c r="AZ89" s="5">
        <v>39912</v>
      </c>
      <c r="BA89" s="4"/>
      <c r="BB89" s="5">
        <v>39941</v>
      </c>
      <c r="BC89" s="4"/>
      <c r="BD89" s="4"/>
      <c r="BE89" s="5">
        <v>39941</v>
      </c>
      <c r="BF89" s="5">
        <v>39940</v>
      </c>
      <c r="BG89" s="5">
        <v>39909</v>
      </c>
      <c r="BH89" s="5">
        <v>39890</v>
      </c>
      <c r="BI89" s="4"/>
      <c r="BJ89" s="5">
        <v>39917</v>
      </c>
      <c r="BK89" s="4">
        <v>2</v>
      </c>
      <c r="BL89" s="4"/>
      <c r="BM89" s="5">
        <v>39927</v>
      </c>
      <c r="BN89" s="5">
        <v>40081</v>
      </c>
      <c r="BO89" s="5">
        <v>39975</v>
      </c>
      <c r="BP89" s="4"/>
      <c r="BQ89" s="4"/>
      <c r="BR89" s="4"/>
      <c r="BS89" s="4"/>
      <c r="BT89" s="5">
        <v>40133</v>
      </c>
      <c r="BU89" s="5">
        <v>40128</v>
      </c>
      <c r="BV89" s="5">
        <v>40140</v>
      </c>
      <c r="BW89" s="5">
        <v>40137</v>
      </c>
      <c r="BX89" s="4"/>
      <c r="BY89" s="5">
        <v>40140</v>
      </c>
      <c r="BZ89" s="5">
        <v>40137</v>
      </c>
      <c r="CA89" s="4"/>
      <c r="CB89" s="4"/>
      <c r="CC89" s="4"/>
      <c r="CD89" s="4"/>
      <c r="CE89" s="4"/>
      <c r="CF89" s="4"/>
      <c r="CG89" s="4"/>
      <c r="CH89" s="4"/>
      <c r="CI89" s="5">
        <v>40143</v>
      </c>
      <c r="CJ89" s="5">
        <v>40143</v>
      </c>
      <c r="CK89" s="5">
        <v>40143</v>
      </c>
      <c r="CL89" s="4"/>
      <c r="CM89" s="4"/>
      <c r="CN89" s="4"/>
      <c r="CO89" s="4"/>
      <c r="CP89" s="4" t="s">
        <v>457</v>
      </c>
      <c r="CQ89" s="4"/>
      <c r="CR89" s="5">
        <v>40143</v>
      </c>
      <c r="CS89" s="4"/>
      <c r="CT89" s="4"/>
      <c r="CU89" s="4"/>
      <c r="CV89" s="4"/>
      <c r="CW89" s="5">
        <v>39974</v>
      </c>
      <c r="CX89" s="5">
        <v>39975</v>
      </c>
      <c r="CY89" s="4"/>
      <c r="CZ89" s="4"/>
      <c r="DA89" s="4"/>
      <c r="DB89" s="4"/>
      <c r="DC89" s="4"/>
      <c r="DD89" s="4"/>
      <c r="DE89" s="4"/>
      <c r="DF89" s="4"/>
      <c r="DG89" s="4"/>
      <c r="DH89" s="4"/>
      <c r="DI89" s="4"/>
      <c r="DJ89" s="4" t="b">
        <v>0</v>
      </c>
      <c r="DK89" s="4"/>
      <c r="DL89" s="4">
        <v>2665698</v>
      </c>
      <c r="DM89" s="4">
        <v>6497868</v>
      </c>
      <c r="DN89" s="4" t="s">
        <v>458</v>
      </c>
      <c r="DO89" s="4"/>
      <c r="DP89" s="4"/>
      <c r="DQ89" s="4" t="s">
        <v>148</v>
      </c>
      <c r="DR89" s="4"/>
      <c r="DS89" s="4"/>
      <c r="DT89" s="4"/>
      <c r="DU89" s="4"/>
      <c r="DV89" s="4"/>
      <c r="DW89" s="4"/>
      <c r="DX89" s="4"/>
      <c r="DY89" s="4"/>
      <c r="DZ89" s="5">
        <v>40128</v>
      </c>
      <c r="EA89" s="4"/>
      <c r="EB89" s="4"/>
      <c r="EC89" s="4"/>
      <c r="ED89" s="4"/>
      <c r="EE89" s="4"/>
      <c r="EF89" s="4"/>
      <c r="EG89" s="4"/>
      <c r="EH89" s="4"/>
      <c r="EI89" s="5">
        <v>39878</v>
      </c>
    </row>
    <row r="90" spans="1:139" hidden="1" x14ac:dyDescent="0.2">
      <c r="A90">
        <f>VLOOKUP(B90,Sheet1!$A$1:$B$18,2,FALSE)</f>
        <v>0</v>
      </c>
      <c r="B90" t="str">
        <f t="shared" si="1"/>
        <v>AKL</v>
      </c>
      <c r="C90" s="2">
        <v>89</v>
      </c>
      <c r="D90" s="3" t="str">
        <f>HYPERLINK("https://sitebase.nzcomms.co.nz/spm/spmnominalview/AKL-005-034/","AKL-005-034")</f>
        <v>AKL-005-034</v>
      </c>
      <c r="E90" s="4"/>
      <c r="F90" s="3" t="str">
        <f>HYPERLINK("https://sitebase.nzcomms.co.nz/spm/spmcandidateview/AKL-005-034-C/","AKL-005-034-C")</f>
        <v>AKL-005-034-C</v>
      </c>
      <c r="G90" s="4" t="s">
        <v>459</v>
      </c>
      <c r="H90" s="4" t="s">
        <v>353</v>
      </c>
      <c r="I90" s="4"/>
      <c r="J90" s="4" t="s">
        <v>139</v>
      </c>
      <c r="K90" s="4" t="s">
        <v>141</v>
      </c>
      <c r="L90" s="4" t="s">
        <v>181</v>
      </c>
      <c r="M90" s="4" t="s">
        <v>143</v>
      </c>
      <c r="N90" s="4" t="s">
        <v>364</v>
      </c>
      <c r="O90" s="4" t="s">
        <v>144</v>
      </c>
      <c r="P90" s="4"/>
      <c r="Q90" s="4"/>
      <c r="R90" s="4">
        <v>8.4</v>
      </c>
      <c r="S90" s="4">
        <v>8.4</v>
      </c>
      <c r="T90" s="4"/>
      <c r="U90" s="4">
        <v>-36.74490849</v>
      </c>
      <c r="V90" s="4">
        <v>174.75784289000001</v>
      </c>
      <c r="W90" s="4"/>
      <c r="X90" s="4"/>
      <c r="Y90" s="4"/>
      <c r="Z90" s="4"/>
      <c r="AA90" s="4" t="s">
        <v>152</v>
      </c>
      <c r="AB90" s="3" t="str">
        <f>HYPERLINK("https://sitebase.nzcomms.co.nz/spm/spmcandidateview/AKL-007-106-A/","AKL-007-106-A")</f>
        <v>AKL-007-106-A</v>
      </c>
      <c r="AC90" s="4"/>
      <c r="AD90" s="4"/>
      <c r="AE90" s="4"/>
      <c r="AF90" s="4"/>
      <c r="AG90" s="4"/>
      <c r="AH90" s="4"/>
      <c r="AI90" s="4"/>
      <c r="AJ90" s="4"/>
      <c r="AK90" s="4"/>
      <c r="AL90" s="4"/>
      <c r="AM90" s="4"/>
      <c r="AN90" s="5">
        <v>39273</v>
      </c>
      <c r="AO90" s="4">
        <v>3</v>
      </c>
      <c r="AP90" s="5">
        <v>39702</v>
      </c>
      <c r="AQ90" s="5">
        <v>39702</v>
      </c>
      <c r="AR90" s="4"/>
      <c r="AS90" s="4"/>
      <c r="AT90" s="5">
        <v>39524</v>
      </c>
      <c r="AU90" s="5">
        <v>39524</v>
      </c>
      <c r="AV90" s="4">
        <v>3</v>
      </c>
      <c r="AW90" s="5">
        <v>39524</v>
      </c>
      <c r="AX90" s="5">
        <v>39524</v>
      </c>
      <c r="AY90" s="4"/>
      <c r="AZ90" s="4"/>
      <c r="BA90" s="4"/>
      <c r="BB90" s="5">
        <v>39568</v>
      </c>
      <c r="BC90" s="4"/>
      <c r="BD90" s="4"/>
      <c r="BE90" s="5">
        <v>39709</v>
      </c>
      <c r="BF90" s="5">
        <v>39709</v>
      </c>
      <c r="BG90" s="4"/>
      <c r="BH90" s="5">
        <v>39504</v>
      </c>
      <c r="BI90" s="4"/>
      <c r="BJ90" s="5">
        <v>39623</v>
      </c>
      <c r="BK90" s="4">
        <v>4</v>
      </c>
      <c r="BL90" s="4">
        <v>3</v>
      </c>
      <c r="BM90" s="5">
        <v>39764</v>
      </c>
      <c r="BN90" s="5">
        <v>39764</v>
      </c>
      <c r="BO90" s="4"/>
      <c r="BP90" s="4"/>
      <c r="BQ90" s="4"/>
      <c r="BR90" s="4"/>
      <c r="BS90" s="4"/>
      <c r="BT90" s="4"/>
      <c r="BU90" s="5">
        <v>39657</v>
      </c>
      <c r="BV90" s="5">
        <v>39752</v>
      </c>
      <c r="BW90" s="5">
        <v>39752</v>
      </c>
      <c r="BX90" s="4"/>
      <c r="BY90" s="5">
        <v>39805</v>
      </c>
      <c r="BZ90" s="5">
        <v>39822</v>
      </c>
      <c r="CA90" s="4"/>
      <c r="CB90" s="4"/>
      <c r="CC90" s="4"/>
      <c r="CD90" s="4"/>
      <c r="CE90" s="4"/>
      <c r="CF90" s="4"/>
      <c r="CG90" s="4"/>
      <c r="CH90" s="4"/>
      <c r="CI90" s="5">
        <v>39874</v>
      </c>
      <c r="CJ90" s="5">
        <v>39878</v>
      </c>
      <c r="CK90" s="5">
        <v>39874</v>
      </c>
      <c r="CL90" s="4"/>
      <c r="CM90" s="4"/>
      <c r="CN90" s="4"/>
      <c r="CO90" s="4"/>
      <c r="CP90" s="4" t="s">
        <v>460</v>
      </c>
      <c r="CQ90" s="4"/>
      <c r="CR90" s="5">
        <v>39878</v>
      </c>
      <c r="CS90" s="4"/>
      <c r="CT90" s="4"/>
      <c r="CU90" s="4"/>
      <c r="CV90" s="4"/>
      <c r="CW90" s="4"/>
      <c r="CX90" s="4"/>
      <c r="CY90" s="4"/>
      <c r="CZ90" s="4"/>
      <c r="DA90" s="4"/>
      <c r="DB90" s="4"/>
      <c r="DC90" s="4"/>
      <c r="DD90" s="4"/>
      <c r="DE90" s="4"/>
      <c r="DF90" s="4"/>
      <c r="DG90" s="4"/>
      <c r="DH90" s="4"/>
      <c r="DI90" s="4"/>
      <c r="DJ90" s="4" t="b">
        <v>0</v>
      </c>
      <c r="DK90" s="4"/>
      <c r="DL90" s="4">
        <v>2667393</v>
      </c>
      <c r="DM90" s="4">
        <v>6493684</v>
      </c>
      <c r="DN90" s="4" t="s">
        <v>461</v>
      </c>
      <c r="DO90" s="4"/>
      <c r="DP90" s="4"/>
      <c r="DQ90" s="4" t="s">
        <v>148</v>
      </c>
      <c r="DR90" s="4"/>
      <c r="DS90" s="4"/>
      <c r="DT90" s="4"/>
      <c r="DU90" s="4"/>
      <c r="DV90" s="4"/>
      <c r="DW90" s="4"/>
      <c r="DX90" s="4"/>
      <c r="DY90" s="4"/>
      <c r="DZ90" s="5">
        <v>39624</v>
      </c>
      <c r="EA90" s="4"/>
      <c r="EB90" s="4"/>
      <c r="EC90" s="4"/>
      <c r="ED90" s="4"/>
      <c r="EE90" s="4"/>
      <c r="EF90" s="4"/>
      <c r="EG90" s="4"/>
      <c r="EH90" s="4"/>
      <c r="EI90" s="5">
        <v>39251</v>
      </c>
    </row>
    <row r="91" spans="1:139" hidden="1" x14ac:dyDescent="0.2">
      <c r="A91">
        <f>VLOOKUP(B91,Sheet1!$A$1:$B$18,2,FALSE)</f>
        <v>0</v>
      </c>
      <c r="B91" t="str">
        <f t="shared" si="1"/>
        <v>AKL</v>
      </c>
      <c r="C91" s="2">
        <v>90</v>
      </c>
      <c r="D91" s="3" t="str">
        <f>HYPERLINK("https://sitebase.nzcomms.co.nz/spm/spmnominalview/AKL-005-035/","AKL-005-035")</f>
        <v>AKL-005-035</v>
      </c>
      <c r="E91" s="4"/>
      <c r="F91" s="3" t="str">
        <f>HYPERLINK("https://sitebase.nzcomms.co.nz/spm/spmcandidateview/AKL-005-035-D/","AKL-005-035-D")</f>
        <v>AKL-005-035-D</v>
      </c>
      <c r="G91" s="4" t="s">
        <v>462</v>
      </c>
      <c r="H91" s="4" t="s">
        <v>353</v>
      </c>
      <c r="I91" s="4"/>
      <c r="J91" s="4" t="s">
        <v>139</v>
      </c>
      <c r="K91" s="4" t="s">
        <v>141</v>
      </c>
      <c r="L91" s="4" t="s">
        <v>189</v>
      </c>
      <c r="M91" s="4" t="s">
        <v>463</v>
      </c>
      <c r="N91" s="4" t="s">
        <v>274</v>
      </c>
      <c r="O91" s="4" t="s">
        <v>356</v>
      </c>
      <c r="P91" s="4"/>
      <c r="Q91" s="4"/>
      <c r="R91" s="4">
        <v>13.2</v>
      </c>
      <c r="S91" s="4">
        <v>13.2</v>
      </c>
      <c r="T91" s="4"/>
      <c r="U91" s="4">
        <v>-36.761527540000003</v>
      </c>
      <c r="V91" s="4">
        <v>174.73862804000001</v>
      </c>
      <c r="W91" s="4"/>
      <c r="X91" s="4"/>
      <c r="Y91" s="4"/>
      <c r="Z91" s="4"/>
      <c r="AA91" s="4" t="s">
        <v>171</v>
      </c>
      <c r="AB91" s="3" t="str">
        <f>HYPERLINK("https://sitebase.nzcomms.co.nz/spm/spmcandidateview/AKL-005-024-E/","AKL-005-024-E")</f>
        <v>AKL-005-024-E</v>
      </c>
      <c r="AC91" s="4"/>
      <c r="AD91" s="4"/>
      <c r="AE91" s="4"/>
      <c r="AF91" s="4"/>
      <c r="AG91" s="4"/>
      <c r="AH91" s="4" t="s">
        <v>395</v>
      </c>
      <c r="AI91" s="4"/>
      <c r="AJ91" s="4"/>
      <c r="AK91" s="4"/>
      <c r="AL91" s="4"/>
      <c r="AM91" s="4"/>
      <c r="AN91" s="5">
        <v>39702</v>
      </c>
      <c r="AO91" s="4">
        <v>4</v>
      </c>
      <c r="AP91" s="5">
        <v>39820</v>
      </c>
      <c r="AQ91" s="5">
        <v>39883</v>
      </c>
      <c r="AR91" s="4"/>
      <c r="AS91" s="4"/>
      <c r="AT91" s="5">
        <v>39933</v>
      </c>
      <c r="AU91" s="5">
        <v>39927</v>
      </c>
      <c r="AV91" s="4"/>
      <c r="AW91" s="5">
        <v>39941</v>
      </c>
      <c r="AX91" s="5">
        <v>40071</v>
      </c>
      <c r="AY91" s="4"/>
      <c r="AZ91" s="5">
        <v>39832</v>
      </c>
      <c r="BA91" s="4"/>
      <c r="BB91" s="5">
        <v>39892</v>
      </c>
      <c r="BC91" s="4"/>
      <c r="BD91" s="4"/>
      <c r="BE91" s="5">
        <v>39892</v>
      </c>
      <c r="BF91" s="5">
        <v>39884</v>
      </c>
      <c r="BG91" s="5">
        <v>39829</v>
      </c>
      <c r="BH91" s="5">
        <v>39805</v>
      </c>
      <c r="BI91" s="4"/>
      <c r="BJ91" s="5">
        <v>39864</v>
      </c>
      <c r="BK91" s="4">
        <v>1</v>
      </c>
      <c r="BL91" s="4">
        <v>2</v>
      </c>
      <c r="BM91" s="5">
        <v>39885</v>
      </c>
      <c r="BN91" s="5">
        <v>39864</v>
      </c>
      <c r="BO91" s="5">
        <v>39951</v>
      </c>
      <c r="BP91" s="4"/>
      <c r="BQ91" s="4"/>
      <c r="BR91" s="4"/>
      <c r="BS91" s="4"/>
      <c r="BT91" s="5">
        <v>39951</v>
      </c>
      <c r="BU91" s="5">
        <v>39951</v>
      </c>
      <c r="BV91" s="5">
        <v>39959</v>
      </c>
      <c r="BW91" s="5">
        <v>39959</v>
      </c>
      <c r="BX91" s="4"/>
      <c r="BY91" s="5">
        <v>39973</v>
      </c>
      <c r="BZ91" s="5">
        <v>39969</v>
      </c>
      <c r="CA91" s="4"/>
      <c r="CB91" s="4"/>
      <c r="CC91" s="4"/>
      <c r="CD91" s="4"/>
      <c r="CE91" s="4"/>
      <c r="CF91" s="4"/>
      <c r="CG91" s="4"/>
      <c r="CH91" s="4"/>
      <c r="CI91" s="5">
        <v>39976</v>
      </c>
      <c r="CJ91" s="5">
        <v>39976</v>
      </c>
      <c r="CK91" s="5">
        <v>39976</v>
      </c>
      <c r="CL91" s="4"/>
      <c r="CM91" s="4"/>
      <c r="CN91" s="4"/>
      <c r="CO91" s="4"/>
      <c r="CP91" s="4" t="s">
        <v>464</v>
      </c>
      <c r="CQ91" s="4"/>
      <c r="CR91" s="5">
        <v>39976</v>
      </c>
      <c r="CS91" s="4"/>
      <c r="CT91" s="4"/>
      <c r="CU91" s="4"/>
      <c r="CV91" s="4"/>
      <c r="CW91" s="5">
        <v>39948</v>
      </c>
      <c r="CX91" s="5">
        <v>39951</v>
      </c>
      <c r="CY91" s="4"/>
      <c r="CZ91" s="4"/>
      <c r="DA91" s="4"/>
      <c r="DB91" s="4"/>
      <c r="DC91" s="4"/>
      <c r="DD91" s="4"/>
      <c r="DE91" s="4"/>
      <c r="DF91" s="4"/>
      <c r="DG91" s="4"/>
      <c r="DH91" s="4"/>
      <c r="DI91" s="4"/>
      <c r="DJ91" s="4" t="b">
        <v>0</v>
      </c>
      <c r="DK91" s="4"/>
      <c r="DL91" s="4">
        <v>2665640</v>
      </c>
      <c r="DM91" s="4">
        <v>6491875</v>
      </c>
      <c r="DN91" s="4" t="s">
        <v>465</v>
      </c>
      <c r="DO91" s="4"/>
      <c r="DP91" s="4"/>
      <c r="DQ91" s="4" t="s">
        <v>148</v>
      </c>
      <c r="DR91" s="4"/>
      <c r="DS91" s="4"/>
      <c r="DT91" s="5">
        <v>41887</v>
      </c>
      <c r="DU91" s="4"/>
      <c r="DV91" s="4"/>
      <c r="DW91" s="4"/>
      <c r="DX91" s="4"/>
      <c r="DY91" s="5">
        <v>39951</v>
      </c>
      <c r="DZ91" s="5">
        <v>39951</v>
      </c>
      <c r="EA91" s="4"/>
      <c r="EB91" s="4"/>
      <c r="EC91" s="4"/>
      <c r="ED91" s="4"/>
      <c r="EE91" s="4"/>
      <c r="EF91" s="4"/>
      <c r="EG91" s="4"/>
      <c r="EH91" s="4"/>
      <c r="EI91" s="5">
        <v>39692</v>
      </c>
    </row>
    <row r="92" spans="1:139" hidden="1" x14ac:dyDescent="0.2">
      <c r="A92">
        <f>VLOOKUP(B92,Sheet1!$A$1:$B$18,2,FALSE)</f>
        <v>0</v>
      </c>
      <c r="B92" t="str">
        <f t="shared" si="1"/>
        <v>AKL</v>
      </c>
      <c r="C92" s="2">
        <v>91</v>
      </c>
      <c r="D92" s="3" t="str">
        <f>HYPERLINK("https://sitebase.nzcomms.co.nz/spm/spmnominalview/AKL-005-036/","AKL-005-036")</f>
        <v>AKL-005-036</v>
      </c>
      <c r="E92" s="4"/>
      <c r="F92" s="3" t="str">
        <f>HYPERLINK("https://sitebase.nzcomms.co.nz/spm/spmcandidateview/AKL-005-036-C/","AKL-005-036-C")</f>
        <v>AKL-005-036-C</v>
      </c>
      <c r="G92" s="4" t="s">
        <v>466</v>
      </c>
      <c r="H92" s="4" t="s">
        <v>353</v>
      </c>
      <c r="I92" s="4"/>
      <c r="J92" s="4" t="s">
        <v>139</v>
      </c>
      <c r="K92" s="4" t="s">
        <v>141</v>
      </c>
      <c r="L92" s="4" t="s">
        <v>189</v>
      </c>
      <c r="M92" s="4" t="s">
        <v>354</v>
      </c>
      <c r="N92" s="4" t="s">
        <v>355</v>
      </c>
      <c r="O92" s="4" t="s">
        <v>356</v>
      </c>
      <c r="P92" s="4"/>
      <c r="Q92" s="4"/>
      <c r="R92" s="4">
        <v>10</v>
      </c>
      <c r="S92" s="4">
        <v>10</v>
      </c>
      <c r="T92" s="4"/>
      <c r="U92" s="4">
        <v>-36.730697190000001</v>
      </c>
      <c r="V92" s="4">
        <v>174.72397939999999</v>
      </c>
      <c r="W92" s="4"/>
      <c r="X92" s="4"/>
      <c r="Y92" s="4"/>
      <c r="Z92" s="4"/>
      <c r="AA92" s="4" t="s">
        <v>446</v>
      </c>
      <c r="AB92" s="4" t="s">
        <v>451</v>
      </c>
      <c r="AC92" s="4"/>
      <c r="AD92" s="4"/>
      <c r="AE92" s="4"/>
      <c r="AF92" s="4"/>
      <c r="AG92" s="4"/>
      <c r="AH92" s="4" t="s">
        <v>395</v>
      </c>
      <c r="AI92" s="4"/>
      <c r="AJ92" s="4"/>
      <c r="AK92" s="4"/>
      <c r="AL92" s="4"/>
      <c r="AM92" s="4"/>
      <c r="AN92" s="5">
        <v>39359</v>
      </c>
      <c r="AO92" s="4">
        <v>1</v>
      </c>
      <c r="AP92" s="4"/>
      <c r="AQ92" s="5">
        <v>39359</v>
      </c>
      <c r="AR92" s="4"/>
      <c r="AS92" s="4"/>
      <c r="AT92" s="5">
        <v>39503</v>
      </c>
      <c r="AU92" s="5">
        <v>39503</v>
      </c>
      <c r="AV92" s="4">
        <v>1</v>
      </c>
      <c r="AW92" s="5">
        <v>39503</v>
      </c>
      <c r="AX92" s="5">
        <v>39503</v>
      </c>
      <c r="AY92" s="4"/>
      <c r="AZ92" s="4"/>
      <c r="BA92" s="4"/>
      <c r="BB92" s="5">
        <v>39721</v>
      </c>
      <c r="BC92" s="4"/>
      <c r="BD92" s="4"/>
      <c r="BE92" s="5">
        <v>39678</v>
      </c>
      <c r="BF92" s="5">
        <v>39678</v>
      </c>
      <c r="BG92" s="4"/>
      <c r="BH92" s="5">
        <v>39504</v>
      </c>
      <c r="BI92" s="4"/>
      <c r="BJ92" s="5">
        <v>39567</v>
      </c>
      <c r="BK92" s="4">
        <v>2</v>
      </c>
      <c r="BL92" s="4">
        <v>1</v>
      </c>
      <c r="BM92" s="5">
        <v>39580</v>
      </c>
      <c r="BN92" s="5">
        <v>39580</v>
      </c>
      <c r="BO92" s="4"/>
      <c r="BP92" s="4"/>
      <c r="BQ92" s="4"/>
      <c r="BR92" s="4"/>
      <c r="BS92" s="4"/>
      <c r="BT92" s="4"/>
      <c r="BU92" s="5">
        <v>39685</v>
      </c>
      <c r="BV92" s="5">
        <v>39696</v>
      </c>
      <c r="BW92" s="5">
        <v>39696</v>
      </c>
      <c r="BX92" s="4"/>
      <c r="BY92" s="5">
        <v>39703</v>
      </c>
      <c r="BZ92" s="5">
        <v>39696</v>
      </c>
      <c r="CA92" s="4"/>
      <c r="CB92" s="4"/>
      <c r="CC92" s="4"/>
      <c r="CD92" s="4"/>
      <c r="CE92" s="4"/>
      <c r="CF92" s="4"/>
      <c r="CG92" s="4"/>
      <c r="CH92" s="4"/>
      <c r="CI92" s="5">
        <v>39895</v>
      </c>
      <c r="CJ92" s="5">
        <v>39902</v>
      </c>
      <c r="CK92" s="5">
        <v>39895</v>
      </c>
      <c r="CL92" s="4"/>
      <c r="CM92" s="4"/>
      <c r="CN92" s="4"/>
      <c r="CO92" s="4"/>
      <c r="CP92" s="4" t="s">
        <v>157</v>
      </c>
      <c r="CQ92" s="4"/>
      <c r="CR92" s="5">
        <v>39902</v>
      </c>
      <c r="CS92" s="4"/>
      <c r="CT92" s="4"/>
      <c r="CU92" s="4"/>
      <c r="CV92" s="4"/>
      <c r="CW92" s="4"/>
      <c r="CX92" s="4"/>
      <c r="CY92" s="4"/>
      <c r="CZ92" s="4"/>
      <c r="DA92" s="4"/>
      <c r="DB92" s="4"/>
      <c r="DC92" s="4"/>
      <c r="DD92" s="4"/>
      <c r="DE92" s="4"/>
      <c r="DF92" s="4"/>
      <c r="DG92" s="4"/>
      <c r="DH92" s="4"/>
      <c r="DI92" s="4"/>
      <c r="DJ92" s="4" t="b">
        <v>0</v>
      </c>
      <c r="DK92" s="4"/>
      <c r="DL92" s="4">
        <v>2664401</v>
      </c>
      <c r="DM92" s="4">
        <v>6495322</v>
      </c>
      <c r="DN92" s="4" t="s">
        <v>467</v>
      </c>
      <c r="DO92" s="4"/>
      <c r="DP92" s="4"/>
      <c r="DQ92" s="4" t="s">
        <v>148</v>
      </c>
      <c r="DR92" s="4"/>
      <c r="DS92" s="4"/>
      <c r="DT92" s="5">
        <v>41887</v>
      </c>
      <c r="DU92" s="4"/>
      <c r="DV92" s="4"/>
      <c r="DW92" s="4"/>
      <c r="DX92" s="4"/>
      <c r="DY92" s="4"/>
      <c r="DZ92" s="5">
        <v>39681</v>
      </c>
      <c r="EA92" s="4"/>
      <c r="EB92" s="4"/>
      <c r="EC92" s="4"/>
      <c r="ED92" s="4"/>
      <c r="EE92" s="4"/>
      <c r="EF92" s="4"/>
      <c r="EG92" s="4"/>
      <c r="EH92" s="4"/>
      <c r="EI92" s="5">
        <v>39346</v>
      </c>
    </row>
    <row r="93" spans="1:139" hidden="1" x14ac:dyDescent="0.2">
      <c r="A93">
        <f>VLOOKUP(B93,Sheet1!$A$1:$B$18,2,FALSE)</f>
        <v>0</v>
      </c>
      <c r="B93" t="str">
        <f t="shared" si="1"/>
        <v>AKL</v>
      </c>
      <c r="C93" s="2">
        <v>92</v>
      </c>
      <c r="D93" s="3" t="str">
        <f>HYPERLINK("https://sitebase.nzcomms.co.nz/spm/spmnominalview/AKL-005-037/","AKL-005-037")</f>
        <v>AKL-005-037</v>
      </c>
      <c r="E93" s="4" t="s">
        <v>468</v>
      </c>
      <c r="F93" s="3" t="str">
        <f>HYPERLINK("https://sitebase.nzcomms.co.nz/spm/spmcandidateview/AKL-005-037-E/","AKL-005-037-E")</f>
        <v>AKL-005-037-E</v>
      </c>
      <c r="G93" s="4" t="s">
        <v>469</v>
      </c>
      <c r="H93" s="4" t="s">
        <v>353</v>
      </c>
      <c r="I93" s="4">
        <v>3</v>
      </c>
      <c r="J93" s="4" t="s">
        <v>139</v>
      </c>
      <c r="K93" s="4" t="s">
        <v>141</v>
      </c>
      <c r="L93" s="4" t="s">
        <v>181</v>
      </c>
      <c r="M93" s="4" t="s">
        <v>378</v>
      </c>
      <c r="N93" s="4" t="s">
        <v>364</v>
      </c>
      <c r="O93" s="4" t="s">
        <v>144</v>
      </c>
      <c r="P93" s="4"/>
      <c r="Q93" s="4"/>
      <c r="R93" s="4">
        <v>6</v>
      </c>
      <c r="S93" s="4">
        <v>6</v>
      </c>
      <c r="T93" s="4"/>
      <c r="U93" s="4">
        <v>-36.79500762</v>
      </c>
      <c r="V93" s="4">
        <v>174.76469703999999</v>
      </c>
      <c r="W93" s="4"/>
      <c r="X93" s="4"/>
      <c r="Y93" s="4"/>
      <c r="Z93" s="4"/>
      <c r="AA93" s="4" t="s">
        <v>446</v>
      </c>
      <c r="AB93" s="4" t="s">
        <v>470</v>
      </c>
      <c r="AC93" s="4" t="b">
        <v>0</v>
      </c>
      <c r="AD93" s="4" t="b">
        <v>0</v>
      </c>
      <c r="AE93" s="4"/>
      <c r="AF93" s="4"/>
      <c r="AG93" s="4" t="b">
        <v>0</v>
      </c>
      <c r="AH93" s="4" t="s">
        <v>395</v>
      </c>
      <c r="AI93" s="4"/>
      <c r="AJ93" s="4"/>
      <c r="AK93" s="4"/>
      <c r="AL93" s="4"/>
      <c r="AM93" s="4"/>
      <c r="AN93" s="5">
        <v>39388</v>
      </c>
      <c r="AO93" s="4">
        <v>1</v>
      </c>
      <c r="AP93" s="5">
        <v>39388</v>
      </c>
      <c r="AQ93" s="5">
        <v>39388</v>
      </c>
      <c r="AR93" s="4"/>
      <c r="AS93" s="4"/>
      <c r="AT93" s="5">
        <v>39416</v>
      </c>
      <c r="AU93" s="5">
        <v>39416</v>
      </c>
      <c r="AV93" s="4">
        <v>1</v>
      </c>
      <c r="AW93" s="5">
        <v>39416</v>
      </c>
      <c r="AX93" s="5">
        <v>39416</v>
      </c>
      <c r="AY93" s="4"/>
      <c r="AZ93" s="4"/>
      <c r="BA93" s="4"/>
      <c r="BB93" s="5">
        <v>39468</v>
      </c>
      <c r="BC93" s="4"/>
      <c r="BD93" s="4"/>
      <c r="BE93" s="5">
        <v>39468</v>
      </c>
      <c r="BF93" s="5">
        <v>39468</v>
      </c>
      <c r="BG93" s="4"/>
      <c r="BH93" s="5">
        <v>39398</v>
      </c>
      <c r="BI93" s="4"/>
      <c r="BJ93" s="5">
        <v>39467</v>
      </c>
      <c r="BK93" s="4">
        <v>1</v>
      </c>
      <c r="BL93" s="4">
        <v>1</v>
      </c>
      <c r="BM93" s="5">
        <v>39467</v>
      </c>
      <c r="BN93" s="5">
        <v>39467</v>
      </c>
      <c r="BO93" s="4"/>
      <c r="BP93" s="4"/>
      <c r="BQ93" s="4"/>
      <c r="BR93" s="4"/>
      <c r="BS93" s="4"/>
      <c r="BT93" s="4"/>
      <c r="BU93" s="5">
        <v>39542</v>
      </c>
      <c r="BV93" s="5">
        <v>39556</v>
      </c>
      <c r="BW93" s="5">
        <v>39556</v>
      </c>
      <c r="BX93" s="4"/>
      <c r="BY93" s="5">
        <v>39577</v>
      </c>
      <c r="BZ93" s="5">
        <v>39587</v>
      </c>
      <c r="CA93" s="4"/>
      <c r="CB93" s="4"/>
      <c r="CC93" s="4"/>
      <c r="CD93" s="4"/>
      <c r="CE93" s="4"/>
      <c r="CF93" s="4"/>
      <c r="CG93" s="4"/>
      <c r="CH93" s="4"/>
      <c r="CI93" s="5">
        <v>39931</v>
      </c>
      <c r="CJ93" s="5">
        <v>39931</v>
      </c>
      <c r="CK93" s="5">
        <v>39931</v>
      </c>
      <c r="CL93" s="4"/>
      <c r="CM93" s="4"/>
      <c r="CN93" s="4"/>
      <c r="CO93" s="4"/>
      <c r="CP93" s="4" t="s">
        <v>471</v>
      </c>
      <c r="CQ93" s="4"/>
      <c r="CR93" s="5">
        <v>39931</v>
      </c>
      <c r="CS93" s="4"/>
      <c r="CT93" s="4"/>
      <c r="CU93" s="4"/>
      <c r="CV93" s="4"/>
      <c r="CW93" s="4"/>
      <c r="CX93" s="4"/>
      <c r="CY93" s="4"/>
      <c r="CZ93" s="4"/>
      <c r="DA93" s="4"/>
      <c r="DB93" s="4"/>
      <c r="DC93" s="4"/>
      <c r="DD93" s="4"/>
      <c r="DE93" s="4"/>
      <c r="DF93" s="4"/>
      <c r="DG93" s="4"/>
      <c r="DH93" s="4"/>
      <c r="DI93" s="4"/>
      <c r="DJ93" s="4" t="b">
        <v>0</v>
      </c>
      <c r="DK93" s="4"/>
      <c r="DL93" s="4">
        <v>2667891</v>
      </c>
      <c r="DM93" s="4">
        <v>6488113</v>
      </c>
      <c r="DN93" s="4" t="s">
        <v>472</v>
      </c>
      <c r="DO93" s="4"/>
      <c r="DP93" s="4"/>
      <c r="DQ93" s="4" t="s">
        <v>148</v>
      </c>
      <c r="DR93" s="4"/>
      <c r="DS93" s="4"/>
      <c r="DT93" s="5">
        <v>41887</v>
      </c>
      <c r="DU93" s="4"/>
      <c r="DV93" s="4"/>
      <c r="DW93" s="4"/>
      <c r="DX93" s="4"/>
      <c r="DY93" s="4"/>
      <c r="DZ93" s="5">
        <v>39469</v>
      </c>
      <c r="EA93" s="4"/>
      <c r="EB93" s="4"/>
      <c r="EC93" s="4"/>
      <c r="ED93" s="4"/>
      <c r="EE93" s="4"/>
      <c r="EF93" s="4"/>
      <c r="EG93" s="4"/>
      <c r="EH93" s="4"/>
      <c r="EI93" s="5">
        <v>39321</v>
      </c>
    </row>
    <row r="94" spans="1:139" hidden="1" x14ac:dyDescent="0.2">
      <c r="A94">
        <f>VLOOKUP(B94,Sheet1!$A$1:$B$18,2,FALSE)</f>
        <v>0</v>
      </c>
      <c r="B94" t="str">
        <f t="shared" si="1"/>
        <v>AKL</v>
      </c>
      <c r="C94" s="2">
        <v>93</v>
      </c>
      <c r="D94" s="3" t="str">
        <f>HYPERLINK("https://sitebase.nzcomms.co.nz/spm/spmnominalview/AKL-005-038/","AKL-005-038")</f>
        <v>AKL-005-038</v>
      </c>
      <c r="E94" s="4"/>
      <c r="F94" s="3" t="str">
        <f>HYPERLINK("https://sitebase.nzcomms.co.nz/spm/spmcandidateview/AKL-005-038-A/","AKL-005-038-A")</f>
        <v>AKL-005-038-A</v>
      </c>
      <c r="G94" s="4" t="s">
        <v>473</v>
      </c>
      <c r="H94" s="4" t="s">
        <v>353</v>
      </c>
      <c r="I94" s="4"/>
      <c r="J94" s="4" t="s">
        <v>139</v>
      </c>
      <c r="K94" s="4" t="s">
        <v>141</v>
      </c>
      <c r="L94" s="4" t="s">
        <v>189</v>
      </c>
      <c r="M94" s="4" t="s">
        <v>354</v>
      </c>
      <c r="N94" s="4" t="s">
        <v>355</v>
      </c>
      <c r="O94" s="4" t="s">
        <v>356</v>
      </c>
      <c r="P94" s="4"/>
      <c r="Q94" s="4"/>
      <c r="R94" s="4">
        <v>10.5</v>
      </c>
      <c r="S94" s="4">
        <v>10.5</v>
      </c>
      <c r="T94" s="4"/>
      <c r="U94" s="4">
        <v>-36.758981679999998</v>
      </c>
      <c r="V94" s="4">
        <v>174.71996949999999</v>
      </c>
      <c r="W94" s="4"/>
      <c r="X94" s="4"/>
      <c r="Y94" s="4"/>
      <c r="Z94" s="4"/>
      <c r="AA94" s="4" t="s">
        <v>152</v>
      </c>
      <c r="AB94" s="3" t="str">
        <f>HYPERLINK("https://sitebase.nzcomms.co.nz/spm/spmcandidateview/AKL-007-106-A/","AKL-007-106-A")</f>
        <v>AKL-007-106-A</v>
      </c>
      <c r="AC94" s="4"/>
      <c r="AD94" s="4"/>
      <c r="AE94" s="4"/>
      <c r="AF94" s="4"/>
      <c r="AG94" s="4"/>
      <c r="AH94" s="4"/>
      <c r="AI94" s="4"/>
      <c r="AJ94" s="4"/>
      <c r="AK94" s="4"/>
      <c r="AL94" s="4"/>
      <c r="AM94" s="4"/>
      <c r="AN94" s="5">
        <v>39385</v>
      </c>
      <c r="AO94" s="4">
        <v>2</v>
      </c>
      <c r="AP94" s="5">
        <v>39385</v>
      </c>
      <c r="AQ94" s="5">
        <v>39903</v>
      </c>
      <c r="AR94" s="4"/>
      <c r="AS94" s="4"/>
      <c r="AT94" s="5">
        <v>39506</v>
      </c>
      <c r="AU94" s="5">
        <v>39506</v>
      </c>
      <c r="AV94" s="4">
        <v>1</v>
      </c>
      <c r="AW94" s="5">
        <v>39506</v>
      </c>
      <c r="AX94" s="5">
        <v>39506</v>
      </c>
      <c r="AY94" s="4"/>
      <c r="AZ94" s="4"/>
      <c r="BA94" s="4"/>
      <c r="BB94" s="5">
        <v>39691</v>
      </c>
      <c r="BC94" s="4"/>
      <c r="BD94" s="4"/>
      <c r="BE94" s="5">
        <v>39636</v>
      </c>
      <c r="BF94" s="5">
        <v>39636</v>
      </c>
      <c r="BG94" s="4"/>
      <c r="BH94" s="5">
        <v>39504</v>
      </c>
      <c r="BI94" s="4"/>
      <c r="BJ94" s="5">
        <v>39535</v>
      </c>
      <c r="BK94" s="4">
        <v>2</v>
      </c>
      <c r="BL94" s="4">
        <v>1</v>
      </c>
      <c r="BM94" s="5">
        <v>39671</v>
      </c>
      <c r="BN94" s="5">
        <v>39671</v>
      </c>
      <c r="BO94" s="4"/>
      <c r="BP94" s="4"/>
      <c r="BQ94" s="4"/>
      <c r="BR94" s="4"/>
      <c r="BS94" s="4"/>
      <c r="BT94" s="4"/>
      <c r="BU94" s="5">
        <v>39678</v>
      </c>
      <c r="BV94" s="5">
        <v>39710</v>
      </c>
      <c r="BW94" s="5">
        <v>39703</v>
      </c>
      <c r="BX94" s="4"/>
      <c r="BY94" s="5">
        <v>39724</v>
      </c>
      <c r="BZ94" s="5">
        <v>39706</v>
      </c>
      <c r="CA94" s="4"/>
      <c r="CB94" s="4"/>
      <c r="CC94" s="4"/>
      <c r="CD94" s="4"/>
      <c r="CE94" s="4"/>
      <c r="CF94" s="4"/>
      <c r="CG94" s="4"/>
      <c r="CH94" s="4"/>
      <c r="CI94" s="5">
        <v>39896</v>
      </c>
      <c r="CJ94" s="5">
        <v>39899</v>
      </c>
      <c r="CK94" s="5">
        <v>39896</v>
      </c>
      <c r="CL94" s="4"/>
      <c r="CM94" s="4"/>
      <c r="CN94" s="4"/>
      <c r="CO94" s="4"/>
      <c r="CP94" s="4" t="s">
        <v>474</v>
      </c>
      <c r="CQ94" s="4"/>
      <c r="CR94" s="5">
        <v>39899</v>
      </c>
      <c r="CS94" s="4"/>
      <c r="CT94" s="4"/>
      <c r="CU94" s="4"/>
      <c r="CV94" s="4"/>
      <c r="CW94" s="4"/>
      <c r="CX94" s="4"/>
      <c r="CY94" s="4"/>
      <c r="CZ94" s="4"/>
      <c r="DA94" s="4"/>
      <c r="DB94" s="4"/>
      <c r="DC94" s="4"/>
      <c r="DD94" s="4"/>
      <c r="DE94" s="4"/>
      <c r="DF94" s="4"/>
      <c r="DG94" s="4"/>
      <c r="DH94" s="4"/>
      <c r="DI94" s="4"/>
      <c r="DJ94" s="4" t="b">
        <v>0</v>
      </c>
      <c r="DK94" s="4"/>
      <c r="DL94" s="4">
        <v>2663980</v>
      </c>
      <c r="DM94" s="4">
        <v>6492191</v>
      </c>
      <c r="DN94" s="4" t="s">
        <v>475</v>
      </c>
      <c r="DO94" s="4"/>
      <c r="DP94" s="4"/>
      <c r="DQ94" s="4" t="s">
        <v>148</v>
      </c>
      <c r="DR94" s="4"/>
      <c r="DS94" s="4"/>
      <c r="DT94" s="5">
        <v>41887</v>
      </c>
      <c r="DU94" s="4"/>
      <c r="DV94" s="4"/>
      <c r="DW94" s="4"/>
      <c r="DX94" s="4"/>
      <c r="DY94" s="4"/>
      <c r="DZ94" s="5">
        <v>39665</v>
      </c>
      <c r="EA94" s="4"/>
      <c r="EB94" s="4"/>
      <c r="EC94" s="4"/>
      <c r="ED94" s="4"/>
      <c r="EE94" s="4"/>
      <c r="EF94" s="4"/>
      <c r="EG94" s="4"/>
      <c r="EH94" s="4"/>
      <c r="EI94" s="5">
        <v>39346</v>
      </c>
    </row>
    <row r="95" spans="1:139" hidden="1" x14ac:dyDescent="0.2">
      <c r="A95">
        <f>VLOOKUP(B95,Sheet1!$A$1:$B$18,2,FALSE)</f>
        <v>0</v>
      </c>
      <c r="B95" t="str">
        <f t="shared" si="1"/>
        <v>AKL</v>
      </c>
      <c r="C95" s="2">
        <v>94</v>
      </c>
      <c r="D95" s="3" t="str">
        <f>HYPERLINK("https://sitebase.nzcomms.co.nz/spm/spmnominalview/AKL-005-039/","AKL-005-039")</f>
        <v>AKL-005-039</v>
      </c>
      <c r="E95" s="4"/>
      <c r="F95" s="3" t="str">
        <f>HYPERLINK("https://sitebase.nzcomms.co.nz/spm/spmcandidateview/AKL-005-039-D/","AKL-005-039-D")</f>
        <v>AKL-005-039-D</v>
      </c>
      <c r="G95" s="4" t="s">
        <v>476</v>
      </c>
      <c r="H95" s="4" t="s">
        <v>353</v>
      </c>
      <c r="I95" s="4"/>
      <c r="J95" s="4" t="s">
        <v>139</v>
      </c>
      <c r="K95" s="4" t="s">
        <v>141</v>
      </c>
      <c r="L95" s="4" t="s">
        <v>189</v>
      </c>
      <c r="M95" s="4" t="s">
        <v>143</v>
      </c>
      <c r="N95" s="4" t="s">
        <v>355</v>
      </c>
      <c r="O95" s="4" t="s">
        <v>356</v>
      </c>
      <c r="P95" s="4"/>
      <c r="Q95" s="4"/>
      <c r="R95" s="4">
        <v>15</v>
      </c>
      <c r="S95" s="4">
        <v>15</v>
      </c>
      <c r="T95" s="4"/>
      <c r="U95" s="4">
        <v>-36.726066410000001</v>
      </c>
      <c r="V95" s="4">
        <v>174.73996471000001</v>
      </c>
      <c r="W95" s="4"/>
      <c r="X95" s="4"/>
      <c r="Y95" s="4"/>
      <c r="Z95" s="4"/>
      <c r="AA95" s="4" t="s">
        <v>477</v>
      </c>
      <c r="AB95" s="4" t="s">
        <v>478</v>
      </c>
      <c r="AC95" s="4"/>
      <c r="AD95" s="4"/>
      <c r="AE95" s="4"/>
      <c r="AF95" s="4"/>
      <c r="AG95" s="4"/>
      <c r="AH95" s="4"/>
      <c r="AI95" s="4"/>
      <c r="AJ95" s="4"/>
      <c r="AK95" s="4"/>
      <c r="AL95" s="4"/>
      <c r="AM95" s="4"/>
      <c r="AN95" s="5">
        <v>39365</v>
      </c>
      <c r="AO95" s="4">
        <v>1</v>
      </c>
      <c r="AP95" s="4"/>
      <c r="AQ95" s="5">
        <v>39365</v>
      </c>
      <c r="AR95" s="4"/>
      <c r="AS95" s="4"/>
      <c r="AT95" s="5">
        <v>39506</v>
      </c>
      <c r="AU95" s="5">
        <v>39506</v>
      </c>
      <c r="AV95" s="4">
        <v>1</v>
      </c>
      <c r="AW95" s="5">
        <v>39506</v>
      </c>
      <c r="AX95" s="5">
        <v>39506</v>
      </c>
      <c r="AY95" s="4"/>
      <c r="AZ95" s="4"/>
      <c r="BA95" s="4"/>
      <c r="BB95" s="5">
        <v>39782</v>
      </c>
      <c r="BC95" s="4"/>
      <c r="BD95" s="4"/>
      <c r="BE95" s="5">
        <v>39766</v>
      </c>
      <c r="BF95" s="5">
        <v>39766</v>
      </c>
      <c r="BG95" s="4"/>
      <c r="BH95" s="5">
        <v>39504</v>
      </c>
      <c r="BI95" s="4"/>
      <c r="BJ95" s="5">
        <v>39535</v>
      </c>
      <c r="BK95" s="4">
        <v>1</v>
      </c>
      <c r="BL95" s="4">
        <v>1</v>
      </c>
      <c r="BM95" s="5">
        <v>39535</v>
      </c>
      <c r="BN95" s="5">
        <v>39535</v>
      </c>
      <c r="BO95" s="4"/>
      <c r="BP95" s="4"/>
      <c r="BQ95" s="4"/>
      <c r="BR95" s="4"/>
      <c r="BS95" s="4"/>
      <c r="BT95" s="4"/>
      <c r="BU95" s="5">
        <v>39797</v>
      </c>
      <c r="BV95" s="5">
        <v>39804</v>
      </c>
      <c r="BW95" s="5">
        <v>39804</v>
      </c>
      <c r="BX95" s="4"/>
      <c r="BY95" s="5">
        <v>39804</v>
      </c>
      <c r="BZ95" s="5">
        <v>39804</v>
      </c>
      <c r="CA95" s="4"/>
      <c r="CB95" s="4"/>
      <c r="CC95" s="4"/>
      <c r="CD95" s="4"/>
      <c r="CE95" s="4"/>
      <c r="CF95" s="4"/>
      <c r="CG95" s="4"/>
      <c r="CH95" s="4"/>
      <c r="CI95" s="5">
        <v>39947</v>
      </c>
      <c r="CJ95" s="5">
        <v>39946</v>
      </c>
      <c r="CK95" s="5">
        <v>39947</v>
      </c>
      <c r="CL95" s="4"/>
      <c r="CM95" s="4"/>
      <c r="CN95" s="4"/>
      <c r="CO95" s="4"/>
      <c r="CP95" s="4" t="s">
        <v>157</v>
      </c>
      <c r="CQ95" s="4"/>
      <c r="CR95" s="5">
        <v>39946</v>
      </c>
      <c r="CS95" s="4"/>
      <c r="CT95" s="4"/>
      <c r="CU95" s="4"/>
      <c r="CV95" s="4"/>
      <c r="CW95" s="4"/>
      <c r="CX95" s="4"/>
      <c r="CY95" s="4"/>
      <c r="CZ95" s="4"/>
      <c r="DA95" s="4"/>
      <c r="DB95" s="4"/>
      <c r="DC95" s="4"/>
      <c r="DD95" s="4"/>
      <c r="DE95" s="4"/>
      <c r="DF95" s="4"/>
      <c r="DG95" s="4"/>
      <c r="DH95" s="4"/>
      <c r="DI95" s="4"/>
      <c r="DJ95" s="4" t="b">
        <v>0</v>
      </c>
      <c r="DK95" s="4"/>
      <c r="DL95" s="4">
        <v>2665839</v>
      </c>
      <c r="DM95" s="4">
        <v>6495807</v>
      </c>
      <c r="DN95" s="4" t="s">
        <v>479</v>
      </c>
      <c r="DO95" s="4"/>
      <c r="DP95" s="4"/>
      <c r="DQ95" s="4" t="s">
        <v>148</v>
      </c>
      <c r="DR95" s="4"/>
      <c r="DS95" s="4"/>
      <c r="DT95" s="4"/>
      <c r="DU95" s="4"/>
      <c r="DV95" s="4"/>
      <c r="DW95" s="4"/>
      <c r="DX95" s="4"/>
      <c r="DY95" s="4"/>
      <c r="DZ95" s="5">
        <v>39784</v>
      </c>
      <c r="EA95" s="4"/>
      <c r="EB95" s="4"/>
      <c r="EC95" s="4"/>
      <c r="ED95" s="4"/>
      <c r="EE95" s="4"/>
      <c r="EF95" s="4"/>
      <c r="EG95" s="4"/>
      <c r="EH95" s="4"/>
      <c r="EI95" s="5">
        <v>39346</v>
      </c>
    </row>
    <row r="96" spans="1:139" hidden="1" x14ac:dyDescent="0.2">
      <c r="A96">
        <f>VLOOKUP(B96,Sheet1!$A$1:$B$18,2,FALSE)</f>
        <v>0</v>
      </c>
      <c r="B96" t="str">
        <f t="shared" si="1"/>
        <v>AKL</v>
      </c>
      <c r="C96" s="2">
        <v>95</v>
      </c>
      <c r="D96" s="3" t="str">
        <f>HYPERLINK("https://sitebase.nzcomms.co.nz/spm/spmnominalview/AKL-005-041/","AKL-005-041")</f>
        <v>AKL-005-041</v>
      </c>
      <c r="E96" s="4"/>
      <c r="F96" s="3" t="str">
        <f>HYPERLINK("https://sitebase.nzcomms.co.nz/spm/spmcandidateview/AKL-005-041-A/","AKL-005-041-A")</f>
        <v>AKL-005-041-A</v>
      </c>
      <c r="G96" s="4" t="s">
        <v>480</v>
      </c>
      <c r="H96" s="4" t="s">
        <v>353</v>
      </c>
      <c r="I96" s="4"/>
      <c r="J96" s="4" t="s">
        <v>139</v>
      </c>
      <c r="K96" s="4" t="s">
        <v>141</v>
      </c>
      <c r="L96" s="4" t="s">
        <v>189</v>
      </c>
      <c r="M96" s="4" t="s">
        <v>354</v>
      </c>
      <c r="N96" s="4" t="s">
        <v>355</v>
      </c>
      <c r="O96" s="4" t="s">
        <v>356</v>
      </c>
      <c r="P96" s="4"/>
      <c r="Q96" s="4"/>
      <c r="R96" s="4">
        <v>12.5</v>
      </c>
      <c r="S96" s="4">
        <v>12.5</v>
      </c>
      <c r="T96" s="4"/>
      <c r="U96" s="4">
        <v>-36.73267826</v>
      </c>
      <c r="V96" s="4">
        <v>174.73354684</v>
      </c>
      <c r="W96" s="4"/>
      <c r="X96" s="4"/>
      <c r="Y96" s="4"/>
      <c r="Z96" s="4"/>
      <c r="AA96" s="4" t="s">
        <v>171</v>
      </c>
      <c r="AB96" s="3" t="str">
        <f>HYPERLINK("https://sitebase.nzcomms.co.nz/spm/spmcandidateview/AKL-005-027-F/","AKL-005-027-F")</f>
        <v>AKL-005-027-F</v>
      </c>
      <c r="AC96" s="4"/>
      <c r="AD96" s="4"/>
      <c r="AE96" s="4"/>
      <c r="AF96" s="4"/>
      <c r="AG96" s="4"/>
      <c r="AH96" s="4" t="s">
        <v>360</v>
      </c>
      <c r="AI96" s="4"/>
      <c r="AJ96" s="4"/>
      <c r="AK96" s="4"/>
      <c r="AL96" s="4"/>
      <c r="AM96" s="4"/>
      <c r="AN96" s="5">
        <v>39374</v>
      </c>
      <c r="AO96" s="4">
        <v>3</v>
      </c>
      <c r="AP96" s="4"/>
      <c r="AQ96" s="5">
        <v>39671</v>
      </c>
      <c r="AR96" s="4"/>
      <c r="AS96" s="4"/>
      <c r="AT96" s="5">
        <v>39506</v>
      </c>
      <c r="AU96" s="5">
        <v>39506</v>
      </c>
      <c r="AV96" s="4">
        <v>3</v>
      </c>
      <c r="AW96" s="5">
        <v>39506</v>
      </c>
      <c r="AX96" s="5">
        <v>39506</v>
      </c>
      <c r="AY96" s="4"/>
      <c r="AZ96" s="4"/>
      <c r="BA96" s="4"/>
      <c r="BB96" s="5">
        <v>39660</v>
      </c>
      <c r="BC96" s="4"/>
      <c r="BD96" s="4"/>
      <c r="BE96" s="5">
        <v>39660</v>
      </c>
      <c r="BF96" s="5">
        <v>39660</v>
      </c>
      <c r="BG96" s="4"/>
      <c r="BH96" s="5">
        <v>39504</v>
      </c>
      <c r="BI96" s="4"/>
      <c r="BJ96" s="5">
        <v>39594</v>
      </c>
      <c r="BK96" s="4">
        <v>1</v>
      </c>
      <c r="BL96" s="4">
        <v>3</v>
      </c>
      <c r="BM96" s="5">
        <v>39594</v>
      </c>
      <c r="BN96" s="5">
        <v>39594</v>
      </c>
      <c r="BO96" s="5">
        <v>39874</v>
      </c>
      <c r="BP96" s="4"/>
      <c r="BQ96" s="4"/>
      <c r="BR96" s="4"/>
      <c r="BS96" s="4"/>
      <c r="BT96" s="4"/>
      <c r="BU96" s="5">
        <v>39666</v>
      </c>
      <c r="BV96" s="5">
        <v>39703</v>
      </c>
      <c r="BW96" s="5">
        <v>39686</v>
      </c>
      <c r="BX96" s="4"/>
      <c r="BY96" s="5">
        <v>39717</v>
      </c>
      <c r="BZ96" s="5">
        <v>39686</v>
      </c>
      <c r="CA96" s="4"/>
      <c r="CB96" s="4"/>
      <c r="CC96" s="4"/>
      <c r="CD96" s="4"/>
      <c r="CE96" s="4"/>
      <c r="CF96" s="4"/>
      <c r="CG96" s="4"/>
      <c r="CH96" s="4"/>
      <c r="CI96" s="5">
        <v>39896</v>
      </c>
      <c r="CJ96" s="5">
        <v>39899</v>
      </c>
      <c r="CK96" s="5">
        <v>39896</v>
      </c>
      <c r="CL96" s="4"/>
      <c r="CM96" s="4"/>
      <c r="CN96" s="4"/>
      <c r="CO96" s="4"/>
      <c r="CP96" s="4" t="s">
        <v>157</v>
      </c>
      <c r="CQ96" s="4"/>
      <c r="CR96" s="5">
        <v>39899</v>
      </c>
      <c r="CS96" s="4"/>
      <c r="CT96" s="4"/>
      <c r="CU96" s="4"/>
      <c r="CV96" s="4"/>
      <c r="CW96" s="5">
        <v>39872</v>
      </c>
      <c r="CX96" s="5">
        <v>39874</v>
      </c>
      <c r="CY96" s="4"/>
      <c r="CZ96" s="4"/>
      <c r="DA96" s="4"/>
      <c r="DB96" s="4"/>
      <c r="DC96" s="4"/>
      <c r="DD96" s="4"/>
      <c r="DE96" s="4"/>
      <c r="DF96" s="4"/>
      <c r="DG96" s="4"/>
      <c r="DH96" s="4"/>
      <c r="DI96" s="4"/>
      <c r="DJ96" s="4" t="b">
        <v>0</v>
      </c>
      <c r="DK96" s="4"/>
      <c r="DL96" s="4">
        <v>2665251</v>
      </c>
      <c r="DM96" s="4">
        <v>6495085</v>
      </c>
      <c r="DN96" s="4" t="s">
        <v>481</v>
      </c>
      <c r="DO96" s="4"/>
      <c r="DP96" s="4"/>
      <c r="DQ96" s="4" t="s">
        <v>148</v>
      </c>
      <c r="DR96" s="4"/>
      <c r="DS96" s="4"/>
      <c r="DT96" s="5">
        <v>41887</v>
      </c>
      <c r="DU96" s="4"/>
      <c r="DV96" s="4"/>
      <c r="DW96" s="4"/>
      <c r="DX96" s="4"/>
      <c r="DY96" s="4"/>
      <c r="DZ96" s="5">
        <v>39664</v>
      </c>
      <c r="EA96" s="4"/>
      <c r="EB96" s="4"/>
      <c r="EC96" s="4"/>
      <c r="ED96" s="4"/>
      <c r="EE96" s="4"/>
      <c r="EF96" s="4"/>
      <c r="EG96" s="4"/>
      <c r="EH96" s="4"/>
      <c r="EI96" s="5">
        <v>39346</v>
      </c>
    </row>
    <row r="97" spans="1:139" hidden="1" x14ac:dyDescent="0.2">
      <c r="A97">
        <f>VLOOKUP(B97,Sheet1!$A$1:$B$18,2,FALSE)</f>
        <v>0</v>
      </c>
      <c r="B97" t="str">
        <f t="shared" si="1"/>
        <v>AKL</v>
      </c>
      <c r="C97" s="2">
        <v>96</v>
      </c>
      <c r="D97" s="3" t="str">
        <f>HYPERLINK("https://sitebase.nzcomms.co.nz/spm/spmnominalview/AKL-005-042/","AKL-005-042")</f>
        <v>AKL-005-042</v>
      </c>
      <c r="E97" s="4"/>
      <c r="F97" s="3" t="str">
        <f>HYPERLINK("https://sitebase.nzcomms.co.nz/spm/spmcandidateview/AKL-005-042-G/","AKL-005-042-G")</f>
        <v>AKL-005-042-G</v>
      </c>
      <c r="G97" s="4" t="s">
        <v>482</v>
      </c>
      <c r="H97" s="4" t="s">
        <v>353</v>
      </c>
      <c r="I97" s="4"/>
      <c r="J97" s="4" t="s">
        <v>139</v>
      </c>
      <c r="K97" s="4" t="s">
        <v>141</v>
      </c>
      <c r="L97" s="4" t="s">
        <v>189</v>
      </c>
      <c r="M97" s="4" t="s">
        <v>463</v>
      </c>
      <c r="N97" s="4" t="s">
        <v>191</v>
      </c>
      <c r="O97" s="4" t="s">
        <v>356</v>
      </c>
      <c r="P97" s="4"/>
      <c r="Q97" s="4"/>
      <c r="R97" s="4">
        <v>14</v>
      </c>
      <c r="S97" s="4">
        <v>14</v>
      </c>
      <c r="T97" s="4"/>
      <c r="U97" s="4">
        <v>-36.782412200000003</v>
      </c>
      <c r="V97" s="4">
        <v>174.72073245000001</v>
      </c>
      <c r="W97" s="4"/>
      <c r="X97" s="4"/>
      <c r="Y97" s="4"/>
      <c r="Z97" s="4"/>
      <c r="AA97" s="4" t="s">
        <v>483</v>
      </c>
      <c r="AB97" s="4" t="s">
        <v>484</v>
      </c>
      <c r="AC97" s="4"/>
      <c r="AD97" s="4"/>
      <c r="AE97" s="4"/>
      <c r="AF97" s="4"/>
      <c r="AG97" s="4"/>
      <c r="AH97" s="4" t="s">
        <v>485</v>
      </c>
      <c r="AI97" s="4"/>
      <c r="AJ97" s="4"/>
      <c r="AK97" s="4"/>
      <c r="AL97" s="4"/>
      <c r="AM97" s="4"/>
      <c r="AN97" s="5">
        <v>39805</v>
      </c>
      <c r="AO97" s="4">
        <v>2</v>
      </c>
      <c r="AP97" s="5">
        <v>39825</v>
      </c>
      <c r="AQ97" s="5">
        <v>39825</v>
      </c>
      <c r="AR97" s="4"/>
      <c r="AS97" s="4"/>
      <c r="AT97" s="5">
        <v>39933</v>
      </c>
      <c r="AU97" s="5">
        <v>39927</v>
      </c>
      <c r="AV97" s="4"/>
      <c r="AW97" s="5">
        <v>39933</v>
      </c>
      <c r="AX97" s="5">
        <v>40071</v>
      </c>
      <c r="AY97" s="4"/>
      <c r="AZ97" s="5">
        <v>39843</v>
      </c>
      <c r="BA97" s="4"/>
      <c r="BB97" s="5">
        <v>39878</v>
      </c>
      <c r="BC97" s="4"/>
      <c r="BD97" s="4"/>
      <c r="BE97" s="5">
        <v>39885</v>
      </c>
      <c r="BF97" s="5">
        <v>39873</v>
      </c>
      <c r="BG97" s="5">
        <v>39825</v>
      </c>
      <c r="BH97" s="5">
        <v>39821</v>
      </c>
      <c r="BI97" s="4"/>
      <c r="BJ97" s="5">
        <v>39881</v>
      </c>
      <c r="BK97" s="4">
        <v>1</v>
      </c>
      <c r="BL97" s="4">
        <v>1</v>
      </c>
      <c r="BM97" s="5">
        <v>39885</v>
      </c>
      <c r="BN97" s="5">
        <v>39881</v>
      </c>
      <c r="BO97" s="5">
        <v>39951</v>
      </c>
      <c r="BP97" s="4"/>
      <c r="BQ97" s="4"/>
      <c r="BR97" s="4"/>
      <c r="BS97" s="4"/>
      <c r="BT97" s="5">
        <v>39966</v>
      </c>
      <c r="BU97" s="5">
        <v>39966</v>
      </c>
      <c r="BV97" s="5">
        <v>39976</v>
      </c>
      <c r="BW97" s="5">
        <v>39969</v>
      </c>
      <c r="BX97" s="4"/>
      <c r="BY97" s="5">
        <v>39982</v>
      </c>
      <c r="BZ97" s="5">
        <v>39969</v>
      </c>
      <c r="CA97" s="4"/>
      <c r="CB97" s="4"/>
      <c r="CC97" s="4"/>
      <c r="CD97" s="4"/>
      <c r="CE97" s="4"/>
      <c r="CF97" s="4"/>
      <c r="CG97" s="4"/>
      <c r="CH97" s="4"/>
      <c r="CI97" s="5">
        <v>40008</v>
      </c>
      <c r="CJ97" s="5">
        <v>40009</v>
      </c>
      <c r="CK97" s="5">
        <v>40008</v>
      </c>
      <c r="CL97" s="4"/>
      <c r="CM97" s="4"/>
      <c r="CN97" s="4"/>
      <c r="CO97" s="4"/>
      <c r="CP97" s="4" t="s">
        <v>157</v>
      </c>
      <c r="CQ97" s="4"/>
      <c r="CR97" s="5">
        <v>40009</v>
      </c>
      <c r="CS97" s="4"/>
      <c r="CT97" s="4"/>
      <c r="CU97" s="4"/>
      <c r="CV97" s="4"/>
      <c r="CW97" s="5">
        <v>39948</v>
      </c>
      <c r="CX97" s="5">
        <v>39951</v>
      </c>
      <c r="CY97" s="4"/>
      <c r="CZ97" s="4"/>
      <c r="DA97" s="4"/>
      <c r="DB97" s="4"/>
      <c r="DC97" s="4"/>
      <c r="DD97" s="4"/>
      <c r="DE97" s="4"/>
      <c r="DF97" s="4"/>
      <c r="DG97" s="4"/>
      <c r="DH97" s="4"/>
      <c r="DI97" s="4"/>
      <c r="DJ97" s="4" t="b">
        <v>0</v>
      </c>
      <c r="DK97" s="4"/>
      <c r="DL97" s="4">
        <v>2663996</v>
      </c>
      <c r="DM97" s="4">
        <v>6489590</v>
      </c>
      <c r="DN97" s="4" t="s">
        <v>486</v>
      </c>
      <c r="DO97" s="4"/>
      <c r="DP97" s="4"/>
      <c r="DQ97" s="4" t="s">
        <v>148</v>
      </c>
      <c r="DR97" s="4"/>
      <c r="DS97" s="4"/>
      <c r="DT97" s="5">
        <v>41887</v>
      </c>
      <c r="DU97" s="4"/>
      <c r="DV97" s="4"/>
      <c r="DW97" s="4"/>
      <c r="DX97" s="4"/>
      <c r="DY97" s="5">
        <v>39966</v>
      </c>
      <c r="DZ97" s="5">
        <v>39966</v>
      </c>
      <c r="EA97" s="4"/>
      <c r="EB97" s="4"/>
      <c r="EC97" s="4"/>
      <c r="ED97" s="4"/>
      <c r="EE97" s="4"/>
      <c r="EF97" s="4"/>
      <c r="EG97" s="4"/>
      <c r="EH97" s="4"/>
      <c r="EI97" s="5">
        <v>39785</v>
      </c>
    </row>
    <row r="98" spans="1:139" hidden="1" x14ac:dyDescent="0.2">
      <c r="A98">
        <f>VLOOKUP(B98,Sheet1!$A$1:$B$18,2,FALSE)</f>
        <v>0</v>
      </c>
      <c r="B98" t="str">
        <f t="shared" si="1"/>
        <v>AKL</v>
      </c>
      <c r="C98" s="2">
        <v>97</v>
      </c>
      <c r="D98" s="3" t="str">
        <f>HYPERLINK("https://sitebase.nzcomms.co.nz/spm/spmnominalview/AKL-005-044/","AKL-005-044")</f>
        <v>AKL-005-044</v>
      </c>
      <c r="E98" s="4"/>
      <c r="F98" s="3" t="str">
        <f>HYPERLINK("https://sitebase.nzcomms.co.nz/spm/spmcandidateview/AKL-005-044-A/","AKL-005-044-A")</f>
        <v>AKL-005-044-A</v>
      </c>
      <c r="G98" s="4" t="s">
        <v>487</v>
      </c>
      <c r="H98" s="4" t="s">
        <v>353</v>
      </c>
      <c r="I98" s="4"/>
      <c r="J98" s="4" t="s">
        <v>139</v>
      </c>
      <c r="K98" s="4" t="s">
        <v>141</v>
      </c>
      <c r="L98" s="4" t="s">
        <v>189</v>
      </c>
      <c r="M98" s="4" t="s">
        <v>463</v>
      </c>
      <c r="N98" s="4" t="s">
        <v>355</v>
      </c>
      <c r="O98" s="4" t="s">
        <v>356</v>
      </c>
      <c r="P98" s="4"/>
      <c r="Q98" s="4"/>
      <c r="R98" s="4">
        <v>9.6</v>
      </c>
      <c r="S98" s="4">
        <v>9.6</v>
      </c>
      <c r="T98" s="4"/>
      <c r="U98" s="4">
        <v>-36.772579219999997</v>
      </c>
      <c r="V98" s="4">
        <v>174.70725615999999</v>
      </c>
      <c r="W98" s="4"/>
      <c r="X98" s="4"/>
      <c r="Y98" s="4"/>
      <c r="Z98" s="4"/>
      <c r="AA98" s="4" t="s">
        <v>152</v>
      </c>
      <c r="AB98" s="3" t="str">
        <f>HYPERLINK("https://sitebase.nzcomms.co.nz/spm/spmcandidateview/AKL-007-106-A/","AKL-007-106-A")</f>
        <v>AKL-007-106-A</v>
      </c>
      <c r="AC98" s="4"/>
      <c r="AD98" s="4"/>
      <c r="AE98" s="4"/>
      <c r="AF98" s="4"/>
      <c r="AG98" s="4"/>
      <c r="AH98" s="4"/>
      <c r="AI98" s="4"/>
      <c r="AJ98" s="4"/>
      <c r="AK98" s="4"/>
      <c r="AL98" s="4"/>
      <c r="AM98" s="4"/>
      <c r="AN98" s="5">
        <v>39374</v>
      </c>
      <c r="AO98" s="4">
        <v>5</v>
      </c>
      <c r="AP98" s="5">
        <v>39799</v>
      </c>
      <c r="AQ98" s="5">
        <v>39799</v>
      </c>
      <c r="AR98" s="4"/>
      <c r="AS98" s="4"/>
      <c r="AT98" s="5">
        <v>39920</v>
      </c>
      <c r="AU98" s="5">
        <v>39904</v>
      </c>
      <c r="AV98" s="4">
        <v>2</v>
      </c>
      <c r="AW98" s="5">
        <v>39920</v>
      </c>
      <c r="AX98" s="5">
        <v>39903</v>
      </c>
      <c r="AY98" s="4"/>
      <c r="AZ98" s="4"/>
      <c r="BA98" s="4"/>
      <c r="BB98" s="5">
        <v>39872</v>
      </c>
      <c r="BC98" s="4"/>
      <c r="BD98" s="4"/>
      <c r="BE98" s="5">
        <v>39872</v>
      </c>
      <c r="BF98" s="5">
        <v>39790</v>
      </c>
      <c r="BG98" s="4"/>
      <c r="BH98" s="5">
        <v>39504</v>
      </c>
      <c r="BI98" s="4"/>
      <c r="BJ98" s="5">
        <v>39576</v>
      </c>
      <c r="BK98" s="4">
        <v>4</v>
      </c>
      <c r="BL98" s="4">
        <v>4</v>
      </c>
      <c r="BM98" s="5">
        <v>39825</v>
      </c>
      <c r="BN98" s="5">
        <v>39825</v>
      </c>
      <c r="BO98" s="5">
        <v>39717</v>
      </c>
      <c r="BP98" s="4"/>
      <c r="BQ98" s="4"/>
      <c r="BR98" s="4"/>
      <c r="BS98" s="4"/>
      <c r="BT98" s="5">
        <v>39947</v>
      </c>
      <c r="BU98" s="5">
        <v>39947</v>
      </c>
      <c r="BV98" s="5">
        <v>39953</v>
      </c>
      <c r="BW98" s="5">
        <v>39953</v>
      </c>
      <c r="BX98" s="4"/>
      <c r="BY98" s="5">
        <v>39955</v>
      </c>
      <c r="BZ98" s="5">
        <v>39955</v>
      </c>
      <c r="CA98" s="4"/>
      <c r="CB98" s="4"/>
      <c r="CC98" s="4"/>
      <c r="CD98" s="4"/>
      <c r="CE98" s="4"/>
      <c r="CF98" s="4"/>
      <c r="CG98" s="4"/>
      <c r="CH98" s="4"/>
      <c r="CI98" s="5">
        <v>39989</v>
      </c>
      <c r="CJ98" s="5">
        <v>39989</v>
      </c>
      <c r="CK98" s="5">
        <v>39989</v>
      </c>
      <c r="CL98" s="4"/>
      <c r="CM98" s="4"/>
      <c r="CN98" s="4"/>
      <c r="CO98" s="4"/>
      <c r="CP98" s="4" t="s">
        <v>488</v>
      </c>
      <c r="CQ98" s="4"/>
      <c r="CR98" s="5">
        <v>40011</v>
      </c>
      <c r="CS98" s="4"/>
      <c r="CT98" s="4"/>
      <c r="CU98" s="4"/>
      <c r="CV98" s="4"/>
      <c r="CW98" s="4"/>
      <c r="CX98" s="5">
        <v>39717</v>
      </c>
      <c r="CY98" s="4"/>
      <c r="CZ98" s="4"/>
      <c r="DA98" s="4"/>
      <c r="DB98" s="4"/>
      <c r="DC98" s="4"/>
      <c r="DD98" s="4"/>
      <c r="DE98" s="4"/>
      <c r="DF98" s="4"/>
      <c r="DG98" s="4"/>
      <c r="DH98" s="4"/>
      <c r="DI98" s="4"/>
      <c r="DJ98" s="4" t="b">
        <v>0</v>
      </c>
      <c r="DK98" s="4"/>
      <c r="DL98" s="4">
        <v>2662815</v>
      </c>
      <c r="DM98" s="4">
        <v>6490705</v>
      </c>
      <c r="DN98" s="4" t="s">
        <v>489</v>
      </c>
      <c r="DO98" s="4"/>
      <c r="DP98" s="4"/>
      <c r="DQ98" s="4" t="s">
        <v>148</v>
      </c>
      <c r="DR98" s="4"/>
      <c r="DS98" s="4"/>
      <c r="DT98" s="5">
        <v>41887</v>
      </c>
      <c r="DU98" s="4"/>
      <c r="DV98" s="4"/>
      <c r="DW98" s="4"/>
      <c r="DX98" s="4"/>
      <c r="DY98" s="5">
        <v>39947</v>
      </c>
      <c r="DZ98" s="5">
        <v>39947</v>
      </c>
      <c r="EA98" s="4"/>
      <c r="EB98" s="4"/>
      <c r="EC98" s="4"/>
      <c r="ED98" s="4"/>
      <c r="EE98" s="4"/>
      <c r="EF98" s="4"/>
      <c r="EG98" s="4"/>
      <c r="EH98" s="4"/>
      <c r="EI98" s="5">
        <v>39346</v>
      </c>
    </row>
    <row r="99" spans="1:139" hidden="1" x14ac:dyDescent="0.2">
      <c r="A99">
        <f>VLOOKUP(B99,Sheet1!$A$1:$B$18,2,FALSE)</f>
        <v>0</v>
      </c>
      <c r="B99" t="str">
        <f t="shared" si="1"/>
        <v>AKL</v>
      </c>
      <c r="C99" s="2">
        <v>98</v>
      </c>
      <c r="D99" s="3" t="str">
        <f>HYPERLINK("https://sitebase.nzcomms.co.nz/spm/spmnominalview/AKL-005-045/","AKL-005-045")</f>
        <v>AKL-005-045</v>
      </c>
      <c r="E99" s="4"/>
      <c r="F99" s="3" t="str">
        <f>HYPERLINK("https://sitebase.nzcomms.co.nz/spm/spmcandidateview/AKL-005-045-A/","AKL-005-045-A")</f>
        <v>AKL-005-045-A</v>
      </c>
      <c r="G99" s="4" t="s">
        <v>490</v>
      </c>
      <c r="H99" s="4" t="s">
        <v>353</v>
      </c>
      <c r="I99" s="4"/>
      <c r="J99" s="4" t="s">
        <v>139</v>
      </c>
      <c r="K99" s="4" t="s">
        <v>141</v>
      </c>
      <c r="L99" s="4" t="s">
        <v>189</v>
      </c>
      <c r="M99" s="4" t="s">
        <v>354</v>
      </c>
      <c r="N99" s="4" t="s">
        <v>355</v>
      </c>
      <c r="O99" s="4" t="s">
        <v>356</v>
      </c>
      <c r="P99" s="4"/>
      <c r="Q99" s="4"/>
      <c r="R99" s="4">
        <v>12.5</v>
      </c>
      <c r="S99" s="4">
        <v>12.5</v>
      </c>
      <c r="T99" s="4"/>
      <c r="U99" s="4">
        <v>-36.746939920000003</v>
      </c>
      <c r="V99" s="4">
        <v>174.74277473999999</v>
      </c>
      <c r="W99" s="4"/>
      <c r="X99" s="4"/>
      <c r="Y99" s="4"/>
      <c r="Z99" s="4"/>
      <c r="AA99" s="4" t="s">
        <v>446</v>
      </c>
      <c r="AB99" s="4" t="s">
        <v>491</v>
      </c>
      <c r="AC99" s="4"/>
      <c r="AD99" s="4"/>
      <c r="AE99" s="4"/>
      <c r="AF99" s="4"/>
      <c r="AG99" s="4"/>
      <c r="AH99" s="4" t="s">
        <v>360</v>
      </c>
      <c r="AI99" s="4"/>
      <c r="AJ99" s="4"/>
      <c r="AK99" s="4"/>
      <c r="AL99" s="4"/>
      <c r="AM99" s="4"/>
      <c r="AN99" s="5">
        <v>39359</v>
      </c>
      <c r="AO99" s="4">
        <v>2</v>
      </c>
      <c r="AP99" s="5">
        <v>39359</v>
      </c>
      <c r="AQ99" s="5">
        <v>40102</v>
      </c>
      <c r="AR99" s="4"/>
      <c r="AS99" s="4"/>
      <c r="AT99" s="5">
        <v>39506</v>
      </c>
      <c r="AU99" s="5">
        <v>39506</v>
      </c>
      <c r="AV99" s="4">
        <v>1</v>
      </c>
      <c r="AW99" s="5">
        <v>39506</v>
      </c>
      <c r="AX99" s="5">
        <v>39506</v>
      </c>
      <c r="AY99" s="4"/>
      <c r="AZ99" s="4"/>
      <c r="BA99" s="4"/>
      <c r="BB99" s="5">
        <v>39691</v>
      </c>
      <c r="BC99" s="4"/>
      <c r="BD99" s="4"/>
      <c r="BE99" s="5">
        <v>39691</v>
      </c>
      <c r="BF99" s="5">
        <v>39636</v>
      </c>
      <c r="BG99" s="4"/>
      <c r="BH99" s="5">
        <v>39504</v>
      </c>
      <c r="BI99" s="4"/>
      <c r="BJ99" s="5">
        <v>39583</v>
      </c>
      <c r="BK99" s="4">
        <v>1</v>
      </c>
      <c r="BL99" s="4">
        <v>1</v>
      </c>
      <c r="BM99" s="5">
        <v>39583</v>
      </c>
      <c r="BN99" s="5">
        <v>39583</v>
      </c>
      <c r="BO99" s="5">
        <v>39665</v>
      </c>
      <c r="BP99" s="4"/>
      <c r="BQ99" s="4"/>
      <c r="BR99" s="4"/>
      <c r="BS99" s="4"/>
      <c r="BT99" s="4"/>
      <c r="BU99" s="5">
        <v>39700</v>
      </c>
      <c r="BV99" s="5">
        <v>39721</v>
      </c>
      <c r="BW99" s="5">
        <v>39721</v>
      </c>
      <c r="BX99" s="4"/>
      <c r="BY99" s="5">
        <v>39724</v>
      </c>
      <c r="BZ99" s="5">
        <v>39721</v>
      </c>
      <c r="CA99" s="4"/>
      <c r="CB99" s="4"/>
      <c r="CC99" s="4"/>
      <c r="CD99" s="4"/>
      <c r="CE99" s="4"/>
      <c r="CF99" s="4"/>
      <c r="CG99" s="4"/>
      <c r="CH99" s="4"/>
      <c r="CI99" s="5">
        <v>39906</v>
      </c>
      <c r="CJ99" s="5">
        <v>39906</v>
      </c>
      <c r="CK99" s="5">
        <v>39906</v>
      </c>
      <c r="CL99" s="4"/>
      <c r="CM99" s="4"/>
      <c r="CN99" s="4"/>
      <c r="CO99" s="4"/>
      <c r="CP99" s="4" t="s">
        <v>492</v>
      </c>
      <c r="CQ99" s="4"/>
      <c r="CR99" s="5">
        <v>39906</v>
      </c>
      <c r="CS99" s="4"/>
      <c r="CT99" s="4"/>
      <c r="CU99" s="4"/>
      <c r="CV99" s="4"/>
      <c r="CW99" s="4"/>
      <c r="CX99" s="5">
        <v>39665</v>
      </c>
      <c r="CY99" s="4"/>
      <c r="CZ99" s="4"/>
      <c r="DA99" s="4"/>
      <c r="DB99" s="4"/>
      <c r="DC99" s="4"/>
      <c r="DD99" s="4"/>
      <c r="DE99" s="4"/>
      <c r="DF99" s="4"/>
      <c r="DG99" s="4"/>
      <c r="DH99" s="4"/>
      <c r="DI99" s="4"/>
      <c r="DJ99" s="4" t="b">
        <v>0</v>
      </c>
      <c r="DK99" s="4"/>
      <c r="DL99" s="4">
        <v>2666043</v>
      </c>
      <c r="DM99" s="4">
        <v>6493486</v>
      </c>
      <c r="DN99" s="4" t="s">
        <v>493</v>
      </c>
      <c r="DO99" s="4"/>
      <c r="DP99" s="4"/>
      <c r="DQ99" s="4" t="s">
        <v>148</v>
      </c>
      <c r="DR99" s="4"/>
      <c r="DS99" s="4"/>
      <c r="DT99" s="5">
        <v>41887</v>
      </c>
      <c r="DU99" s="4"/>
      <c r="DV99" s="4"/>
      <c r="DW99" s="4"/>
      <c r="DX99" s="4"/>
      <c r="DY99" s="4"/>
      <c r="DZ99" s="5">
        <v>39665</v>
      </c>
      <c r="EA99" s="4"/>
      <c r="EB99" s="4"/>
      <c r="EC99" s="4"/>
      <c r="ED99" s="4"/>
      <c r="EE99" s="4"/>
      <c r="EF99" s="4"/>
      <c r="EG99" s="4"/>
      <c r="EH99" s="4"/>
      <c r="EI99" s="5">
        <v>39346</v>
      </c>
    </row>
    <row r="100" spans="1:139" hidden="1" x14ac:dyDescent="0.2">
      <c r="A100">
        <f>VLOOKUP(B100,Sheet1!$A$1:$B$18,2,FALSE)</f>
        <v>0</v>
      </c>
      <c r="B100" t="str">
        <f t="shared" si="1"/>
        <v>AKL</v>
      </c>
      <c r="C100" s="2">
        <v>99</v>
      </c>
      <c r="D100" s="3" t="str">
        <f>HYPERLINK("https://sitebase.nzcomms.co.nz/spm/spmnominalview/AKL-005-047/","AKL-005-047")</f>
        <v>AKL-005-047</v>
      </c>
      <c r="E100" s="4"/>
      <c r="F100" s="3" t="str">
        <f>HYPERLINK("https://sitebase.nzcomms.co.nz/spm/spmcandidateview/AKL-005-047-E/","AKL-005-047-E")</f>
        <v>AKL-005-047-E</v>
      </c>
      <c r="G100" s="4" t="s">
        <v>494</v>
      </c>
      <c r="H100" s="4" t="s">
        <v>353</v>
      </c>
      <c r="I100" s="4"/>
      <c r="J100" s="4" t="s">
        <v>139</v>
      </c>
      <c r="K100" s="4" t="s">
        <v>141</v>
      </c>
      <c r="L100" s="4" t="s">
        <v>189</v>
      </c>
      <c r="M100" s="4" t="s">
        <v>143</v>
      </c>
      <c r="N100" s="4" t="s">
        <v>355</v>
      </c>
      <c r="O100" s="4" t="s">
        <v>356</v>
      </c>
      <c r="P100" s="4"/>
      <c r="Q100" s="4"/>
      <c r="R100" s="4">
        <v>8</v>
      </c>
      <c r="S100" s="4">
        <v>8</v>
      </c>
      <c r="T100" s="4"/>
      <c r="U100" s="4">
        <v>-36.790899619999998</v>
      </c>
      <c r="V100" s="4">
        <v>174.68990298</v>
      </c>
      <c r="W100" s="4"/>
      <c r="X100" s="4"/>
      <c r="Y100" s="4"/>
      <c r="Z100" s="4"/>
      <c r="AA100" s="4" t="s">
        <v>382</v>
      </c>
      <c r="AB100" s="4" t="s">
        <v>495</v>
      </c>
      <c r="AC100" s="4"/>
      <c r="AD100" s="4"/>
      <c r="AE100" s="4"/>
      <c r="AF100" s="4"/>
      <c r="AG100" s="4"/>
      <c r="AH100" s="4"/>
      <c r="AI100" s="4"/>
      <c r="AJ100" s="4"/>
      <c r="AK100" s="4"/>
      <c r="AL100" s="4"/>
      <c r="AM100" s="4"/>
      <c r="AN100" s="5">
        <v>39367</v>
      </c>
      <c r="AO100" s="4">
        <v>1</v>
      </c>
      <c r="AP100" s="4"/>
      <c r="AQ100" s="5">
        <v>39367</v>
      </c>
      <c r="AR100" s="4"/>
      <c r="AS100" s="4"/>
      <c r="AT100" s="5">
        <v>39506</v>
      </c>
      <c r="AU100" s="5">
        <v>39506</v>
      </c>
      <c r="AV100" s="4">
        <v>1</v>
      </c>
      <c r="AW100" s="5">
        <v>39506</v>
      </c>
      <c r="AX100" s="5">
        <v>39506</v>
      </c>
      <c r="AY100" s="4"/>
      <c r="AZ100" s="4"/>
      <c r="BA100" s="4"/>
      <c r="BB100" s="5">
        <v>39794</v>
      </c>
      <c r="BC100" s="4"/>
      <c r="BD100" s="4"/>
      <c r="BE100" s="5">
        <v>39794</v>
      </c>
      <c r="BF100" s="5">
        <v>39792</v>
      </c>
      <c r="BG100" s="4"/>
      <c r="BH100" s="5">
        <v>39504</v>
      </c>
      <c r="BI100" s="4"/>
      <c r="BJ100" s="5">
        <v>39590</v>
      </c>
      <c r="BK100" s="4">
        <v>1</v>
      </c>
      <c r="BL100" s="4">
        <v>1</v>
      </c>
      <c r="BM100" s="5">
        <v>39590</v>
      </c>
      <c r="BN100" s="5">
        <v>39590</v>
      </c>
      <c r="BO100" s="5">
        <v>39799</v>
      </c>
      <c r="BP100" s="4"/>
      <c r="BQ100" s="4"/>
      <c r="BR100" s="4"/>
      <c r="BS100" s="4"/>
      <c r="BT100" s="4"/>
      <c r="BU100" s="5">
        <v>39825</v>
      </c>
      <c r="BV100" s="5">
        <v>39843</v>
      </c>
      <c r="BW100" s="5">
        <v>39843</v>
      </c>
      <c r="BX100" s="4"/>
      <c r="BY100" s="5">
        <v>39849</v>
      </c>
      <c r="BZ100" s="5">
        <v>39846</v>
      </c>
      <c r="CA100" s="4"/>
      <c r="CB100" s="4"/>
      <c r="CC100" s="4"/>
      <c r="CD100" s="4"/>
      <c r="CE100" s="4"/>
      <c r="CF100" s="4"/>
      <c r="CG100" s="4"/>
      <c r="CH100" s="4"/>
      <c r="CI100" s="5">
        <v>39902</v>
      </c>
      <c r="CJ100" s="5">
        <v>39913</v>
      </c>
      <c r="CK100" s="5">
        <v>39902</v>
      </c>
      <c r="CL100" s="4"/>
      <c r="CM100" s="4"/>
      <c r="CN100" s="4"/>
      <c r="CO100" s="4"/>
      <c r="CP100" s="4" t="s">
        <v>157</v>
      </c>
      <c r="CQ100" s="4"/>
      <c r="CR100" s="5">
        <v>39902</v>
      </c>
      <c r="CS100" s="4"/>
      <c r="CT100" s="4"/>
      <c r="CU100" s="4"/>
      <c r="CV100" s="4"/>
      <c r="CW100" s="4"/>
      <c r="CX100" s="5">
        <v>39799</v>
      </c>
      <c r="CY100" s="4"/>
      <c r="CZ100" s="4"/>
      <c r="DA100" s="4"/>
      <c r="DB100" s="4"/>
      <c r="DC100" s="4"/>
      <c r="DD100" s="4"/>
      <c r="DE100" s="4"/>
      <c r="DF100" s="4"/>
      <c r="DG100" s="4"/>
      <c r="DH100" s="4"/>
      <c r="DI100" s="4"/>
      <c r="DJ100" s="4" t="b">
        <v>0</v>
      </c>
      <c r="DK100" s="4"/>
      <c r="DL100" s="4">
        <v>2661226</v>
      </c>
      <c r="DM100" s="4">
        <v>6488703</v>
      </c>
      <c r="DN100" s="4" t="s">
        <v>496</v>
      </c>
      <c r="DO100" s="4"/>
      <c r="DP100" s="4"/>
      <c r="DQ100" s="4" t="s">
        <v>148</v>
      </c>
      <c r="DR100" s="4"/>
      <c r="DS100" s="4"/>
      <c r="DT100" s="5">
        <v>42348</v>
      </c>
      <c r="DU100" s="4"/>
      <c r="DV100" s="4"/>
      <c r="DW100" s="4"/>
      <c r="DX100" s="4"/>
      <c r="DY100" s="4"/>
      <c r="DZ100" s="5">
        <v>39793</v>
      </c>
      <c r="EA100" s="4"/>
      <c r="EB100" s="4"/>
      <c r="EC100" s="4"/>
      <c r="ED100" s="4"/>
      <c r="EE100" s="4"/>
      <c r="EF100" s="4"/>
      <c r="EG100" s="4"/>
      <c r="EH100" s="4"/>
      <c r="EI100" s="5">
        <v>39346</v>
      </c>
    </row>
    <row r="101" spans="1:139" hidden="1" x14ac:dyDescent="0.2">
      <c r="A101">
        <f>VLOOKUP(B101,Sheet1!$A$1:$B$18,2,FALSE)</f>
        <v>0</v>
      </c>
      <c r="B101" t="str">
        <f t="shared" si="1"/>
        <v>AKL</v>
      </c>
      <c r="C101" s="2">
        <v>100</v>
      </c>
      <c r="D101" s="3" t="str">
        <f>HYPERLINK("https://sitebase.nzcomms.co.nz/spm/spmnominalview/AKL-005-048/","AKL-005-048")</f>
        <v>AKL-005-048</v>
      </c>
      <c r="E101" s="4"/>
      <c r="F101" s="3" t="str">
        <f>HYPERLINK("https://sitebase.nzcomms.co.nz/spm/spmcandidateview/AKL-005-048-D/","AKL-005-048-D")</f>
        <v>AKL-005-048-D</v>
      </c>
      <c r="G101" s="4" t="s">
        <v>497</v>
      </c>
      <c r="H101" s="4" t="s">
        <v>353</v>
      </c>
      <c r="I101" s="4"/>
      <c r="J101" s="4" t="s">
        <v>139</v>
      </c>
      <c r="K101" s="4" t="s">
        <v>141</v>
      </c>
      <c r="L101" s="4" t="s">
        <v>150</v>
      </c>
      <c r="M101" s="4" t="s">
        <v>143</v>
      </c>
      <c r="N101" s="4" t="s">
        <v>246</v>
      </c>
      <c r="O101" s="4" t="s">
        <v>144</v>
      </c>
      <c r="P101" s="4"/>
      <c r="Q101" s="4"/>
      <c r="R101" s="4">
        <v>13.8</v>
      </c>
      <c r="S101" s="4">
        <v>13.8</v>
      </c>
      <c r="T101" s="4"/>
      <c r="U101" s="4">
        <v>-36.71601141</v>
      </c>
      <c r="V101" s="4">
        <v>174.74140224999999</v>
      </c>
      <c r="W101" s="4"/>
      <c r="X101" s="4"/>
      <c r="Y101" s="4"/>
      <c r="Z101" s="4"/>
      <c r="AA101" s="4" t="s">
        <v>152</v>
      </c>
      <c r="AB101" s="3" t="str">
        <f>HYPERLINK("https://sitebase.nzcomms.co.nz/spm/spmcandidateview/AKL-007-106-A/","AKL-007-106-A")</f>
        <v>AKL-007-106-A</v>
      </c>
      <c r="AC101" s="4"/>
      <c r="AD101" s="4"/>
      <c r="AE101" s="4"/>
      <c r="AF101" s="4"/>
      <c r="AG101" s="4"/>
      <c r="AH101" s="4"/>
      <c r="AI101" s="4"/>
      <c r="AJ101" s="4"/>
      <c r="AK101" s="4"/>
      <c r="AL101" s="4"/>
      <c r="AM101" s="4"/>
      <c r="AN101" s="5">
        <v>39660</v>
      </c>
      <c r="AO101" s="4">
        <v>4</v>
      </c>
      <c r="AP101" s="5">
        <v>39860</v>
      </c>
      <c r="AQ101" s="5">
        <v>39898</v>
      </c>
      <c r="AR101" s="4"/>
      <c r="AS101" s="4"/>
      <c r="AT101" s="4"/>
      <c r="AU101" s="5">
        <v>39728</v>
      </c>
      <c r="AV101" s="4">
        <v>2</v>
      </c>
      <c r="AW101" s="5">
        <v>39933</v>
      </c>
      <c r="AX101" s="5">
        <v>39947</v>
      </c>
      <c r="AY101" s="4"/>
      <c r="AZ101" s="4"/>
      <c r="BA101" s="4"/>
      <c r="BB101" s="5">
        <v>39899</v>
      </c>
      <c r="BC101" s="4"/>
      <c r="BD101" s="4"/>
      <c r="BE101" s="5">
        <v>39899</v>
      </c>
      <c r="BF101" s="5">
        <v>39891</v>
      </c>
      <c r="BG101" s="4"/>
      <c r="BH101" s="5">
        <v>39699</v>
      </c>
      <c r="BI101" s="4"/>
      <c r="BJ101" s="5">
        <v>39722</v>
      </c>
      <c r="BK101" s="4">
        <v>1</v>
      </c>
      <c r="BL101" s="4">
        <v>2</v>
      </c>
      <c r="BM101" s="5">
        <v>39912</v>
      </c>
      <c r="BN101" s="5">
        <v>39722</v>
      </c>
      <c r="BO101" s="5">
        <v>39801</v>
      </c>
      <c r="BP101" s="4"/>
      <c r="BQ101" s="4"/>
      <c r="BR101" s="4"/>
      <c r="BS101" s="4"/>
      <c r="BT101" s="5">
        <v>39917</v>
      </c>
      <c r="BU101" s="5">
        <v>39917</v>
      </c>
      <c r="BV101" s="5">
        <v>39948</v>
      </c>
      <c r="BW101" s="5">
        <v>39941</v>
      </c>
      <c r="BX101" s="4"/>
      <c r="BY101" s="5">
        <v>39948</v>
      </c>
      <c r="BZ101" s="5">
        <v>39941</v>
      </c>
      <c r="CA101" s="4"/>
      <c r="CB101" s="4"/>
      <c r="CC101" s="4"/>
      <c r="CD101" s="4"/>
      <c r="CE101" s="4"/>
      <c r="CF101" s="4"/>
      <c r="CG101" s="4"/>
      <c r="CH101" s="4"/>
      <c r="CI101" s="5">
        <v>39977</v>
      </c>
      <c r="CJ101" s="5">
        <v>39987</v>
      </c>
      <c r="CK101" s="5">
        <v>39977</v>
      </c>
      <c r="CL101" s="4"/>
      <c r="CM101" s="4"/>
      <c r="CN101" s="4"/>
      <c r="CO101" s="4"/>
      <c r="CP101" s="4" t="s">
        <v>157</v>
      </c>
      <c r="CQ101" s="4"/>
      <c r="CR101" s="5">
        <v>39987</v>
      </c>
      <c r="CS101" s="4"/>
      <c r="CT101" s="4"/>
      <c r="CU101" s="4"/>
      <c r="CV101" s="4"/>
      <c r="CW101" s="5">
        <v>39850</v>
      </c>
      <c r="CX101" s="5">
        <v>39801</v>
      </c>
      <c r="CY101" s="4"/>
      <c r="CZ101" s="4"/>
      <c r="DA101" s="4"/>
      <c r="DB101" s="4"/>
      <c r="DC101" s="4"/>
      <c r="DD101" s="4"/>
      <c r="DE101" s="4"/>
      <c r="DF101" s="4"/>
      <c r="DG101" s="4"/>
      <c r="DH101" s="4"/>
      <c r="DI101" s="4"/>
      <c r="DJ101" s="4" t="b">
        <v>0</v>
      </c>
      <c r="DK101" s="4"/>
      <c r="DL101" s="4">
        <v>2665990</v>
      </c>
      <c r="DM101" s="4">
        <v>6496920</v>
      </c>
      <c r="DN101" s="4" t="s">
        <v>498</v>
      </c>
      <c r="DO101" s="4"/>
      <c r="DP101" s="4"/>
      <c r="DQ101" s="4" t="s">
        <v>148</v>
      </c>
      <c r="DR101" s="4"/>
      <c r="DS101" s="4"/>
      <c r="DT101" s="4"/>
      <c r="DU101" s="4"/>
      <c r="DV101" s="4"/>
      <c r="DW101" s="4"/>
      <c r="DX101" s="4"/>
      <c r="DY101" s="5">
        <v>39917</v>
      </c>
      <c r="DZ101" s="5">
        <v>39917</v>
      </c>
      <c r="EA101" s="4"/>
      <c r="EB101" s="4"/>
      <c r="EC101" s="4"/>
      <c r="ED101" s="4"/>
      <c r="EE101" s="4"/>
      <c r="EF101" s="4"/>
      <c r="EG101" s="4"/>
      <c r="EH101" s="4"/>
      <c r="EI101" s="5">
        <v>39651</v>
      </c>
    </row>
    <row r="102" spans="1:139" hidden="1" x14ac:dyDescent="0.2">
      <c r="A102">
        <f>VLOOKUP(B102,Sheet1!$A$1:$B$18,2,FALSE)</f>
        <v>0</v>
      </c>
      <c r="B102" t="str">
        <f t="shared" si="1"/>
        <v>AKL</v>
      </c>
      <c r="C102" s="2">
        <v>101</v>
      </c>
      <c r="D102" s="3" t="str">
        <f>HYPERLINK("https://sitebase.nzcomms.co.nz/spm/spmnominalview/AKL-005-049/","AKL-005-049")</f>
        <v>AKL-005-049</v>
      </c>
      <c r="E102" s="4"/>
      <c r="F102" s="3" t="str">
        <f>HYPERLINK("https://sitebase.nzcomms.co.nz/spm/spmcandidateview/AKL-005-049-A/","AKL-005-049-A")</f>
        <v>AKL-005-049-A</v>
      </c>
      <c r="G102" s="4" t="s">
        <v>499</v>
      </c>
      <c r="H102" s="4" t="s">
        <v>353</v>
      </c>
      <c r="I102" s="4"/>
      <c r="J102" s="4" t="s">
        <v>139</v>
      </c>
      <c r="K102" s="4" t="s">
        <v>141</v>
      </c>
      <c r="L102" s="4" t="s">
        <v>150</v>
      </c>
      <c r="M102" s="4" t="s">
        <v>354</v>
      </c>
      <c r="N102" s="4" t="s">
        <v>156</v>
      </c>
      <c r="O102" s="4" t="s">
        <v>356</v>
      </c>
      <c r="P102" s="4"/>
      <c r="Q102" s="4"/>
      <c r="R102" s="4">
        <v>15</v>
      </c>
      <c r="S102" s="4">
        <v>15</v>
      </c>
      <c r="T102" s="4">
        <v>1</v>
      </c>
      <c r="U102" s="4">
        <v>-36.754265789999998</v>
      </c>
      <c r="V102" s="4">
        <v>174.72846548000001</v>
      </c>
      <c r="W102" s="4"/>
      <c r="X102" s="4"/>
      <c r="Y102" s="4"/>
      <c r="Z102" s="4"/>
      <c r="AA102" s="4" t="s">
        <v>171</v>
      </c>
      <c r="AB102" s="3" t="str">
        <f>HYPERLINK("https://sitebase.nzcomms.co.nz/spm/spmcandidateview/AKL-005-015-B/","AKL-005-015-B")</f>
        <v>AKL-005-015-B</v>
      </c>
      <c r="AC102" s="4"/>
      <c r="AD102" s="4"/>
      <c r="AE102" s="4"/>
      <c r="AF102" s="4"/>
      <c r="AG102" s="4"/>
      <c r="AH102" s="4" t="s">
        <v>395</v>
      </c>
      <c r="AI102" s="4"/>
      <c r="AJ102" s="4"/>
      <c r="AK102" s="4"/>
      <c r="AL102" s="4"/>
      <c r="AM102" s="4"/>
      <c r="AN102" s="5">
        <v>39499</v>
      </c>
      <c r="AO102" s="4">
        <v>5</v>
      </c>
      <c r="AP102" s="4"/>
      <c r="AQ102" s="5">
        <v>41515</v>
      </c>
      <c r="AR102" s="4"/>
      <c r="AS102" s="4"/>
      <c r="AT102" s="5">
        <v>39660</v>
      </c>
      <c r="AU102" s="5">
        <v>39722</v>
      </c>
      <c r="AV102" s="4">
        <v>3</v>
      </c>
      <c r="AW102" s="5">
        <v>39660</v>
      </c>
      <c r="AX102" s="5">
        <v>39722</v>
      </c>
      <c r="AY102" s="4"/>
      <c r="AZ102" s="4"/>
      <c r="BA102" s="4"/>
      <c r="BB102" s="5">
        <v>39955</v>
      </c>
      <c r="BC102" s="4"/>
      <c r="BD102" s="4"/>
      <c r="BE102" s="5">
        <v>39955</v>
      </c>
      <c r="BF102" s="5">
        <v>39948</v>
      </c>
      <c r="BG102" s="4"/>
      <c r="BH102" s="5">
        <v>39590</v>
      </c>
      <c r="BI102" s="4"/>
      <c r="BJ102" s="5">
        <v>39685</v>
      </c>
      <c r="BK102" s="4">
        <v>2</v>
      </c>
      <c r="BL102" s="4">
        <v>3</v>
      </c>
      <c r="BM102" s="5">
        <v>39685</v>
      </c>
      <c r="BN102" s="5">
        <v>40044</v>
      </c>
      <c r="BO102" s="5">
        <v>39885</v>
      </c>
      <c r="BP102" s="4"/>
      <c r="BQ102" s="4"/>
      <c r="BR102" s="4"/>
      <c r="BS102" s="4"/>
      <c r="BT102" s="5">
        <v>39958</v>
      </c>
      <c r="BU102" s="5">
        <v>39958</v>
      </c>
      <c r="BV102" s="5">
        <v>39990</v>
      </c>
      <c r="BW102" s="5">
        <v>39990</v>
      </c>
      <c r="BX102" s="4"/>
      <c r="BY102" s="5">
        <v>39993</v>
      </c>
      <c r="BZ102" s="5">
        <v>39993</v>
      </c>
      <c r="CA102" s="4"/>
      <c r="CB102" s="4"/>
      <c r="CC102" s="4"/>
      <c r="CD102" s="4"/>
      <c r="CE102" s="4"/>
      <c r="CF102" s="4"/>
      <c r="CG102" s="4"/>
      <c r="CH102" s="4"/>
      <c r="CI102" s="5">
        <v>39994</v>
      </c>
      <c r="CJ102" s="5">
        <v>39994</v>
      </c>
      <c r="CK102" s="5">
        <v>39994</v>
      </c>
      <c r="CL102" s="4"/>
      <c r="CM102" s="4"/>
      <c r="CN102" s="4"/>
      <c r="CO102" s="4"/>
      <c r="CP102" s="4" t="s">
        <v>500</v>
      </c>
      <c r="CQ102" s="4"/>
      <c r="CR102" s="5">
        <v>39994</v>
      </c>
      <c r="CS102" s="4"/>
      <c r="CT102" s="4"/>
      <c r="CU102" s="4"/>
      <c r="CV102" s="4"/>
      <c r="CW102" s="5">
        <v>39899</v>
      </c>
      <c r="CX102" s="5">
        <v>39885</v>
      </c>
      <c r="CY102" s="4"/>
      <c r="CZ102" s="4"/>
      <c r="DA102" s="4"/>
      <c r="DB102" s="4"/>
      <c r="DC102" s="4"/>
      <c r="DD102" s="4"/>
      <c r="DE102" s="4"/>
      <c r="DF102" s="4"/>
      <c r="DG102" s="4"/>
      <c r="DH102" s="4"/>
      <c r="DI102" s="4"/>
      <c r="DJ102" s="4" t="b">
        <v>0</v>
      </c>
      <c r="DK102" s="4"/>
      <c r="DL102" s="4">
        <v>2664749</v>
      </c>
      <c r="DM102" s="4">
        <v>6492699</v>
      </c>
      <c r="DN102" s="4" t="s">
        <v>501</v>
      </c>
      <c r="DO102" s="4"/>
      <c r="DP102" s="4"/>
      <c r="DQ102" s="4" t="s">
        <v>148</v>
      </c>
      <c r="DR102" s="4"/>
      <c r="DS102" s="4"/>
      <c r="DT102" s="5">
        <v>41887</v>
      </c>
      <c r="DU102" s="4"/>
      <c r="DV102" s="4"/>
      <c r="DW102" s="4"/>
      <c r="DX102" s="4"/>
      <c r="DY102" s="5">
        <v>39958</v>
      </c>
      <c r="DZ102" s="5">
        <v>39958</v>
      </c>
      <c r="EA102" s="4"/>
      <c r="EB102" s="4"/>
      <c r="EC102" s="4"/>
      <c r="ED102" s="4"/>
      <c r="EE102" s="4"/>
      <c r="EF102" s="4"/>
      <c r="EG102" s="4"/>
      <c r="EH102" s="4"/>
      <c r="EI102" s="5">
        <v>39476</v>
      </c>
    </row>
    <row r="103" spans="1:139" hidden="1" x14ac:dyDescent="0.2">
      <c r="A103">
        <f>VLOOKUP(B103,Sheet1!$A$1:$B$18,2,FALSE)</f>
        <v>0</v>
      </c>
      <c r="B103" t="str">
        <f t="shared" si="1"/>
        <v>AKL</v>
      </c>
      <c r="C103" s="2">
        <v>102</v>
      </c>
      <c r="D103" s="3" t="str">
        <f>HYPERLINK("https://sitebase.nzcomms.co.nz/spm/spmnominalview/AKL-005-050/","AKL-005-050")</f>
        <v>AKL-005-050</v>
      </c>
      <c r="E103" s="4"/>
      <c r="F103" s="3" t="str">
        <f>HYPERLINK("https://sitebase.nzcomms.co.nz/spm/spmcandidateview/AKL-005-050-F/","AKL-005-050-F")</f>
        <v>AKL-005-050-F</v>
      </c>
      <c r="G103" s="4" t="s">
        <v>502</v>
      </c>
      <c r="H103" s="4" t="s">
        <v>353</v>
      </c>
      <c r="I103" s="4"/>
      <c r="J103" s="4" t="s">
        <v>139</v>
      </c>
      <c r="K103" s="4" t="s">
        <v>141</v>
      </c>
      <c r="L103" s="4" t="s">
        <v>150</v>
      </c>
      <c r="M103" s="4" t="s">
        <v>160</v>
      </c>
      <c r="N103" s="4" t="s">
        <v>246</v>
      </c>
      <c r="O103" s="4" t="s">
        <v>144</v>
      </c>
      <c r="P103" s="4"/>
      <c r="Q103" s="4"/>
      <c r="R103" s="4">
        <v>13.5</v>
      </c>
      <c r="S103" s="4">
        <v>13.5</v>
      </c>
      <c r="T103" s="4"/>
      <c r="U103" s="4">
        <v>-36.69591063</v>
      </c>
      <c r="V103" s="4">
        <v>174.75196553000001</v>
      </c>
      <c r="W103" s="4"/>
      <c r="X103" s="4"/>
      <c r="Y103" s="4"/>
      <c r="Z103" s="4"/>
      <c r="AA103" s="4" t="s">
        <v>171</v>
      </c>
      <c r="AB103" s="3" t="str">
        <f>HYPERLINK("https://sitebase.nzcomms.co.nz/spm/spmcandidateview/AKL-005-059-A/","AKL-005-059-A")</f>
        <v>AKL-005-059-A</v>
      </c>
      <c r="AC103" s="4"/>
      <c r="AD103" s="4"/>
      <c r="AE103" s="4"/>
      <c r="AF103" s="4"/>
      <c r="AG103" s="4"/>
      <c r="AH103" s="4"/>
      <c r="AI103" s="4"/>
      <c r="AJ103" s="4"/>
      <c r="AK103" s="4"/>
      <c r="AL103" s="4"/>
      <c r="AM103" s="4"/>
      <c r="AN103" s="5">
        <v>40056</v>
      </c>
      <c r="AO103" s="4">
        <v>1</v>
      </c>
      <c r="AP103" s="5">
        <v>40053</v>
      </c>
      <c r="AQ103" s="5">
        <v>40056</v>
      </c>
      <c r="AR103" s="4"/>
      <c r="AS103" s="4"/>
      <c r="AT103" s="5">
        <v>40060</v>
      </c>
      <c r="AU103" s="5">
        <v>40060</v>
      </c>
      <c r="AV103" s="4"/>
      <c r="AW103" s="5">
        <v>40066</v>
      </c>
      <c r="AX103" s="5">
        <v>40070</v>
      </c>
      <c r="AY103" s="4"/>
      <c r="AZ103" s="5">
        <v>40059</v>
      </c>
      <c r="BA103" s="4"/>
      <c r="BB103" s="5">
        <v>40080</v>
      </c>
      <c r="BC103" s="4"/>
      <c r="BD103" s="4"/>
      <c r="BE103" s="5">
        <v>40080</v>
      </c>
      <c r="BF103" s="5">
        <v>40079</v>
      </c>
      <c r="BG103" s="5">
        <v>40058</v>
      </c>
      <c r="BH103" s="5">
        <v>40058</v>
      </c>
      <c r="BI103" s="4"/>
      <c r="BJ103" s="5">
        <v>40079</v>
      </c>
      <c r="BK103" s="4">
        <v>1</v>
      </c>
      <c r="BL103" s="4">
        <v>1</v>
      </c>
      <c r="BM103" s="5">
        <v>40079</v>
      </c>
      <c r="BN103" s="5">
        <v>40079</v>
      </c>
      <c r="BO103" s="5">
        <v>39899</v>
      </c>
      <c r="BP103" s="4"/>
      <c r="BQ103" s="4"/>
      <c r="BR103" s="4"/>
      <c r="BS103" s="4"/>
      <c r="BT103" s="5">
        <v>40086</v>
      </c>
      <c r="BU103" s="5">
        <v>40086</v>
      </c>
      <c r="BV103" s="5">
        <v>40109</v>
      </c>
      <c r="BW103" s="5">
        <v>40109</v>
      </c>
      <c r="BX103" s="4"/>
      <c r="BY103" s="5">
        <v>40114</v>
      </c>
      <c r="BZ103" s="5">
        <v>40113</v>
      </c>
      <c r="CA103" s="4"/>
      <c r="CB103" s="4"/>
      <c r="CC103" s="4"/>
      <c r="CD103" s="4"/>
      <c r="CE103" s="4"/>
      <c r="CF103" s="4"/>
      <c r="CG103" s="4"/>
      <c r="CH103" s="4"/>
      <c r="CI103" s="5">
        <v>40113</v>
      </c>
      <c r="CJ103" s="5">
        <v>40116</v>
      </c>
      <c r="CK103" s="5">
        <v>40113</v>
      </c>
      <c r="CL103" s="4"/>
      <c r="CM103" s="4"/>
      <c r="CN103" s="4"/>
      <c r="CO103" s="4"/>
      <c r="CP103" s="4" t="s">
        <v>157</v>
      </c>
      <c r="CQ103" s="4"/>
      <c r="CR103" s="5">
        <v>40116</v>
      </c>
      <c r="CS103" s="4"/>
      <c r="CT103" s="4"/>
      <c r="CU103" s="4"/>
      <c r="CV103" s="4"/>
      <c r="CW103" s="5">
        <v>39899</v>
      </c>
      <c r="CX103" s="5">
        <v>39899</v>
      </c>
      <c r="CY103" s="4"/>
      <c r="CZ103" s="4"/>
      <c r="DA103" s="4"/>
      <c r="DB103" s="4"/>
      <c r="DC103" s="4"/>
      <c r="DD103" s="4"/>
      <c r="DE103" s="4"/>
      <c r="DF103" s="4"/>
      <c r="DG103" s="4"/>
      <c r="DH103" s="4"/>
      <c r="DI103" s="4"/>
      <c r="DJ103" s="4" t="b">
        <v>0</v>
      </c>
      <c r="DK103" s="4"/>
      <c r="DL103" s="4">
        <v>2666979</v>
      </c>
      <c r="DM103" s="4">
        <v>6499131</v>
      </c>
      <c r="DN103" s="4" t="s">
        <v>503</v>
      </c>
      <c r="DO103" s="4"/>
      <c r="DP103" s="4"/>
      <c r="DQ103" s="4" t="s">
        <v>148</v>
      </c>
      <c r="DR103" s="4"/>
      <c r="DS103" s="4"/>
      <c r="DT103" s="4"/>
      <c r="DU103" s="4"/>
      <c r="DV103" s="4"/>
      <c r="DW103" s="4"/>
      <c r="DX103" s="4"/>
      <c r="DY103" s="5">
        <v>40086</v>
      </c>
      <c r="DZ103" s="5">
        <v>40086</v>
      </c>
      <c r="EA103" s="4"/>
      <c r="EB103" s="4"/>
      <c r="EC103" s="4"/>
      <c r="ED103" s="4"/>
      <c r="EE103" s="4"/>
      <c r="EF103" s="4"/>
      <c r="EG103" s="4"/>
      <c r="EH103" s="4"/>
      <c r="EI103" s="5">
        <v>40035</v>
      </c>
    </row>
    <row r="104" spans="1:139" hidden="1" x14ac:dyDescent="0.2">
      <c r="A104">
        <f>VLOOKUP(B104,Sheet1!$A$1:$B$18,2,FALSE)</f>
        <v>0</v>
      </c>
      <c r="B104" t="str">
        <f t="shared" si="1"/>
        <v>AKL</v>
      </c>
      <c r="C104" s="2">
        <v>103</v>
      </c>
      <c r="D104" s="3" t="str">
        <f>HYPERLINK("https://sitebase.nzcomms.co.nz/spm/spmnominalview/AKL-005-051/","AKL-005-051")</f>
        <v>AKL-005-051</v>
      </c>
      <c r="E104" s="4"/>
      <c r="F104" s="3" t="str">
        <f>HYPERLINK("https://sitebase.nzcomms.co.nz/spm/spmcandidateview/AKL-005-051-F/","AKL-005-051-F")</f>
        <v>AKL-005-051-F</v>
      </c>
      <c r="G104" s="4" t="s">
        <v>504</v>
      </c>
      <c r="H104" s="4" t="s">
        <v>353</v>
      </c>
      <c r="I104" s="4"/>
      <c r="J104" s="4" t="s">
        <v>139</v>
      </c>
      <c r="K104" s="4" t="s">
        <v>141</v>
      </c>
      <c r="L104" s="4" t="s">
        <v>189</v>
      </c>
      <c r="M104" s="4" t="s">
        <v>296</v>
      </c>
      <c r="N104" s="4" t="s">
        <v>274</v>
      </c>
      <c r="O104" s="4" t="s">
        <v>356</v>
      </c>
      <c r="P104" s="4"/>
      <c r="Q104" s="4"/>
      <c r="R104" s="4">
        <v>14.2</v>
      </c>
      <c r="S104" s="4">
        <v>14.2</v>
      </c>
      <c r="T104" s="4"/>
      <c r="U104" s="4">
        <v>-36.708521900000001</v>
      </c>
      <c r="V104" s="4">
        <v>174.72696359</v>
      </c>
      <c r="W104" s="4"/>
      <c r="X104" s="4"/>
      <c r="Y104" s="4"/>
      <c r="Z104" s="4"/>
      <c r="AA104" s="4" t="s">
        <v>171</v>
      </c>
      <c r="AB104" s="3" t="str">
        <f>HYPERLINK("https://sitebase.nzcomms.co.nz/spm/spmcandidateview/AKL-005-052-A/","AKL-005-052-A")</f>
        <v>AKL-005-052-A</v>
      </c>
      <c r="AC104" s="4"/>
      <c r="AD104" s="4"/>
      <c r="AE104" s="4"/>
      <c r="AF104" s="4"/>
      <c r="AG104" s="4"/>
      <c r="AH104" s="4" t="s">
        <v>505</v>
      </c>
      <c r="AI104" s="4"/>
      <c r="AJ104" s="4"/>
      <c r="AK104" s="4"/>
      <c r="AL104" s="4"/>
      <c r="AM104" s="4"/>
      <c r="AN104" s="5">
        <v>39805</v>
      </c>
      <c r="AO104" s="4">
        <v>1</v>
      </c>
      <c r="AP104" s="5">
        <v>39801</v>
      </c>
      <c r="AQ104" s="5">
        <v>39805</v>
      </c>
      <c r="AR104" s="4"/>
      <c r="AS104" s="4"/>
      <c r="AT104" s="5">
        <v>39933</v>
      </c>
      <c r="AU104" s="5">
        <v>39927</v>
      </c>
      <c r="AV104" s="4"/>
      <c r="AW104" s="5">
        <v>39941</v>
      </c>
      <c r="AX104" s="5">
        <v>40071</v>
      </c>
      <c r="AY104" s="4"/>
      <c r="AZ104" s="5">
        <v>39850</v>
      </c>
      <c r="BA104" s="4"/>
      <c r="BB104" s="5">
        <v>39885</v>
      </c>
      <c r="BC104" s="4"/>
      <c r="BD104" s="4"/>
      <c r="BE104" s="5">
        <v>39885</v>
      </c>
      <c r="BF104" s="5">
        <v>39884</v>
      </c>
      <c r="BG104" s="5">
        <v>39825</v>
      </c>
      <c r="BH104" s="5">
        <v>39821</v>
      </c>
      <c r="BI104" s="4"/>
      <c r="BJ104" s="5">
        <v>39876</v>
      </c>
      <c r="BK104" s="4">
        <v>1</v>
      </c>
      <c r="BL104" s="4">
        <v>1</v>
      </c>
      <c r="BM104" s="5">
        <v>39871</v>
      </c>
      <c r="BN104" s="5">
        <v>39876</v>
      </c>
      <c r="BO104" s="5">
        <v>39951</v>
      </c>
      <c r="BP104" s="4"/>
      <c r="BQ104" s="4"/>
      <c r="BR104" s="4"/>
      <c r="BS104" s="4"/>
      <c r="BT104" s="5">
        <v>39951</v>
      </c>
      <c r="BU104" s="5">
        <v>39951</v>
      </c>
      <c r="BV104" s="5">
        <v>39962</v>
      </c>
      <c r="BW104" s="5">
        <v>39961</v>
      </c>
      <c r="BX104" s="4"/>
      <c r="BY104" s="5">
        <v>39983</v>
      </c>
      <c r="BZ104" s="5">
        <v>39983</v>
      </c>
      <c r="CA104" s="4"/>
      <c r="CB104" s="4"/>
      <c r="CC104" s="4"/>
      <c r="CD104" s="4"/>
      <c r="CE104" s="4"/>
      <c r="CF104" s="4"/>
      <c r="CG104" s="4"/>
      <c r="CH104" s="4"/>
      <c r="CI104" s="5">
        <v>39995</v>
      </c>
      <c r="CJ104" s="5">
        <v>39997</v>
      </c>
      <c r="CK104" s="5">
        <v>39995</v>
      </c>
      <c r="CL104" s="4"/>
      <c r="CM104" s="4"/>
      <c r="CN104" s="4"/>
      <c r="CO104" s="4"/>
      <c r="CP104" s="4" t="s">
        <v>506</v>
      </c>
      <c r="CQ104" s="4"/>
      <c r="CR104" s="5">
        <v>39997</v>
      </c>
      <c r="CS104" s="4"/>
      <c r="CT104" s="4"/>
      <c r="CU104" s="4"/>
      <c r="CV104" s="4"/>
      <c r="CW104" s="5">
        <v>39948</v>
      </c>
      <c r="CX104" s="5">
        <v>39951</v>
      </c>
      <c r="CY104" s="4"/>
      <c r="CZ104" s="4"/>
      <c r="DA104" s="4"/>
      <c r="DB104" s="4"/>
      <c r="DC104" s="4"/>
      <c r="DD104" s="4"/>
      <c r="DE104" s="4"/>
      <c r="DF104" s="4"/>
      <c r="DG104" s="4"/>
      <c r="DH104" s="4"/>
      <c r="DI104" s="4"/>
      <c r="DJ104" s="4" t="b">
        <v>0</v>
      </c>
      <c r="DK104" s="4"/>
      <c r="DL104" s="4">
        <v>2664717</v>
      </c>
      <c r="DM104" s="4">
        <v>6497777</v>
      </c>
      <c r="DN104" s="4" t="s">
        <v>507</v>
      </c>
      <c r="DO104" s="4"/>
      <c r="DP104" s="4"/>
      <c r="DQ104" s="4" t="s">
        <v>148</v>
      </c>
      <c r="DR104" s="4"/>
      <c r="DS104" s="4"/>
      <c r="DT104" s="4"/>
      <c r="DU104" s="4"/>
      <c r="DV104" s="4"/>
      <c r="DW104" s="4"/>
      <c r="DX104" s="4"/>
      <c r="DY104" s="5">
        <v>39951</v>
      </c>
      <c r="DZ104" s="5">
        <v>39951</v>
      </c>
      <c r="EA104" s="4"/>
      <c r="EB104" s="4"/>
      <c r="EC104" s="4"/>
      <c r="ED104" s="4"/>
      <c r="EE104" s="4"/>
      <c r="EF104" s="4"/>
      <c r="EG104" s="4"/>
      <c r="EH104" s="4"/>
      <c r="EI104" s="5">
        <v>39785</v>
      </c>
    </row>
    <row r="105" spans="1:139" hidden="1" x14ac:dyDescent="0.2">
      <c r="A105">
        <f>VLOOKUP(B105,Sheet1!$A$1:$B$18,2,FALSE)</f>
        <v>0</v>
      </c>
      <c r="B105" t="str">
        <f t="shared" si="1"/>
        <v>AKL</v>
      </c>
      <c r="C105" s="2">
        <v>104</v>
      </c>
      <c r="D105" s="3" t="str">
        <f>HYPERLINK("https://sitebase.nzcomms.co.nz/spm/spmnominalview/AKL-005-052/","AKL-005-052")</f>
        <v>AKL-005-052</v>
      </c>
      <c r="E105" s="4"/>
      <c r="F105" s="3" t="str">
        <f>HYPERLINK("https://sitebase.nzcomms.co.nz/spm/spmcandidateview/AKL-005-052-A/","AKL-005-052-A")</f>
        <v>AKL-005-052-A</v>
      </c>
      <c r="G105" s="4" t="s">
        <v>508</v>
      </c>
      <c r="H105" s="4" t="s">
        <v>353</v>
      </c>
      <c r="I105" s="4">
        <v>3</v>
      </c>
      <c r="J105" s="4" t="s">
        <v>139</v>
      </c>
      <c r="K105" s="4" t="s">
        <v>141</v>
      </c>
      <c r="L105" s="4" t="s">
        <v>150</v>
      </c>
      <c r="M105" s="4" t="s">
        <v>354</v>
      </c>
      <c r="N105" s="4" t="s">
        <v>156</v>
      </c>
      <c r="O105" s="4" t="s">
        <v>144</v>
      </c>
      <c r="P105" s="4"/>
      <c r="Q105" s="4"/>
      <c r="R105" s="4">
        <v>18.8</v>
      </c>
      <c r="S105" s="4">
        <v>18.8</v>
      </c>
      <c r="T105" s="4"/>
      <c r="U105" s="4">
        <v>-36.728799850000001</v>
      </c>
      <c r="V105" s="4">
        <v>174.71420183000001</v>
      </c>
      <c r="W105" s="4"/>
      <c r="X105" s="4"/>
      <c r="Y105" s="4"/>
      <c r="Z105" s="4"/>
      <c r="AA105" s="4" t="s">
        <v>171</v>
      </c>
      <c r="AB105" s="3" t="str">
        <f>HYPERLINK("https://sitebase.nzcomms.co.nz/spm/spmcandidateview/AKL-005-049-A/","AKL-005-049-A")</f>
        <v>AKL-005-049-A</v>
      </c>
      <c r="AC105" s="4" t="b">
        <v>0</v>
      </c>
      <c r="AD105" s="4" t="b">
        <v>0</v>
      </c>
      <c r="AE105" s="4"/>
      <c r="AF105" s="4"/>
      <c r="AG105" s="4" t="b">
        <v>0</v>
      </c>
      <c r="AH105" s="4" t="s">
        <v>395</v>
      </c>
      <c r="AI105" s="4"/>
      <c r="AJ105" s="4"/>
      <c r="AK105" s="4"/>
      <c r="AL105" s="4"/>
      <c r="AM105" s="4"/>
      <c r="AN105" s="5">
        <v>39626</v>
      </c>
      <c r="AO105" s="4">
        <v>5</v>
      </c>
      <c r="AP105" s="5">
        <v>39720</v>
      </c>
      <c r="AQ105" s="5">
        <v>41785</v>
      </c>
      <c r="AR105" s="4"/>
      <c r="AS105" s="4"/>
      <c r="AT105" s="5">
        <v>39871</v>
      </c>
      <c r="AU105" s="5">
        <v>39832</v>
      </c>
      <c r="AV105" s="4">
        <v>4</v>
      </c>
      <c r="AW105" s="5">
        <v>39833</v>
      </c>
      <c r="AX105" s="5">
        <v>39832</v>
      </c>
      <c r="AY105" s="4"/>
      <c r="AZ105" s="4"/>
      <c r="BA105" s="4"/>
      <c r="BB105" s="5">
        <v>39878</v>
      </c>
      <c r="BC105" s="4"/>
      <c r="BD105" s="4"/>
      <c r="BE105" s="5">
        <v>39878</v>
      </c>
      <c r="BF105" s="5">
        <v>40081</v>
      </c>
      <c r="BG105" s="4"/>
      <c r="BH105" s="5">
        <v>39699</v>
      </c>
      <c r="BI105" s="4"/>
      <c r="BJ105" s="5">
        <v>39720</v>
      </c>
      <c r="BK105" s="4">
        <v>3</v>
      </c>
      <c r="BL105" s="4">
        <v>4</v>
      </c>
      <c r="BM105" s="5">
        <v>39734</v>
      </c>
      <c r="BN105" s="5">
        <v>40057</v>
      </c>
      <c r="BO105" s="5">
        <v>39846</v>
      </c>
      <c r="BP105" s="4"/>
      <c r="BQ105" s="4"/>
      <c r="BR105" s="4"/>
      <c r="BS105" s="4"/>
      <c r="BT105" s="5">
        <v>39892</v>
      </c>
      <c r="BU105" s="5">
        <v>39892</v>
      </c>
      <c r="BV105" s="5">
        <v>39920</v>
      </c>
      <c r="BW105" s="5">
        <v>39918</v>
      </c>
      <c r="BX105" s="4"/>
      <c r="BY105" s="5">
        <v>39927</v>
      </c>
      <c r="BZ105" s="5">
        <v>39918</v>
      </c>
      <c r="CA105" s="4"/>
      <c r="CB105" s="4"/>
      <c r="CC105" s="4"/>
      <c r="CD105" s="4"/>
      <c r="CE105" s="4"/>
      <c r="CF105" s="4"/>
      <c r="CG105" s="4"/>
      <c r="CH105" s="4"/>
      <c r="CI105" s="5">
        <v>39925</v>
      </c>
      <c r="CJ105" s="5">
        <v>39933</v>
      </c>
      <c r="CK105" s="5">
        <v>39925</v>
      </c>
      <c r="CL105" s="4"/>
      <c r="CM105" s="4"/>
      <c r="CN105" s="4"/>
      <c r="CO105" s="4"/>
      <c r="CP105" s="4" t="s">
        <v>509</v>
      </c>
      <c r="CQ105" s="4"/>
      <c r="CR105" s="5">
        <v>39933</v>
      </c>
      <c r="CS105" s="4"/>
      <c r="CT105" s="4"/>
      <c r="CU105" s="4"/>
      <c r="CV105" s="4"/>
      <c r="CW105" s="5">
        <v>39841</v>
      </c>
      <c r="CX105" s="5">
        <v>39846</v>
      </c>
      <c r="CY105" s="4"/>
      <c r="CZ105" s="4"/>
      <c r="DA105" s="4"/>
      <c r="DB105" s="4"/>
      <c r="DC105" s="4"/>
      <c r="DD105" s="4"/>
      <c r="DE105" s="4"/>
      <c r="DF105" s="4"/>
      <c r="DG105" s="4"/>
      <c r="DH105" s="4"/>
      <c r="DI105" s="4"/>
      <c r="DJ105" s="4" t="b">
        <v>0</v>
      </c>
      <c r="DK105" s="4"/>
      <c r="DL105" s="4">
        <v>2663532</v>
      </c>
      <c r="DM105" s="4">
        <v>6495550</v>
      </c>
      <c r="DN105" s="4" t="s">
        <v>510</v>
      </c>
      <c r="DO105" s="4"/>
      <c r="DP105" s="4"/>
      <c r="DQ105" s="4" t="s">
        <v>148</v>
      </c>
      <c r="DR105" s="4"/>
      <c r="DS105" s="4"/>
      <c r="DT105" s="5">
        <v>41887</v>
      </c>
      <c r="DU105" s="4"/>
      <c r="DV105" s="4"/>
      <c r="DW105" s="4"/>
      <c r="DX105" s="4"/>
      <c r="DY105" s="5">
        <v>39881</v>
      </c>
      <c r="DZ105" s="5">
        <v>39867</v>
      </c>
      <c r="EA105" s="4"/>
      <c r="EB105" s="4"/>
      <c r="EC105" s="4"/>
      <c r="ED105" s="4"/>
      <c r="EE105" s="4"/>
      <c r="EF105" s="4"/>
      <c r="EG105" s="4"/>
      <c r="EH105" s="4"/>
      <c r="EI105" s="5">
        <v>39566</v>
      </c>
    </row>
    <row r="106" spans="1:139" hidden="1" x14ac:dyDescent="0.2">
      <c r="A106">
        <f>VLOOKUP(B106,Sheet1!$A$1:$B$18,2,FALSE)</f>
        <v>0</v>
      </c>
      <c r="B106" t="str">
        <f t="shared" si="1"/>
        <v>AKL</v>
      </c>
      <c r="C106" s="2">
        <v>105</v>
      </c>
      <c r="D106" s="3" t="str">
        <f>HYPERLINK("https://sitebase.nzcomms.co.nz/spm/spmnominalview/AKL-005-053/","AKL-005-053")</f>
        <v>AKL-005-053</v>
      </c>
      <c r="E106" s="4"/>
      <c r="F106" s="3" t="str">
        <f>HYPERLINK("https://sitebase.nzcomms.co.nz/spm/spmcandidateview/AKL-005-053-C/","AKL-005-053-C")</f>
        <v>AKL-005-053-C</v>
      </c>
      <c r="G106" s="4" t="s">
        <v>511</v>
      </c>
      <c r="H106" s="4" t="s">
        <v>353</v>
      </c>
      <c r="I106" s="4"/>
      <c r="J106" s="4" t="s">
        <v>139</v>
      </c>
      <c r="K106" s="4" t="s">
        <v>141</v>
      </c>
      <c r="L106" s="4" t="s">
        <v>150</v>
      </c>
      <c r="M106" s="4" t="s">
        <v>354</v>
      </c>
      <c r="N106" s="4" t="s">
        <v>291</v>
      </c>
      <c r="O106" s="4" t="s">
        <v>144</v>
      </c>
      <c r="P106" s="4"/>
      <c r="Q106" s="4"/>
      <c r="R106" s="4">
        <v>18.8</v>
      </c>
      <c r="S106" s="4">
        <v>18.8</v>
      </c>
      <c r="T106" s="4"/>
      <c r="U106" s="4">
        <v>-36.748564479999999</v>
      </c>
      <c r="V106" s="4">
        <v>174.69905745</v>
      </c>
      <c r="W106" s="4"/>
      <c r="X106" s="4"/>
      <c r="Y106" s="4"/>
      <c r="Z106" s="4"/>
      <c r="AA106" s="4" t="s">
        <v>171</v>
      </c>
      <c r="AB106" s="3" t="str">
        <f>HYPERLINK("https://sitebase.nzcomms.co.nz/spm/spmcandidateview/AKL-005-052-A/","AKL-005-052-A")</f>
        <v>AKL-005-052-A</v>
      </c>
      <c r="AC106" s="4"/>
      <c r="AD106" s="4"/>
      <c r="AE106" s="4"/>
      <c r="AF106" s="4"/>
      <c r="AG106" s="4"/>
      <c r="AH106" s="4"/>
      <c r="AI106" s="4"/>
      <c r="AJ106" s="4"/>
      <c r="AK106" s="4"/>
      <c r="AL106" s="4"/>
      <c r="AM106" s="5">
        <v>39892</v>
      </c>
      <c r="AN106" s="5">
        <v>39891</v>
      </c>
      <c r="AO106" s="4">
        <v>3</v>
      </c>
      <c r="AP106" s="5">
        <v>39941</v>
      </c>
      <c r="AQ106" s="5">
        <v>39941</v>
      </c>
      <c r="AR106" s="4"/>
      <c r="AS106" s="4"/>
      <c r="AT106" s="5">
        <v>39994</v>
      </c>
      <c r="AU106" s="5">
        <v>39994</v>
      </c>
      <c r="AV106" s="4">
        <v>3</v>
      </c>
      <c r="AW106" s="5">
        <v>39994</v>
      </c>
      <c r="AX106" s="5">
        <v>39994</v>
      </c>
      <c r="AY106" s="4"/>
      <c r="AZ106" s="5">
        <v>39899</v>
      </c>
      <c r="BA106" s="4"/>
      <c r="BB106" s="5">
        <v>39962</v>
      </c>
      <c r="BC106" s="4"/>
      <c r="BD106" s="4"/>
      <c r="BE106" s="5">
        <v>39962</v>
      </c>
      <c r="BF106" s="5">
        <v>39947</v>
      </c>
      <c r="BG106" s="5">
        <v>39925</v>
      </c>
      <c r="BH106" s="5">
        <v>39911</v>
      </c>
      <c r="BI106" s="5">
        <v>39925</v>
      </c>
      <c r="BJ106" s="5">
        <v>39953</v>
      </c>
      <c r="BK106" s="4">
        <v>1</v>
      </c>
      <c r="BL106" s="4">
        <v>1</v>
      </c>
      <c r="BM106" s="5">
        <v>39969</v>
      </c>
      <c r="BN106" s="5">
        <v>39953</v>
      </c>
      <c r="BO106" s="5">
        <v>39920</v>
      </c>
      <c r="BP106" s="4"/>
      <c r="BQ106" s="4"/>
      <c r="BR106" s="4"/>
      <c r="BS106" s="4"/>
      <c r="BT106" s="5">
        <v>40028</v>
      </c>
      <c r="BU106" s="5">
        <v>40016</v>
      </c>
      <c r="BV106" s="5">
        <v>40037</v>
      </c>
      <c r="BW106" s="5">
        <v>40037</v>
      </c>
      <c r="BX106" s="4"/>
      <c r="BY106" s="5">
        <v>40039</v>
      </c>
      <c r="BZ106" s="5">
        <v>40039</v>
      </c>
      <c r="CA106" s="4"/>
      <c r="CB106" s="4"/>
      <c r="CC106" s="4"/>
      <c r="CD106" s="4"/>
      <c r="CE106" s="4"/>
      <c r="CF106" s="4"/>
      <c r="CG106" s="4"/>
      <c r="CH106" s="4"/>
      <c r="CI106" s="5">
        <v>40046</v>
      </c>
      <c r="CJ106" s="5">
        <v>40046</v>
      </c>
      <c r="CK106" s="5">
        <v>40046</v>
      </c>
      <c r="CL106" s="4"/>
      <c r="CM106" s="4"/>
      <c r="CN106" s="4"/>
      <c r="CO106" s="4"/>
      <c r="CP106" s="4" t="s">
        <v>157</v>
      </c>
      <c r="CQ106" s="4"/>
      <c r="CR106" s="5">
        <v>40046</v>
      </c>
      <c r="CS106" s="4"/>
      <c r="CT106" s="4"/>
      <c r="CU106" s="4"/>
      <c r="CV106" s="4"/>
      <c r="CW106" s="5">
        <v>39920</v>
      </c>
      <c r="CX106" s="5">
        <v>39920</v>
      </c>
      <c r="CY106" s="4"/>
      <c r="CZ106" s="4"/>
      <c r="DA106" s="4"/>
      <c r="DB106" s="4"/>
      <c r="DC106" s="4"/>
      <c r="DD106" s="4"/>
      <c r="DE106" s="4"/>
      <c r="DF106" s="4"/>
      <c r="DG106" s="4"/>
      <c r="DH106" s="4"/>
      <c r="DI106" s="4"/>
      <c r="DJ106" s="4" t="b">
        <v>0</v>
      </c>
      <c r="DK106" s="4"/>
      <c r="DL106" s="4">
        <v>2662136</v>
      </c>
      <c r="DM106" s="4">
        <v>6493384</v>
      </c>
      <c r="DN106" s="4" t="s">
        <v>512</v>
      </c>
      <c r="DO106" s="4"/>
      <c r="DP106" s="4"/>
      <c r="DQ106" s="4" t="s">
        <v>148</v>
      </c>
      <c r="DR106" s="4"/>
      <c r="DS106" s="4"/>
      <c r="DT106" s="5">
        <v>41887</v>
      </c>
      <c r="DU106" s="4"/>
      <c r="DV106" s="4"/>
      <c r="DW106" s="4"/>
      <c r="DX106" s="4"/>
      <c r="DY106" s="5">
        <v>40028</v>
      </c>
      <c r="DZ106" s="5">
        <v>40016</v>
      </c>
      <c r="EA106" s="4"/>
      <c r="EB106" s="4"/>
      <c r="EC106" s="4"/>
      <c r="ED106" s="4"/>
      <c r="EE106" s="4"/>
      <c r="EF106" s="4"/>
      <c r="EG106" s="4"/>
      <c r="EH106" s="4"/>
      <c r="EI106" s="5">
        <v>39876</v>
      </c>
    </row>
    <row r="107" spans="1:139" hidden="1" x14ac:dyDescent="0.2">
      <c r="A107">
        <f>VLOOKUP(B107,Sheet1!$A$1:$B$18,2,FALSE)</f>
        <v>0</v>
      </c>
      <c r="B107" t="str">
        <f t="shared" si="1"/>
        <v>AKL</v>
      </c>
      <c r="C107" s="2">
        <v>106</v>
      </c>
      <c r="D107" s="3" t="str">
        <f>HYPERLINK("https://sitebase.nzcomms.co.nz/spm/spmnominalview/AKL-005-054/","AKL-005-054")</f>
        <v>AKL-005-054</v>
      </c>
      <c r="E107" s="4"/>
      <c r="F107" s="3" t="str">
        <f>HYPERLINK("https://sitebase.nzcomms.co.nz/spm/spmcandidateview/AKL-005-054-A/","AKL-005-054-A")</f>
        <v>AKL-005-054-A</v>
      </c>
      <c r="G107" s="4" t="s">
        <v>513</v>
      </c>
      <c r="H107" s="4" t="s">
        <v>353</v>
      </c>
      <c r="I107" s="4"/>
      <c r="J107" s="4" t="s">
        <v>139</v>
      </c>
      <c r="K107" s="4" t="s">
        <v>141</v>
      </c>
      <c r="L107" s="4" t="s">
        <v>189</v>
      </c>
      <c r="M107" s="4" t="s">
        <v>296</v>
      </c>
      <c r="N107" s="4" t="s">
        <v>274</v>
      </c>
      <c r="O107" s="4" t="s">
        <v>356</v>
      </c>
      <c r="P107" s="4"/>
      <c r="Q107" s="4"/>
      <c r="R107" s="4">
        <v>14</v>
      </c>
      <c r="S107" s="4">
        <v>14</v>
      </c>
      <c r="T107" s="4"/>
      <c r="U107" s="4">
        <v>-36.770503269999999</v>
      </c>
      <c r="V107" s="4">
        <v>174.68535872999999</v>
      </c>
      <c r="W107" s="4"/>
      <c r="X107" s="4"/>
      <c r="Y107" s="4"/>
      <c r="Z107" s="4"/>
      <c r="AA107" s="4" t="s">
        <v>152</v>
      </c>
      <c r="AB107" s="3" t="str">
        <f>HYPERLINK("https://sitebase.nzcomms.co.nz/spm/spmcandidateview/AKL-007-106-A/","AKL-007-106-A")</f>
        <v>AKL-007-106-A</v>
      </c>
      <c r="AC107" s="4"/>
      <c r="AD107" s="4"/>
      <c r="AE107" s="4"/>
      <c r="AF107" s="4"/>
      <c r="AG107" s="4"/>
      <c r="AH107" s="4"/>
      <c r="AI107" s="4"/>
      <c r="AJ107" s="4"/>
      <c r="AK107" s="4"/>
      <c r="AL107" s="4"/>
      <c r="AM107" s="4"/>
      <c r="AN107" s="5">
        <v>39785</v>
      </c>
      <c r="AO107" s="4">
        <v>2</v>
      </c>
      <c r="AP107" s="5">
        <v>39836</v>
      </c>
      <c r="AQ107" s="5">
        <v>39804</v>
      </c>
      <c r="AR107" s="4"/>
      <c r="AS107" s="4"/>
      <c r="AT107" s="5">
        <v>39933</v>
      </c>
      <c r="AU107" s="5">
        <v>39930</v>
      </c>
      <c r="AV107" s="4">
        <v>2</v>
      </c>
      <c r="AW107" s="5">
        <v>39948</v>
      </c>
      <c r="AX107" s="5">
        <v>39955</v>
      </c>
      <c r="AY107" s="4"/>
      <c r="AZ107" s="5">
        <v>39839</v>
      </c>
      <c r="BA107" s="4"/>
      <c r="BB107" s="5">
        <v>39941</v>
      </c>
      <c r="BC107" s="4"/>
      <c r="BD107" s="4"/>
      <c r="BE107" s="5">
        <v>39941</v>
      </c>
      <c r="BF107" s="5">
        <v>39932</v>
      </c>
      <c r="BG107" s="5">
        <v>39836</v>
      </c>
      <c r="BH107" s="5">
        <v>39806</v>
      </c>
      <c r="BI107" s="4"/>
      <c r="BJ107" s="5">
        <v>39863</v>
      </c>
      <c r="BK107" s="4">
        <v>1</v>
      </c>
      <c r="BL107" s="4">
        <v>2</v>
      </c>
      <c r="BM107" s="5">
        <v>39863</v>
      </c>
      <c r="BN107" s="5">
        <v>39863</v>
      </c>
      <c r="BO107" s="5">
        <v>39940</v>
      </c>
      <c r="BP107" s="4"/>
      <c r="BQ107" s="4"/>
      <c r="BR107" s="4"/>
      <c r="BS107" s="4"/>
      <c r="BT107" s="5">
        <v>39944</v>
      </c>
      <c r="BU107" s="5">
        <v>39944</v>
      </c>
      <c r="BV107" s="5">
        <v>39958</v>
      </c>
      <c r="BW107" s="5">
        <v>39959</v>
      </c>
      <c r="BX107" s="4"/>
      <c r="BY107" s="5">
        <v>39962</v>
      </c>
      <c r="BZ107" s="5">
        <v>39959</v>
      </c>
      <c r="CA107" s="4"/>
      <c r="CB107" s="4"/>
      <c r="CC107" s="4"/>
      <c r="CD107" s="4"/>
      <c r="CE107" s="4"/>
      <c r="CF107" s="4"/>
      <c r="CG107" s="4"/>
      <c r="CH107" s="4"/>
      <c r="CI107" s="5">
        <v>39982</v>
      </c>
      <c r="CJ107" s="5">
        <v>39982</v>
      </c>
      <c r="CK107" s="5">
        <v>39982</v>
      </c>
      <c r="CL107" s="4"/>
      <c r="CM107" s="4"/>
      <c r="CN107" s="4"/>
      <c r="CO107" s="4"/>
      <c r="CP107" s="4" t="s">
        <v>514</v>
      </c>
      <c r="CQ107" s="4"/>
      <c r="CR107" s="5">
        <v>39982</v>
      </c>
      <c r="CS107" s="4"/>
      <c r="CT107" s="4"/>
      <c r="CU107" s="4"/>
      <c r="CV107" s="4"/>
      <c r="CW107" s="5">
        <v>39939</v>
      </c>
      <c r="CX107" s="5">
        <v>39940</v>
      </c>
      <c r="CY107" s="4"/>
      <c r="CZ107" s="4"/>
      <c r="DA107" s="4"/>
      <c r="DB107" s="4"/>
      <c r="DC107" s="4"/>
      <c r="DD107" s="4"/>
      <c r="DE107" s="4"/>
      <c r="DF107" s="4"/>
      <c r="DG107" s="4"/>
      <c r="DH107" s="4"/>
      <c r="DI107" s="4"/>
      <c r="DJ107" s="4" t="b">
        <v>0</v>
      </c>
      <c r="DK107" s="4"/>
      <c r="DL107" s="4">
        <v>2660865</v>
      </c>
      <c r="DM107" s="4">
        <v>6490974</v>
      </c>
      <c r="DN107" s="4" t="s">
        <v>515</v>
      </c>
      <c r="DO107" s="4"/>
      <c r="DP107" s="4"/>
      <c r="DQ107" s="4" t="s">
        <v>148</v>
      </c>
      <c r="DR107" s="4"/>
      <c r="DS107" s="4"/>
      <c r="DT107" s="5">
        <v>42348</v>
      </c>
      <c r="DU107" s="4"/>
      <c r="DV107" s="4"/>
      <c r="DW107" s="4"/>
      <c r="DX107" s="4"/>
      <c r="DY107" s="5">
        <v>39944</v>
      </c>
      <c r="DZ107" s="5">
        <v>39944</v>
      </c>
      <c r="EA107" s="4"/>
      <c r="EB107" s="4"/>
      <c r="EC107" s="4"/>
      <c r="ED107" s="4"/>
      <c r="EE107" s="4"/>
      <c r="EF107" s="4"/>
      <c r="EG107" s="4"/>
      <c r="EH107" s="4"/>
      <c r="EI107" s="5">
        <v>39731</v>
      </c>
    </row>
    <row r="108" spans="1:139" hidden="1" x14ac:dyDescent="0.2">
      <c r="A108">
        <f>VLOOKUP(B108,Sheet1!$A$1:$B$18,2,FALSE)</f>
        <v>0</v>
      </c>
      <c r="B108" t="str">
        <f t="shared" si="1"/>
        <v>AKL</v>
      </c>
      <c r="C108" s="2">
        <v>107</v>
      </c>
      <c r="D108" s="3" t="str">
        <f>HYPERLINK("https://sitebase.nzcomms.co.nz/spm/spmnominalview/AKL-005-055/","AKL-005-055")</f>
        <v>AKL-005-055</v>
      </c>
      <c r="E108" s="4"/>
      <c r="F108" s="3" t="str">
        <f>HYPERLINK("https://sitebase.nzcomms.co.nz/spm/spmcandidateview/AKL-005-055-B/","AKL-005-055-B")</f>
        <v>AKL-005-055-B</v>
      </c>
      <c r="G108" s="4" t="s">
        <v>516</v>
      </c>
      <c r="H108" s="4" t="s">
        <v>353</v>
      </c>
      <c r="I108" s="4"/>
      <c r="J108" s="4" t="s">
        <v>139</v>
      </c>
      <c r="K108" s="4" t="s">
        <v>141</v>
      </c>
      <c r="L108" s="4" t="s">
        <v>189</v>
      </c>
      <c r="M108" s="4" t="s">
        <v>354</v>
      </c>
      <c r="N108" s="4" t="s">
        <v>355</v>
      </c>
      <c r="O108" s="4" t="s">
        <v>356</v>
      </c>
      <c r="P108" s="4"/>
      <c r="Q108" s="4"/>
      <c r="R108" s="4">
        <v>12</v>
      </c>
      <c r="S108" s="4">
        <v>12</v>
      </c>
      <c r="T108" s="4">
        <v>1</v>
      </c>
      <c r="U108" s="4">
        <v>-36.770242250000003</v>
      </c>
      <c r="V108" s="4">
        <v>174.74917658999999</v>
      </c>
      <c r="W108" s="4"/>
      <c r="X108" s="4"/>
      <c r="Y108" s="4"/>
      <c r="Z108" s="4"/>
      <c r="AA108" s="4" t="s">
        <v>171</v>
      </c>
      <c r="AB108" s="3" t="str">
        <f>HYPERLINK("https://sitebase.nzcomms.co.nz/spm/spmcandidateview/AKL-005-025-A/","AKL-005-025-A")</f>
        <v>AKL-005-025-A</v>
      </c>
      <c r="AC108" s="4"/>
      <c r="AD108" s="4"/>
      <c r="AE108" s="4"/>
      <c r="AF108" s="4"/>
      <c r="AG108" s="4"/>
      <c r="AH108" s="4" t="s">
        <v>395</v>
      </c>
      <c r="AI108" s="4"/>
      <c r="AJ108" s="4"/>
      <c r="AK108" s="4"/>
      <c r="AL108" s="4"/>
      <c r="AM108" s="4"/>
      <c r="AN108" s="5">
        <v>39632</v>
      </c>
      <c r="AO108" s="4">
        <v>2</v>
      </c>
      <c r="AP108" s="5">
        <v>39688</v>
      </c>
      <c r="AQ108" s="5">
        <v>39688</v>
      </c>
      <c r="AR108" s="4"/>
      <c r="AS108" s="4"/>
      <c r="AT108" s="5">
        <v>39933</v>
      </c>
      <c r="AU108" s="5">
        <v>39927</v>
      </c>
      <c r="AV108" s="4"/>
      <c r="AW108" s="5">
        <v>39941</v>
      </c>
      <c r="AX108" s="5">
        <v>40071</v>
      </c>
      <c r="AY108" s="4"/>
      <c r="AZ108" s="4"/>
      <c r="BA108" s="4"/>
      <c r="BB108" s="4"/>
      <c r="BC108" s="4"/>
      <c r="BD108" s="4"/>
      <c r="BE108" s="4"/>
      <c r="BF108" s="5">
        <v>39766</v>
      </c>
      <c r="BG108" s="5">
        <v>39708</v>
      </c>
      <c r="BH108" s="5">
        <v>39728</v>
      </c>
      <c r="BI108" s="4"/>
      <c r="BJ108" s="5">
        <v>39738</v>
      </c>
      <c r="BK108" s="4">
        <v>1</v>
      </c>
      <c r="BL108" s="4">
        <v>2</v>
      </c>
      <c r="BM108" s="5">
        <v>39738</v>
      </c>
      <c r="BN108" s="5">
        <v>39738</v>
      </c>
      <c r="BO108" s="5">
        <v>39933</v>
      </c>
      <c r="BP108" s="4"/>
      <c r="BQ108" s="4"/>
      <c r="BR108" s="4"/>
      <c r="BS108" s="4"/>
      <c r="BT108" s="5">
        <v>39941</v>
      </c>
      <c r="BU108" s="5">
        <v>39941</v>
      </c>
      <c r="BV108" s="5">
        <v>39953</v>
      </c>
      <c r="BW108" s="5">
        <v>39953</v>
      </c>
      <c r="BX108" s="4"/>
      <c r="BY108" s="5">
        <v>39961</v>
      </c>
      <c r="BZ108" s="5">
        <v>39960</v>
      </c>
      <c r="CA108" s="4"/>
      <c r="CB108" s="4"/>
      <c r="CC108" s="4"/>
      <c r="CD108" s="4"/>
      <c r="CE108" s="4"/>
      <c r="CF108" s="4"/>
      <c r="CG108" s="4"/>
      <c r="CH108" s="4"/>
      <c r="CI108" s="5">
        <v>39961</v>
      </c>
      <c r="CJ108" s="5">
        <v>39961</v>
      </c>
      <c r="CK108" s="5">
        <v>39961</v>
      </c>
      <c r="CL108" s="4"/>
      <c r="CM108" s="4"/>
      <c r="CN108" s="4"/>
      <c r="CO108" s="4"/>
      <c r="CP108" s="4" t="s">
        <v>517</v>
      </c>
      <c r="CQ108" s="4"/>
      <c r="CR108" s="5">
        <v>39961</v>
      </c>
      <c r="CS108" s="4"/>
      <c r="CT108" s="4"/>
      <c r="CU108" s="4"/>
      <c r="CV108" s="4"/>
      <c r="CW108" s="5">
        <v>39934</v>
      </c>
      <c r="CX108" s="5">
        <v>39933</v>
      </c>
      <c r="CY108" s="4"/>
      <c r="CZ108" s="4"/>
      <c r="DA108" s="4"/>
      <c r="DB108" s="4"/>
      <c r="DC108" s="4"/>
      <c r="DD108" s="4"/>
      <c r="DE108" s="4"/>
      <c r="DF108" s="4"/>
      <c r="DG108" s="4"/>
      <c r="DH108" s="4"/>
      <c r="DI108" s="4"/>
      <c r="DJ108" s="4" t="b">
        <v>0</v>
      </c>
      <c r="DK108" s="4"/>
      <c r="DL108" s="4">
        <v>2666562</v>
      </c>
      <c r="DM108" s="4">
        <v>6490889</v>
      </c>
      <c r="DN108" s="4" t="s">
        <v>518</v>
      </c>
      <c r="DO108" s="4"/>
      <c r="DP108" s="4"/>
      <c r="DQ108" s="4" t="s">
        <v>148</v>
      </c>
      <c r="DR108" s="4"/>
      <c r="DS108" s="4"/>
      <c r="DT108" s="5">
        <v>41887</v>
      </c>
      <c r="DU108" s="4"/>
      <c r="DV108" s="4"/>
      <c r="DW108" s="4"/>
      <c r="DX108" s="4"/>
      <c r="DY108" s="5">
        <v>39941</v>
      </c>
      <c r="DZ108" s="5">
        <v>39941</v>
      </c>
      <c r="EA108" s="4"/>
      <c r="EB108" s="4"/>
      <c r="EC108" s="4"/>
      <c r="ED108" s="4"/>
      <c r="EE108" s="4"/>
      <c r="EF108" s="4"/>
      <c r="EG108" s="4"/>
      <c r="EH108" s="4"/>
      <c r="EI108" s="5">
        <v>39612</v>
      </c>
    </row>
    <row r="109" spans="1:139" hidden="1" x14ac:dyDescent="0.2">
      <c r="A109">
        <f>VLOOKUP(B109,Sheet1!$A$1:$B$18,2,FALSE)</f>
        <v>0</v>
      </c>
      <c r="B109" t="str">
        <f t="shared" si="1"/>
        <v>AKL</v>
      </c>
      <c r="C109" s="2">
        <v>108</v>
      </c>
      <c r="D109" s="3" t="str">
        <f>HYPERLINK("https://sitebase.nzcomms.co.nz/spm/spmnominalview/AKL-005-058/","AKL-005-058")</f>
        <v>AKL-005-058</v>
      </c>
      <c r="E109" s="4"/>
      <c r="F109" s="4"/>
      <c r="G109" s="4"/>
      <c r="H109" s="4" t="s">
        <v>353</v>
      </c>
      <c r="I109" s="4"/>
      <c r="J109" s="4" t="s">
        <v>139</v>
      </c>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row>
    <row r="110" spans="1:139" hidden="1" x14ac:dyDescent="0.2">
      <c r="A110">
        <f>VLOOKUP(B110,Sheet1!$A$1:$B$18,2,FALSE)</f>
        <v>0</v>
      </c>
      <c r="B110" t="str">
        <f t="shared" si="1"/>
        <v>AKL</v>
      </c>
      <c r="C110" s="2">
        <v>109</v>
      </c>
      <c r="D110" s="3" t="str">
        <f>HYPERLINK("https://sitebase.nzcomms.co.nz/spm/spmnominalview/AKL-005-059/","AKL-005-059")</f>
        <v>AKL-005-059</v>
      </c>
      <c r="E110" s="4"/>
      <c r="F110" s="3" t="str">
        <f>HYPERLINK("https://sitebase.nzcomms.co.nz/spm/spmcandidateview/AKL-005-059-A/","AKL-005-059-A")</f>
        <v>AKL-005-059-A</v>
      </c>
      <c r="G110" s="4" t="s">
        <v>519</v>
      </c>
      <c r="H110" s="4" t="s">
        <v>353</v>
      </c>
      <c r="I110" s="4"/>
      <c r="J110" s="4" t="s">
        <v>139</v>
      </c>
      <c r="K110" s="4" t="s">
        <v>141</v>
      </c>
      <c r="L110" s="4" t="s">
        <v>150</v>
      </c>
      <c r="M110" s="4" t="s">
        <v>143</v>
      </c>
      <c r="N110" s="4" t="s">
        <v>520</v>
      </c>
      <c r="O110" s="4" t="s">
        <v>356</v>
      </c>
      <c r="P110" s="4"/>
      <c r="Q110" s="4"/>
      <c r="R110" s="4">
        <v>18.8</v>
      </c>
      <c r="S110" s="4">
        <v>18.8</v>
      </c>
      <c r="T110" s="4"/>
      <c r="U110" s="4">
        <v>-36.702400590000003</v>
      </c>
      <c r="V110" s="4">
        <v>174.72036338000001</v>
      </c>
      <c r="W110" s="4"/>
      <c r="X110" s="4"/>
      <c r="Y110" s="4"/>
      <c r="Z110" s="4"/>
      <c r="AA110" s="4" t="s">
        <v>217</v>
      </c>
      <c r="AB110" s="4" t="s">
        <v>521</v>
      </c>
      <c r="AC110" s="4"/>
      <c r="AD110" s="4"/>
      <c r="AE110" s="4"/>
      <c r="AF110" s="4"/>
      <c r="AG110" s="4"/>
      <c r="AH110" s="4" t="s">
        <v>522</v>
      </c>
      <c r="AI110" s="4"/>
      <c r="AJ110" s="4"/>
      <c r="AK110" s="4"/>
      <c r="AL110" s="4"/>
      <c r="AM110" s="4"/>
      <c r="AN110" s="5">
        <v>39874</v>
      </c>
      <c r="AO110" s="4">
        <v>9</v>
      </c>
      <c r="AP110" s="5">
        <v>39925</v>
      </c>
      <c r="AQ110" s="5">
        <v>41208</v>
      </c>
      <c r="AR110" s="4"/>
      <c r="AS110" s="4"/>
      <c r="AT110" s="5">
        <v>39960</v>
      </c>
      <c r="AU110" s="5">
        <v>39962</v>
      </c>
      <c r="AV110" s="4">
        <v>6</v>
      </c>
      <c r="AW110" s="5">
        <v>39960</v>
      </c>
      <c r="AX110" s="5">
        <v>39994</v>
      </c>
      <c r="AY110" s="4"/>
      <c r="AZ110" s="5">
        <v>39882</v>
      </c>
      <c r="BA110" s="4"/>
      <c r="BB110" s="5">
        <v>39994</v>
      </c>
      <c r="BC110" s="4"/>
      <c r="BD110" s="4"/>
      <c r="BE110" s="5">
        <v>39994</v>
      </c>
      <c r="BF110" s="5">
        <v>39990</v>
      </c>
      <c r="BG110" s="5">
        <v>39934</v>
      </c>
      <c r="BH110" s="5">
        <v>39917</v>
      </c>
      <c r="BI110" s="4"/>
      <c r="BJ110" s="5">
        <v>39960</v>
      </c>
      <c r="BK110" s="4">
        <v>3</v>
      </c>
      <c r="BL110" s="4">
        <v>7</v>
      </c>
      <c r="BM110" s="5">
        <v>40004</v>
      </c>
      <c r="BN110" s="5">
        <v>40003</v>
      </c>
      <c r="BO110" s="5">
        <v>39958</v>
      </c>
      <c r="BP110" s="4"/>
      <c r="BQ110" s="4"/>
      <c r="BR110" s="4"/>
      <c r="BS110" s="4"/>
      <c r="BT110" s="5">
        <v>40007</v>
      </c>
      <c r="BU110" s="5">
        <v>40007</v>
      </c>
      <c r="BV110" s="5">
        <v>40039</v>
      </c>
      <c r="BW110" s="5">
        <v>40039</v>
      </c>
      <c r="BX110" s="4"/>
      <c r="BY110" s="5">
        <v>40043</v>
      </c>
      <c r="BZ110" s="5">
        <v>40043</v>
      </c>
      <c r="CA110" s="4"/>
      <c r="CB110" s="4"/>
      <c r="CC110" s="4"/>
      <c r="CD110" s="4"/>
      <c r="CE110" s="4"/>
      <c r="CF110" s="4"/>
      <c r="CG110" s="4"/>
      <c r="CH110" s="4"/>
      <c r="CI110" s="5">
        <v>40044</v>
      </c>
      <c r="CJ110" s="5">
        <v>40045</v>
      </c>
      <c r="CK110" s="5">
        <v>40044</v>
      </c>
      <c r="CL110" s="4"/>
      <c r="CM110" s="4"/>
      <c r="CN110" s="4"/>
      <c r="CO110" s="4"/>
      <c r="CP110" s="4" t="s">
        <v>523</v>
      </c>
      <c r="CQ110" s="4"/>
      <c r="CR110" s="5">
        <v>40045</v>
      </c>
      <c r="CS110" s="4"/>
      <c r="CT110" s="4"/>
      <c r="CU110" s="4"/>
      <c r="CV110" s="4"/>
      <c r="CW110" s="5">
        <v>39962</v>
      </c>
      <c r="CX110" s="5">
        <v>39958</v>
      </c>
      <c r="CY110" s="4"/>
      <c r="CZ110" s="4"/>
      <c r="DA110" s="4"/>
      <c r="DB110" s="4"/>
      <c r="DC110" s="4"/>
      <c r="DD110" s="4"/>
      <c r="DE110" s="4"/>
      <c r="DF110" s="4"/>
      <c r="DG110" s="4"/>
      <c r="DH110" s="4"/>
      <c r="DI110" s="4"/>
      <c r="DJ110" s="4" t="b">
        <v>0</v>
      </c>
      <c r="DK110" s="4"/>
      <c r="DL110" s="4">
        <v>2664141</v>
      </c>
      <c r="DM110" s="4">
        <v>6498468</v>
      </c>
      <c r="DN110" s="4" t="s">
        <v>524</v>
      </c>
      <c r="DO110" s="4"/>
      <c r="DP110" s="4"/>
      <c r="DQ110" s="4" t="s">
        <v>148</v>
      </c>
      <c r="DR110" s="4"/>
      <c r="DS110" s="4"/>
      <c r="DT110" s="4"/>
      <c r="DU110" s="4"/>
      <c r="DV110" s="4"/>
      <c r="DW110" s="4"/>
      <c r="DX110" s="4"/>
      <c r="DY110" s="5">
        <v>40007</v>
      </c>
      <c r="DZ110" s="5">
        <v>40007</v>
      </c>
      <c r="EA110" s="4"/>
      <c r="EB110" s="4"/>
      <c r="EC110" s="4"/>
      <c r="ED110" s="4"/>
      <c r="EE110" s="4"/>
      <c r="EF110" s="4"/>
      <c r="EG110" s="4"/>
      <c r="EH110" s="4"/>
      <c r="EI110" s="5">
        <v>39836</v>
      </c>
    </row>
    <row r="111" spans="1:139" hidden="1" x14ac:dyDescent="0.2">
      <c r="A111">
        <f>VLOOKUP(B111,Sheet1!$A$1:$B$18,2,FALSE)</f>
        <v>0</v>
      </c>
      <c r="B111" t="str">
        <f t="shared" si="1"/>
        <v>AKL</v>
      </c>
      <c r="C111" s="2">
        <v>110</v>
      </c>
      <c r="D111" s="3" t="str">
        <f>HYPERLINK("https://sitebase.nzcomms.co.nz/spm/spmnominalview/AKL-005-061/","AKL-005-061")</f>
        <v>AKL-005-061</v>
      </c>
      <c r="E111" s="4"/>
      <c r="F111" s="3" t="str">
        <f>HYPERLINK("https://sitebase.nzcomms.co.nz/spm/spmcandidateview/AKL-005-061-B/","AKL-005-061-B")</f>
        <v>AKL-005-061-B</v>
      </c>
      <c r="G111" s="4" t="s">
        <v>525</v>
      </c>
      <c r="H111" s="4" t="s">
        <v>353</v>
      </c>
      <c r="I111" s="4"/>
      <c r="J111" s="4" t="s">
        <v>139</v>
      </c>
      <c r="K111" s="4" t="s">
        <v>141</v>
      </c>
      <c r="L111" s="4" t="s">
        <v>189</v>
      </c>
      <c r="M111" s="4" t="s">
        <v>296</v>
      </c>
      <c r="N111" s="4" t="s">
        <v>191</v>
      </c>
      <c r="O111" s="4" t="s">
        <v>356</v>
      </c>
      <c r="P111" s="4"/>
      <c r="Q111" s="4"/>
      <c r="R111" s="4">
        <v>9.1999999999999993</v>
      </c>
      <c r="S111" s="4">
        <v>9.1999999999999993</v>
      </c>
      <c r="T111" s="4"/>
      <c r="U111" s="4">
        <v>-36.715642699999997</v>
      </c>
      <c r="V111" s="4">
        <v>174.73360112</v>
      </c>
      <c r="W111" s="4"/>
      <c r="X111" s="4"/>
      <c r="Y111" s="4"/>
      <c r="Z111" s="4"/>
      <c r="AA111" s="4" t="s">
        <v>152</v>
      </c>
      <c r="AB111" s="3" t="str">
        <f>HYPERLINK("https://sitebase.nzcomms.co.nz/spm/spmcandidateview/AKL-007-106-A/","AKL-007-106-A")</f>
        <v>AKL-007-106-A</v>
      </c>
      <c r="AC111" s="4"/>
      <c r="AD111" s="4"/>
      <c r="AE111" s="4"/>
      <c r="AF111" s="4"/>
      <c r="AG111" s="4"/>
      <c r="AH111" s="4"/>
      <c r="AI111" s="4"/>
      <c r="AJ111" s="4"/>
      <c r="AK111" s="4"/>
      <c r="AL111" s="4"/>
      <c r="AM111" s="4"/>
      <c r="AN111" s="5">
        <v>39750</v>
      </c>
      <c r="AO111" s="4">
        <v>4</v>
      </c>
      <c r="AP111" s="5">
        <v>39868</v>
      </c>
      <c r="AQ111" s="5">
        <v>39868</v>
      </c>
      <c r="AR111" s="4"/>
      <c r="AS111" s="4"/>
      <c r="AT111" s="5">
        <v>39933</v>
      </c>
      <c r="AU111" s="5">
        <v>39927</v>
      </c>
      <c r="AV111" s="4"/>
      <c r="AW111" s="5">
        <v>39941</v>
      </c>
      <c r="AX111" s="5">
        <v>40071</v>
      </c>
      <c r="AY111" s="4"/>
      <c r="AZ111" s="5">
        <v>39864</v>
      </c>
      <c r="BA111" s="4"/>
      <c r="BB111" s="5">
        <v>39892</v>
      </c>
      <c r="BC111" s="4"/>
      <c r="BD111" s="4"/>
      <c r="BE111" s="5">
        <v>39892</v>
      </c>
      <c r="BF111" s="5">
        <v>39891</v>
      </c>
      <c r="BG111" s="5">
        <v>39783</v>
      </c>
      <c r="BH111" s="5">
        <v>39806</v>
      </c>
      <c r="BI111" s="4"/>
      <c r="BJ111" s="5">
        <v>39883</v>
      </c>
      <c r="BK111" s="4">
        <v>1</v>
      </c>
      <c r="BL111" s="4">
        <v>2</v>
      </c>
      <c r="BM111" s="5">
        <v>39885</v>
      </c>
      <c r="BN111" s="5">
        <v>39883</v>
      </c>
      <c r="BO111" s="5">
        <v>39951</v>
      </c>
      <c r="BP111" s="4"/>
      <c r="BQ111" s="4"/>
      <c r="BR111" s="4"/>
      <c r="BS111" s="4"/>
      <c r="BT111" s="5">
        <v>39951</v>
      </c>
      <c r="BU111" s="5">
        <v>39951</v>
      </c>
      <c r="BV111" s="5">
        <v>39961</v>
      </c>
      <c r="BW111" s="5">
        <v>39960</v>
      </c>
      <c r="BX111" s="4"/>
      <c r="BY111" s="5">
        <v>39969</v>
      </c>
      <c r="BZ111" s="5">
        <v>39966</v>
      </c>
      <c r="CA111" s="4"/>
      <c r="CB111" s="4"/>
      <c r="CC111" s="4"/>
      <c r="CD111" s="4"/>
      <c r="CE111" s="4"/>
      <c r="CF111" s="4"/>
      <c r="CG111" s="4"/>
      <c r="CH111" s="4"/>
      <c r="CI111" s="5">
        <v>39987</v>
      </c>
      <c r="CJ111" s="5">
        <v>39986</v>
      </c>
      <c r="CK111" s="5">
        <v>39987</v>
      </c>
      <c r="CL111" s="4"/>
      <c r="CM111" s="4"/>
      <c r="CN111" s="4"/>
      <c r="CO111" s="4"/>
      <c r="CP111" s="4" t="s">
        <v>526</v>
      </c>
      <c r="CQ111" s="4"/>
      <c r="CR111" s="5">
        <v>39986</v>
      </c>
      <c r="CS111" s="4"/>
      <c r="CT111" s="4"/>
      <c r="CU111" s="4"/>
      <c r="CV111" s="4"/>
      <c r="CW111" s="5">
        <v>39948</v>
      </c>
      <c r="CX111" s="5">
        <v>39951</v>
      </c>
      <c r="CY111" s="4"/>
      <c r="CZ111" s="4"/>
      <c r="DA111" s="4"/>
      <c r="DB111" s="4"/>
      <c r="DC111" s="4"/>
      <c r="DD111" s="4"/>
      <c r="DE111" s="4"/>
      <c r="DF111" s="4"/>
      <c r="DG111" s="4"/>
      <c r="DH111" s="4"/>
      <c r="DI111" s="4"/>
      <c r="DJ111" s="4" t="b">
        <v>0</v>
      </c>
      <c r="DK111" s="4"/>
      <c r="DL111" s="4">
        <v>2665294</v>
      </c>
      <c r="DM111" s="4">
        <v>6496975</v>
      </c>
      <c r="DN111" s="4" t="s">
        <v>527</v>
      </c>
      <c r="DO111" s="4"/>
      <c r="DP111" s="4"/>
      <c r="DQ111" s="4" t="s">
        <v>148</v>
      </c>
      <c r="DR111" s="4"/>
      <c r="DS111" s="4"/>
      <c r="DT111" s="5">
        <v>42348</v>
      </c>
      <c r="DU111" s="4"/>
      <c r="DV111" s="4"/>
      <c r="DW111" s="4"/>
      <c r="DX111" s="4"/>
      <c r="DY111" s="5">
        <v>39951</v>
      </c>
      <c r="DZ111" s="5">
        <v>39951</v>
      </c>
      <c r="EA111" s="4"/>
      <c r="EB111" s="4"/>
      <c r="EC111" s="4"/>
      <c r="ED111" s="4"/>
      <c r="EE111" s="4"/>
      <c r="EF111" s="4"/>
      <c r="EG111" s="4"/>
      <c r="EH111" s="4"/>
      <c r="EI111" s="5">
        <v>39729</v>
      </c>
    </row>
    <row r="112" spans="1:139" hidden="1" x14ac:dyDescent="0.2">
      <c r="A112">
        <f>VLOOKUP(B112,Sheet1!$A$1:$B$18,2,FALSE)</f>
        <v>0</v>
      </c>
      <c r="B112" t="str">
        <f t="shared" si="1"/>
        <v>AKL</v>
      </c>
      <c r="C112" s="2">
        <v>111</v>
      </c>
      <c r="D112" s="3" t="str">
        <f>HYPERLINK("https://sitebase.nzcomms.co.nz/spm/spmnominalview/AKL-005-064/","AKL-005-064")</f>
        <v>AKL-005-064</v>
      </c>
      <c r="E112" s="4"/>
      <c r="F112" s="3" t="str">
        <f>HYPERLINK("https://sitebase.nzcomms.co.nz/spm/spmcandidateview/AKL-005-064-K/","AKL-005-064-K")</f>
        <v>AKL-005-064-K</v>
      </c>
      <c r="G112" s="4" t="s">
        <v>528</v>
      </c>
      <c r="H112" s="4" t="s">
        <v>353</v>
      </c>
      <c r="I112" s="4"/>
      <c r="J112" s="4" t="s">
        <v>139</v>
      </c>
      <c r="K112" s="4" t="s">
        <v>141</v>
      </c>
      <c r="L112" s="4" t="s">
        <v>189</v>
      </c>
      <c r="M112" s="4" t="s">
        <v>463</v>
      </c>
      <c r="N112" s="4" t="s">
        <v>274</v>
      </c>
      <c r="O112" s="4" t="s">
        <v>356</v>
      </c>
      <c r="P112" s="4"/>
      <c r="Q112" s="4"/>
      <c r="R112" s="4">
        <v>9.3000000000000007</v>
      </c>
      <c r="S112" s="4">
        <v>9.3000000000000007</v>
      </c>
      <c r="T112" s="4"/>
      <c r="U112" s="4">
        <v>-36.793141779999999</v>
      </c>
      <c r="V112" s="4">
        <v>174.73718208</v>
      </c>
      <c r="W112" s="4"/>
      <c r="X112" s="4"/>
      <c r="Y112" s="4"/>
      <c r="Z112" s="4"/>
      <c r="AA112" s="4" t="s">
        <v>152</v>
      </c>
      <c r="AB112" s="3" t="str">
        <f>HYPERLINK("https://sitebase.nzcomms.co.nz/spm/spmcandidateview/AKL-007-106-A/","AKL-007-106-A")</f>
        <v>AKL-007-106-A</v>
      </c>
      <c r="AC112" s="4"/>
      <c r="AD112" s="4"/>
      <c r="AE112" s="4"/>
      <c r="AF112" s="4"/>
      <c r="AG112" s="4"/>
      <c r="AH112" s="4"/>
      <c r="AI112" s="4"/>
      <c r="AJ112" s="4"/>
      <c r="AK112" s="4"/>
      <c r="AL112" s="4"/>
      <c r="AM112" s="4"/>
      <c r="AN112" s="5">
        <v>39799</v>
      </c>
      <c r="AO112" s="4">
        <v>1</v>
      </c>
      <c r="AP112" s="5">
        <v>39801</v>
      </c>
      <c r="AQ112" s="5">
        <v>39799</v>
      </c>
      <c r="AR112" s="4"/>
      <c r="AS112" s="4"/>
      <c r="AT112" s="5">
        <v>39933</v>
      </c>
      <c r="AU112" s="5">
        <v>39927</v>
      </c>
      <c r="AV112" s="4"/>
      <c r="AW112" s="5">
        <v>39941</v>
      </c>
      <c r="AX112" s="5">
        <v>40071</v>
      </c>
      <c r="AY112" s="4"/>
      <c r="AZ112" s="5">
        <v>39857</v>
      </c>
      <c r="BA112" s="4"/>
      <c r="BB112" s="5">
        <v>39892</v>
      </c>
      <c r="BC112" s="4"/>
      <c r="BD112" s="4"/>
      <c r="BE112" s="5">
        <v>39892</v>
      </c>
      <c r="BF112" s="5">
        <v>39891</v>
      </c>
      <c r="BG112" s="5">
        <v>39801</v>
      </c>
      <c r="BH112" s="5">
        <v>39806</v>
      </c>
      <c r="BI112" s="4"/>
      <c r="BJ112" s="5">
        <v>39881</v>
      </c>
      <c r="BK112" s="4">
        <v>1</v>
      </c>
      <c r="BL112" s="4">
        <v>1</v>
      </c>
      <c r="BM112" s="5">
        <v>39878</v>
      </c>
      <c r="BN112" s="5">
        <v>39881</v>
      </c>
      <c r="BO112" s="5">
        <v>39953</v>
      </c>
      <c r="BP112" s="4"/>
      <c r="BQ112" s="4"/>
      <c r="BR112" s="4"/>
      <c r="BS112" s="4"/>
      <c r="BT112" s="5">
        <v>39944</v>
      </c>
      <c r="BU112" s="5">
        <v>39944</v>
      </c>
      <c r="BV112" s="5">
        <v>39960</v>
      </c>
      <c r="BW112" s="5">
        <v>39959</v>
      </c>
      <c r="BX112" s="4"/>
      <c r="BY112" s="5">
        <v>39969</v>
      </c>
      <c r="BZ112" s="5">
        <v>39969</v>
      </c>
      <c r="CA112" s="4"/>
      <c r="CB112" s="4"/>
      <c r="CC112" s="4"/>
      <c r="CD112" s="4"/>
      <c r="CE112" s="4"/>
      <c r="CF112" s="4"/>
      <c r="CG112" s="4"/>
      <c r="CH112" s="4"/>
      <c r="CI112" s="5">
        <v>39980</v>
      </c>
      <c r="CJ112" s="5">
        <v>39983</v>
      </c>
      <c r="CK112" s="5">
        <v>39980</v>
      </c>
      <c r="CL112" s="4"/>
      <c r="CM112" s="4"/>
      <c r="CN112" s="4"/>
      <c r="CO112" s="4"/>
      <c r="CP112" s="4" t="s">
        <v>529</v>
      </c>
      <c r="CQ112" s="4"/>
      <c r="CR112" s="5">
        <v>39983</v>
      </c>
      <c r="CS112" s="4"/>
      <c r="CT112" s="4"/>
      <c r="CU112" s="4"/>
      <c r="CV112" s="4"/>
      <c r="CW112" s="5">
        <v>39953</v>
      </c>
      <c r="CX112" s="5">
        <v>39953</v>
      </c>
      <c r="CY112" s="4"/>
      <c r="CZ112" s="4"/>
      <c r="DA112" s="4"/>
      <c r="DB112" s="4"/>
      <c r="DC112" s="4"/>
      <c r="DD112" s="4"/>
      <c r="DE112" s="4"/>
      <c r="DF112" s="4"/>
      <c r="DG112" s="4"/>
      <c r="DH112" s="4"/>
      <c r="DI112" s="4"/>
      <c r="DJ112" s="4" t="b">
        <v>0</v>
      </c>
      <c r="DK112" s="4"/>
      <c r="DL112" s="4">
        <v>2665440</v>
      </c>
      <c r="DM112" s="4">
        <v>6488370</v>
      </c>
      <c r="DN112" s="4" t="s">
        <v>530</v>
      </c>
      <c r="DO112" s="4"/>
      <c r="DP112" s="4"/>
      <c r="DQ112" s="4" t="s">
        <v>148</v>
      </c>
      <c r="DR112" s="4"/>
      <c r="DS112" s="4"/>
      <c r="DT112" s="5">
        <v>41887</v>
      </c>
      <c r="DU112" s="4"/>
      <c r="DV112" s="4"/>
      <c r="DW112" s="4"/>
      <c r="DX112" s="4"/>
      <c r="DY112" s="5">
        <v>39944</v>
      </c>
      <c r="DZ112" s="5">
        <v>39944</v>
      </c>
      <c r="EA112" s="4"/>
      <c r="EB112" s="4"/>
      <c r="EC112" s="4"/>
      <c r="ED112" s="4"/>
      <c r="EE112" s="4"/>
      <c r="EF112" s="4"/>
      <c r="EG112" s="4"/>
      <c r="EH112" s="4"/>
      <c r="EI112" s="5">
        <v>39729</v>
      </c>
    </row>
    <row r="113" spans="1:139" hidden="1" x14ac:dyDescent="0.2">
      <c r="A113">
        <f>VLOOKUP(B113,Sheet1!$A$1:$B$18,2,FALSE)</f>
        <v>0</v>
      </c>
      <c r="B113" t="str">
        <f t="shared" si="1"/>
        <v>AKL</v>
      </c>
      <c r="C113" s="2">
        <v>112</v>
      </c>
      <c r="D113" s="3" t="str">
        <f>HYPERLINK("https://sitebase.nzcomms.co.nz/spm/spmnominalview/AKL-005-065/","AKL-005-065")</f>
        <v>AKL-005-065</v>
      </c>
      <c r="E113" s="4"/>
      <c r="F113" s="3" t="str">
        <f>HYPERLINK("https://sitebase.nzcomms.co.nz/spm/spmcandidateview/AKL-005-065-A/","AKL-005-065-A")</f>
        <v>AKL-005-065-A</v>
      </c>
      <c r="G113" s="4" t="s">
        <v>531</v>
      </c>
      <c r="H113" s="4" t="s">
        <v>353</v>
      </c>
      <c r="I113" s="4"/>
      <c r="J113" s="4" t="s">
        <v>139</v>
      </c>
      <c r="K113" s="4" t="s">
        <v>141</v>
      </c>
      <c r="L113" s="4" t="s">
        <v>189</v>
      </c>
      <c r="M113" s="4" t="s">
        <v>463</v>
      </c>
      <c r="N113" s="4" t="s">
        <v>191</v>
      </c>
      <c r="O113" s="4" t="s">
        <v>356</v>
      </c>
      <c r="P113" s="4"/>
      <c r="Q113" s="4"/>
      <c r="R113" s="4">
        <v>12.6</v>
      </c>
      <c r="S113" s="4">
        <v>12.6</v>
      </c>
      <c r="T113" s="4"/>
      <c r="U113" s="4">
        <v>-36.791349400000001</v>
      </c>
      <c r="V113" s="4">
        <v>174.72598678</v>
      </c>
      <c r="W113" s="4"/>
      <c r="X113" s="4"/>
      <c r="Y113" s="4"/>
      <c r="Z113" s="4"/>
      <c r="AA113" s="4" t="s">
        <v>171</v>
      </c>
      <c r="AB113" s="3" t="str">
        <f>HYPERLINK("https://sitebase.nzcomms.co.nz/spm/spmcandidateview/AKL-005-016-D/","AKL-005-016-D")</f>
        <v>AKL-005-016-D</v>
      </c>
      <c r="AC113" s="4"/>
      <c r="AD113" s="4"/>
      <c r="AE113" s="4"/>
      <c r="AF113" s="4"/>
      <c r="AG113" s="4"/>
      <c r="AH113" s="4"/>
      <c r="AI113" s="4"/>
      <c r="AJ113" s="4"/>
      <c r="AK113" s="4"/>
      <c r="AL113" s="4"/>
      <c r="AM113" s="5">
        <v>39849</v>
      </c>
      <c r="AN113" s="5">
        <v>39787</v>
      </c>
      <c r="AO113" s="4">
        <v>5</v>
      </c>
      <c r="AP113" s="5">
        <v>39863</v>
      </c>
      <c r="AQ113" s="5">
        <v>40102</v>
      </c>
      <c r="AR113" s="4"/>
      <c r="AS113" s="4"/>
      <c r="AT113" s="5">
        <v>39933</v>
      </c>
      <c r="AU113" s="5">
        <v>39927</v>
      </c>
      <c r="AV113" s="4"/>
      <c r="AW113" s="5">
        <v>39941</v>
      </c>
      <c r="AX113" s="5">
        <v>39987</v>
      </c>
      <c r="AY113" s="4"/>
      <c r="AZ113" s="5">
        <v>39871</v>
      </c>
      <c r="BA113" s="4"/>
      <c r="BB113" s="5">
        <v>39892</v>
      </c>
      <c r="BC113" s="4"/>
      <c r="BD113" s="4"/>
      <c r="BE113" s="5">
        <v>39892</v>
      </c>
      <c r="BF113" s="5">
        <v>39885</v>
      </c>
      <c r="BG113" s="5">
        <v>39801</v>
      </c>
      <c r="BH113" s="5">
        <v>39805</v>
      </c>
      <c r="BI113" s="4"/>
      <c r="BJ113" s="5">
        <v>39876</v>
      </c>
      <c r="BK113" s="4">
        <v>1</v>
      </c>
      <c r="BL113" s="4">
        <v>1</v>
      </c>
      <c r="BM113" s="5">
        <v>39878</v>
      </c>
      <c r="BN113" s="5">
        <v>39876</v>
      </c>
      <c r="BO113" s="5">
        <v>39937</v>
      </c>
      <c r="BP113" s="4"/>
      <c r="BQ113" s="4"/>
      <c r="BR113" s="4"/>
      <c r="BS113" s="4"/>
      <c r="BT113" s="5">
        <v>39958</v>
      </c>
      <c r="BU113" s="5">
        <v>39953</v>
      </c>
      <c r="BV113" s="5">
        <v>39962</v>
      </c>
      <c r="BW113" s="5">
        <v>39961</v>
      </c>
      <c r="BX113" s="4"/>
      <c r="BY113" s="5">
        <v>39980</v>
      </c>
      <c r="BZ113" s="5">
        <v>39989</v>
      </c>
      <c r="CA113" s="4"/>
      <c r="CB113" s="4"/>
      <c r="CC113" s="4"/>
      <c r="CD113" s="4"/>
      <c r="CE113" s="4"/>
      <c r="CF113" s="4"/>
      <c r="CG113" s="4"/>
      <c r="CH113" s="4"/>
      <c r="CI113" s="5">
        <v>39990</v>
      </c>
      <c r="CJ113" s="5">
        <v>39989</v>
      </c>
      <c r="CK113" s="5">
        <v>39990</v>
      </c>
      <c r="CL113" s="4"/>
      <c r="CM113" s="4"/>
      <c r="CN113" s="4"/>
      <c r="CO113" s="4"/>
      <c r="CP113" s="4" t="s">
        <v>532</v>
      </c>
      <c r="CQ113" s="4"/>
      <c r="CR113" s="5">
        <v>40011</v>
      </c>
      <c r="CS113" s="4"/>
      <c r="CT113" s="4"/>
      <c r="CU113" s="4"/>
      <c r="CV113" s="4"/>
      <c r="CW113" s="5">
        <v>39934</v>
      </c>
      <c r="CX113" s="5">
        <v>39937</v>
      </c>
      <c r="CY113" s="4"/>
      <c r="CZ113" s="4"/>
      <c r="DA113" s="4"/>
      <c r="DB113" s="4"/>
      <c r="DC113" s="4"/>
      <c r="DD113" s="4"/>
      <c r="DE113" s="4"/>
      <c r="DF113" s="4"/>
      <c r="DG113" s="4"/>
      <c r="DH113" s="4"/>
      <c r="DI113" s="4"/>
      <c r="DJ113" s="4" t="b">
        <v>0</v>
      </c>
      <c r="DK113" s="4"/>
      <c r="DL113" s="4">
        <v>2664445</v>
      </c>
      <c r="DM113" s="4">
        <v>6488589</v>
      </c>
      <c r="DN113" s="4" t="s">
        <v>533</v>
      </c>
      <c r="DO113" s="4"/>
      <c r="DP113" s="4"/>
      <c r="DQ113" s="4" t="s">
        <v>148</v>
      </c>
      <c r="DR113" s="4"/>
      <c r="DS113" s="4"/>
      <c r="DT113" s="5">
        <v>41887</v>
      </c>
      <c r="DU113" s="4"/>
      <c r="DV113" s="4"/>
      <c r="DW113" s="4"/>
      <c r="DX113" s="4"/>
      <c r="DY113" s="5">
        <v>39958</v>
      </c>
      <c r="DZ113" s="5">
        <v>39953</v>
      </c>
      <c r="EA113" s="4"/>
      <c r="EB113" s="4"/>
      <c r="EC113" s="4"/>
      <c r="ED113" s="4"/>
      <c r="EE113" s="4"/>
      <c r="EF113" s="4"/>
      <c r="EG113" s="4"/>
      <c r="EH113" s="4"/>
      <c r="EI113" s="5">
        <v>39731</v>
      </c>
    </row>
    <row r="114" spans="1:139" hidden="1" x14ac:dyDescent="0.2">
      <c r="A114">
        <f>VLOOKUP(B114,Sheet1!$A$1:$B$18,2,FALSE)</f>
        <v>0</v>
      </c>
      <c r="B114" t="str">
        <f t="shared" si="1"/>
        <v>AKL</v>
      </c>
      <c r="C114" s="2">
        <v>113</v>
      </c>
      <c r="D114" s="3" t="str">
        <f>HYPERLINK("https://sitebase.nzcomms.co.nz/spm/spmnominalview/AKL-005-067/","AKL-005-067")</f>
        <v>AKL-005-067</v>
      </c>
      <c r="E114" s="4" t="s">
        <v>534</v>
      </c>
      <c r="F114" s="4"/>
      <c r="G114" s="4"/>
      <c r="H114" s="4" t="s">
        <v>353</v>
      </c>
      <c r="I114" s="4"/>
      <c r="J114" s="4" t="s">
        <v>317</v>
      </c>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row>
    <row r="115" spans="1:139" hidden="1" x14ac:dyDescent="0.2">
      <c r="A115">
        <f>VLOOKUP(B115,Sheet1!$A$1:$B$18,2,FALSE)</f>
        <v>0</v>
      </c>
      <c r="B115" t="str">
        <f t="shared" si="1"/>
        <v>AKL</v>
      </c>
      <c r="C115" s="2">
        <v>114</v>
      </c>
      <c r="D115" s="3" t="str">
        <f>HYPERLINK("https://sitebase.nzcomms.co.nz/spm/spmnominalview/AKL-005-068/","AKL-005-068")</f>
        <v>AKL-005-068</v>
      </c>
      <c r="E115" s="4" t="s">
        <v>535</v>
      </c>
      <c r="F115" s="3" t="str">
        <f>HYPERLINK("https://sitebase.nzcomms.co.nz/spm/spmcandidateview/AKL-005-068-A/","AKL-005-068-A")</f>
        <v>AKL-005-068-A</v>
      </c>
      <c r="G115" s="4" t="s">
        <v>536</v>
      </c>
      <c r="H115" s="4" t="s">
        <v>353</v>
      </c>
      <c r="I115" s="4"/>
      <c r="J115" s="4" t="s">
        <v>317</v>
      </c>
      <c r="K115" s="4" t="s">
        <v>141</v>
      </c>
      <c r="L115" s="4" t="s">
        <v>181</v>
      </c>
      <c r="M115" s="4" t="s">
        <v>324</v>
      </c>
      <c r="N115" s="4"/>
      <c r="O115" s="4"/>
      <c r="P115" s="4"/>
      <c r="Q115" s="4"/>
      <c r="R115" s="4"/>
      <c r="S115" s="4"/>
      <c r="T115" s="4"/>
      <c r="U115" s="4">
        <v>-36.748536000000001</v>
      </c>
      <c r="V115" s="4">
        <v>174.70309990999999</v>
      </c>
      <c r="W115" s="4"/>
      <c r="X115" s="4"/>
      <c r="Y115" s="4"/>
      <c r="Z115" s="4"/>
      <c r="AA115" s="4"/>
      <c r="AB115" s="4"/>
      <c r="AC115" s="4"/>
      <c r="AD115" s="4"/>
      <c r="AE115" s="4"/>
      <c r="AF115" s="4"/>
      <c r="AG115" s="4"/>
      <c r="AH115" s="4"/>
      <c r="AI115" s="4"/>
      <c r="AJ115" s="4"/>
      <c r="AK115" s="4"/>
      <c r="AL115" s="4"/>
      <c r="AM115" s="4"/>
      <c r="AN115" s="5">
        <v>40387</v>
      </c>
      <c r="AO115" s="4">
        <v>1</v>
      </c>
      <c r="AP115" s="5">
        <v>40378</v>
      </c>
      <c r="AQ115" s="5">
        <v>40387</v>
      </c>
      <c r="AR115" s="4"/>
      <c r="AS115" s="4"/>
      <c r="AT115" s="5">
        <v>40420</v>
      </c>
      <c r="AU115" s="5">
        <v>40407</v>
      </c>
      <c r="AV115" s="4"/>
      <c r="AW115" s="5">
        <v>40420</v>
      </c>
      <c r="AX115" s="5">
        <v>40408</v>
      </c>
      <c r="AY115" s="4" t="s">
        <v>172</v>
      </c>
      <c r="AZ115" s="5">
        <v>40388</v>
      </c>
      <c r="BA115" s="5">
        <v>40389</v>
      </c>
      <c r="BB115" s="5">
        <v>40420</v>
      </c>
      <c r="BC115" s="4"/>
      <c r="BD115" s="4">
        <v>1</v>
      </c>
      <c r="BE115" s="5">
        <v>40420</v>
      </c>
      <c r="BF115" s="4"/>
      <c r="BG115" s="5">
        <v>40392</v>
      </c>
      <c r="BH115" s="4"/>
      <c r="BI115" s="4"/>
      <c r="BJ115" s="4"/>
      <c r="BK115" s="4"/>
      <c r="BL115" s="4"/>
      <c r="BM115" s="5">
        <v>40393</v>
      </c>
      <c r="BN115" s="4"/>
      <c r="BO115" s="4"/>
      <c r="BP115" s="4"/>
      <c r="BQ115" s="4"/>
      <c r="BR115" s="4"/>
      <c r="BS115" s="4"/>
      <c r="BT115" s="5">
        <v>40375</v>
      </c>
      <c r="BU115" s="4"/>
      <c r="BV115" s="5">
        <v>40375</v>
      </c>
      <c r="BW115" s="5">
        <v>40375</v>
      </c>
      <c r="BX115" s="4"/>
      <c r="BY115" s="5">
        <v>40380</v>
      </c>
      <c r="BZ115" s="5">
        <v>40380</v>
      </c>
      <c r="CA115" s="4"/>
      <c r="CB115" s="4"/>
      <c r="CC115" s="4"/>
      <c r="CD115" s="4"/>
      <c r="CE115" s="4"/>
      <c r="CF115" s="4"/>
      <c r="CG115" s="4"/>
      <c r="CH115" s="4"/>
      <c r="CI115" s="5">
        <v>40380</v>
      </c>
      <c r="CJ115" s="5">
        <v>40380</v>
      </c>
      <c r="CK115" s="5">
        <v>40380</v>
      </c>
      <c r="CL115" s="4"/>
      <c r="CM115" s="4"/>
      <c r="CN115" s="4"/>
      <c r="CO115" s="4"/>
      <c r="CP115" s="4" t="s">
        <v>537</v>
      </c>
      <c r="CQ115" s="4"/>
      <c r="CR115" s="5">
        <v>40380</v>
      </c>
      <c r="CS115" s="4"/>
      <c r="CT115" s="4"/>
      <c r="CU115" s="4"/>
      <c r="CV115" s="4"/>
      <c r="CW115" s="4"/>
      <c r="CX115" s="4"/>
      <c r="CY115" s="4"/>
      <c r="CZ115" s="4"/>
      <c r="DA115" s="4"/>
      <c r="DB115" s="4"/>
      <c r="DC115" s="4"/>
      <c r="DD115" s="4"/>
      <c r="DE115" s="4"/>
      <c r="DF115" s="4"/>
      <c r="DG115" s="4"/>
      <c r="DH115" s="4"/>
      <c r="DI115" s="4"/>
      <c r="DJ115" s="4" t="b">
        <v>0</v>
      </c>
      <c r="DK115" s="4"/>
      <c r="DL115" s="4">
        <v>2662497</v>
      </c>
      <c r="DM115" s="4">
        <v>6493380</v>
      </c>
      <c r="DN115" s="4" t="s">
        <v>538</v>
      </c>
      <c r="DO115" s="4"/>
      <c r="DP115" s="4"/>
      <c r="DQ115" s="4" t="s">
        <v>148</v>
      </c>
      <c r="DR115" s="4"/>
      <c r="DS115" s="4"/>
      <c r="DT115" s="5">
        <v>41792</v>
      </c>
      <c r="DU115" s="4"/>
      <c r="DV115" s="4"/>
      <c r="DW115" s="4"/>
      <c r="DX115" s="4"/>
      <c r="DY115" s="5">
        <v>40375</v>
      </c>
      <c r="DZ115" s="5">
        <v>40375</v>
      </c>
      <c r="EA115" s="4"/>
      <c r="EB115" s="4"/>
      <c r="EC115" s="4"/>
      <c r="ED115" s="4"/>
      <c r="EE115" s="4"/>
      <c r="EF115" s="4"/>
      <c r="EG115" s="4"/>
      <c r="EH115" s="4"/>
      <c r="EI115" s="4"/>
    </row>
    <row r="116" spans="1:139" hidden="1" x14ac:dyDescent="0.2">
      <c r="A116">
        <f>VLOOKUP(B116,Sheet1!$A$1:$B$18,2,FALSE)</f>
        <v>0</v>
      </c>
      <c r="B116" t="str">
        <f t="shared" si="1"/>
        <v>AKL</v>
      </c>
      <c r="C116" s="2">
        <v>115</v>
      </c>
      <c r="D116" s="3" t="str">
        <f>HYPERLINK("https://sitebase.nzcomms.co.nz/spm/spmnominalview/AKL-005-069/","AKL-005-069")</f>
        <v>AKL-005-069</v>
      </c>
      <c r="E116" s="4" t="s">
        <v>539</v>
      </c>
      <c r="F116" s="4"/>
      <c r="G116" s="4"/>
      <c r="H116" s="4" t="s">
        <v>353</v>
      </c>
      <c r="I116" s="4"/>
      <c r="J116" s="4" t="s">
        <v>196</v>
      </c>
      <c r="K116" s="4"/>
      <c r="L116" s="4"/>
      <c r="M116" s="4"/>
      <c r="N116" s="4"/>
      <c r="O116" s="4"/>
      <c r="P116" s="4"/>
      <c r="Q116" s="4"/>
      <c r="R116" s="4"/>
      <c r="S116" s="4"/>
      <c r="T116" s="4"/>
      <c r="U116" s="4"/>
      <c r="V116" s="4"/>
      <c r="W116" s="4"/>
      <c r="X116" s="4"/>
      <c r="Y116" s="4"/>
      <c r="Z116" s="4"/>
      <c r="AA116" s="4"/>
      <c r="AB116" s="4"/>
      <c r="AC116" s="4"/>
      <c r="AD116" s="4"/>
      <c r="AE116" s="4"/>
      <c r="AF116" s="4"/>
      <c r="AG116" s="4" t="b">
        <v>0</v>
      </c>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t="s">
        <v>540</v>
      </c>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row>
    <row r="117" spans="1:139" hidden="1" x14ac:dyDescent="0.2">
      <c r="A117">
        <f>VLOOKUP(B117,Sheet1!$A$1:$B$18,2,FALSE)</f>
        <v>0</v>
      </c>
      <c r="B117" t="str">
        <f t="shared" si="1"/>
        <v>AKL</v>
      </c>
      <c r="C117" s="2">
        <v>116</v>
      </c>
      <c r="D117" s="3" t="str">
        <f>HYPERLINK("https://sitebase.nzcomms.co.nz/spm/spmnominalview/AKL-005-070/","AKL-005-070")</f>
        <v>AKL-005-070</v>
      </c>
      <c r="E117" s="4" t="s">
        <v>541</v>
      </c>
      <c r="F117" s="3" t="str">
        <f>HYPERLINK("https://sitebase.nzcomms.co.nz/spm/spmcandidateview/AKL-005-070-A/","AKL-005-070-A")</f>
        <v>AKL-005-070-A</v>
      </c>
      <c r="G117" s="4" t="s">
        <v>542</v>
      </c>
      <c r="H117" s="4" t="s">
        <v>353</v>
      </c>
      <c r="I117" s="4">
        <v>3</v>
      </c>
      <c r="J117" s="4" t="s">
        <v>194</v>
      </c>
      <c r="K117" s="4" t="s">
        <v>141</v>
      </c>
      <c r="L117" s="4" t="s">
        <v>181</v>
      </c>
      <c r="M117" s="4" t="s">
        <v>378</v>
      </c>
      <c r="N117" s="4" t="s">
        <v>181</v>
      </c>
      <c r="O117" s="4" t="s">
        <v>168</v>
      </c>
      <c r="P117" s="4" t="s">
        <v>182</v>
      </c>
      <c r="Q117" s="4" t="s">
        <v>170</v>
      </c>
      <c r="R117" s="4">
        <v>10.6</v>
      </c>
      <c r="S117" s="4">
        <v>7.6</v>
      </c>
      <c r="T117" s="4">
        <v>1</v>
      </c>
      <c r="U117" s="4">
        <v>-36.768875340000001</v>
      </c>
      <c r="V117" s="4">
        <v>174.75887746999999</v>
      </c>
      <c r="W117" s="4"/>
      <c r="X117" s="4"/>
      <c r="Y117" s="4"/>
      <c r="Z117" s="4"/>
      <c r="AA117" s="4" t="s">
        <v>171</v>
      </c>
      <c r="AB117" s="3" t="str">
        <f>HYPERLINK("https://sitebase.nzcomms.co.nz/spm/spmcandidateview/AKL-005-016-D/","AKL-005-016-D")</f>
        <v>AKL-005-016-D</v>
      </c>
      <c r="AC117" s="4" t="b">
        <v>0</v>
      </c>
      <c r="AD117" s="4" t="b">
        <v>0</v>
      </c>
      <c r="AE117" s="4"/>
      <c r="AF117" s="4"/>
      <c r="AG117" s="4" t="b">
        <v>0</v>
      </c>
      <c r="AH117" s="4" t="s">
        <v>543</v>
      </c>
      <c r="AI117" s="5">
        <v>40743</v>
      </c>
      <c r="AJ117" s="5">
        <v>40743</v>
      </c>
      <c r="AK117" s="5">
        <v>40756</v>
      </c>
      <c r="AL117" s="5">
        <v>40752</v>
      </c>
      <c r="AM117" s="5">
        <v>40802</v>
      </c>
      <c r="AN117" s="5">
        <v>40806</v>
      </c>
      <c r="AO117" s="4">
        <v>1</v>
      </c>
      <c r="AP117" s="5">
        <v>40802</v>
      </c>
      <c r="AQ117" s="5">
        <v>40806</v>
      </c>
      <c r="AR117" s="5">
        <v>40809</v>
      </c>
      <c r="AS117" s="5">
        <v>40808</v>
      </c>
      <c r="AT117" s="5">
        <v>40877</v>
      </c>
      <c r="AU117" s="5">
        <v>40892</v>
      </c>
      <c r="AV117" s="4">
        <v>1</v>
      </c>
      <c r="AW117" s="5">
        <v>40877</v>
      </c>
      <c r="AX117" s="5">
        <v>40892</v>
      </c>
      <c r="AY117" s="4" t="s">
        <v>183</v>
      </c>
      <c r="AZ117" s="5">
        <v>40821</v>
      </c>
      <c r="BA117" s="5">
        <v>40822</v>
      </c>
      <c r="BB117" s="5">
        <v>40945</v>
      </c>
      <c r="BC117" s="5">
        <v>40942</v>
      </c>
      <c r="BD117" s="4">
        <v>1</v>
      </c>
      <c r="BE117" s="5">
        <v>40945</v>
      </c>
      <c r="BF117" s="5">
        <v>40942</v>
      </c>
      <c r="BG117" s="4"/>
      <c r="BH117" s="4"/>
      <c r="BI117" s="4"/>
      <c r="BJ117" s="5">
        <v>40991</v>
      </c>
      <c r="BK117" s="4">
        <v>2</v>
      </c>
      <c r="BL117" s="4"/>
      <c r="BM117" s="5">
        <v>40990</v>
      </c>
      <c r="BN117" s="5">
        <v>41187</v>
      </c>
      <c r="BO117" s="5">
        <v>41017</v>
      </c>
      <c r="BP117" s="4"/>
      <c r="BQ117" s="4"/>
      <c r="BR117" s="4"/>
      <c r="BS117" s="4"/>
      <c r="BT117" s="5">
        <v>41009</v>
      </c>
      <c r="BU117" s="5">
        <v>41010</v>
      </c>
      <c r="BV117" s="5">
        <v>41019</v>
      </c>
      <c r="BW117" s="5">
        <v>41029</v>
      </c>
      <c r="BX117" s="5">
        <v>41036</v>
      </c>
      <c r="BY117" s="5">
        <v>41044</v>
      </c>
      <c r="BZ117" s="5">
        <v>41050</v>
      </c>
      <c r="CA117" s="4"/>
      <c r="CB117" s="4"/>
      <c r="CC117" s="4"/>
      <c r="CD117" s="4"/>
      <c r="CE117" s="4"/>
      <c r="CF117" s="4"/>
      <c r="CG117" s="4"/>
      <c r="CH117" s="4"/>
      <c r="CI117" s="5">
        <v>41075</v>
      </c>
      <c r="CJ117" s="5">
        <v>41067</v>
      </c>
      <c r="CK117" s="5">
        <v>41075</v>
      </c>
      <c r="CL117" s="5">
        <v>41093</v>
      </c>
      <c r="CM117" s="5">
        <v>41089</v>
      </c>
      <c r="CN117" s="5">
        <v>41179</v>
      </c>
      <c r="CO117" s="5">
        <v>41211</v>
      </c>
      <c r="CP117" s="4" t="s">
        <v>544</v>
      </c>
      <c r="CQ117" s="4"/>
      <c r="CR117" s="5">
        <v>41079</v>
      </c>
      <c r="CS117" s="5">
        <v>41001</v>
      </c>
      <c r="CT117" s="5">
        <v>41001</v>
      </c>
      <c r="CU117" s="5">
        <v>41009</v>
      </c>
      <c r="CV117" s="5">
        <v>41009</v>
      </c>
      <c r="CW117" s="5">
        <v>41016</v>
      </c>
      <c r="CX117" s="5">
        <v>41017</v>
      </c>
      <c r="CY117" s="5">
        <v>41040</v>
      </c>
      <c r="CZ117" s="5">
        <v>41046</v>
      </c>
      <c r="DA117" s="4"/>
      <c r="DB117" s="4"/>
      <c r="DC117" s="4"/>
      <c r="DD117" s="4"/>
      <c r="DE117" s="4"/>
      <c r="DF117" s="5">
        <v>41066</v>
      </c>
      <c r="DG117" s="5">
        <v>41071</v>
      </c>
      <c r="DH117" s="4"/>
      <c r="DI117" s="5">
        <v>41019</v>
      </c>
      <c r="DJ117" s="4" t="b">
        <v>0</v>
      </c>
      <c r="DK117" s="4"/>
      <c r="DL117" s="4">
        <v>2667431</v>
      </c>
      <c r="DM117" s="4">
        <v>6491023</v>
      </c>
      <c r="DN117" s="4" t="s">
        <v>545</v>
      </c>
      <c r="DO117" s="4"/>
      <c r="DP117" s="4" t="s">
        <v>546</v>
      </c>
      <c r="DQ117" s="4" t="s">
        <v>148</v>
      </c>
      <c r="DR117" s="4"/>
      <c r="DS117" s="4"/>
      <c r="DT117" s="5">
        <v>41887</v>
      </c>
      <c r="DU117" s="4"/>
      <c r="DV117" s="4"/>
      <c r="DW117" s="4"/>
      <c r="DX117" s="4"/>
      <c r="DY117" s="4"/>
      <c r="DZ117" s="4"/>
      <c r="EA117" s="4"/>
      <c r="EB117" s="4"/>
      <c r="EC117" s="4"/>
      <c r="ED117" s="4"/>
      <c r="EE117" s="4"/>
      <c r="EF117" s="4"/>
      <c r="EG117" s="5">
        <v>41082</v>
      </c>
      <c r="EH117" s="5">
        <v>41080</v>
      </c>
      <c r="EI117" s="4"/>
    </row>
    <row r="118" spans="1:139" hidden="1" x14ac:dyDescent="0.2">
      <c r="A118">
        <f>VLOOKUP(B118,Sheet1!$A$1:$B$18,2,FALSE)</f>
        <v>0</v>
      </c>
      <c r="B118" t="str">
        <f t="shared" si="1"/>
        <v>AKL</v>
      </c>
      <c r="C118" s="2">
        <v>117</v>
      </c>
      <c r="D118" s="3" t="str">
        <f>HYPERLINK("https://sitebase.nzcomms.co.nz/spm/spmnominalview/AKL-005-071/","AKL-005-071")</f>
        <v>AKL-005-071</v>
      </c>
      <c r="E118" s="4" t="s">
        <v>547</v>
      </c>
      <c r="F118" s="4"/>
      <c r="G118" s="4"/>
      <c r="H118" s="4" t="s">
        <v>353</v>
      </c>
      <c r="I118" s="4"/>
      <c r="J118" s="4" t="s">
        <v>196</v>
      </c>
      <c r="K118" s="4"/>
      <c r="L118" s="4"/>
      <c r="M118" s="4"/>
      <c r="N118" s="4"/>
      <c r="O118" s="4"/>
      <c r="P118" s="4"/>
      <c r="Q118" s="4"/>
      <c r="R118" s="4"/>
      <c r="S118" s="4"/>
      <c r="T118" s="4"/>
      <c r="U118" s="4"/>
      <c r="V118" s="4"/>
      <c r="W118" s="4"/>
      <c r="X118" s="4"/>
      <c r="Y118" s="4"/>
      <c r="Z118" s="4"/>
      <c r="AA118" s="4"/>
      <c r="AB118" s="4"/>
      <c r="AC118" s="4"/>
      <c r="AD118" s="4"/>
      <c r="AE118" s="4"/>
      <c r="AF118" s="4"/>
      <c r="AG118" s="4" t="b">
        <v>0</v>
      </c>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t="s">
        <v>548</v>
      </c>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row>
    <row r="119" spans="1:139" hidden="1" x14ac:dyDescent="0.2">
      <c r="A119">
        <f>VLOOKUP(B119,Sheet1!$A$1:$B$18,2,FALSE)</f>
        <v>0</v>
      </c>
      <c r="B119" t="str">
        <f t="shared" si="1"/>
        <v>AKL</v>
      </c>
      <c r="C119" s="2">
        <v>118</v>
      </c>
      <c r="D119" s="3" t="str">
        <f>HYPERLINK("https://sitebase.nzcomms.co.nz/spm/spmnominalview/AKL-005-072/","AKL-005-072")</f>
        <v>AKL-005-072</v>
      </c>
      <c r="E119" s="4" t="s">
        <v>539</v>
      </c>
      <c r="F119" s="4"/>
      <c r="G119" s="4"/>
      <c r="H119" s="4" t="s">
        <v>353</v>
      </c>
      <c r="I119" s="4"/>
      <c r="J119" s="4" t="s">
        <v>196</v>
      </c>
      <c r="K119" s="4"/>
      <c r="L119" s="4"/>
      <c r="M119" s="4"/>
      <c r="N119" s="4"/>
      <c r="O119" s="4"/>
      <c r="P119" s="4"/>
      <c r="Q119" s="4"/>
      <c r="R119" s="4"/>
      <c r="S119" s="4"/>
      <c r="T119" s="4"/>
      <c r="U119" s="4"/>
      <c r="V119" s="4"/>
      <c r="W119" s="4"/>
      <c r="X119" s="4"/>
      <c r="Y119" s="4"/>
      <c r="Z119" s="4"/>
      <c r="AA119" s="4"/>
      <c r="AB119" s="4"/>
      <c r="AC119" s="4"/>
      <c r="AD119" s="4"/>
      <c r="AE119" s="4"/>
      <c r="AF119" s="4"/>
      <c r="AG119" s="4" t="b">
        <v>0</v>
      </c>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row>
    <row r="120" spans="1:139" hidden="1" x14ac:dyDescent="0.2">
      <c r="A120">
        <f>VLOOKUP(B120,Sheet1!$A$1:$B$18,2,FALSE)</f>
        <v>0</v>
      </c>
      <c r="B120" t="str">
        <f t="shared" si="1"/>
        <v>AKL</v>
      </c>
      <c r="C120" s="2">
        <v>119</v>
      </c>
      <c r="D120" s="3" t="str">
        <f>HYPERLINK("https://sitebase.nzcomms.co.nz/spm/spmnominalview/AKL-005-073/","AKL-005-073")</f>
        <v>AKL-005-073</v>
      </c>
      <c r="E120" s="4" t="s">
        <v>549</v>
      </c>
      <c r="F120" s="4"/>
      <c r="G120" s="4"/>
      <c r="H120" s="4" t="s">
        <v>353</v>
      </c>
      <c r="I120" s="4"/>
      <c r="J120" s="4" t="s">
        <v>196</v>
      </c>
      <c r="K120" s="4"/>
      <c r="L120" s="4"/>
      <c r="M120" s="4"/>
      <c r="N120" s="4"/>
      <c r="O120" s="4"/>
      <c r="P120" s="4"/>
      <c r="Q120" s="4"/>
      <c r="R120" s="4"/>
      <c r="S120" s="4"/>
      <c r="T120" s="4"/>
      <c r="U120" s="4"/>
      <c r="V120" s="4"/>
      <c r="W120" s="4"/>
      <c r="X120" s="4"/>
      <c r="Y120" s="4"/>
      <c r="Z120" s="4"/>
      <c r="AA120" s="4"/>
      <c r="AB120" s="4"/>
      <c r="AC120" s="4"/>
      <c r="AD120" s="4"/>
      <c r="AE120" s="4"/>
      <c r="AF120" s="4"/>
      <c r="AG120" s="4" t="b">
        <v>0</v>
      </c>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t="s">
        <v>550</v>
      </c>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row>
    <row r="121" spans="1:139" hidden="1" x14ac:dyDescent="0.2">
      <c r="A121">
        <f>VLOOKUP(B121,Sheet1!$A$1:$B$18,2,FALSE)</f>
        <v>0</v>
      </c>
      <c r="B121" t="str">
        <f t="shared" si="1"/>
        <v>AKL</v>
      </c>
      <c r="C121" s="2">
        <v>120</v>
      </c>
      <c r="D121" s="3" t="str">
        <f>HYPERLINK("https://sitebase.nzcomms.co.nz/spm/spmnominalview/AKL-005-074/","AKL-005-074")</f>
        <v>AKL-005-074</v>
      </c>
      <c r="E121" s="4" t="s">
        <v>551</v>
      </c>
      <c r="F121" s="3" t="str">
        <f>HYPERLINK("https://sitebase.nzcomms.co.nz/spm/spmcandidateview/AKL-005-074-A/","AKL-005-074-A")</f>
        <v>AKL-005-074-A</v>
      </c>
      <c r="G121" s="4" t="s">
        <v>552</v>
      </c>
      <c r="H121" s="4" t="s">
        <v>353</v>
      </c>
      <c r="I121" s="4"/>
      <c r="J121" s="4" t="s">
        <v>317</v>
      </c>
      <c r="K121" s="4" t="s">
        <v>141</v>
      </c>
      <c r="L121" s="4" t="s">
        <v>189</v>
      </c>
      <c r="M121" s="4" t="s">
        <v>190</v>
      </c>
      <c r="N121" s="4" t="s">
        <v>274</v>
      </c>
      <c r="O121" s="4" t="s">
        <v>144</v>
      </c>
      <c r="P121" s="4" t="s">
        <v>182</v>
      </c>
      <c r="Q121" s="4" t="s">
        <v>192</v>
      </c>
      <c r="R121" s="4">
        <v>14.5</v>
      </c>
      <c r="S121" s="4">
        <v>15</v>
      </c>
      <c r="T121" s="4">
        <v>1</v>
      </c>
      <c r="U121" s="4">
        <v>-36.756101579999999</v>
      </c>
      <c r="V121" s="4">
        <v>174.69211924999999</v>
      </c>
      <c r="W121" s="4"/>
      <c r="X121" s="4"/>
      <c r="Y121" s="4"/>
      <c r="Z121" s="4"/>
      <c r="AA121" s="4"/>
      <c r="AB121" s="4"/>
      <c r="AC121" s="4" t="b">
        <v>0</v>
      </c>
      <c r="AD121" s="4" t="b">
        <v>0</v>
      </c>
      <c r="AE121" s="4"/>
      <c r="AF121" s="4"/>
      <c r="AG121" s="4" t="b">
        <v>0</v>
      </c>
      <c r="AH121" s="4"/>
      <c r="AI121" s="5">
        <v>40715</v>
      </c>
      <c r="AJ121" s="5">
        <v>40694</v>
      </c>
      <c r="AK121" s="5">
        <v>40701</v>
      </c>
      <c r="AL121" s="5">
        <v>40696</v>
      </c>
      <c r="AM121" s="5">
        <v>40752</v>
      </c>
      <c r="AN121" s="5">
        <v>40753</v>
      </c>
      <c r="AO121" s="4">
        <v>1</v>
      </c>
      <c r="AP121" s="5">
        <v>40752</v>
      </c>
      <c r="AQ121" s="5">
        <v>40753</v>
      </c>
      <c r="AR121" s="5">
        <v>40983</v>
      </c>
      <c r="AS121" s="5">
        <v>40920</v>
      </c>
      <c r="AT121" s="5">
        <v>40990</v>
      </c>
      <c r="AU121" s="5">
        <v>40920</v>
      </c>
      <c r="AV121" s="4"/>
      <c r="AW121" s="5">
        <v>40998</v>
      </c>
      <c r="AX121" s="5">
        <v>40953</v>
      </c>
      <c r="AY121" s="4" t="s">
        <v>193</v>
      </c>
      <c r="AZ121" s="5">
        <v>40756</v>
      </c>
      <c r="BA121" s="5">
        <v>40756</v>
      </c>
      <c r="BB121" s="5">
        <v>40798</v>
      </c>
      <c r="BC121" s="5">
        <v>40771</v>
      </c>
      <c r="BD121" s="4">
        <v>1</v>
      </c>
      <c r="BE121" s="5">
        <v>40805</v>
      </c>
      <c r="BF121" s="5">
        <v>40771</v>
      </c>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t="s">
        <v>553</v>
      </c>
      <c r="CQ121" s="4"/>
      <c r="CR121" s="4"/>
      <c r="CS121" s="4"/>
      <c r="CT121" s="4"/>
      <c r="CU121" s="4"/>
      <c r="CV121" s="4"/>
      <c r="CW121" s="4"/>
      <c r="CX121" s="4"/>
      <c r="CY121" s="4"/>
      <c r="CZ121" s="4"/>
      <c r="DA121" s="4"/>
      <c r="DB121" s="4"/>
      <c r="DC121" s="4"/>
      <c r="DD121" s="4"/>
      <c r="DE121" s="4"/>
      <c r="DF121" s="4"/>
      <c r="DG121" s="4"/>
      <c r="DH121" s="4" t="s">
        <v>240</v>
      </c>
      <c r="DI121" s="4"/>
      <c r="DJ121" s="4" t="b">
        <v>1</v>
      </c>
      <c r="DK121" s="5">
        <v>41333</v>
      </c>
      <c r="DL121" s="4">
        <v>2661500</v>
      </c>
      <c r="DM121" s="4">
        <v>6492560</v>
      </c>
      <c r="DN121" s="4" t="s">
        <v>554</v>
      </c>
      <c r="DO121" s="4"/>
      <c r="DP121" s="4" t="s">
        <v>555</v>
      </c>
      <c r="DQ121" s="4" t="s">
        <v>148</v>
      </c>
      <c r="DR121" s="4" t="s">
        <v>244</v>
      </c>
      <c r="DS121" s="4"/>
      <c r="DT121" s="4"/>
      <c r="DU121" s="4"/>
      <c r="DV121" s="4"/>
      <c r="DW121" s="4"/>
      <c r="DX121" s="4"/>
      <c r="DY121" s="4"/>
      <c r="DZ121" s="4"/>
      <c r="EA121" s="4"/>
      <c r="EB121" s="4"/>
      <c r="EC121" s="4"/>
      <c r="ED121" s="4"/>
      <c r="EE121" s="4"/>
      <c r="EF121" s="4"/>
      <c r="EG121" s="4"/>
      <c r="EH121" s="4"/>
      <c r="EI121" s="4"/>
    </row>
    <row r="122" spans="1:139" hidden="1" x14ac:dyDescent="0.2">
      <c r="A122">
        <f>VLOOKUP(B122,Sheet1!$A$1:$B$18,2,FALSE)</f>
        <v>0</v>
      </c>
      <c r="B122" t="str">
        <f t="shared" si="1"/>
        <v>AKL</v>
      </c>
      <c r="C122" s="2">
        <v>121</v>
      </c>
      <c r="D122" s="3" t="str">
        <f>HYPERLINK("https://sitebase.nzcomms.co.nz/spm/spmnominalview/AKL-005-075/","AKL-005-075")</f>
        <v>AKL-005-075</v>
      </c>
      <c r="E122" s="4" t="s">
        <v>556</v>
      </c>
      <c r="F122" s="3" t="str">
        <f>HYPERLINK("https://sitebase.nzcomms.co.nz/spm/spmcandidateview/AKL-005-075-D/","AKL-005-075-D")</f>
        <v>AKL-005-075-D</v>
      </c>
      <c r="G122" s="4" t="s">
        <v>557</v>
      </c>
      <c r="H122" s="4" t="s">
        <v>353</v>
      </c>
      <c r="I122" s="4"/>
      <c r="J122" s="4" t="s">
        <v>317</v>
      </c>
      <c r="K122" s="4" t="s">
        <v>141</v>
      </c>
      <c r="L122" s="4" t="s">
        <v>189</v>
      </c>
      <c r="M122" s="4" t="s">
        <v>190</v>
      </c>
      <c r="N122" s="4" t="s">
        <v>274</v>
      </c>
      <c r="O122" s="4" t="s">
        <v>297</v>
      </c>
      <c r="P122" s="4" t="s">
        <v>182</v>
      </c>
      <c r="Q122" s="4" t="s">
        <v>170</v>
      </c>
      <c r="R122" s="4"/>
      <c r="S122" s="4">
        <v>15</v>
      </c>
      <c r="T122" s="4">
        <v>1</v>
      </c>
      <c r="U122" s="4">
        <v>-36.770106400000003</v>
      </c>
      <c r="V122" s="4">
        <v>174.72203909000001</v>
      </c>
      <c r="W122" s="4"/>
      <c r="X122" s="4"/>
      <c r="Y122" s="4"/>
      <c r="Z122" s="4"/>
      <c r="AA122" s="4"/>
      <c r="AB122" s="4"/>
      <c r="AC122" s="4" t="b">
        <v>0</v>
      </c>
      <c r="AD122" s="4" t="b">
        <v>0</v>
      </c>
      <c r="AE122" s="4"/>
      <c r="AF122" s="4"/>
      <c r="AG122" s="4" t="b">
        <v>0</v>
      </c>
      <c r="AH122" s="4"/>
      <c r="AI122" s="5">
        <v>40773</v>
      </c>
      <c r="AJ122" s="5">
        <v>40773</v>
      </c>
      <c r="AK122" s="5">
        <v>40805</v>
      </c>
      <c r="AL122" s="5">
        <v>40809</v>
      </c>
      <c r="AM122" s="5">
        <v>40828</v>
      </c>
      <c r="AN122" s="5">
        <v>40828</v>
      </c>
      <c r="AO122" s="4">
        <v>2</v>
      </c>
      <c r="AP122" s="5">
        <v>40830</v>
      </c>
      <c r="AQ122" s="5">
        <v>40997</v>
      </c>
      <c r="AR122" s="5">
        <v>40983</v>
      </c>
      <c r="AS122" s="5">
        <v>40991</v>
      </c>
      <c r="AT122" s="5">
        <v>40991</v>
      </c>
      <c r="AU122" s="5">
        <v>41071</v>
      </c>
      <c r="AV122" s="4"/>
      <c r="AW122" s="5">
        <v>40998</v>
      </c>
      <c r="AX122" s="5">
        <v>41071</v>
      </c>
      <c r="AY122" s="4" t="s">
        <v>183</v>
      </c>
      <c r="AZ122" s="5">
        <v>40987</v>
      </c>
      <c r="BA122" s="5">
        <v>41032</v>
      </c>
      <c r="BB122" s="5">
        <v>41029</v>
      </c>
      <c r="BC122" s="5">
        <v>41058</v>
      </c>
      <c r="BD122" s="4">
        <v>2</v>
      </c>
      <c r="BE122" s="5">
        <v>41029</v>
      </c>
      <c r="BF122" s="5">
        <v>41073</v>
      </c>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t="s">
        <v>558</v>
      </c>
      <c r="CQ122" s="4"/>
      <c r="CR122" s="4"/>
      <c r="CS122" s="4"/>
      <c r="CT122" s="4"/>
      <c r="CU122" s="4"/>
      <c r="CV122" s="4"/>
      <c r="CW122" s="4"/>
      <c r="CX122" s="4"/>
      <c r="CY122" s="4"/>
      <c r="CZ122" s="4"/>
      <c r="DA122" s="4"/>
      <c r="DB122" s="4"/>
      <c r="DC122" s="4"/>
      <c r="DD122" s="4"/>
      <c r="DE122" s="4"/>
      <c r="DF122" s="4"/>
      <c r="DG122" s="4"/>
      <c r="DH122" s="4" t="s">
        <v>240</v>
      </c>
      <c r="DI122" s="4"/>
      <c r="DJ122" s="4" t="b">
        <v>1</v>
      </c>
      <c r="DK122" s="4"/>
      <c r="DL122" s="4">
        <v>2664140</v>
      </c>
      <c r="DM122" s="4">
        <v>6490953</v>
      </c>
      <c r="DN122" s="4" t="s">
        <v>559</v>
      </c>
      <c r="DO122" s="4"/>
      <c r="DP122" s="4"/>
      <c r="DQ122" s="4" t="s">
        <v>148</v>
      </c>
      <c r="DR122" s="4" t="s">
        <v>244</v>
      </c>
      <c r="DS122" s="4"/>
      <c r="DT122" s="4"/>
      <c r="DU122" s="4"/>
      <c r="DV122" s="4"/>
      <c r="DW122" s="4"/>
      <c r="DX122" s="4"/>
      <c r="DY122" s="4"/>
      <c r="DZ122" s="4"/>
      <c r="EA122" s="4"/>
      <c r="EB122" s="4"/>
      <c r="EC122" s="4"/>
      <c r="ED122" s="4"/>
      <c r="EE122" s="4"/>
      <c r="EF122" s="4"/>
      <c r="EG122" s="4"/>
      <c r="EH122" s="4"/>
      <c r="EI122" s="4"/>
    </row>
    <row r="123" spans="1:139" hidden="1" x14ac:dyDescent="0.2">
      <c r="A123">
        <f>VLOOKUP(B123,Sheet1!$A$1:$B$18,2,FALSE)</f>
        <v>0</v>
      </c>
      <c r="B123" t="str">
        <f t="shared" si="1"/>
        <v>AKL</v>
      </c>
      <c r="C123" s="2">
        <v>122</v>
      </c>
      <c r="D123" s="3" t="str">
        <f>HYPERLINK("https://sitebase.nzcomms.co.nz/spm/spmnominalview/AKL-005-076/","AKL-005-076")</f>
        <v>AKL-005-076</v>
      </c>
      <c r="E123" s="4" t="s">
        <v>560</v>
      </c>
      <c r="F123" s="4"/>
      <c r="G123" s="4"/>
      <c r="H123" s="4" t="s">
        <v>353</v>
      </c>
      <c r="I123" s="4"/>
      <c r="J123" s="4" t="s">
        <v>194</v>
      </c>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row>
    <row r="124" spans="1:139" hidden="1" x14ac:dyDescent="0.2">
      <c r="A124">
        <f>VLOOKUP(B124,Sheet1!$A$1:$B$18,2,FALSE)</f>
        <v>0</v>
      </c>
      <c r="B124" t="str">
        <f t="shared" si="1"/>
        <v>AKL</v>
      </c>
      <c r="C124" s="2">
        <v>123</v>
      </c>
      <c r="D124" s="3" t="str">
        <f>HYPERLINK("https://sitebase.nzcomms.co.nz/spm/spmnominalview/AKL-005-077/","AKL-005-077")</f>
        <v>AKL-005-077</v>
      </c>
      <c r="E124" s="4" t="s">
        <v>561</v>
      </c>
      <c r="F124" s="3" t="str">
        <f>HYPERLINK("https://sitebase.nzcomms.co.nz/spm/spmcandidateview/AKL-005-077-C/","AKL-005-077-C")</f>
        <v>AKL-005-077-C</v>
      </c>
      <c r="G124" s="4" t="s">
        <v>562</v>
      </c>
      <c r="H124" s="4" t="s">
        <v>353</v>
      </c>
      <c r="I124" s="4"/>
      <c r="J124" s="4" t="s">
        <v>317</v>
      </c>
      <c r="K124" s="4" t="s">
        <v>141</v>
      </c>
      <c r="L124" s="4" t="s">
        <v>189</v>
      </c>
      <c r="M124" s="4" t="s">
        <v>190</v>
      </c>
      <c r="N124" s="4" t="s">
        <v>274</v>
      </c>
      <c r="O124" s="4"/>
      <c r="P124" s="4" t="s">
        <v>182</v>
      </c>
      <c r="Q124" s="4" t="s">
        <v>170</v>
      </c>
      <c r="R124" s="4">
        <v>12.5</v>
      </c>
      <c r="S124" s="4">
        <v>13</v>
      </c>
      <c r="T124" s="4"/>
      <c r="U124" s="4">
        <v>-36.688121639999999</v>
      </c>
      <c r="V124" s="4">
        <v>174.74160685999999</v>
      </c>
      <c r="W124" s="4"/>
      <c r="X124" s="4"/>
      <c r="Y124" s="4"/>
      <c r="Z124" s="4"/>
      <c r="AA124" s="4"/>
      <c r="AB124" s="4"/>
      <c r="AC124" s="4" t="b">
        <v>0</v>
      </c>
      <c r="AD124" s="4" t="b">
        <v>0</v>
      </c>
      <c r="AE124" s="4"/>
      <c r="AF124" s="4"/>
      <c r="AG124" s="4" t="b">
        <v>0</v>
      </c>
      <c r="AH124" s="4"/>
      <c r="AI124" s="5">
        <v>41197</v>
      </c>
      <c r="AJ124" s="5">
        <v>41187</v>
      </c>
      <c r="AK124" s="5">
        <v>41197</v>
      </c>
      <c r="AL124" s="5">
        <v>41187</v>
      </c>
      <c r="AM124" s="5">
        <v>41227</v>
      </c>
      <c r="AN124" s="5">
        <v>41226</v>
      </c>
      <c r="AO124" s="4">
        <v>2</v>
      </c>
      <c r="AP124" s="5">
        <v>41227</v>
      </c>
      <c r="AQ124" s="5">
        <v>41424</v>
      </c>
      <c r="AR124" s="4"/>
      <c r="AS124" s="5">
        <v>41187</v>
      </c>
      <c r="AT124" s="5">
        <v>41425</v>
      </c>
      <c r="AU124" s="4"/>
      <c r="AV124" s="4"/>
      <c r="AW124" s="5">
        <v>41425</v>
      </c>
      <c r="AX124" s="4"/>
      <c r="AY124" s="4" t="s">
        <v>172</v>
      </c>
      <c r="AZ124" s="5">
        <v>41395</v>
      </c>
      <c r="BA124" s="4"/>
      <c r="BB124" s="5">
        <v>41425</v>
      </c>
      <c r="BC124" s="4"/>
      <c r="BD124" s="4"/>
      <c r="BE124" s="5">
        <v>41425</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t="s">
        <v>563</v>
      </c>
      <c r="CQ124" s="4"/>
      <c r="CR124" s="4"/>
      <c r="CS124" s="4"/>
      <c r="CT124" s="4"/>
      <c r="CU124" s="4"/>
      <c r="CV124" s="4"/>
      <c r="CW124" s="4"/>
      <c r="CX124" s="4"/>
      <c r="CY124" s="4"/>
      <c r="CZ124" s="4"/>
      <c r="DA124" s="4"/>
      <c r="DB124" s="4"/>
      <c r="DC124" s="4"/>
      <c r="DD124" s="4"/>
      <c r="DE124" s="4" t="s">
        <v>194</v>
      </c>
      <c r="DF124" s="4"/>
      <c r="DG124" s="4"/>
      <c r="DH124" s="4" t="s">
        <v>240</v>
      </c>
      <c r="DI124" s="4"/>
      <c r="DJ124" s="4" t="b">
        <v>1</v>
      </c>
      <c r="DK124" s="4"/>
      <c r="DL124" s="4">
        <v>2666071</v>
      </c>
      <c r="DM124" s="4">
        <v>6500014</v>
      </c>
      <c r="DN124" s="4" t="s">
        <v>564</v>
      </c>
      <c r="DO124" s="4"/>
      <c r="DP124" s="4"/>
      <c r="DQ124" s="4"/>
      <c r="DR124" s="4"/>
      <c r="DS124" s="4"/>
      <c r="DT124" s="4"/>
      <c r="DU124" s="4"/>
      <c r="DV124" s="4"/>
      <c r="DW124" s="4"/>
      <c r="DX124" s="4"/>
      <c r="DY124" s="4"/>
      <c r="DZ124" s="4"/>
      <c r="EA124" s="4"/>
      <c r="EB124" s="4"/>
      <c r="EC124" s="4"/>
      <c r="ED124" s="4"/>
      <c r="EE124" s="4"/>
      <c r="EF124" s="4"/>
      <c r="EG124" s="4"/>
      <c r="EH124" s="4"/>
      <c r="EI124" s="4"/>
    </row>
    <row r="125" spans="1:139" hidden="1" x14ac:dyDescent="0.2">
      <c r="A125">
        <f>VLOOKUP(B125,Sheet1!$A$1:$B$18,2,FALSE)</f>
        <v>0</v>
      </c>
      <c r="B125" t="str">
        <f t="shared" si="1"/>
        <v>AKL</v>
      </c>
      <c r="C125" s="2">
        <v>124</v>
      </c>
      <c r="D125" s="3" t="str">
        <f>HYPERLINK("https://sitebase.nzcomms.co.nz/spm/spmnominalview/AKL-005-078/","AKL-005-078")</f>
        <v>AKL-005-078</v>
      </c>
      <c r="E125" s="4" t="s">
        <v>565</v>
      </c>
      <c r="F125" s="3" t="str">
        <f>HYPERLINK("https://sitebase.nzcomms.co.nz/spm/spmcandidateview/AKL-005-078-A/","AKL-005-078-A")</f>
        <v>AKL-005-078-A</v>
      </c>
      <c r="G125" s="4" t="s">
        <v>566</v>
      </c>
      <c r="H125" s="4" t="s">
        <v>353</v>
      </c>
      <c r="I125" s="4"/>
      <c r="J125" s="4" t="s">
        <v>317</v>
      </c>
      <c r="K125" s="4" t="s">
        <v>141</v>
      </c>
      <c r="L125" s="4" t="s">
        <v>142</v>
      </c>
      <c r="M125" s="4" t="s">
        <v>324</v>
      </c>
      <c r="N125" s="4"/>
      <c r="O125" s="4"/>
      <c r="P125" s="4"/>
      <c r="Q125" s="4" t="s">
        <v>142</v>
      </c>
      <c r="R125" s="4"/>
      <c r="S125" s="4"/>
      <c r="T125" s="4"/>
      <c r="U125" s="4">
        <v>-36.777674079999997</v>
      </c>
      <c r="V125" s="4">
        <v>174.72279921000001</v>
      </c>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5">
        <v>40969</v>
      </c>
      <c r="CL125" s="4"/>
      <c r="CM125" s="5">
        <v>40969</v>
      </c>
      <c r="CN125" s="4"/>
      <c r="CO125" s="4"/>
      <c r="CP125" s="4" t="s">
        <v>567</v>
      </c>
      <c r="CQ125" s="4" t="s">
        <v>205</v>
      </c>
      <c r="CR125" s="4"/>
      <c r="CS125" s="4"/>
      <c r="CT125" s="4"/>
      <c r="CU125" s="4"/>
      <c r="CV125" s="4"/>
      <c r="CW125" s="4"/>
      <c r="CX125" s="4"/>
      <c r="CY125" s="4"/>
      <c r="CZ125" s="4"/>
      <c r="DA125" s="4"/>
      <c r="DB125" s="4"/>
      <c r="DC125" s="4"/>
      <c r="DD125" s="4"/>
      <c r="DE125" s="4"/>
      <c r="DF125" s="4"/>
      <c r="DG125" s="4"/>
      <c r="DH125" s="4"/>
      <c r="DI125" s="4"/>
      <c r="DJ125" s="4" t="b">
        <v>0</v>
      </c>
      <c r="DK125" s="4"/>
      <c r="DL125" s="4">
        <v>2664191</v>
      </c>
      <c r="DM125" s="4">
        <v>6490112</v>
      </c>
      <c r="DN125" s="4" t="s">
        <v>568</v>
      </c>
      <c r="DO125" s="4"/>
      <c r="DP125" s="4"/>
      <c r="DQ125" s="4" t="s">
        <v>328</v>
      </c>
      <c r="DR125" s="4"/>
      <c r="DS125" s="4"/>
      <c r="DT125" s="4"/>
      <c r="DU125" s="4"/>
      <c r="DV125" s="4"/>
      <c r="DW125" s="4"/>
      <c r="DX125" s="4"/>
      <c r="DY125" s="4"/>
      <c r="DZ125" s="4"/>
      <c r="EA125" s="4"/>
      <c r="EB125" s="4"/>
      <c r="EC125" s="4"/>
      <c r="ED125" s="4"/>
      <c r="EE125" s="4"/>
      <c r="EF125" s="4"/>
      <c r="EG125" s="4"/>
      <c r="EH125" s="4"/>
      <c r="EI125" s="4"/>
    </row>
    <row r="126" spans="1:139" hidden="1" x14ac:dyDescent="0.2">
      <c r="A126">
        <f>VLOOKUP(B126,Sheet1!$A$1:$B$18,2,FALSE)</f>
        <v>0</v>
      </c>
      <c r="B126" t="str">
        <f t="shared" si="1"/>
        <v>AKL</v>
      </c>
      <c r="C126" s="2">
        <v>125</v>
      </c>
      <c r="D126" s="3" t="str">
        <f>HYPERLINK("https://sitebase.nzcomms.co.nz/spm/spmnominalview/AKL-005-079/","AKL-005-079")</f>
        <v>AKL-005-079</v>
      </c>
      <c r="E126" s="4" t="s">
        <v>569</v>
      </c>
      <c r="F126" s="3" t="str">
        <f>HYPERLINK("https://sitebase.nzcomms.co.nz/spm/spmcandidateview/AKL-005-079-A/","AKL-005-079-A")</f>
        <v>AKL-005-079-A</v>
      </c>
      <c r="G126" s="4" t="s">
        <v>569</v>
      </c>
      <c r="H126" s="4" t="s">
        <v>353</v>
      </c>
      <c r="I126" s="4">
        <v>23</v>
      </c>
      <c r="J126" s="4" t="s">
        <v>570</v>
      </c>
      <c r="K126" s="4" t="s">
        <v>141</v>
      </c>
      <c r="L126" s="4" t="s">
        <v>189</v>
      </c>
      <c r="M126" s="4" t="s">
        <v>571</v>
      </c>
      <c r="N126" s="4" t="s">
        <v>274</v>
      </c>
      <c r="O126" s="4"/>
      <c r="P126" s="4" t="s">
        <v>182</v>
      </c>
      <c r="Q126" s="4"/>
      <c r="R126" s="4">
        <v>14.5</v>
      </c>
      <c r="S126" s="4">
        <v>14.5</v>
      </c>
      <c r="T126" s="4"/>
      <c r="U126" s="4">
        <v>-36.793398089999997</v>
      </c>
      <c r="V126" s="4">
        <v>174.70732308000001</v>
      </c>
      <c r="W126" s="4"/>
      <c r="X126" s="4"/>
      <c r="Y126" s="4"/>
      <c r="Z126" s="4"/>
      <c r="AA126" s="4" t="s">
        <v>145</v>
      </c>
      <c r="AB126" s="3" t="str">
        <f>HYPERLINK("https://sitebase.nzcomms.co.nz/spm/spmcandidateview/AKL-005-078-A/","AKL-005-078-A")</f>
        <v>AKL-005-078-A</v>
      </c>
      <c r="AC126" s="4" t="b">
        <v>0</v>
      </c>
      <c r="AD126" s="4" t="b">
        <v>0</v>
      </c>
      <c r="AE126" s="4"/>
      <c r="AF126" s="4"/>
      <c r="AG126" s="4" t="b">
        <v>0</v>
      </c>
      <c r="AH126" s="4"/>
      <c r="AI126" s="5">
        <v>41698</v>
      </c>
      <c r="AJ126" s="5">
        <v>41698</v>
      </c>
      <c r="AK126" s="5">
        <v>41698</v>
      </c>
      <c r="AL126" s="5">
        <v>41698</v>
      </c>
      <c r="AM126" s="5">
        <v>41778</v>
      </c>
      <c r="AN126" s="5">
        <v>41775</v>
      </c>
      <c r="AO126" s="4">
        <v>6</v>
      </c>
      <c r="AP126" s="5">
        <v>41779</v>
      </c>
      <c r="AQ126" s="5">
        <v>41956</v>
      </c>
      <c r="AR126" s="5">
        <v>41957</v>
      </c>
      <c r="AS126" s="5">
        <v>41935</v>
      </c>
      <c r="AT126" s="5">
        <v>41971</v>
      </c>
      <c r="AU126" s="5">
        <v>41960</v>
      </c>
      <c r="AV126" s="4"/>
      <c r="AW126" s="5">
        <v>41971</v>
      </c>
      <c r="AX126" s="5">
        <v>41960</v>
      </c>
      <c r="AY126" s="4" t="s">
        <v>183</v>
      </c>
      <c r="AZ126" s="5">
        <v>41927</v>
      </c>
      <c r="BA126" s="5">
        <v>41920</v>
      </c>
      <c r="BB126" s="5">
        <v>41978</v>
      </c>
      <c r="BC126" s="5">
        <v>41989</v>
      </c>
      <c r="BD126" s="4">
        <v>6</v>
      </c>
      <c r="BE126" s="5">
        <v>41978</v>
      </c>
      <c r="BF126" s="5">
        <v>41989</v>
      </c>
      <c r="BG126" s="5">
        <v>41912</v>
      </c>
      <c r="BH126" s="5">
        <v>41912</v>
      </c>
      <c r="BI126" s="5">
        <v>41943</v>
      </c>
      <c r="BJ126" s="5">
        <v>41943</v>
      </c>
      <c r="BK126" s="4">
        <v>1</v>
      </c>
      <c r="BL126" s="4"/>
      <c r="BM126" s="5">
        <v>41943</v>
      </c>
      <c r="BN126" s="5">
        <v>41943</v>
      </c>
      <c r="BO126" s="4"/>
      <c r="BP126" s="4"/>
      <c r="BQ126" s="4"/>
      <c r="BR126" s="5">
        <v>42039</v>
      </c>
      <c r="BS126" s="4"/>
      <c r="BT126" s="5">
        <v>42079</v>
      </c>
      <c r="BU126" s="5">
        <v>42079</v>
      </c>
      <c r="BV126" s="5">
        <v>42111</v>
      </c>
      <c r="BW126" s="5">
        <v>42090</v>
      </c>
      <c r="BX126" s="4"/>
      <c r="BY126" s="5">
        <v>42102</v>
      </c>
      <c r="BZ126" s="4"/>
      <c r="CA126" s="5">
        <v>42111</v>
      </c>
      <c r="CB126" s="4"/>
      <c r="CC126" s="4"/>
      <c r="CD126" s="4"/>
      <c r="CE126" s="4"/>
      <c r="CF126" s="4"/>
      <c r="CG126" s="4"/>
      <c r="CH126" s="4"/>
      <c r="CI126" s="4"/>
      <c r="CJ126" s="5">
        <v>42153</v>
      </c>
      <c r="CK126" s="5">
        <v>42153</v>
      </c>
      <c r="CL126" s="4"/>
      <c r="CM126" s="4"/>
      <c r="CN126" s="4"/>
      <c r="CO126" s="4"/>
      <c r="CP126" s="4" t="s">
        <v>572</v>
      </c>
      <c r="CQ126" s="4"/>
      <c r="CR126" s="4"/>
      <c r="CS126" s="4"/>
      <c r="CT126" s="4"/>
      <c r="CU126" s="4"/>
      <c r="CV126" s="4"/>
      <c r="CW126" s="4"/>
      <c r="CX126" s="4"/>
      <c r="CY126" s="4"/>
      <c r="CZ126" s="4"/>
      <c r="DA126" s="5">
        <v>42131</v>
      </c>
      <c r="DB126" s="5">
        <v>42136</v>
      </c>
      <c r="DC126" s="5">
        <v>41689</v>
      </c>
      <c r="DD126" s="4" t="s">
        <v>573</v>
      </c>
      <c r="DE126" s="4"/>
      <c r="DF126" s="5">
        <v>42097</v>
      </c>
      <c r="DG126" s="5">
        <v>42100</v>
      </c>
      <c r="DH126" s="4" t="s">
        <v>174</v>
      </c>
      <c r="DI126" s="5">
        <v>42095</v>
      </c>
      <c r="DJ126" s="4" t="b">
        <v>1</v>
      </c>
      <c r="DK126" s="5">
        <v>41988</v>
      </c>
      <c r="DL126" s="4">
        <v>2662775</v>
      </c>
      <c r="DM126" s="4">
        <v>6488395</v>
      </c>
      <c r="DN126" s="4" t="s">
        <v>574</v>
      </c>
      <c r="DO126" s="4" t="s">
        <v>575</v>
      </c>
      <c r="DP126" s="4" t="s">
        <v>576</v>
      </c>
      <c r="DQ126" s="4" t="s">
        <v>148</v>
      </c>
      <c r="DR126" s="4"/>
      <c r="DS126" s="4"/>
      <c r="DT126" s="5">
        <v>42153</v>
      </c>
      <c r="DU126" s="4" t="s">
        <v>577</v>
      </c>
      <c r="DV126" s="4"/>
      <c r="DW126" s="4"/>
      <c r="DX126" s="4"/>
      <c r="DY126" s="5">
        <v>42072</v>
      </c>
      <c r="DZ126" s="5">
        <v>42072</v>
      </c>
      <c r="EA126" s="4"/>
      <c r="EB126" s="4"/>
      <c r="EC126" s="4"/>
      <c r="ED126" s="4"/>
      <c r="EE126" s="4"/>
      <c r="EF126" s="4"/>
      <c r="EG126" s="4"/>
      <c r="EH126" s="4"/>
      <c r="EI126" s="5">
        <v>41698</v>
      </c>
    </row>
    <row r="127" spans="1:139" hidden="1" x14ac:dyDescent="0.2">
      <c r="A127">
        <f>VLOOKUP(B127,Sheet1!$A$1:$B$18,2,FALSE)</f>
        <v>0</v>
      </c>
      <c r="B127" t="str">
        <f t="shared" si="1"/>
        <v>AKL</v>
      </c>
      <c r="C127" s="2">
        <v>126</v>
      </c>
      <c r="D127" s="3" t="str">
        <f>HYPERLINK("https://sitebase.nzcomms.co.nz/spm/spmnominalview/AKL-005-080/","AKL-005-080")</f>
        <v>AKL-005-080</v>
      </c>
      <c r="E127" s="4" t="s">
        <v>511</v>
      </c>
      <c r="F127" s="4"/>
      <c r="G127" s="4"/>
      <c r="H127" s="4" t="s">
        <v>353</v>
      </c>
      <c r="I127" s="4"/>
      <c r="J127" s="4" t="s">
        <v>196</v>
      </c>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row>
    <row r="128" spans="1:139" hidden="1" x14ac:dyDescent="0.2">
      <c r="A128">
        <f>VLOOKUP(B128,Sheet1!$A$1:$B$18,2,FALSE)</f>
        <v>0</v>
      </c>
      <c r="B128" t="str">
        <f t="shared" si="1"/>
        <v>AKL</v>
      </c>
      <c r="C128" s="2">
        <v>127</v>
      </c>
      <c r="D128" s="3" t="str">
        <f>HYPERLINK("https://sitebase.nzcomms.co.nz/spm/spmnominalview/AKL-005-081/","AKL-005-081")</f>
        <v>AKL-005-081</v>
      </c>
      <c r="E128" s="4" t="s">
        <v>578</v>
      </c>
      <c r="F128" s="3" t="str">
        <f>HYPERLINK("https://sitebase.nzcomms.co.nz/spm/spmcandidateview/AKL-005-081-A/","AKL-005-081-A")</f>
        <v>AKL-005-081-A</v>
      </c>
      <c r="G128" s="4" t="s">
        <v>579</v>
      </c>
      <c r="H128" s="4" t="s">
        <v>353</v>
      </c>
      <c r="I128" s="4"/>
      <c r="J128" s="4" t="s">
        <v>317</v>
      </c>
      <c r="K128" s="4" t="s">
        <v>141</v>
      </c>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t="s">
        <v>240</v>
      </c>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row>
    <row r="129" spans="1:139" hidden="1" x14ac:dyDescent="0.2">
      <c r="A129">
        <f>VLOOKUP(B129,Sheet1!$A$1:$B$18,2,FALSE)</f>
        <v>0</v>
      </c>
      <c r="B129" t="str">
        <f t="shared" si="1"/>
        <v>AKL</v>
      </c>
      <c r="C129" s="2">
        <v>128</v>
      </c>
      <c r="D129" s="3" t="str">
        <f>HYPERLINK("https://sitebase.nzcomms.co.nz/spm/spmnominalview/AKL-005-082/","AKL-005-082")</f>
        <v>AKL-005-082</v>
      </c>
      <c r="E129" s="4" t="s">
        <v>468</v>
      </c>
      <c r="F129" s="4"/>
      <c r="G129" s="4"/>
      <c r="H129" s="4" t="s">
        <v>353</v>
      </c>
      <c r="I129" s="4"/>
      <c r="J129" s="4" t="s">
        <v>196</v>
      </c>
      <c r="K129" s="4"/>
      <c r="L129" s="4"/>
      <c r="M129" s="4"/>
      <c r="N129" s="4"/>
      <c r="O129" s="4"/>
      <c r="P129" s="4"/>
      <c r="Q129" s="4"/>
      <c r="R129" s="4"/>
      <c r="S129" s="4"/>
      <c r="T129" s="4"/>
      <c r="U129" s="4"/>
      <c r="V129" s="4"/>
      <c r="W129" s="4"/>
      <c r="X129" s="4"/>
      <c r="Y129" s="4"/>
      <c r="Z129" s="4"/>
      <c r="AA129" s="4"/>
      <c r="AB129" s="4"/>
      <c r="AC129" s="4"/>
      <c r="AD129" s="4"/>
      <c r="AE129" s="4"/>
      <c r="AF129" s="4"/>
      <c r="AG129" s="4" t="b">
        <v>0</v>
      </c>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row>
    <row r="130" spans="1:139" hidden="1" x14ac:dyDescent="0.2">
      <c r="A130">
        <f>VLOOKUP(B130,Sheet1!$A$1:$B$18,2,FALSE)</f>
        <v>0</v>
      </c>
      <c r="B130" t="str">
        <f t="shared" si="1"/>
        <v>AKL</v>
      </c>
      <c r="C130" s="2">
        <v>129</v>
      </c>
      <c r="D130" s="3" t="str">
        <f>HYPERLINK("https://sitebase.nzcomms.co.nz/spm/spmnominalview/AKL-005-083/","AKL-005-083")</f>
        <v>AKL-005-083</v>
      </c>
      <c r="E130" s="4" t="s">
        <v>580</v>
      </c>
      <c r="F130" s="4"/>
      <c r="G130" s="4"/>
      <c r="H130" s="4" t="s">
        <v>353</v>
      </c>
      <c r="I130" s="4"/>
      <c r="J130" s="4" t="s">
        <v>196</v>
      </c>
      <c r="K130" s="4"/>
      <c r="L130" s="4"/>
      <c r="M130" s="4"/>
      <c r="N130" s="4"/>
      <c r="O130" s="4"/>
      <c r="P130" s="4"/>
      <c r="Q130" s="4"/>
      <c r="R130" s="4"/>
      <c r="S130" s="4"/>
      <c r="T130" s="4"/>
      <c r="U130" s="4"/>
      <c r="V130" s="4"/>
      <c r="W130" s="4"/>
      <c r="X130" s="4"/>
      <c r="Y130" s="4"/>
      <c r="Z130" s="4"/>
      <c r="AA130" s="4"/>
      <c r="AB130" s="4"/>
      <c r="AC130" s="4"/>
      <c r="AD130" s="4"/>
      <c r="AE130" s="4"/>
      <c r="AF130" s="4"/>
      <c r="AG130" s="4" t="b">
        <v>0</v>
      </c>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t="s">
        <v>581</v>
      </c>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row>
    <row r="131" spans="1:139" hidden="1" x14ac:dyDescent="0.2">
      <c r="A131">
        <f>VLOOKUP(B131,Sheet1!$A$1:$B$18,2,FALSE)</f>
        <v>0</v>
      </c>
      <c r="B131" t="str">
        <f t="shared" ref="B131:B194" si="2">LEFT(D131,3)</f>
        <v>AKL</v>
      </c>
      <c r="C131" s="2">
        <v>130</v>
      </c>
      <c r="D131" s="3" t="str">
        <f>HYPERLINK("https://sitebase.nzcomms.co.nz/spm/spmnominalview/AKL-005-084/","AKL-005-084")</f>
        <v>AKL-005-084</v>
      </c>
      <c r="E131" s="4" t="s">
        <v>582</v>
      </c>
      <c r="F131" s="3" t="str">
        <f>HYPERLINK("https://sitebase.nzcomms.co.nz/spm/spmcandidateview/AKL-005-084-A/","AKL-005-084-A")</f>
        <v>AKL-005-084-A</v>
      </c>
      <c r="G131" s="4" t="s">
        <v>579</v>
      </c>
      <c r="H131" s="4" t="s">
        <v>353</v>
      </c>
      <c r="I131" s="4"/>
      <c r="J131" s="4" t="s">
        <v>317</v>
      </c>
      <c r="K131" s="4" t="s">
        <v>141</v>
      </c>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t="s">
        <v>240</v>
      </c>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row>
    <row r="132" spans="1:139" hidden="1" x14ac:dyDescent="0.2">
      <c r="A132">
        <f>VLOOKUP(B132,Sheet1!$A$1:$B$18,2,FALSE)</f>
        <v>0</v>
      </c>
      <c r="B132" t="str">
        <f t="shared" si="2"/>
        <v>AKL</v>
      </c>
      <c r="C132" s="2">
        <v>131</v>
      </c>
      <c r="D132" s="3" t="str">
        <f>HYPERLINK("https://sitebase.nzcomms.co.nz/spm/spmnominalview/AKL-005-085/","AKL-005-085")</f>
        <v>AKL-005-085</v>
      </c>
      <c r="E132" s="4" t="s">
        <v>468</v>
      </c>
      <c r="F132" s="3" t="str">
        <f>HYPERLINK("https://sitebase.nzcomms.co.nz/spm/spmcandidateview/AKL-005-085-B/","AKL-005-085-B")</f>
        <v>AKL-005-085-B</v>
      </c>
      <c r="G132" s="4" t="s">
        <v>583</v>
      </c>
      <c r="H132" s="4" t="s">
        <v>353</v>
      </c>
      <c r="I132" s="4">
        <v>3</v>
      </c>
      <c r="J132" s="4" t="s">
        <v>584</v>
      </c>
      <c r="K132" s="4" t="s">
        <v>141</v>
      </c>
      <c r="L132" s="4" t="s">
        <v>181</v>
      </c>
      <c r="M132" s="4" t="s">
        <v>571</v>
      </c>
      <c r="N132" s="4" t="s">
        <v>181</v>
      </c>
      <c r="O132" s="4" t="s">
        <v>168</v>
      </c>
      <c r="P132" s="4" t="s">
        <v>182</v>
      </c>
      <c r="Q132" s="4" t="s">
        <v>170</v>
      </c>
      <c r="R132" s="4"/>
      <c r="S132" s="4"/>
      <c r="T132" s="4"/>
      <c r="U132" s="4">
        <v>-36.801554719999999</v>
      </c>
      <c r="V132" s="4">
        <v>174.76010063999999</v>
      </c>
      <c r="W132" s="4"/>
      <c r="X132" s="4"/>
      <c r="Y132" s="4"/>
      <c r="Z132" s="4"/>
      <c r="AA132" s="4" t="s">
        <v>145</v>
      </c>
      <c r="AB132" s="3" t="str">
        <f>HYPERLINK("https://sitebase.nzcomms.co.nz/spm/spmcandidateview/AKL-005-078-A/","AKL-005-078-A")</f>
        <v>AKL-005-078-A</v>
      </c>
      <c r="AC132" s="4" t="b">
        <v>0</v>
      </c>
      <c r="AD132" s="4" t="b">
        <v>0</v>
      </c>
      <c r="AE132" s="4"/>
      <c r="AF132" s="4"/>
      <c r="AG132" s="4" t="b">
        <v>0</v>
      </c>
      <c r="AH132" s="4"/>
      <c r="AI132" s="5">
        <v>41688</v>
      </c>
      <c r="AJ132" s="5">
        <v>41688</v>
      </c>
      <c r="AK132" s="5">
        <v>41717</v>
      </c>
      <c r="AL132" s="5">
        <v>41710</v>
      </c>
      <c r="AM132" s="5">
        <v>41737</v>
      </c>
      <c r="AN132" s="5">
        <v>41740</v>
      </c>
      <c r="AO132" s="4">
        <v>3</v>
      </c>
      <c r="AP132" s="5">
        <v>41738</v>
      </c>
      <c r="AQ132" s="5">
        <v>41794</v>
      </c>
      <c r="AR132" s="5">
        <v>41789</v>
      </c>
      <c r="AS132" s="5">
        <v>41785</v>
      </c>
      <c r="AT132" s="5">
        <v>41809</v>
      </c>
      <c r="AU132" s="5">
        <v>41807</v>
      </c>
      <c r="AV132" s="4"/>
      <c r="AW132" s="5">
        <v>41810</v>
      </c>
      <c r="AX132" s="5">
        <v>41810</v>
      </c>
      <c r="AY132" s="4" t="s">
        <v>172</v>
      </c>
      <c r="AZ132" s="5">
        <v>41786</v>
      </c>
      <c r="BA132" s="5">
        <v>41786</v>
      </c>
      <c r="BB132" s="5">
        <v>41820</v>
      </c>
      <c r="BC132" s="5">
        <v>41817</v>
      </c>
      <c r="BD132" s="4">
        <v>2</v>
      </c>
      <c r="BE132" s="5">
        <v>41817</v>
      </c>
      <c r="BF132" s="5">
        <v>41817</v>
      </c>
      <c r="BG132" s="5">
        <v>41782</v>
      </c>
      <c r="BH132" s="5">
        <v>41782</v>
      </c>
      <c r="BI132" s="5">
        <v>41820</v>
      </c>
      <c r="BJ132" s="5">
        <v>41817</v>
      </c>
      <c r="BK132" s="4">
        <v>1</v>
      </c>
      <c r="BL132" s="4"/>
      <c r="BM132" s="5">
        <v>41831</v>
      </c>
      <c r="BN132" s="5">
        <v>41817</v>
      </c>
      <c r="BO132" s="4"/>
      <c r="BP132" s="4"/>
      <c r="BQ132" s="4"/>
      <c r="BR132" s="4"/>
      <c r="BS132" s="4"/>
      <c r="BT132" s="5">
        <v>41862</v>
      </c>
      <c r="BU132" s="5">
        <v>41862</v>
      </c>
      <c r="BV132" s="5">
        <v>41894</v>
      </c>
      <c r="BW132" s="5">
        <v>41897</v>
      </c>
      <c r="BX132" s="5">
        <v>41888</v>
      </c>
      <c r="BY132" s="5">
        <v>41894</v>
      </c>
      <c r="BZ132" s="5">
        <v>41897</v>
      </c>
      <c r="CA132" s="5">
        <v>41887</v>
      </c>
      <c r="CB132" s="5">
        <v>41894</v>
      </c>
      <c r="CC132" s="4"/>
      <c r="CD132" s="4"/>
      <c r="CE132" s="4"/>
      <c r="CF132" s="4"/>
      <c r="CG132" s="4"/>
      <c r="CH132" s="4"/>
      <c r="CI132" s="4"/>
      <c r="CJ132" s="5">
        <v>41912</v>
      </c>
      <c r="CK132" s="5">
        <v>41912</v>
      </c>
      <c r="CL132" s="4"/>
      <c r="CM132" s="4"/>
      <c r="CN132" s="4"/>
      <c r="CO132" s="4"/>
      <c r="CP132" s="4" t="s">
        <v>585</v>
      </c>
      <c r="CQ132" s="4"/>
      <c r="CR132" s="4"/>
      <c r="CS132" s="4"/>
      <c r="CT132" s="4"/>
      <c r="CU132" s="4"/>
      <c r="CV132" s="4"/>
      <c r="CW132" s="4"/>
      <c r="CX132" s="4"/>
      <c r="CY132" s="4"/>
      <c r="CZ132" s="4"/>
      <c r="DA132" s="5">
        <v>41898</v>
      </c>
      <c r="DB132" s="5">
        <v>41904</v>
      </c>
      <c r="DC132" s="5">
        <v>41787</v>
      </c>
      <c r="DD132" s="4" t="s">
        <v>586</v>
      </c>
      <c r="DE132" s="4"/>
      <c r="DF132" s="5">
        <v>41839</v>
      </c>
      <c r="DG132" s="5">
        <v>41863</v>
      </c>
      <c r="DH132" s="4" t="s">
        <v>174</v>
      </c>
      <c r="DI132" s="5">
        <v>41888</v>
      </c>
      <c r="DJ132" s="4" t="b">
        <v>0</v>
      </c>
      <c r="DK132" s="4"/>
      <c r="DL132" s="4">
        <v>2667466</v>
      </c>
      <c r="DM132" s="4">
        <v>6487395</v>
      </c>
      <c r="DN132" s="4" t="s">
        <v>587</v>
      </c>
      <c r="DO132" s="4"/>
      <c r="DP132" s="4"/>
      <c r="DQ132" s="4" t="s">
        <v>148</v>
      </c>
      <c r="DR132" s="4"/>
      <c r="DS132" s="4"/>
      <c r="DT132" s="5">
        <v>41912</v>
      </c>
      <c r="DU132" s="4"/>
      <c r="DV132" s="4"/>
      <c r="DW132" s="4"/>
      <c r="DX132" s="4"/>
      <c r="DY132" s="5">
        <v>41860</v>
      </c>
      <c r="DZ132" s="4"/>
      <c r="EA132" s="4"/>
      <c r="EB132" s="4"/>
      <c r="EC132" s="4"/>
      <c r="ED132" s="4"/>
      <c r="EE132" s="4"/>
      <c r="EF132" s="4"/>
      <c r="EG132" s="4"/>
      <c r="EH132" s="4"/>
      <c r="EI132" s="5">
        <v>41710</v>
      </c>
    </row>
    <row r="133" spans="1:139" hidden="1" x14ac:dyDescent="0.2">
      <c r="A133">
        <f>VLOOKUP(B133,Sheet1!$A$1:$B$18,2,FALSE)</f>
        <v>0</v>
      </c>
      <c r="B133" t="str">
        <f t="shared" si="2"/>
        <v>AKL</v>
      </c>
      <c r="C133" s="2">
        <v>132</v>
      </c>
      <c r="D133" s="3" t="str">
        <f>HYPERLINK("https://sitebase.nzcomms.co.nz/spm/spmnominalview/AKL-005-086/","AKL-005-086")</f>
        <v>AKL-005-086</v>
      </c>
      <c r="E133" s="4" t="s">
        <v>588</v>
      </c>
      <c r="F133" s="4"/>
      <c r="G133" s="4"/>
      <c r="H133" s="4" t="s">
        <v>353</v>
      </c>
      <c r="I133" s="4"/>
      <c r="J133" s="4" t="s">
        <v>317</v>
      </c>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row>
    <row r="134" spans="1:139" hidden="1" x14ac:dyDescent="0.2">
      <c r="A134">
        <f>VLOOKUP(B134,Sheet1!$A$1:$B$18,2,FALSE)</f>
        <v>0</v>
      </c>
      <c r="B134" t="str">
        <f t="shared" si="2"/>
        <v>AKL</v>
      </c>
      <c r="C134" s="2">
        <v>133</v>
      </c>
      <c r="D134" s="3" t="str">
        <f>HYPERLINK("https://sitebase.nzcomms.co.nz/spm/spmnominalview/AKL-005-087/","AKL-005-087")</f>
        <v>AKL-005-087</v>
      </c>
      <c r="E134" s="4" t="s">
        <v>582</v>
      </c>
      <c r="F134" s="4"/>
      <c r="G134" s="4"/>
      <c r="H134" s="4" t="s">
        <v>353</v>
      </c>
      <c r="I134" s="4"/>
      <c r="J134" s="4" t="s">
        <v>317</v>
      </c>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row>
    <row r="135" spans="1:139" hidden="1" x14ac:dyDescent="0.2">
      <c r="A135">
        <f>VLOOKUP(B135,Sheet1!$A$1:$B$18,2,FALSE)</f>
        <v>0</v>
      </c>
      <c r="B135" t="str">
        <f t="shared" si="2"/>
        <v>AKL</v>
      </c>
      <c r="C135" s="2">
        <v>134</v>
      </c>
      <c r="D135" s="3" t="str">
        <f>HYPERLINK("https://sitebase.nzcomms.co.nz/spm/spmnominalview/AKL-005-088/","AKL-005-088")</f>
        <v>AKL-005-088</v>
      </c>
      <c r="E135" s="4" t="s">
        <v>589</v>
      </c>
      <c r="F135" s="3" t="str">
        <f>HYPERLINK("https://sitebase.nzcomms.co.nz/spm/spmcandidateview/AKL-005-088-A/","AKL-005-088-A")</f>
        <v>AKL-005-088-A</v>
      </c>
      <c r="G135" s="4" t="s">
        <v>590</v>
      </c>
      <c r="H135" s="4" t="s">
        <v>353</v>
      </c>
      <c r="I135" s="4"/>
      <c r="J135" s="4" t="s">
        <v>317</v>
      </c>
      <c r="K135" s="4" t="s">
        <v>141</v>
      </c>
      <c r="L135" s="4" t="s">
        <v>142</v>
      </c>
      <c r="M135" s="4" t="s">
        <v>324</v>
      </c>
      <c r="N135" s="4" t="s">
        <v>142</v>
      </c>
      <c r="O135" s="4"/>
      <c r="P135" s="4"/>
      <c r="Q135" s="4" t="s">
        <v>142</v>
      </c>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5">
        <v>41942</v>
      </c>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t="s">
        <v>328</v>
      </c>
      <c r="DR135" s="4"/>
      <c r="DS135" s="4"/>
      <c r="DT135" s="4"/>
      <c r="DU135" s="4"/>
      <c r="DV135" s="4"/>
      <c r="DW135" s="4"/>
      <c r="DX135" s="4"/>
      <c r="DY135" s="4"/>
      <c r="DZ135" s="4"/>
      <c r="EA135" s="4"/>
      <c r="EB135" s="4"/>
      <c r="EC135" s="4"/>
      <c r="ED135" s="4"/>
      <c r="EE135" s="4"/>
      <c r="EF135" s="4"/>
      <c r="EG135" s="4"/>
      <c r="EH135" s="4"/>
      <c r="EI135" s="4"/>
    </row>
    <row r="136" spans="1:139" hidden="1" x14ac:dyDescent="0.2">
      <c r="A136">
        <f>VLOOKUP(B136,Sheet1!$A$1:$B$18,2,FALSE)</f>
        <v>0</v>
      </c>
      <c r="B136" t="str">
        <f t="shared" si="2"/>
        <v>AKL</v>
      </c>
      <c r="C136" s="2">
        <v>135</v>
      </c>
      <c r="D136" s="3" t="str">
        <f>HYPERLINK("https://sitebase.nzcomms.co.nz/spm/spmnominalview/AKL-005-089/","AKL-005-089")</f>
        <v>AKL-005-089</v>
      </c>
      <c r="E136" s="4" t="s">
        <v>580</v>
      </c>
      <c r="F136" s="3" t="str">
        <f>HYPERLINK("https://sitebase.nzcomms.co.nz/spm/spmcandidateview/AKL-005-089-B/","AKL-005-089-B")</f>
        <v>AKL-005-089-B</v>
      </c>
      <c r="G136" s="4" t="s">
        <v>591</v>
      </c>
      <c r="H136" s="4" t="s">
        <v>353</v>
      </c>
      <c r="I136" s="4">
        <v>22</v>
      </c>
      <c r="J136" s="4" t="s">
        <v>584</v>
      </c>
      <c r="K136" s="4" t="s">
        <v>141</v>
      </c>
      <c r="L136" s="4" t="s">
        <v>189</v>
      </c>
      <c r="M136" s="4" t="s">
        <v>592</v>
      </c>
      <c r="N136" s="4" t="s">
        <v>364</v>
      </c>
      <c r="O136" s="4"/>
      <c r="P136" s="4"/>
      <c r="Q136" s="4" t="s">
        <v>192</v>
      </c>
      <c r="R136" s="4">
        <v>5.3</v>
      </c>
      <c r="S136" s="4"/>
      <c r="T136" s="4"/>
      <c r="U136" s="4">
        <v>-36.802011989999997</v>
      </c>
      <c r="V136" s="4">
        <v>174.74539627999999</v>
      </c>
      <c r="W136" s="4"/>
      <c r="X136" s="4"/>
      <c r="Y136" s="4"/>
      <c r="Z136" s="4"/>
      <c r="AA136" s="4" t="s">
        <v>145</v>
      </c>
      <c r="AB136" s="3" t="str">
        <f>HYPERLINK("https://sitebase.nzcomms.co.nz/spm/spmcandidateview/AKL-005-078-A/","AKL-005-078-A")</f>
        <v>AKL-005-078-A</v>
      </c>
      <c r="AC136" s="4" t="b">
        <v>0</v>
      </c>
      <c r="AD136" s="4" t="b">
        <v>0</v>
      </c>
      <c r="AE136" s="4"/>
      <c r="AF136" s="4"/>
      <c r="AG136" s="4" t="b">
        <v>0</v>
      </c>
      <c r="AH136" s="4"/>
      <c r="AI136" s="4"/>
      <c r="AJ136" s="5">
        <v>41877</v>
      </c>
      <c r="AK136" s="5">
        <v>41883</v>
      </c>
      <c r="AL136" s="5">
        <v>41883</v>
      </c>
      <c r="AM136" s="5">
        <v>41897</v>
      </c>
      <c r="AN136" s="5">
        <v>41891</v>
      </c>
      <c r="AO136" s="4">
        <v>2</v>
      </c>
      <c r="AP136" s="5">
        <v>41897</v>
      </c>
      <c r="AQ136" s="5">
        <v>41929</v>
      </c>
      <c r="AR136" s="5">
        <v>41943</v>
      </c>
      <c r="AS136" s="5">
        <v>41941</v>
      </c>
      <c r="AT136" s="5">
        <v>41950</v>
      </c>
      <c r="AU136" s="5">
        <v>41961</v>
      </c>
      <c r="AV136" s="4">
        <v>2</v>
      </c>
      <c r="AW136" s="5">
        <v>41957</v>
      </c>
      <c r="AX136" s="5">
        <v>41961</v>
      </c>
      <c r="AY136" s="4" t="s">
        <v>183</v>
      </c>
      <c r="AZ136" s="5">
        <v>41898</v>
      </c>
      <c r="BA136" s="5">
        <v>41899</v>
      </c>
      <c r="BB136" s="5">
        <v>41950</v>
      </c>
      <c r="BC136" s="5">
        <v>41941</v>
      </c>
      <c r="BD136" s="4">
        <v>2</v>
      </c>
      <c r="BE136" s="5">
        <v>41957</v>
      </c>
      <c r="BF136" s="5">
        <v>41941</v>
      </c>
      <c r="BG136" s="5">
        <v>41932</v>
      </c>
      <c r="BH136" s="5">
        <v>41912</v>
      </c>
      <c r="BI136" s="5">
        <v>41936</v>
      </c>
      <c r="BJ136" s="5">
        <v>41936</v>
      </c>
      <c r="BK136" s="4">
        <v>1</v>
      </c>
      <c r="BL136" s="4"/>
      <c r="BM136" s="5">
        <v>41943</v>
      </c>
      <c r="BN136" s="5">
        <v>41936</v>
      </c>
      <c r="BO136" s="4"/>
      <c r="BP136" s="4"/>
      <c r="BQ136" s="4"/>
      <c r="BR136" s="4"/>
      <c r="BS136" s="4"/>
      <c r="BT136" s="5">
        <v>41967</v>
      </c>
      <c r="BU136" s="5">
        <v>41957</v>
      </c>
      <c r="BV136" s="5">
        <v>41991</v>
      </c>
      <c r="BW136" s="5">
        <v>41992</v>
      </c>
      <c r="BX136" s="5">
        <v>41975</v>
      </c>
      <c r="BY136" s="5">
        <v>41991</v>
      </c>
      <c r="BZ136" s="5">
        <v>41976</v>
      </c>
      <c r="CA136" s="5">
        <v>41988</v>
      </c>
      <c r="CB136" s="5">
        <v>41976</v>
      </c>
      <c r="CC136" s="4"/>
      <c r="CD136" s="4"/>
      <c r="CE136" s="4"/>
      <c r="CF136" s="4"/>
      <c r="CG136" s="4"/>
      <c r="CH136" s="4"/>
      <c r="CI136" s="4"/>
      <c r="CJ136" s="5">
        <v>42027</v>
      </c>
      <c r="CK136" s="5">
        <v>42020</v>
      </c>
      <c r="CL136" s="4"/>
      <c r="CM136" s="4"/>
      <c r="CN136" s="4"/>
      <c r="CO136" s="4"/>
      <c r="CP136" s="4" t="s">
        <v>593</v>
      </c>
      <c r="CQ136" s="4"/>
      <c r="CR136" s="4"/>
      <c r="CS136" s="4"/>
      <c r="CT136" s="4"/>
      <c r="CU136" s="4"/>
      <c r="CV136" s="4"/>
      <c r="CW136" s="4"/>
      <c r="CX136" s="4"/>
      <c r="CY136" s="4"/>
      <c r="CZ136" s="4"/>
      <c r="DA136" s="5">
        <v>42020</v>
      </c>
      <c r="DB136" s="5">
        <v>42019</v>
      </c>
      <c r="DC136" s="5">
        <v>41899</v>
      </c>
      <c r="DD136" s="4" t="s">
        <v>586</v>
      </c>
      <c r="DE136" s="4"/>
      <c r="DF136" s="5">
        <v>41988</v>
      </c>
      <c r="DG136" s="5">
        <v>41976</v>
      </c>
      <c r="DH136" s="4" t="s">
        <v>174</v>
      </c>
      <c r="DI136" s="5">
        <v>41975</v>
      </c>
      <c r="DJ136" s="4" t="b">
        <v>0</v>
      </c>
      <c r="DK136" s="4"/>
      <c r="DL136" s="4">
        <v>2666153</v>
      </c>
      <c r="DM136" s="4">
        <v>6487371</v>
      </c>
      <c r="DN136" s="4" t="s">
        <v>594</v>
      </c>
      <c r="DO136" s="4" t="s">
        <v>595</v>
      </c>
      <c r="DP136" s="4"/>
      <c r="DQ136" s="4" t="s">
        <v>148</v>
      </c>
      <c r="DR136" s="4"/>
      <c r="DS136" s="4"/>
      <c r="DT136" s="4"/>
      <c r="DU136" s="4"/>
      <c r="DV136" s="4"/>
      <c r="DW136" s="4"/>
      <c r="DX136" s="4"/>
      <c r="DY136" s="4"/>
      <c r="DZ136" s="4"/>
      <c r="EA136" s="4"/>
      <c r="EB136" s="4"/>
      <c r="EC136" s="4"/>
      <c r="ED136" s="4"/>
      <c r="EE136" s="4"/>
      <c r="EF136" s="4"/>
      <c r="EG136" s="4"/>
      <c r="EH136" s="4"/>
      <c r="EI136" s="5">
        <v>41883</v>
      </c>
    </row>
    <row r="137" spans="1:139" hidden="1" x14ac:dyDescent="0.2">
      <c r="A137">
        <f>VLOOKUP(B137,Sheet1!$A$1:$B$18,2,FALSE)</f>
        <v>0</v>
      </c>
      <c r="B137" t="str">
        <f t="shared" si="2"/>
        <v>AKL</v>
      </c>
      <c r="C137" s="2">
        <v>136</v>
      </c>
      <c r="D137" s="3" t="str">
        <f>HYPERLINK("https://sitebase.nzcomms.co.nz/spm/spmnominalview/AKL-005-090/","AKL-005-090")</f>
        <v>AKL-005-090</v>
      </c>
      <c r="E137" s="4" t="s">
        <v>596</v>
      </c>
      <c r="F137" s="3" t="str">
        <f>HYPERLINK("https://sitebase.nzcomms.co.nz/spm/spmcandidateview/AKL-005-090-A/","AKL-005-090-A")</f>
        <v>AKL-005-090-A</v>
      </c>
      <c r="G137" s="4" t="s">
        <v>597</v>
      </c>
      <c r="H137" s="4" t="s">
        <v>353</v>
      </c>
      <c r="I137" s="4"/>
      <c r="J137" s="4" t="s">
        <v>317</v>
      </c>
      <c r="K137" s="4" t="s">
        <v>141</v>
      </c>
      <c r="L137" s="4" t="s">
        <v>142</v>
      </c>
      <c r="M137" s="4" t="s">
        <v>324</v>
      </c>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t="s">
        <v>598</v>
      </c>
      <c r="DO137" s="4"/>
      <c r="DP137" s="4"/>
      <c r="DQ137" s="4" t="s">
        <v>328</v>
      </c>
      <c r="DR137" s="4" t="s">
        <v>255</v>
      </c>
      <c r="DS137" s="4"/>
      <c r="DT137" s="4"/>
      <c r="DU137" s="4"/>
      <c r="DV137" s="4"/>
      <c r="DW137" s="4"/>
      <c r="DX137" s="4"/>
      <c r="DY137" s="4"/>
      <c r="DZ137" s="4"/>
      <c r="EA137" s="4"/>
      <c r="EB137" s="4"/>
      <c r="EC137" s="4"/>
      <c r="ED137" s="4"/>
      <c r="EE137" s="4"/>
      <c r="EF137" s="4"/>
      <c r="EG137" s="4"/>
      <c r="EH137" s="4"/>
      <c r="EI137" s="4"/>
    </row>
    <row r="138" spans="1:139" hidden="1" x14ac:dyDescent="0.2">
      <c r="A138">
        <f>VLOOKUP(B138,Sheet1!$A$1:$B$18,2,FALSE)</f>
        <v>0</v>
      </c>
      <c r="B138" t="str">
        <f t="shared" si="2"/>
        <v>AKL</v>
      </c>
      <c r="C138" s="2">
        <v>137</v>
      </c>
      <c r="D138" s="3" t="str">
        <f>HYPERLINK("https://sitebase.nzcomms.co.nz/spm/spmnominalview/AKL-006-001/","AKL-006-001")</f>
        <v>AKL-006-001</v>
      </c>
      <c r="E138" s="4"/>
      <c r="F138" s="3" t="str">
        <f>HYPERLINK("https://sitebase.nzcomms.co.nz/spm/spmcandidateview/AKL-006-001-F/","AKL-006-001-F")</f>
        <v>AKL-006-001-F</v>
      </c>
      <c r="G138" s="4" t="s">
        <v>599</v>
      </c>
      <c r="H138" s="4" t="s">
        <v>600</v>
      </c>
      <c r="I138" s="4"/>
      <c r="J138" s="4" t="s">
        <v>139</v>
      </c>
      <c r="K138" s="4" t="s">
        <v>141</v>
      </c>
      <c r="L138" s="4" t="s">
        <v>150</v>
      </c>
      <c r="M138" s="4" t="s">
        <v>354</v>
      </c>
      <c r="N138" s="4" t="s">
        <v>291</v>
      </c>
      <c r="O138" s="4" t="s">
        <v>144</v>
      </c>
      <c r="P138" s="4"/>
      <c r="Q138" s="4"/>
      <c r="R138" s="4">
        <v>15</v>
      </c>
      <c r="S138" s="4">
        <v>15</v>
      </c>
      <c r="T138" s="4"/>
      <c r="U138" s="4">
        <v>-36.903852540000003</v>
      </c>
      <c r="V138" s="4">
        <v>174.65924293</v>
      </c>
      <c r="W138" s="4"/>
      <c r="X138" s="4"/>
      <c r="Y138" s="4"/>
      <c r="Z138" s="4"/>
      <c r="AA138" s="4" t="s">
        <v>171</v>
      </c>
      <c r="AB138" s="3" t="str">
        <f>HYPERLINK("https://sitebase.nzcomms.co.nz/spm/spmcandidateview/AKL-006-021-E/","AKL-006-021-E")</f>
        <v>AKL-006-021-E</v>
      </c>
      <c r="AC138" s="4"/>
      <c r="AD138" s="4"/>
      <c r="AE138" s="4"/>
      <c r="AF138" s="4"/>
      <c r="AG138" s="4"/>
      <c r="AH138" s="4" t="s">
        <v>360</v>
      </c>
      <c r="AI138" s="4"/>
      <c r="AJ138" s="4"/>
      <c r="AK138" s="4"/>
      <c r="AL138" s="4"/>
      <c r="AM138" s="4"/>
      <c r="AN138" s="5">
        <v>39500</v>
      </c>
      <c r="AO138" s="4">
        <v>2</v>
      </c>
      <c r="AP138" s="5">
        <v>39554</v>
      </c>
      <c r="AQ138" s="5">
        <v>39554</v>
      </c>
      <c r="AR138" s="4"/>
      <c r="AS138" s="4"/>
      <c r="AT138" s="5">
        <v>39507</v>
      </c>
      <c r="AU138" s="5">
        <v>39507</v>
      </c>
      <c r="AV138" s="4">
        <v>1</v>
      </c>
      <c r="AW138" s="5">
        <v>39507</v>
      </c>
      <c r="AX138" s="5">
        <v>39507</v>
      </c>
      <c r="AY138" s="4"/>
      <c r="AZ138" s="4"/>
      <c r="BA138" s="4"/>
      <c r="BB138" s="5">
        <v>39599</v>
      </c>
      <c r="BC138" s="4"/>
      <c r="BD138" s="4"/>
      <c r="BE138" s="5">
        <v>39599</v>
      </c>
      <c r="BF138" s="5">
        <v>39594</v>
      </c>
      <c r="BG138" s="4"/>
      <c r="BH138" s="5">
        <v>39505</v>
      </c>
      <c r="BI138" s="4"/>
      <c r="BJ138" s="5">
        <v>39589</v>
      </c>
      <c r="BK138" s="4">
        <v>1</v>
      </c>
      <c r="BL138" s="4">
        <v>2</v>
      </c>
      <c r="BM138" s="5">
        <v>39589</v>
      </c>
      <c r="BN138" s="5">
        <v>39589</v>
      </c>
      <c r="BO138" s="4"/>
      <c r="BP138" s="4"/>
      <c r="BQ138" s="4"/>
      <c r="BR138" s="4"/>
      <c r="BS138" s="4"/>
      <c r="BT138" s="4"/>
      <c r="BU138" s="5">
        <v>39624</v>
      </c>
      <c r="BV138" s="5">
        <v>39640</v>
      </c>
      <c r="BW138" s="5">
        <v>39640</v>
      </c>
      <c r="BX138" s="4"/>
      <c r="BY138" s="5">
        <v>39671</v>
      </c>
      <c r="BZ138" s="5">
        <v>39668</v>
      </c>
      <c r="CA138" s="4"/>
      <c r="CB138" s="4"/>
      <c r="CC138" s="4"/>
      <c r="CD138" s="4"/>
      <c r="CE138" s="4"/>
      <c r="CF138" s="4"/>
      <c r="CG138" s="4"/>
      <c r="CH138" s="4"/>
      <c r="CI138" s="5">
        <v>39862</v>
      </c>
      <c r="CJ138" s="5">
        <v>39871</v>
      </c>
      <c r="CK138" s="5">
        <v>39862</v>
      </c>
      <c r="CL138" s="4"/>
      <c r="CM138" s="4"/>
      <c r="CN138" s="4"/>
      <c r="CO138" s="4"/>
      <c r="CP138" s="4" t="s">
        <v>428</v>
      </c>
      <c r="CQ138" s="4"/>
      <c r="CR138" s="5">
        <v>39871</v>
      </c>
      <c r="CS138" s="4"/>
      <c r="CT138" s="4"/>
      <c r="CU138" s="4"/>
      <c r="CV138" s="4"/>
      <c r="CW138" s="4"/>
      <c r="CX138" s="4"/>
      <c r="CY138" s="4"/>
      <c r="CZ138" s="4"/>
      <c r="DA138" s="4"/>
      <c r="DB138" s="4"/>
      <c r="DC138" s="4"/>
      <c r="DD138" s="4"/>
      <c r="DE138" s="4"/>
      <c r="DF138" s="4"/>
      <c r="DG138" s="4"/>
      <c r="DH138" s="4"/>
      <c r="DI138" s="4"/>
      <c r="DJ138" s="4" t="b">
        <v>0</v>
      </c>
      <c r="DK138" s="4"/>
      <c r="DL138" s="4">
        <v>2658247</v>
      </c>
      <c r="DM138" s="4">
        <v>6476224</v>
      </c>
      <c r="DN138" s="4" t="s">
        <v>601</v>
      </c>
      <c r="DO138" s="4"/>
      <c r="DP138" s="4"/>
      <c r="DQ138" s="4" t="s">
        <v>148</v>
      </c>
      <c r="DR138" s="4"/>
      <c r="DS138" s="4"/>
      <c r="DT138" s="5">
        <v>41887</v>
      </c>
      <c r="DU138" s="4"/>
      <c r="DV138" s="4"/>
      <c r="DW138" s="4"/>
      <c r="DX138" s="4"/>
      <c r="DY138" s="4"/>
      <c r="DZ138" s="5">
        <v>39595</v>
      </c>
      <c r="EA138" s="4"/>
      <c r="EB138" s="4"/>
      <c r="EC138" s="4"/>
      <c r="ED138" s="4"/>
      <c r="EE138" s="4"/>
      <c r="EF138" s="4"/>
      <c r="EG138" s="4"/>
      <c r="EH138" s="4"/>
      <c r="EI138" s="5">
        <v>39465</v>
      </c>
    </row>
    <row r="139" spans="1:139" hidden="1" x14ac:dyDescent="0.2">
      <c r="A139">
        <f>VLOOKUP(B139,Sheet1!$A$1:$B$18,2,FALSE)</f>
        <v>0</v>
      </c>
      <c r="B139" t="str">
        <f t="shared" si="2"/>
        <v>AKL</v>
      </c>
      <c r="C139" s="2">
        <v>138</v>
      </c>
      <c r="D139" s="3" t="str">
        <f>HYPERLINK("https://sitebase.nzcomms.co.nz/spm/spmnominalview/AKL-006-002/","AKL-006-002")</f>
        <v>AKL-006-002</v>
      </c>
      <c r="E139" s="4"/>
      <c r="F139" s="3" t="str">
        <f>HYPERLINK("https://sitebase.nzcomms.co.nz/spm/spmcandidateview/AKL-006-002-D/","AKL-006-002-D")</f>
        <v>AKL-006-002-D</v>
      </c>
      <c r="G139" s="4" t="s">
        <v>602</v>
      </c>
      <c r="H139" s="4" t="s">
        <v>600</v>
      </c>
      <c r="I139" s="4"/>
      <c r="J139" s="4" t="s">
        <v>139</v>
      </c>
      <c r="K139" s="4" t="s">
        <v>141</v>
      </c>
      <c r="L139" s="4" t="s">
        <v>150</v>
      </c>
      <c r="M139" s="4" t="s">
        <v>354</v>
      </c>
      <c r="N139" s="4" t="s">
        <v>291</v>
      </c>
      <c r="O139" s="4" t="s">
        <v>144</v>
      </c>
      <c r="P139" s="4"/>
      <c r="Q139" s="4"/>
      <c r="R139" s="4">
        <v>18</v>
      </c>
      <c r="S139" s="4">
        <v>18</v>
      </c>
      <c r="T139" s="4"/>
      <c r="U139" s="4">
        <v>-36.890385960000003</v>
      </c>
      <c r="V139" s="4">
        <v>174.62604175000001</v>
      </c>
      <c r="W139" s="4"/>
      <c r="X139" s="4"/>
      <c r="Y139" s="4"/>
      <c r="Z139" s="4"/>
      <c r="AA139" s="4" t="s">
        <v>171</v>
      </c>
      <c r="AB139" s="3" t="str">
        <f>HYPERLINK("https://sitebase.nzcomms.co.nz/spm/spmcandidateview/AKL-006-040-A/","AKL-006-040-A")</f>
        <v>AKL-006-040-A</v>
      </c>
      <c r="AC139" s="4"/>
      <c r="AD139" s="4"/>
      <c r="AE139" s="4"/>
      <c r="AF139" s="4"/>
      <c r="AG139" s="4"/>
      <c r="AH139" s="4" t="s">
        <v>395</v>
      </c>
      <c r="AI139" s="4"/>
      <c r="AJ139" s="4"/>
      <c r="AK139" s="4"/>
      <c r="AL139" s="4"/>
      <c r="AM139" s="4"/>
      <c r="AN139" s="5">
        <v>39464</v>
      </c>
      <c r="AO139" s="4">
        <v>6</v>
      </c>
      <c r="AP139" s="5">
        <v>39758</v>
      </c>
      <c r="AQ139" s="5">
        <v>39758</v>
      </c>
      <c r="AR139" s="4"/>
      <c r="AS139" s="4"/>
      <c r="AT139" s="5">
        <v>39498</v>
      </c>
      <c r="AU139" s="5">
        <v>39498</v>
      </c>
      <c r="AV139" s="4">
        <v>3</v>
      </c>
      <c r="AW139" s="5">
        <v>39498</v>
      </c>
      <c r="AX139" s="5">
        <v>39498</v>
      </c>
      <c r="AY139" s="4"/>
      <c r="AZ139" s="4"/>
      <c r="BA139" s="4"/>
      <c r="BB139" s="5">
        <v>39792</v>
      </c>
      <c r="BC139" s="4"/>
      <c r="BD139" s="4"/>
      <c r="BE139" s="5">
        <v>39840</v>
      </c>
      <c r="BF139" s="5">
        <v>39840</v>
      </c>
      <c r="BG139" s="4"/>
      <c r="BH139" s="5">
        <v>39535</v>
      </c>
      <c r="BI139" s="4"/>
      <c r="BJ139" s="5">
        <v>39742</v>
      </c>
      <c r="BK139" s="4">
        <v>2</v>
      </c>
      <c r="BL139" s="4">
        <v>6</v>
      </c>
      <c r="BM139" s="5">
        <v>39797</v>
      </c>
      <c r="BN139" s="5">
        <v>39797</v>
      </c>
      <c r="BO139" s="5">
        <v>39846</v>
      </c>
      <c r="BP139" s="4"/>
      <c r="BQ139" s="4"/>
      <c r="BR139" s="4"/>
      <c r="BS139" s="4"/>
      <c r="BT139" s="4"/>
      <c r="BU139" s="5">
        <v>39854</v>
      </c>
      <c r="BV139" s="5">
        <v>39892</v>
      </c>
      <c r="BW139" s="5">
        <v>39890</v>
      </c>
      <c r="BX139" s="4"/>
      <c r="BY139" s="5">
        <v>39897</v>
      </c>
      <c r="BZ139" s="5">
        <v>39897</v>
      </c>
      <c r="CA139" s="4"/>
      <c r="CB139" s="4"/>
      <c r="CC139" s="4"/>
      <c r="CD139" s="4"/>
      <c r="CE139" s="4"/>
      <c r="CF139" s="4"/>
      <c r="CG139" s="4"/>
      <c r="CH139" s="4"/>
      <c r="CI139" s="5">
        <v>39930</v>
      </c>
      <c r="CJ139" s="5">
        <v>39933</v>
      </c>
      <c r="CK139" s="5">
        <v>39930</v>
      </c>
      <c r="CL139" s="4"/>
      <c r="CM139" s="4"/>
      <c r="CN139" s="4"/>
      <c r="CO139" s="4"/>
      <c r="CP139" s="4" t="s">
        <v>157</v>
      </c>
      <c r="CQ139" s="4"/>
      <c r="CR139" s="5">
        <v>39933</v>
      </c>
      <c r="CS139" s="4"/>
      <c r="CT139" s="4"/>
      <c r="CU139" s="4"/>
      <c r="CV139" s="4"/>
      <c r="CW139" s="5">
        <v>39841</v>
      </c>
      <c r="CX139" s="5">
        <v>39846</v>
      </c>
      <c r="CY139" s="4"/>
      <c r="CZ139" s="4"/>
      <c r="DA139" s="4"/>
      <c r="DB139" s="4"/>
      <c r="DC139" s="4"/>
      <c r="DD139" s="4"/>
      <c r="DE139" s="4"/>
      <c r="DF139" s="4"/>
      <c r="DG139" s="4"/>
      <c r="DH139" s="4"/>
      <c r="DI139" s="4"/>
      <c r="DJ139" s="4" t="b">
        <v>0</v>
      </c>
      <c r="DK139" s="4"/>
      <c r="DL139" s="4">
        <v>2655317</v>
      </c>
      <c r="DM139" s="4">
        <v>6477775</v>
      </c>
      <c r="DN139" s="4" t="s">
        <v>603</v>
      </c>
      <c r="DO139" s="4"/>
      <c r="DP139" s="4"/>
      <c r="DQ139" s="4" t="s">
        <v>148</v>
      </c>
      <c r="DR139" s="4"/>
      <c r="DS139" s="4"/>
      <c r="DT139" s="5">
        <v>41887</v>
      </c>
      <c r="DU139" s="4"/>
      <c r="DV139" s="4"/>
      <c r="DW139" s="4"/>
      <c r="DX139" s="4"/>
      <c r="DY139" s="5">
        <v>39849</v>
      </c>
      <c r="DZ139" s="5">
        <v>39846</v>
      </c>
      <c r="EA139" s="4"/>
      <c r="EB139" s="4"/>
      <c r="EC139" s="4"/>
      <c r="ED139" s="4"/>
      <c r="EE139" s="4"/>
      <c r="EF139" s="4"/>
      <c r="EG139" s="4"/>
      <c r="EH139" s="4"/>
      <c r="EI139" s="5">
        <v>39422</v>
      </c>
    </row>
    <row r="140" spans="1:139" hidden="1" x14ac:dyDescent="0.2">
      <c r="A140">
        <f>VLOOKUP(B140,Sheet1!$A$1:$B$18,2,FALSE)</f>
        <v>0</v>
      </c>
      <c r="B140" t="str">
        <f t="shared" si="2"/>
        <v>AKL</v>
      </c>
      <c r="C140" s="2">
        <v>139</v>
      </c>
      <c r="D140" s="3" t="str">
        <f>HYPERLINK("https://sitebase.nzcomms.co.nz/spm/spmnominalview/AKL-006-003/","AKL-006-003")</f>
        <v>AKL-006-003</v>
      </c>
      <c r="E140" s="4"/>
      <c r="F140" s="3" t="str">
        <f>HYPERLINK("https://sitebase.nzcomms.co.nz/spm/spmcandidateview/AKL-006-003-D/","AKL-006-003-D")</f>
        <v>AKL-006-003-D</v>
      </c>
      <c r="G140" s="4" t="s">
        <v>604</v>
      </c>
      <c r="H140" s="4" t="s">
        <v>600</v>
      </c>
      <c r="I140" s="4">
        <v>3</v>
      </c>
      <c r="J140" s="4" t="s">
        <v>139</v>
      </c>
      <c r="K140" s="4" t="s">
        <v>141</v>
      </c>
      <c r="L140" s="4" t="s">
        <v>181</v>
      </c>
      <c r="M140" s="4" t="s">
        <v>463</v>
      </c>
      <c r="N140" s="4" t="s">
        <v>364</v>
      </c>
      <c r="O140" s="4" t="s">
        <v>144</v>
      </c>
      <c r="P140" s="4"/>
      <c r="Q140" s="4"/>
      <c r="R140" s="4">
        <v>25.2</v>
      </c>
      <c r="S140" s="4">
        <v>25.2</v>
      </c>
      <c r="T140" s="4"/>
      <c r="U140" s="4">
        <v>-36.8786554</v>
      </c>
      <c r="V140" s="4">
        <v>174.63284290000001</v>
      </c>
      <c r="W140" s="4"/>
      <c r="X140" s="4"/>
      <c r="Y140" s="4"/>
      <c r="Z140" s="4"/>
      <c r="AA140" s="4" t="s">
        <v>171</v>
      </c>
      <c r="AB140" s="3" t="str">
        <f>HYPERLINK("https://sitebase.nzcomms.co.nz/spm/spmcandidateview/AKL-006-007-B/","AKL-006-007-B")</f>
        <v>AKL-006-007-B</v>
      </c>
      <c r="AC140" s="4" t="b">
        <v>0</v>
      </c>
      <c r="AD140" s="4" t="b">
        <v>0</v>
      </c>
      <c r="AE140" s="4"/>
      <c r="AF140" s="4"/>
      <c r="AG140" s="4" t="b">
        <v>0</v>
      </c>
      <c r="AH140" s="4" t="s">
        <v>365</v>
      </c>
      <c r="AI140" s="4"/>
      <c r="AJ140" s="4"/>
      <c r="AK140" s="4"/>
      <c r="AL140" s="4"/>
      <c r="AM140" s="4"/>
      <c r="AN140" s="5">
        <v>39881</v>
      </c>
      <c r="AO140" s="4">
        <v>5</v>
      </c>
      <c r="AP140" s="5">
        <v>39892</v>
      </c>
      <c r="AQ140" s="5">
        <v>40934</v>
      </c>
      <c r="AR140" s="4"/>
      <c r="AS140" s="4"/>
      <c r="AT140" s="5">
        <v>39990</v>
      </c>
      <c r="AU140" s="5">
        <v>39989</v>
      </c>
      <c r="AV140" s="4">
        <v>3</v>
      </c>
      <c r="AW140" s="5">
        <v>39990</v>
      </c>
      <c r="AX140" s="5">
        <v>39989</v>
      </c>
      <c r="AY140" s="4"/>
      <c r="AZ140" s="5">
        <v>39883</v>
      </c>
      <c r="BA140" s="4"/>
      <c r="BB140" s="5">
        <v>39934</v>
      </c>
      <c r="BC140" s="4"/>
      <c r="BD140" s="4"/>
      <c r="BE140" s="5">
        <v>39934</v>
      </c>
      <c r="BF140" s="5">
        <v>39937</v>
      </c>
      <c r="BG140" s="5">
        <v>39903</v>
      </c>
      <c r="BH140" s="5">
        <v>39897</v>
      </c>
      <c r="BI140" s="4"/>
      <c r="BJ140" s="5">
        <v>39953</v>
      </c>
      <c r="BK140" s="4">
        <v>1</v>
      </c>
      <c r="BL140" s="4">
        <v>2</v>
      </c>
      <c r="BM140" s="5">
        <v>39962</v>
      </c>
      <c r="BN140" s="5">
        <v>39953</v>
      </c>
      <c r="BO140" s="4"/>
      <c r="BP140" s="4"/>
      <c r="BQ140" s="4"/>
      <c r="BR140" s="4"/>
      <c r="BS140" s="4"/>
      <c r="BT140" s="5">
        <v>40021</v>
      </c>
      <c r="BU140" s="5">
        <v>40016</v>
      </c>
      <c r="BV140" s="5">
        <v>40052</v>
      </c>
      <c r="BW140" s="5">
        <v>40052</v>
      </c>
      <c r="BX140" s="4"/>
      <c r="BY140" s="5">
        <v>40067</v>
      </c>
      <c r="BZ140" s="5">
        <v>40060</v>
      </c>
      <c r="CA140" s="4"/>
      <c r="CB140" s="4"/>
      <c r="CC140" s="4"/>
      <c r="CD140" s="4"/>
      <c r="CE140" s="4"/>
      <c r="CF140" s="4"/>
      <c r="CG140" s="4"/>
      <c r="CH140" s="4"/>
      <c r="CI140" s="5">
        <v>40067</v>
      </c>
      <c r="CJ140" s="5">
        <v>40074</v>
      </c>
      <c r="CK140" s="5">
        <v>40067</v>
      </c>
      <c r="CL140" s="4"/>
      <c r="CM140" s="4"/>
      <c r="CN140" s="4"/>
      <c r="CO140" s="4"/>
      <c r="CP140" s="4" t="s">
        <v>605</v>
      </c>
      <c r="CQ140" s="4"/>
      <c r="CR140" s="5">
        <v>40074</v>
      </c>
      <c r="CS140" s="4"/>
      <c r="CT140" s="4"/>
      <c r="CU140" s="4"/>
      <c r="CV140" s="4"/>
      <c r="CW140" s="4"/>
      <c r="CX140" s="4"/>
      <c r="CY140" s="4"/>
      <c r="CZ140" s="4"/>
      <c r="DA140" s="4"/>
      <c r="DB140" s="4"/>
      <c r="DC140" s="4"/>
      <c r="DD140" s="4"/>
      <c r="DE140" s="4"/>
      <c r="DF140" s="4"/>
      <c r="DG140" s="4"/>
      <c r="DH140" s="4"/>
      <c r="DI140" s="4"/>
      <c r="DJ140" s="4" t="b">
        <v>0</v>
      </c>
      <c r="DK140" s="4"/>
      <c r="DL140" s="4">
        <v>2655948</v>
      </c>
      <c r="DM140" s="4">
        <v>6479065</v>
      </c>
      <c r="DN140" s="4" t="s">
        <v>606</v>
      </c>
      <c r="DO140" s="4"/>
      <c r="DP140" s="4"/>
      <c r="DQ140" s="4" t="s">
        <v>148</v>
      </c>
      <c r="DR140" s="4"/>
      <c r="DS140" s="4"/>
      <c r="DT140" s="5">
        <v>41887</v>
      </c>
      <c r="DU140" s="4"/>
      <c r="DV140" s="4"/>
      <c r="DW140" s="4"/>
      <c r="DX140" s="4"/>
      <c r="DY140" s="5">
        <v>40021</v>
      </c>
      <c r="DZ140" s="5">
        <v>40016</v>
      </c>
      <c r="EA140" s="4"/>
      <c r="EB140" s="4"/>
      <c r="EC140" s="4"/>
      <c r="ED140" s="4"/>
      <c r="EE140" s="4"/>
      <c r="EF140" s="4"/>
      <c r="EG140" s="4"/>
      <c r="EH140" s="4"/>
      <c r="EI140" s="5">
        <v>39855</v>
      </c>
    </row>
    <row r="141" spans="1:139" hidden="1" x14ac:dyDescent="0.2">
      <c r="A141">
        <f>VLOOKUP(B141,Sheet1!$A$1:$B$18,2,FALSE)</f>
        <v>0</v>
      </c>
      <c r="B141" t="str">
        <f t="shared" si="2"/>
        <v>AKL</v>
      </c>
      <c r="C141" s="2">
        <v>140</v>
      </c>
      <c r="D141" s="3" t="str">
        <f>HYPERLINK("https://sitebase.nzcomms.co.nz/spm/spmnominalview/AKL-006-004/","AKL-006-004")</f>
        <v>AKL-006-004</v>
      </c>
      <c r="E141" s="4"/>
      <c r="F141" s="3" t="str">
        <f>HYPERLINK("https://sitebase.nzcomms.co.nz/spm/spmcandidateview/AKL-006-004-C/","AKL-006-004-C")</f>
        <v>AKL-006-004-C</v>
      </c>
      <c r="G141" s="4" t="s">
        <v>607</v>
      </c>
      <c r="H141" s="4" t="s">
        <v>600</v>
      </c>
      <c r="I141" s="4"/>
      <c r="J141" s="4" t="s">
        <v>139</v>
      </c>
      <c r="K141" s="4" t="s">
        <v>141</v>
      </c>
      <c r="L141" s="4" t="s">
        <v>150</v>
      </c>
      <c r="M141" s="4" t="s">
        <v>354</v>
      </c>
      <c r="N141" s="4" t="s">
        <v>156</v>
      </c>
      <c r="O141" s="4" t="s">
        <v>144</v>
      </c>
      <c r="P141" s="4"/>
      <c r="Q141" s="4"/>
      <c r="R141" s="4">
        <v>25</v>
      </c>
      <c r="S141" s="4">
        <v>25</v>
      </c>
      <c r="T141" s="4"/>
      <c r="U141" s="4">
        <v>-36.868610529999998</v>
      </c>
      <c r="V141" s="4">
        <v>174.61545279000001</v>
      </c>
      <c r="W141" s="4"/>
      <c r="X141" s="4"/>
      <c r="Y141" s="4"/>
      <c r="Z141" s="4"/>
      <c r="AA141" s="4" t="s">
        <v>152</v>
      </c>
      <c r="AB141" s="3" t="str">
        <f>HYPERLINK("https://sitebase.nzcomms.co.nz/spm/spmcandidateview/AKL-007-106-A/","AKL-007-106-A")</f>
        <v>AKL-007-106-A</v>
      </c>
      <c r="AC141" s="4"/>
      <c r="AD141" s="4"/>
      <c r="AE141" s="4"/>
      <c r="AF141" s="4"/>
      <c r="AG141" s="4"/>
      <c r="AH141" s="4"/>
      <c r="AI141" s="4"/>
      <c r="AJ141" s="4"/>
      <c r="AK141" s="4"/>
      <c r="AL141" s="4"/>
      <c r="AM141" s="4"/>
      <c r="AN141" s="5">
        <v>39547</v>
      </c>
      <c r="AO141" s="4">
        <v>1</v>
      </c>
      <c r="AP141" s="4"/>
      <c r="AQ141" s="5">
        <v>39547</v>
      </c>
      <c r="AR141" s="4"/>
      <c r="AS141" s="4"/>
      <c r="AT141" s="5">
        <v>39599</v>
      </c>
      <c r="AU141" s="5">
        <v>39622</v>
      </c>
      <c r="AV141" s="4">
        <v>1</v>
      </c>
      <c r="AW141" s="5">
        <v>39599</v>
      </c>
      <c r="AX141" s="5">
        <v>39622</v>
      </c>
      <c r="AY141" s="4"/>
      <c r="AZ141" s="4"/>
      <c r="BA141" s="4"/>
      <c r="BB141" s="5">
        <v>39782</v>
      </c>
      <c r="BC141" s="4"/>
      <c r="BD141" s="4"/>
      <c r="BE141" s="5">
        <v>39782</v>
      </c>
      <c r="BF141" s="5">
        <v>39707</v>
      </c>
      <c r="BG141" s="4"/>
      <c r="BH141" s="5">
        <v>39687</v>
      </c>
      <c r="BI141" s="4"/>
      <c r="BJ141" s="5">
        <v>39710</v>
      </c>
      <c r="BK141" s="4">
        <v>2</v>
      </c>
      <c r="BL141" s="4">
        <v>1</v>
      </c>
      <c r="BM141" s="5">
        <v>39721</v>
      </c>
      <c r="BN141" s="5">
        <v>39721</v>
      </c>
      <c r="BO141" s="5">
        <v>39805</v>
      </c>
      <c r="BP141" s="4"/>
      <c r="BQ141" s="4"/>
      <c r="BR141" s="4"/>
      <c r="BS141" s="4"/>
      <c r="BT141" s="4"/>
      <c r="BU141" s="5">
        <v>39734</v>
      </c>
      <c r="BV141" s="5">
        <v>39840</v>
      </c>
      <c r="BW141" s="5">
        <v>39840</v>
      </c>
      <c r="BX141" s="4"/>
      <c r="BY141" s="5">
        <v>39839</v>
      </c>
      <c r="BZ141" s="5">
        <v>39840</v>
      </c>
      <c r="CA141" s="4"/>
      <c r="CB141" s="4"/>
      <c r="CC141" s="4"/>
      <c r="CD141" s="4"/>
      <c r="CE141" s="4"/>
      <c r="CF141" s="4"/>
      <c r="CG141" s="4"/>
      <c r="CH141" s="4"/>
      <c r="CI141" s="5">
        <v>39899</v>
      </c>
      <c r="CJ141" s="5">
        <v>39913</v>
      </c>
      <c r="CK141" s="5">
        <v>39899</v>
      </c>
      <c r="CL141" s="4"/>
      <c r="CM141" s="4"/>
      <c r="CN141" s="4"/>
      <c r="CO141" s="4"/>
      <c r="CP141" s="4" t="s">
        <v>157</v>
      </c>
      <c r="CQ141" s="4"/>
      <c r="CR141" s="5">
        <v>39913</v>
      </c>
      <c r="CS141" s="4"/>
      <c r="CT141" s="4"/>
      <c r="CU141" s="4"/>
      <c r="CV141" s="4"/>
      <c r="CW141" s="5">
        <v>39804</v>
      </c>
      <c r="CX141" s="5">
        <v>39805</v>
      </c>
      <c r="CY141" s="4"/>
      <c r="CZ141" s="4"/>
      <c r="DA141" s="4"/>
      <c r="DB141" s="4"/>
      <c r="DC141" s="4"/>
      <c r="DD141" s="4"/>
      <c r="DE141" s="4"/>
      <c r="DF141" s="4"/>
      <c r="DG141" s="4"/>
      <c r="DH141" s="4"/>
      <c r="DI141" s="4"/>
      <c r="DJ141" s="4" t="b">
        <v>0</v>
      </c>
      <c r="DK141" s="4"/>
      <c r="DL141" s="4">
        <v>2654419</v>
      </c>
      <c r="DM141" s="4">
        <v>6480209</v>
      </c>
      <c r="DN141" s="4" t="s">
        <v>608</v>
      </c>
      <c r="DO141" s="4"/>
      <c r="DP141" s="4"/>
      <c r="DQ141" s="4" t="s">
        <v>148</v>
      </c>
      <c r="DR141" s="4"/>
      <c r="DS141" s="4"/>
      <c r="DT141" s="5">
        <v>41887</v>
      </c>
      <c r="DU141" s="4"/>
      <c r="DV141" s="4"/>
      <c r="DW141" s="4"/>
      <c r="DX141" s="4"/>
      <c r="DY141" s="4"/>
      <c r="DZ141" s="5">
        <v>39716</v>
      </c>
      <c r="EA141" s="4"/>
      <c r="EB141" s="4"/>
      <c r="EC141" s="4"/>
      <c r="ED141" s="4"/>
      <c r="EE141" s="4"/>
      <c r="EF141" s="4"/>
      <c r="EG141" s="4"/>
      <c r="EH141" s="4"/>
      <c r="EI141" s="5">
        <v>39505</v>
      </c>
    </row>
    <row r="142" spans="1:139" hidden="1" x14ac:dyDescent="0.2">
      <c r="A142">
        <f>VLOOKUP(B142,Sheet1!$A$1:$B$18,2,FALSE)</f>
        <v>0</v>
      </c>
      <c r="B142" t="str">
        <f t="shared" si="2"/>
        <v>AKL</v>
      </c>
      <c r="C142" s="2">
        <v>141</v>
      </c>
      <c r="D142" s="3" t="str">
        <f>HYPERLINK("https://sitebase.nzcomms.co.nz/spm/spmnominalview/AKL-006-005/","AKL-006-005")</f>
        <v>AKL-006-005</v>
      </c>
      <c r="E142" s="4"/>
      <c r="F142" s="3" t="str">
        <f>HYPERLINK("https://sitebase.nzcomms.co.nz/spm/spmcandidateview/AKL-006-005-E/","AKL-006-005-E")</f>
        <v>AKL-006-005-E</v>
      </c>
      <c r="G142" s="4" t="s">
        <v>609</v>
      </c>
      <c r="H142" s="4" t="s">
        <v>600</v>
      </c>
      <c r="I142" s="4"/>
      <c r="J142" s="4" t="s">
        <v>139</v>
      </c>
      <c r="K142" s="4" t="s">
        <v>141</v>
      </c>
      <c r="L142" s="4" t="s">
        <v>189</v>
      </c>
      <c r="M142" s="4" t="s">
        <v>463</v>
      </c>
      <c r="N142" s="4" t="s">
        <v>274</v>
      </c>
      <c r="O142" s="4" t="s">
        <v>356</v>
      </c>
      <c r="P142" s="4"/>
      <c r="Q142" s="4"/>
      <c r="R142" s="4">
        <v>14.4</v>
      </c>
      <c r="S142" s="4">
        <v>14.4</v>
      </c>
      <c r="T142" s="4"/>
      <c r="U142" s="4">
        <v>-36.859580559999998</v>
      </c>
      <c r="V142" s="4">
        <v>174.62957413999999</v>
      </c>
      <c r="W142" s="4"/>
      <c r="X142" s="4"/>
      <c r="Y142" s="4"/>
      <c r="Z142" s="4"/>
      <c r="AA142" s="4" t="s">
        <v>152</v>
      </c>
      <c r="AB142" s="3" t="str">
        <f>HYPERLINK("https://sitebase.nzcomms.co.nz/spm/spmcandidateview/AKL-007-106-A/","AKL-007-106-A")</f>
        <v>AKL-007-106-A</v>
      </c>
      <c r="AC142" s="4"/>
      <c r="AD142" s="4"/>
      <c r="AE142" s="4"/>
      <c r="AF142" s="4"/>
      <c r="AG142" s="4"/>
      <c r="AH142" s="4"/>
      <c r="AI142" s="4"/>
      <c r="AJ142" s="4"/>
      <c r="AK142" s="4"/>
      <c r="AL142" s="4"/>
      <c r="AM142" s="4"/>
      <c r="AN142" s="5">
        <v>39877</v>
      </c>
      <c r="AO142" s="4">
        <v>1</v>
      </c>
      <c r="AP142" s="5">
        <v>39888</v>
      </c>
      <c r="AQ142" s="5">
        <v>39877</v>
      </c>
      <c r="AR142" s="4"/>
      <c r="AS142" s="4"/>
      <c r="AT142" s="5">
        <v>39918</v>
      </c>
      <c r="AU142" s="5">
        <v>39899</v>
      </c>
      <c r="AV142" s="4"/>
      <c r="AW142" s="5">
        <v>39918</v>
      </c>
      <c r="AX142" s="5">
        <v>39903</v>
      </c>
      <c r="AY142" s="4"/>
      <c r="AZ142" s="5">
        <v>39895</v>
      </c>
      <c r="BA142" s="4"/>
      <c r="BB142" s="5">
        <v>39895</v>
      </c>
      <c r="BC142" s="4"/>
      <c r="BD142" s="4"/>
      <c r="BE142" s="5">
        <v>39895</v>
      </c>
      <c r="BF142" s="5">
        <v>39896</v>
      </c>
      <c r="BG142" s="5">
        <v>39895</v>
      </c>
      <c r="BH142" s="5">
        <v>39890</v>
      </c>
      <c r="BI142" s="4"/>
      <c r="BJ142" s="5">
        <v>39909</v>
      </c>
      <c r="BK142" s="4">
        <v>1</v>
      </c>
      <c r="BL142" s="4">
        <v>1</v>
      </c>
      <c r="BM142" s="5">
        <v>39909</v>
      </c>
      <c r="BN142" s="5">
        <v>39909</v>
      </c>
      <c r="BO142" s="5">
        <v>39946</v>
      </c>
      <c r="BP142" s="4"/>
      <c r="BQ142" s="4"/>
      <c r="BR142" s="4"/>
      <c r="BS142" s="4"/>
      <c r="BT142" s="5">
        <v>39947</v>
      </c>
      <c r="BU142" s="5">
        <v>39947</v>
      </c>
      <c r="BV142" s="5">
        <v>39955</v>
      </c>
      <c r="BW142" s="5">
        <v>39955</v>
      </c>
      <c r="BX142" s="4"/>
      <c r="BY142" s="5">
        <v>39963</v>
      </c>
      <c r="BZ142" s="5">
        <v>39966</v>
      </c>
      <c r="CA142" s="4"/>
      <c r="CB142" s="4"/>
      <c r="CC142" s="4"/>
      <c r="CD142" s="4"/>
      <c r="CE142" s="4"/>
      <c r="CF142" s="4"/>
      <c r="CG142" s="4"/>
      <c r="CH142" s="4"/>
      <c r="CI142" s="5">
        <v>39990</v>
      </c>
      <c r="CJ142" s="5">
        <v>39990</v>
      </c>
      <c r="CK142" s="5">
        <v>39990</v>
      </c>
      <c r="CL142" s="4"/>
      <c r="CM142" s="4"/>
      <c r="CN142" s="4"/>
      <c r="CO142" s="4"/>
      <c r="CP142" s="4" t="s">
        <v>157</v>
      </c>
      <c r="CQ142" s="4"/>
      <c r="CR142" s="5">
        <v>39990</v>
      </c>
      <c r="CS142" s="4"/>
      <c r="CT142" s="4"/>
      <c r="CU142" s="4"/>
      <c r="CV142" s="4"/>
      <c r="CW142" s="5">
        <v>39944</v>
      </c>
      <c r="CX142" s="5">
        <v>39946</v>
      </c>
      <c r="CY142" s="4"/>
      <c r="CZ142" s="4"/>
      <c r="DA142" s="4"/>
      <c r="DB142" s="4"/>
      <c r="DC142" s="4"/>
      <c r="DD142" s="4"/>
      <c r="DE142" s="4"/>
      <c r="DF142" s="4"/>
      <c r="DG142" s="4"/>
      <c r="DH142" s="4"/>
      <c r="DI142" s="4"/>
      <c r="DJ142" s="4" t="b">
        <v>0</v>
      </c>
      <c r="DK142" s="4"/>
      <c r="DL142" s="4">
        <v>2655697</v>
      </c>
      <c r="DM142" s="4">
        <v>6481187</v>
      </c>
      <c r="DN142" s="4" t="s">
        <v>610</v>
      </c>
      <c r="DO142" s="4"/>
      <c r="DP142" s="4"/>
      <c r="DQ142" s="4" t="s">
        <v>148</v>
      </c>
      <c r="DR142" s="4"/>
      <c r="DS142" s="4"/>
      <c r="DT142" s="5">
        <v>41887</v>
      </c>
      <c r="DU142" s="4"/>
      <c r="DV142" s="4"/>
      <c r="DW142" s="4"/>
      <c r="DX142" s="4"/>
      <c r="DY142" s="5">
        <v>39947</v>
      </c>
      <c r="DZ142" s="5">
        <v>39947</v>
      </c>
      <c r="EA142" s="4"/>
      <c r="EB142" s="4"/>
      <c r="EC142" s="4"/>
      <c r="ED142" s="4"/>
      <c r="EE142" s="4"/>
      <c r="EF142" s="4"/>
      <c r="EG142" s="4"/>
      <c r="EH142" s="4"/>
      <c r="EI142" s="5">
        <v>39861</v>
      </c>
    </row>
    <row r="143" spans="1:139" hidden="1" x14ac:dyDescent="0.2">
      <c r="A143">
        <f>VLOOKUP(B143,Sheet1!$A$1:$B$18,2,FALSE)</f>
        <v>0</v>
      </c>
      <c r="B143" t="str">
        <f t="shared" si="2"/>
        <v>AKL</v>
      </c>
      <c r="C143" s="2">
        <v>142</v>
      </c>
      <c r="D143" s="3" t="str">
        <f>HYPERLINK("https://sitebase.nzcomms.co.nz/spm/spmnominalview/AKL-006-006/","AKL-006-006")</f>
        <v>AKL-006-006</v>
      </c>
      <c r="E143" s="4"/>
      <c r="F143" s="3" t="str">
        <f>HYPERLINK("https://sitebase.nzcomms.co.nz/spm/spmcandidateview/AKL-006-006-D/","AKL-006-006-D")</f>
        <v>AKL-006-006-D</v>
      </c>
      <c r="G143" s="4" t="s">
        <v>611</v>
      </c>
      <c r="H143" s="4" t="s">
        <v>600</v>
      </c>
      <c r="I143" s="4"/>
      <c r="J143" s="4" t="s">
        <v>139</v>
      </c>
      <c r="K143" s="4" t="s">
        <v>141</v>
      </c>
      <c r="L143" s="4" t="s">
        <v>189</v>
      </c>
      <c r="M143" s="4" t="s">
        <v>354</v>
      </c>
      <c r="N143" s="4" t="s">
        <v>612</v>
      </c>
      <c r="O143" s="4" t="s">
        <v>356</v>
      </c>
      <c r="P143" s="4"/>
      <c r="Q143" s="4"/>
      <c r="R143" s="4"/>
      <c r="S143" s="4"/>
      <c r="T143" s="4"/>
      <c r="U143" s="4">
        <v>-36.858212170000002</v>
      </c>
      <c r="V143" s="4">
        <v>174.65226491999999</v>
      </c>
      <c r="W143" s="4"/>
      <c r="X143" s="4"/>
      <c r="Y143" s="4"/>
      <c r="Z143" s="4"/>
      <c r="AA143" s="4" t="s">
        <v>171</v>
      </c>
      <c r="AB143" s="3" t="str">
        <f>HYPERLINK("https://sitebase.nzcomms.co.nz/spm/spmcandidateview/AKL-006-007-B/","AKL-006-007-B")</f>
        <v>AKL-006-007-B</v>
      </c>
      <c r="AC143" s="4"/>
      <c r="AD143" s="4"/>
      <c r="AE143" s="4"/>
      <c r="AF143" s="4"/>
      <c r="AG143" s="4"/>
      <c r="AH143" s="4" t="s">
        <v>365</v>
      </c>
      <c r="AI143" s="4"/>
      <c r="AJ143" s="4"/>
      <c r="AK143" s="4"/>
      <c r="AL143" s="4"/>
      <c r="AM143" s="4"/>
      <c r="AN143" s="5">
        <v>39549</v>
      </c>
      <c r="AO143" s="4">
        <v>2</v>
      </c>
      <c r="AP143" s="5">
        <v>39735</v>
      </c>
      <c r="AQ143" s="5">
        <v>39735</v>
      </c>
      <c r="AR143" s="4"/>
      <c r="AS143" s="4"/>
      <c r="AT143" s="5">
        <v>39871</v>
      </c>
      <c r="AU143" s="5">
        <v>39855</v>
      </c>
      <c r="AV143" s="4">
        <v>2</v>
      </c>
      <c r="AW143" s="5">
        <v>39892</v>
      </c>
      <c r="AX143" s="5">
        <v>39892</v>
      </c>
      <c r="AY143" s="4"/>
      <c r="AZ143" s="4"/>
      <c r="BA143" s="4"/>
      <c r="BB143" s="5">
        <v>39933</v>
      </c>
      <c r="BC143" s="4"/>
      <c r="BD143" s="4"/>
      <c r="BE143" s="5">
        <v>39933</v>
      </c>
      <c r="BF143" s="5">
        <v>39934</v>
      </c>
      <c r="BG143" s="5">
        <v>39720</v>
      </c>
      <c r="BH143" s="5">
        <v>39687</v>
      </c>
      <c r="BI143" s="4"/>
      <c r="BJ143" s="5">
        <v>39750</v>
      </c>
      <c r="BK143" s="4">
        <v>1</v>
      </c>
      <c r="BL143" s="4">
        <v>1</v>
      </c>
      <c r="BM143" s="5">
        <v>39750</v>
      </c>
      <c r="BN143" s="5">
        <v>39750</v>
      </c>
      <c r="BO143" s="5">
        <v>39937</v>
      </c>
      <c r="BP143" s="4"/>
      <c r="BQ143" s="4"/>
      <c r="BR143" s="4"/>
      <c r="BS143" s="4"/>
      <c r="BT143" s="5">
        <v>39944</v>
      </c>
      <c r="BU143" s="5">
        <v>39944</v>
      </c>
      <c r="BV143" s="5">
        <v>39983</v>
      </c>
      <c r="BW143" s="5">
        <v>39983</v>
      </c>
      <c r="BX143" s="4"/>
      <c r="BY143" s="5">
        <v>39988</v>
      </c>
      <c r="BZ143" s="5">
        <v>39988</v>
      </c>
      <c r="CA143" s="4"/>
      <c r="CB143" s="4"/>
      <c r="CC143" s="4"/>
      <c r="CD143" s="4"/>
      <c r="CE143" s="4"/>
      <c r="CF143" s="4"/>
      <c r="CG143" s="4"/>
      <c r="CH143" s="4"/>
      <c r="CI143" s="5">
        <v>39988</v>
      </c>
      <c r="CJ143" s="5">
        <v>39988</v>
      </c>
      <c r="CK143" s="5">
        <v>39988</v>
      </c>
      <c r="CL143" s="4"/>
      <c r="CM143" s="4"/>
      <c r="CN143" s="4"/>
      <c r="CO143" s="4"/>
      <c r="CP143" s="4" t="s">
        <v>613</v>
      </c>
      <c r="CQ143" s="4"/>
      <c r="CR143" s="5">
        <v>39990</v>
      </c>
      <c r="CS143" s="4"/>
      <c r="CT143" s="4"/>
      <c r="CU143" s="4"/>
      <c r="CV143" s="4"/>
      <c r="CW143" s="5">
        <v>39941</v>
      </c>
      <c r="CX143" s="5">
        <v>39937</v>
      </c>
      <c r="CY143" s="4"/>
      <c r="CZ143" s="4"/>
      <c r="DA143" s="4"/>
      <c r="DB143" s="4"/>
      <c r="DC143" s="4"/>
      <c r="DD143" s="4"/>
      <c r="DE143" s="4"/>
      <c r="DF143" s="4"/>
      <c r="DG143" s="4"/>
      <c r="DH143" s="4"/>
      <c r="DI143" s="4"/>
      <c r="DJ143" s="4" t="b">
        <v>0</v>
      </c>
      <c r="DK143" s="4"/>
      <c r="DL143" s="4">
        <v>2657723</v>
      </c>
      <c r="DM143" s="4">
        <v>6481300</v>
      </c>
      <c r="DN143" s="4" t="s">
        <v>614</v>
      </c>
      <c r="DO143" s="4"/>
      <c r="DP143" s="4"/>
      <c r="DQ143" s="4" t="s">
        <v>148</v>
      </c>
      <c r="DR143" s="4"/>
      <c r="DS143" s="4"/>
      <c r="DT143" s="5">
        <v>41887</v>
      </c>
      <c r="DU143" s="4"/>
      <c r="DV143" s="4"/>
      <c r="DW143" s="4"/>
      <c r="DX143" s="4"/>
      <c r="DY143" s="5">
        <v>39944</v>
      </c>
      <c r="DZ143" s="5">
        <v>39944</v>
      </c>
      <c r="EA143" s="4"/>
      <c r="EB143" s="4"/>
      <c r="EC143" s="4"/>
      <c r="ED143" s="4"/>
      <c r="EE143" s="4"/>
      <c r="EF143" s="4"/>
      <c r="EG143" s="4"/>
      <c r="EH143" s="4"/>
      <c r="EI143" s="5">
        <v>39482</v>
      </c>
    </row>
    <row r="144" spans="1:139" hidden="1" x14ac:dyDescent="0.2">
      <c r="A144">
        <f>VLOOKUP(B144,Sheet1!$A$1:$B$18,2,FALSE)</f>
        <v>0</v>
      </c>
      <c r="B144" t="str">
        <f t="shared" si="2"/>
        <v>AKL</v>
      </c>
      <c r="C144" s="2">
        <v>143</v>
      </c>
      <c r="D144" s="3" t="str">
        <f>HYPERLINK("https://sitebase.nzcomms.co.nz/spm/spmnominalview/AKL-006-007/","AKL-006-007")</f>
        <v>AKL-006-007</v>
      </c>
      <c r="E144" s="4"/>
      <c r="F144" s="3" t="str">
        <f>HYPERLINK("https://sitebase.nzcomms.co.nz/spm/spmcandidateview/AKL-006-007-B/","AKL-006-007-B")</f>
        <v>AKL-006-007-B</v>
      </c>
      <c r="G144" s="4" t="s">
        <v>615</v>
      </c>
      <c r="H144" s="4" t="s">
        <v>600</v>
      </c>
      <c r="I144" s="4"/>
      <c r="J144" s="4" t="s">
        <v>139</v>
      </c>
      <c r="K144" s="4" t="s">
        <v>141</v>
      </c>
      <c r="L144" s="4" t="s">
        <v>150</v>
      </c>
      <c r="M144" s="4" t="s">
        <v>354</v>
      </c>
      <c r="N144" s="4" t="s">
        <v>156</v>
      </c>
      <c r="O144" s="4" t="s">
        <v>144</v>
      </c>
      <c r="P144" s="4"/>
      <c r="Q144" s="4"/>
      <c r="R144" s="4">
        <v>35</v>
      </c>
      <c r="S144" s="4">
        <v>35</v>
      </c>
      <c r="T144" s="4"/>
      <c r="U144" s="4">
        <v>-36.851451760000003</v>
      </c>
      <c r="V144" s="4">
        <v>174.63598673000001</v>
      </c>
      <c r="W144" s="4"/>
      <c r="X144" s="4"/>
      <c r="Y144" s="4"/>
      <c r="Z144" s="4"/>
      <c r="AA144" s="4" t="s">
        <v>171</v>
      </c>
      <c r="AB144" s="3" t="str">
        <f>HYPERLINK("https://sitebase.nzcomms.co.nz/spm/spmcandidateview/AKL-007-112-A/","AKL-007-112-A")</f>
        <v>AKL-007-112-A</v>
      </c>
      <c r="AC144" s="4"/>
      <c r="AD144" s="4"/>
      <c r="AE144" s="4"/>
      <c r="AF144" s="4"/>
      <c r="AG144" s="4"/>
      <c r="AH144" s="4" t="s">
        <v>365</v>
      </c>
      <c r="AI144" s="4"/>
      <c r="AJ144" s="4"/>
      <c r="AK144" s="4"/>
      <c r="AL144" s="4"/>
      <c r="AM144" s="4"/>
      <c r="AN144" s="5">
        <v>39353</v>
      </c>
      <c r="AO144" s="4">
        <v>12</v>
      </c>
      <c r="AP144" s="4"/>
      <c r="AQ144" s="5">
        <v>40934</v>
      </c>
      <c r="AR144" s="4"/>
      <c r="AS144" s="4"/>
      <c r="AT144" s="5">
        <v>39546</v>
      </c>
      <c r="AU144" s="5">
        <v>39546</v>
      </c>
      <c r="AV144" s="4">
        <v>2</v>
      </c>
      <c r="AW144" s="5">
        <v>39546</v>
      </c>
      <c r="AX144" s="5">
        <v>39546</v>
      </c>
      <c r="AY144" s="4" t="s">
        <v>183</v>
      </c>
      <c r="AZ144" s="4"/>
      <c r="BA144" s="5">
        <v>40809</v>
      </c>
      <c r="BB144" s="5">
        <v>39721</v>
      </c>
      <c r="BC144" s="5">
        <v>40823</v>
      </c>
      <c r="BD144" s="4">
        <v>10</v>
      </c>
      <c r="BE144" s="5">
        <v>39752</v>
      </c>
      <c r="BF144" s="5">
        <v>39721</v>
      </c>
      <c r="BG144" s="4"/>
      <c r="BH144" s="5">
        <v>39504</v>
      </c>
      <c r="BI144" s="4"/>
      <c r="BJ144" s="5">
        <v>39773</v>
      </c>
      <c r="BK144" s="4">
        <v>5</v>
      </c>
      <c r="BL144" s="4"/>
      <c r="BM144" s="5">
        <v>39773</v>
      </c>
      <c r="BN144" s="5">
        <v>40834</v>
      </c>
      <c r="BO144" s="5">
        <v>39878</v>
      </c>
      <c r="BP144" s="4"/>
      <c r="BQ144" s="4"/>
      <c r="BR144" s="4"/>
      <c r="BS144" s="4"/>
      <c r="BT144" s="4"/>
      <c r="BU144" s="5">
        <v>39839</v>
      </c>
      <c r="BV144" s="5">
        <v>39892</v>
      </c>
      <c r="BW144" s="5">
        <v>39885</v>
      </c>
      <c r="BX144" s="4"/>
      <c r="BY144" s="5">
        <v>39920</v>
      </c>
      <c r="BZ144" s="5">
        <v>39920</v>
      </c>
      <c r="CA144" s="4"/>
      <c r="CB144" s="4"/>
      <c r="CC144" s="4"/>
      <c r="CD144" s="4"/>
      <c r="CE144" s="4"/>
      <c r="CF144" s="4"/>
      <c r="CG144" s="4"/>
      <c r="CH144" s="4"/>
      <c r="CI144" s="5">
        <v>39920</v>
      </c>
      <c r="CJ144" s="5">
        <v>39920</v>
      </c>
      <c r="CK144" s="5">
        <v>39920</v>
      </c>
      <c r="CL144" s="4"/>
      <c r="CM144" s="4"/>
      <c r="CN144" s="4"/>
      <c r="CO144" s="4"/>
      <c r="CP144" s="4" t="s">
        <v>616</v>
      </c>
      <c r="CQ144" s="4"/>
      <c r="CR144" s="5">
        <v>39920</v>
      </c>
      <c r="CS144" s="4"/>
      <c r="CT144" s="4"/>
      <c r="CU144" s="4"/>
      <c r="CV144" s="4"/>
      <c r="CW144" s="5">
        <v>39874</v>
      </c>
      <c r="CX144" s="5">
        <v>39878</v>
      </c>
      <c r="CY144" s="4"/>
      <c r="CZ144" s="4"/>
      <c r="DA144" s="4"/>
      <c r="DB144" s="4"/>
      <c r="DC144" s="4"/>
      <c r="DD144" s="4"/>
      <c r="DE144" s="4"/>
      <c r="DF144" s="4"/>
      <c r="DG144" s="4"/>
      <c r="DH144" s="4"/>
      <c r="DI144" s="4"/>
      <c r="DJ144" s="4" t="b">
        <v>0</v>
      </c>
      <c r="DK144" s="4"/>
      <c r="DL144" s="4">
        <v>2656286</v>
      </c>
      <c r="DM144" s="4">
        <v>6482078</v>
      </c>
      <c r="DN144" s="4" t="s">
        <v>617</v>
      </c>
      <c r="DO144" s="4"/>
      <c r="DP144" s="4" t="s">
        <v>618</v>
      </c>
      <c r="DQ144" s="4" t="s">
        <v>148</v>
      </c>
      <c r="DR144" s="4"/>
      <c r="DS144" s="4"/>
      <c r="DT144" s="5">
        <v>41887</v>
      </c>
      <c r="DU144" s="4"/>
      <c r="DV144" s="4"/>
      <c r="DW144" s="4"/>
      <c r="DX144" s="4"/>
      <c r="DY144" s="4"/>
      <c r="DZ144" s="5">
        <v>39787</v>
      </c>
      <c r="EA144" s="4"/>
      <c r="EB144" s="4"/>
      <c r="EC144" s="4"/>
      <c r="ED144" s="4"/>
      <c r="EE144" s="4"/>
      <c r="EF144" s="4"/>
      <c r="EG144" s="4"/>
      <c r="EH144" s="4"/>
      <c r="EI144" s="5">
        <v>39356</v>
      </c>
    </row>
    <row r="145" spans="1:139" hidden="1" x14ac:dyDescent="0.2">
      <c r="A145">
        <f>VLOOKUP(B145,Sheet1!$A$1:$B$18,2,FALSE)</f>
        <v>0</v>
      </c>
      <c r="B145" t="str">
        <f t="shared" si="2"/>
        <v>AKL</v>
      </c>
      <c r="C145" s="2">
        <v>144</v>
      </c>
      <c r="D145" s="3" t="str">
        <f>HYPERLINK("https://sitebase.nzcomms.co.nz/spm/spmnominalview/AKL-006-008/","AKL-006-008")</f>
        <v>AKL-006-008</v>
      </c>
      <c r="E145" s="4"/>
      <c r="F145" s="3" t="str">
        <f>HYPERLINK("https://sitebase.nzcomms.co.nz/spm/spmcandidateview/AKL-006-008-C/","AKL-006-008-C")</f>
        <v>AKL-006-008-C</v>
      </c>
      <c r="G145" s="4" t="s">
        <v>619</v>
      </c>
      <c r="H145" s="4" t="s">
        <v>600</v>
      </c>
      <c r="I145" s="4"/>
      <c r="J145" s="4" t="s">
        <v>139</v>
      </c>
      <c r="K145" s="4" t="s">
        <v>141</v>
      </c>
      <c r="L145" s="4" t="s">
        <v>150</v>
      </c>
      <c r="M145" s="4" t="s">
        <v>354</v>
      </c>
      <c r="N145" s="4" t="s">
        <v>620</v>
      </c>
      <c r="O145" s="4" t="s">
        <v>144</v>
      </c>
      <c r="P145" s="4"/>
      <c r="Q145" s="4"/>
      <c r="R145" s="4">
        <v>20</v>
      </c>
      <c r="S145" s="4">
        <v>20</v>
      </c>
      <c r="T145" s="4"/>
      <c r="U145" s="4">
        <v>-36.831004589999999</v>
      </c>
      <c r="V145" s="4">
        <v>174.64748524999999</v>
      </c>
      <c r="W145" s="4"/>
      <c r="X145" s="4"/>
      <c r="Y145" s="4"/>
      <c r="Z145" s="4"/>
      <c r="AA145" s="4" t="s">
        <v>171</v>
      </c>
      <c r="AB145" s="3" t="str">
        <f>HYPERLINK("https://sitebase.nzcomms.co.nz/spm/spmcandidateview/AKL-007-008-A/","AKL-007-008-A")</f>
        <v>AKL-007-008-A</v>
      </c>
      <c r="AC145" s="4"/>
      <c r="AD145" s="4"/>
      <c r="AE145" s="4"/>
      <c r="AF145" s="4"/>
      <c r="AG145" s="4"/>
      <c r="AH145" s="4"/>
      <c r="AI145" s="4"/>
      <c r="AJ145" s="4"/>
      <c r="AK145" s="4"/>
      <c r="AL145" s="4"/>
      <c r="AM145" s="4"/>
      <c r="AN145" s="5">
        <v>39752</v>
      </c>
      <c r="AO145" s="4">
        <v>2</v>
      </c>
      <c r="AP145" s="5">
        <v>39771</v>
      </c>
      <c r="AQ145" s="5">
        <v>39771</v>
      </c>
      <c r="AR145" s="4"/>
      <c r="AS145" s="4"/>
      <c r="AT145" s="5">
        <v>39918</v>
      </c>
      <c r="AU145" s="5">
        <v>39919</v>
      </c>
      <c r="AV145" s="4">
        <v>2</v>
      </c>
      <c r="AW145" s="5">
        <v>39918</v>
      </c>
      <c r="AX145" s="5">
        <v>39919</v>
      </c>
      <c r="AY145" s="4"/>
      <c r="AZ145" s="4"/>
      <c r="BA145" s="4"/>
      <c r="BB145" s="5">
        <v>39799</v>
      </c>
      <c r="BC145" s="4"/>
      <c r="BD145" s="4"/>
      <c r="BE145" s="5">
        <v>39842</v>
      </c>
      <c r="BF145" s="5">
        <v>39799</v>
      </c>
      <c r="BG145" s="5">
        <v>39927</v>
      </c>
      <c r="BH145" s="5">
        <v>39944</v>
      </c>
      <c r="BI145" s="4"/>
      <c r="BJ145" s="5">
        <v>39974</v>
      </c>
      <c r="BK145" s="4">
        <v>1</v>
      </c>
      <c r="BL145" s="4">
        <v>2</v>
      </c>
      <c r="BM145" s="5">
        <v>39974</v>
      </c>
      <c r="BN145" s="5">
        <v>39974</v>
      </c>
      <c r="BO145" s="5">
        <v>39843</v>
      </c>
      <c r="BP145" s="4"/>
      <c r="BQ145" s="4"/>
      <c r="BR145" s="4"/>
      <c r="BS145" s="4"/>
      <c r="BT145" s="5">
        <v>39975</v>
      </c>
      <c r="BU145" s="5">
        <v>39975</v>
      </c>
      <c r="BV145" s="5">
        <v>40014</v>
      </c>
      <c r="BW145" s="5">
        <v>40008</v>
      </c>
      <c r="BX145" s="4"/>
      <c r="BY145" s="5">
        <v>40014</v>
      </c>
      <c r="BZ145" s="5">
        <v>40008</v>
      </c>
      <c r="CA145" s="4"/>
      <c r="CB145" s="4"/>
      <c r="CC145" s="4"/>
      <c r="CD145" s="4"/>
      <c r="CE145" s="4"/>
      <c r="CF145" s="4"/>
      <c r="CG145" s="4"/>
      <c r="CH145" s="4"/>
      <c r="CI145" s="5">
        <v>40016</v>
      </c>
      <c r="CJ145" s="5">
        <v>40018</v>
      </c>
      <c r="CK145" s="5">
        <v>40016</v>
      </c>
      <c r="CL145" s="4"/>
      <c r="CM145" s="4"/>
      <c r="CN145" s="4"/>
      <c r="CO145" s="4"/>
      <c r="CP145" s="4" t="s">
        <v>157</v>
      </c>
      <c r="CQ145" s="4"/>
      <c r="CR145" s="5">
        <v>40018</v>
      </c>
      <c r="CS145" s="4"/>
      <c r="CT145" s="4"/>
      <c r="CU145" s="4"/>
      <c r="CV145" s="4"/>
      <c r="CW145" s="5">
        <v>39885</v>
      </c>
      <c r="CX145" s="5">
        <v>39843</v>
      </c>
      <c r="CY145" s="4"/>
      <c r="CZ145" s="4"/>
      <c r="DA145" s="4"/>
      <c r="DB145" s="4"/>
      <c r="DC145" s="4"/>
      <c r="DD145" s="4"/>
      <c r="DE145" s="4"/>
      <c r="DF145" s="4"/>
      <c r="DG145" s="4"/>
      <c r="DH145" s="4"/>
      <c r="DI145" s="4"/>
      <c r="DJ145" s="4" t="b">
        <v>0</v>
      </c>
      <c r="DK145" s="4"/>
      <c r="DL145" s="4">
        <v>2657355</v>
      </c>
      <c r="DM145" s="4">
        <v>6484327</v>
      </c>
      <c r="DN145" s="4" t="s">
        <v>621</v>
      </c>
      <c r="DO145" s="4"/>
      <c r="DP145" s="4"/>
      <c r="DQ145" s="4" t="s">
        <v>148</v>
      </c>
      <c r="DR145" s="4"/>
      <c r="DS145" s="4"/>
      <c r="DT145" s="5">
        <v>41887</v>
      </c>
      <c r="DU145" s="4"/>
      <c r="DV145" s="4"/>
      <c r="DW145" s="4"/>
      <c r="DX145" s="4"/>
      <c r="DY145" s="5">
        <v>39975</v>
      </c>
      <c r="DZ145" s="5">
        <v>39975</v>
      </c>
      <c r="EA145" s="4"/>
      <c r="EB145" s="4"/>
      <c r="EC145" s="4"/>
      <c r="ED145" s="4"/>
      <c r="EE145" s="4"/>
      <c r="EF145" s="4"/>
      <c r="EG145" s="4"/>
      <c r="EH145" s="4"/>
      <c r="EI145" s="5">
        <v>39729</v>
      </c>
    </row>
    <row r="146" spans="1:139" hidden="1" x14ac:dyDescent="0.2">
      <c r="A146">
        <f>VLOOKUP(B146,Sheet1!$A$1:$B$18,2,FALSE)</f>
        <v>0</v>
      </c>
      <c r="B146" t="str">
        <f t="shared" si="2"/>
        <v>AKL</v>
      </c>
      <c r="C146" s="2">
        <v>145</v>
      </c>
      <c r="D146" s="3" t="str">
        <f>HYPERLINK("https://sitebase.nzcomms.co.nz/spm/spmnominalview/AKL-006-009/","AKL-006-009")</f>
        <v>AKL-006-009</v>
      </c>
      <c r="E146" s="4"/>
      <c r="F146" s="3" t="str">
        <f>HYPERLINK("https://sitebase.nzcomms.co.nz/spm/spmcandidateview/AKL-006-009-B/","AKL-006-009-B")</f>
        <v>AKL-006-009-B</v>
      </c>
      <c r="G146" s="4" t="s">
        <v>622</v>
      </c>
      <c r="H146" s="4" t="s">
        <v>600</v>
      </c>
      <c r="I146" s="4"/>
      <c r="J146" s="4" t="s">
        <v>139</v>
      </c>
      <c r="K146" s="4" t="s">
        <v>141</v>
      </c>
      <c r="L146" s="4" t="s">
        <v>150</v>
      </c>
      <c r="M146" s="4" t="s">
        <v>354</v>
      </c>
      <c r="N146" s="4" t="s">
        <v>291</v>
      </c>
      <c r="O146" s="4" t="s">
        <v>144</v>
      </c>
      <c r="P146" s="4"/>
      <c r="Q146" s="4"/>
      <c r="R146" s="4"/>
      <c r="S146" s="4">
        <v>17</v>
      </c>
      <c r="T146" s="4"/>
      <c r="U146" s="4">
        <v>-36.841182549999999</v>
      </c>
      <c r="V146" s="4">
        <v>174.61975204000001</v>
      </c>
      <c r="W146" s="4"/>
      <c r="X146" s="4"/>
      <c r="Y146" s="4"/>
      <c r="Z146" s="4"/>
      <c r="AA146" s="4" t="s">
        <v>171</v>
      </c>
      <c r="AB146" s="3" t="str">
        <f>HYPERLINK("https://sitebase.nzcomms.co.nz/spm/spmcandidateview/AKL-007-041-B/","AKL-007-041-B")</f>
        <v>AKL-007-041-B</v>
      </c>
      <c r="AC146" s="4"/>
      <c r="AD146" s="4"/>
      <c r="AE146" s="4"/>
      <c r="AF146" s="4"/>
      <c r="AG146" s="4"/>
      <c r="AH146" s="4"/>
      <c r="AI146" s="4"/>
      <c r="AJ146" s="4"/>
      <c r="AK146" s="4"/>
      <c r="AL146" s="4"/>
      <c r="AM146" s="4"/>
      <c r="AN146" s="5">
        <v>39367</v>
      </c>
      <c r="AO146" s="4">
        <v>4</v>
      </c>
      <c r="AP146" s="4"/>
      <c r="AQ146" s="5">
        <v>41794</v>
      </c>
      <c r="AR146" s="4"/>
      <c r="AS146" s="4"/>
      <c r="AT146" s="5">
        <v>39428</v>
      </c>
      <c r="AU146" s="5">
        <v>39428</v>
      </c>
      <c r="AV146" s="4">
        <v>1</v>
      </c>
      <c r="AW146" s="5">
        <v>40156</v>
      </c>
      <c r="AX146" s="5">
        <v>40116</v>
      </c>
      <c r="AY146" s="4"/>
      <c r="AZ146" s="4"/>
      <c r="BA146" s="4"/>
      <c r="BB146" s="5">
        <v>39568</v>
      </c>
      <c r="BC146" s="4"/>
      <c r="BD146" s="4"/>
      <c r="BE146" s="5">
        <v>39568</v>
      </c>
      <c r="BF146" s="5">
        <v>39568</v>
      </c>
      <c r="BG146" s="4"/>
      <c r="BH146" s="5">
        <v>39373</v>
      </c>
      <c r="BI146" s="4"/>
      <c r="BJ146" s="5">
        <v>39548</v>
      </c>
      <c r="BK146" s="4">
        <v>1</v>
      </c>
      <c r="BL146" s="4">
        <v>3</v>
      </c>
      <c r="BM146" s="5">
        <v>39548</v>
      </c>
      <c r="BN146" s="5">
        <v>39548</v>
      </c>
      <c r="BO146" s="5">
        <v>39590</v>
      </c>
      <c r="BP146" s="4"/>
      <c r="BQ146" s="4"/>
      <c r="BR146" s="4"/>
      <c r="BS146" s="4"/>
      <c r="BT146" s="4"/>
      <c r="BU146" s="5">
        <v>39598</v>
      </c>
      <c r="BV146" s="5">
        <v>39629</v>
      </c>
      <c r="BW146" s="5">
        <v>39623</v>
      </c>
      <c r="BX146" s="4"/>
      <c r="BY146" s="5">
        <v>39660</v>
      </c>
      <c r="BZ146" s="5">
        <v>39650</v>
      </c>
      <c r="CA146" s="4"/>
      <c r="CB146" s="4"/>
      <c r="CC146" s="4"/>
      <c r="CD146" s="4"/>
      <c r="CE146" s="4"/>
      <c r="CF146" s="4"/>
      <c r="CG146" s="4"/>
      <c r="CH146" s="4"/>
      <c r="CI146" s="5">
        <v>40099</v>
      </c>
      <c r="CJ146" s="5">
        <v>40100</v>
      </c>
      <c r="CK146" s="5">
        <v>40099</v>
      </c>
      <c r="CL146" s="4"/>
      <c r="CM146" s="4"/>
      <c r="CN146" s="4"/>
      <c r="CO146" s="4"/>
      <c r="CP146" s="4" t="s">
        <v>623</v>
      </c>
      <c r="CQ146" s="4"/>
      <c r="CR146" s="5">
        <v>40100</v>
      </c>
      <c r="CS146" s="4"/>
      <c r="CT146" s="4"/>
      <c r="CU146" s="4"/>
      <c r="CV146" s="4"/>
      <c r="CW146" s="4"/>
      <c r="CX146" s="5">
        <v>39590</v>
      </c>
      <c r="CY146" s="4"/>
      <c r="CZ146" s="4"/>
      <c r="DA146" s="4"/>
      <c r="DB146" s="4"/>
      <c r="DC146" s="4"/>
      <c r="DD146" s="4"/>
      <c r="DE146" s="4"/>
      <c r="DF146" s="4"/>
      <c r="DG146" s="4"/>
      <c r="DH146" s="4"/>
      <c r="DI146" s="4"/>
      <c r="DJ146" s="4" t="b">
        <v>0</v>
      </c>
      <c r="DK146" s="4"/>
      <c r="DL146" s="4">
        <v>2654860</v>
      </c>
      <c r="DM146" s="4">
        <v>6483245</v>
      </c>
      <c r="DN146" s="4" t="s">
        <v>624</v>
      </c>
      <c r="DO146" s="4"/>
      <c r="DP146" s="4"/>
      <c r="DQ146" s="4" t="s">
        <v>148</v>
      </c>
      <c r="DR146" s="4"/>
      <c r="DS146" s="4"/>
      <c r="DT146" s="5">
        <v>41887</v>
      </c>
      <c r="DU146" s="4"/>
      <c r="DV146" s="4"/>
      <c r="DW146" s="4"/>
      <c r="DX146" s="4"/>
      <c r="DY146" s="4"/>
      <c r="DZ146" s="5">
        <v>39590</v>
      </c>
      <c r="EA146" s="4"/>
      <c r="EB146" s="4"/>
      <c r="EC146" s="4"/>
      <c r="ED146" s="4"/>
      <c r="EE146" s="4"/>
      <c r="EF146" s="4"/>
      <c r="EG146" s="4"/>
      <c r="EH146" s="4"/>
      <c r="EI146" s="5">
        <v>39357</v>
      </c>
    </row>
    <row r="147" spans="1:139" hidden="1" x14ac:dyDescent="0.2">
      <c r="A147">
        <f>VLOOKUP(B147,Sheet1!$A$1:$B$18,2,FALSE)</f>
        <v>0</v>
      </c>
      <c r="B147" t="str">
        <f t="shared" si="2"/>
        <v>AKL</v>
      </c>
      <c r="C147" s="2">
        <v>146</v>
      </c>
      <c r="D147" s="3" t="str">
        <f>HYPERLINK("https://sitebase.nzcomms.co.nz/spm/spmnominalview/AKL-006-010/","AKL-006-010")</f>
        <v>AKL-006-010</v>
      </c>
      <c r="E147" s="4"/>
      <c r="F147" s="3" t="str">
        <f>HYPERLINK("https://sitebase.nzcomms.co.nz/spm/spmcandidateview/AKL-006-010-A/","AKL-006-010-A")</f>
        <v>AKL-006-010-A</v>
      </c>
      <c r="G147" s="4" t="s">
        <v>625</v>
      </c>
      <c r="H147" s="4" t="s">
        <v>600</v>
      </c>
      <c r="I147" s="4"/>
      <c r="J147" s="4" t="s">
        <v>139</v>
      </c>
      <c r="K147" s="4" t="s">
        <v>141</v>
      </c>
      <c r="L147" s="4" t="s">
        <v>150</v>
      </c>
      <c r="M147" s="4" t="s">
        <v>354</v>
      </c>
      <c r="N147" s="4" t="s">
        <v>291</v>
      </c>
      <c r="O147" s="4" t="s">
        <v>144</v>
      </c>
      <c r="P147" s="4"/>
      <c r="Q147" s="4"/>
      <c r="R147" s="4">
        <v>15</v>
      </c>
      <c r="S147" s="4">
        <v>15</v>
      </c>
      <c r="T147" s="4"/>
      <c r="U147" s="4">
        <v>-36.821069029999997</v>
      </c>
      <c r="V147" s="4">
        <v>174.61186738999999</v>
      </c>
      <c r="W147" s="4"/>
      <c r="X147" s="4"/>
      <c r="Y147" s="4"/>
      <c r="Z147" s="4"/>
      <c r="AA147" s="4" t="s">
        <v>171</v>
      </c>
      <c r="AB147" s="3" t="str">
        <f>HYPERLINK("https://sitebase.nzcomms.co.nz/spm/spmcandidateview/AKL-007-008-A/","AKL-007-008-A")</f>
        <v>AKL-007-008-A</v>
      </c>
      <c r="AC147" s="4"/>
      <c r="AD147" s="4"/>
      <c r="AE147" s="4"/>
      <c r="AF147" s="4"/>
      <c r="AG147" s="4"/>
      <c r="AH147" s="4"/>
      <c r="AI147" s="4"/>
      <c r="AJ147" s="4"/>
      <c r="AK147" s="4"/>
      <c r="AL147" s="4"/>
      <c r="AM147" s="4"/>
      <c r="AN147" s="5">
        <v>39364</v>
      </c>
      <c r="AO147" s="4">
        <v>1</v>
      </c>
      <c r="AP147" s="4"/>
      <c r="AQ147" s="5">
        <v>39364</v>
      </c>
      <c r="AR147" s="4"/>
      <c r="AS147" s="4"/>
      <c r="AT147" s="5">
        <v>39812</v>
      </c>
      <c r="AU147" s="5">
        <v>39612</v>
      </c>
      <c r="AV147" s="4">
        <v>1</v>
      </c>
      <c r="AW147" s="5">
        <v>39812</v>
      </c>
      <c r="AX147" s="5">
        <v>39612</v>
      </c>
      <c r="AY147" s="4"/>
      <c r="AZ147" s="4"/>
      <c r="BA147" s="4"/>
      <c r="BB147" s="5">
        <v>39660</v>
      </c>
      <c r="BC147" s="4"/>
      <c r="BD147" s="4"/>
      <c r="BE147" s="5">
        <v>39660</v>
      </c>
      <c r="BF147" s="5">
        <v>39582</v>
      </c>
      <c r="BG147" s="4"/>
      <c r="BH147" s="5">
        <v>39392</v>
      </c>
      <c r="BI147" s="4"/>
      <c r="BJ147" s="5">
        <v>39659</v>
      </c>
      <c r="BK147" s="4">
        <v>1</v>
      </c>
      <c r="BL147" s="4">
        <v>1</v>
      </c>
      <c r="BM147" s="5">
        <v>39659</v>
      </c>
      <c r="BN147" s="5">
        <v>39659</v>
      </c>
      <c r="BO147" s="4"/>
      <c r="BP147" s="4"/>
      <c r="BQ147" s="4"/>
      <c r="BR147" s="4"/>
      <c r="BS147" s="4"/>
      <c r="BT147" s="4"/>
      <c r="BU147" s="5">
        <v>39664</v>
      </c>
      <c r="BV147" s="5">
        <v>39694</v>
      </c>
      <c r="BW147" s="5">
        <v>39693</v>
      </c>
      <c r="BX147" s="4"/>
      <c r="BY147" s="5">
        <v>39702</v>
      </c>
      <c r="BZ147" s="5">
        <v>39702</v>
      </c>
      <c r="CA147" s="4"/>
      <c r="CB147" s="4"/>
      <c r="CC147" s="4"/>
      <c r="CD147" s="4"/>
      <c r="CE147" s="4"/>
      <c r="CF147" s="4"/>
      <c r="CG147" s="4"/>
      <c r="CH147" s="4"/>
      <c r="CI147" s="5">
        <v>39992</v>
      </c>
      <c r="CJ147" s="5">
        <v>39991</v>
      </c>
      <c r="CK147" s="5">
        <v>39992</v>
      </c>
      <c r="CL147" s="4"/>
      <c r="CM147" s="4"/>
      <c r="CN147" s="4"/>
      <c r="CO147" s="4"/>
      <c r="CP147" s="4" t="s">
        <v>157</v>
      </c>
      <c r="CQ147" s="4"/>
      <c r="CR147" s="5">
        <v>39991</v>
      </c>
      <c r="CS147" s="4"/>
      <c r="CT147" s="4"/>
      <c r="CU147" s="4"/>
      <c r="CV147" s="4"/>
      <c r="CW147" s="4"/>
      <c r="CX147" s="4"/>
      <c r="CY147" s="4"/>
      <c r="CZ147" s="4"/>
      <c r="DA147" s="4"/>
      <c r="DB147" s="4"/>
      <c r="DC147" s="4"/>
      <c r="DD147" s="4"/>
      <c r="DE147" s="4"/>
      <c r="DF147" s="4"/>
      <c r="DG147" s="4"/>
      <c r="DH147" s="4"/>
      <c r="DI147" s="4"/>
      <c r="DJ147" s="4" t="b">
        <v>0</v>
      </c>
      <c r="DK147" s="4"/>
      <c r="DL147" s="4">
        <v>2654199</v>
      </c>
      <c r="DM147" s="4">
        <v>6485490</v>
      </c>
      <c r="DN147" s="4" t="s">
        <v>626</v>
      </c>
      <c r="DO147" s="4"/>
      <c r="DP147" s="4"/>
      <c r="DQ147" s="4" t="s">
        <v>148</v>
      </c>
      <c r="DR147" s="4"/>
      <c r="DS147" s="4"/>
      <c r="DT147" s="5">
        <v>41887</v>
      </c>
      <c r="DU147" s="4"/>
      <c r="DV147" s="4"/>
      <c r="DW147" s="4"/>
      <c r="DX147" s="4"/>
      <c r="DY147" s="4"/>
      <c r="DZ147" s="5">
        <v>39661</v>
      </c>
      <c r="EA147" s="4"/>
      <c r="EB147" s="4"/>
      <c r="EC147" s="4"/>
      <c r="ED147" s="4"/>
      <c r="EE147" s="4"/>
      <c r="EF147" s="4"/>
      <c r="EG147" s="4"/>
      <c r="EH147" s="4"/>
      <c r="EI147" s="5">
        <v>39337</v>
      </c>
    </row>
    <row r="148" spans="1:139" hidden="1" x14ac:dyDescent="0.2">
      <c r="A148">
        <f>VLOOKUP(B148,Sheet1!$A$1:$B$18,2,FALSE)</f>
        <v>0</v>
      </c>
      <c r="B148" t="str">
        <f t="shared" si="2"/>
        <v>AKL</v>
      </c>
      <c r="C148" s="2">
        <v>147</v>
      </c>
      <c r="D148" s="3" t="str">
        <f>HYPERLINK("https://sitebase.nzcomms.co.nz/spm/spmnominalview/AKL-006-011/","AKL-006-011")</f>
        <v>AKL-006-011</v>
      </c>
      <c r="E148" s="4"/>
      <c r="F148" s="3" t="str">
        <f>HYPERLINK("https://sitebase.nzcomms.co.nz/spm/spmcandidateview/AKL-006-011-A/","AKL-006-011-A")</f>
        <v>AKL-006-011-A</v>
      </c>
      <c r="G148" s="4" t="s">
        <v>627</v>
      </c>
      <c r="H148" s="4" t="s">
        <v>600</v>
      </c>
      <c r="I148" s="4"/>
      <c r="J148" s="4" t="s">
        <v>139</v>
      </c>
      <c r="K148" s="4" t="s">
        <v>141</v>
      </c>
      <c r="L148" s="4" t="s">
        <v>150</v>
      </c>
      <c r="M148" s="4" t="s">
        <v>143</v>
      </c>
      <c r="N148" s="4" t="s">
        <v>156</v>
      </c>
      <c r="O148" s="4" t="s">
        <v>144</v>
      </c>
      <c r="P148" s="4"/>
      <c r="Q148" s="4"/>
      <c r="R148" s="4">
        <v>22</v>
      </c>
      <c r="S148" s="4">
        <v>22</v>
      </c>
      <c r="T148" s="4"/>
      <c r="U148" s="4">
        <v>-36.86607437</v>
      </c>
      <c r="V148" s="4">
        <v>174.58821463000001</v>
      </c>
      <c r="W148" s="4"/>
      <c r="X148" s="4"/>
      <c r="Y148" s="4"/>
      <c r="Z148" s="4"/>
      <c r="AA148" s="4" t="s">
        <v>171</v>
      </c>
      <c r="AB148" s="3" t="str">
        <f>HYPERLINK("https://sitebase.nzcomms.co.nz/spm/spmcandidateview/AKL-006-007-B/","AKL-006-007-B")</f>
        <v>AKL-006-007-B</v>
      </c>
      <c r="AC148" s="4"/>
      <c r="AD148" s="4"/>
      <c r="AE148" s="4"/>
      <c r="AF148" s="4"/>
      <c r="AG148" s="4"/>
      <c r="AH148" s="4" t="s">
        <v>365</v>
      </c>
      <c r="AI148" s="4"/>
      <c r="AJ148" s="4"/>
      <c r="AK148" s="4"/>
      <c r="AL148" s="4"/>
      <c r="AM148" s="4"/>
      <c r="AN148" s="5">
        <v>39367</v>
      </c>
      <c r="AO148" s="4">
        <v>3</v>
      </c>
      <c r="AP148" s="5">
        <v>39483</v>
      </c>
      <c r="AQ148" s="5">
        <v>39483</v>
      </c>
      <c r="AR148" s="4"/>
      <c r="AS148" s="4"/>
      <c r="AT148" s="5">
        <v>39552</v>
      </c>
      <c r="AU148" s="5">
        <v>39552</v>
      </c>
      <c r="AV148" s="4">
        <v>2</v>
      </c>
      <c r="AW148" s="5">
        <v>39552</v>
      </c>
      <c r="AX148" s="5">
        <v>39552</v>
      </c>
      <c r="AY148" s="4"/>
      <c r="AZ148" s="4"/>
      <c r="BA148" s="4"/>
      <c r="BB148" s="5">
        <v>39524</v>
      </c>
      <c r="BC148" s="4"/>
      <c r="BD148" s="4"/>
      <c r="BE148" s="5">
        <v>39524</v>
      </c>
      <c r="BF148" s="5">
        <v>39524</v>
      </c>
      <c r="BG148" s="4"/>
      <c r="BH148" s="5">
        <v>39436</v>
      </c>
      <c r="BI148" s="4"/>
      <c r="BJ148" s="5">
        <v>39534</v>
      </c>
      <c r="BK148" s="4">
        <v>1</v>
      </c>
      <c r="BL148" s="4">
        <v>3</v>
      </c>
      <c r="BM148" s="5">
        <v>39534</v>
      </c>
      <c r="BN148" s="5">
        <v>39534</v>
      </c>
      <c r="BO148" s="4"/>
      <c r="BP148" s="4"/>
      <c r="BQ148" s="4"/>
      <c r="BR148" s="4"/>
      <c r="BS148" s="4"/>
      <c r="BT148" s="4"/>
      <c r="BU148" s="5">
        <v>39587</v>
      </c>
      <c r="BV148" s="5">
        <v>39598</v>
      </c>
      <c r="BW148" s="5">
        <v>39598</v>
      </c>
      <c r="BX148" s="4"/>
      <c r="BY148" s="5">
        <v>39612</v>
      </c>
      <c r="BZ148" s="5">
        <v>39612</v>
      </c>
      <c r="CA148" s="4"/>
      <c r="CB148" s="4"/>
      <c r="CC148" s="4"/>
      <c r="CD148" s="4"/>
      <c r="CE148" s="4"/>
      <c r="CF148" s="4"/>
      <c r="CG148" s="4"/>
      <c r="CH148" s="4"/>
      <c r="CI148" s="5">
        <v>39902</v>
      </c>
      <c r="CJ148" s="5">
        <v>39902</v>
      </c>
      <c r="CK148" s="5">
        <v>39902</v>
      </c>
      <c r="CL148" s="4"/>
      <c r="CM148" s="4"/>
      <c r="CN148" s="4"/>
      <c r="CO148" s="4"/>
      <c r="CP148" s="4" t="s">
        <v>628</v>
      </c>
      <c r="CQ148" s="4"/>
      <c r="CR148" s="5">
        <v>39902</v>
      </c>
      <c r="CS148" s="4"/>
      <c r="CT148" s="4"/>
      <c r="CU148" s="4"/>
      <c r="CV148" s="4"/>
      <c r="CW148" s="4"/>
      <c r="CX148" s="4"/>
      <c r="CY148" s="4"/>
      <c r="CZ148" s="4"/>
      <c r="DA148" s="4"/>
      <c r="DB148" s="4"/>
      <c r="DC148" s="4"/>
      <c r="DD148" s="4"/>
      <c r="DE148" s="4"/>
      <c r="DF148" s="4"/>
      <c r="DG148" s="4"/>
      <c r="DH148" s="4"/>
      <c r="DI148" s="4"/>
      <c r="DJ148" s="4" t="b">
        <v>0</v>
      </c>
      <c r="DK148" s="4"/>
      <c r="DL148" s="4">
        <v>2651996</v>
      </c>
      <c r="DM148" s="4">
        <v>6480536</v>
      </c>
      <c r="DN148" s="4" t="s">
        <v>629</v>
      </c>
      <c r="DO148" s="4"/>
      <c r="DP148" s="4"/>
      <c r="DQ148" s="4" t="s">
        <v>148</v>
      </c>
      <c r="DR148" s="4"/>
      <c r="DS148" s="4"/>
      <c r="DT148" s="4"/>
      <c r="DU148" s="4"/>
      <c r="DV148" s="4"/>
      <c r="DW148" s="4"/>
      <c r="DX148" s="4"/>
      <c r="DY148" s="4"/>
      <c r="DZ148" s="5">
        <v>39590</v>
      </c>
      <c r="EA148" s="4"/>
      <c r="EB148" s="4"/>
      <c r="EC148" s="4"/>
      <c r="ED148" s="4"/>
      <c r="EE148" s="4"/>
      <c r="EF148" s="4"/>
      <c r="EG148" s="4"/>
      <c r="EH148" s="4"/>
      <c r="EI148" s="5">
        <v>39365</v>
      </c>
    </row>
    <row r="149" spans="1:139" hidden="1" x14ac:dyDescent="0.2">
      <c r="A149">
        <f>VLOOKUP(B149,Sheet1!$A$1:$B$18,2,FALSE)</f>
        <v>0</v>
      </c>
      <c r="B149" t="str">
        <f t="shared" si="2"/>
        <v>AKL</v>
      </c>
      <c r="C149" s="2">
        <v>148</v>
      </c>
      <c r="D149" s="3" t="str">
        <f>HYPERLINK("https://sitebase.nzcomms.co.nz/spm/spmnominalview/AKL-006-012/","AKL-006-012")</f>
        <v>AKL-006-012</v>
      </c>
      <c r="E149" s="4"/>
      <c r="F149" s="3" t="str">
        <f>HYPERLINK("https://sitebase.nzcomms.co.nz/spm/spmcandidateview/AKL-006-012-D/","AKL-006-012-D")</f>
        <v>AKL-006-012-D</v>
      </c>
      <c r="G149" s="4" t="s">
        <v>630</v>
      </c>
      <c r="H149" s="4" t="s">
        <v>600</v>
      </c>
      <c r="I149" s="4"/>
      <c r="J149" s="4" t="s">
        <v>139</v>
      </c>
      <c r="K149" s="4" t="s">
        <v>141</v>
      </c>
      <c r="L149" s="4" t="s">
        <v>150</v>
      </c>
      <c r="M149" s="4" t="s">
        <v>143</v>
      </c>
      <c r="N149" s="4" t="s">
        <v>246</v>
      </c>
      <c r="O149" s="4" t="s">
        <v>356</v>
      </c>
      <c r="P149" s="4"/>
      <c r="Q149" s="4"/>
      <c r="R149" s="4">
        <v>12</v>
      </c>
      <c r="S149" s="4">
        <v>12</v>
      </c>
      <c r="T149" s="4"/>
      <c r="U149" s="4">
        <v>-36.93072016</v>
      </c>
      <c r="V149" s="4">
        <v>174.67994213</v>
      </c>
      <c r="W149" s="4"/>
      <c r="X149" s="4"/>
      <c r="Y149" s="4"/>
      <c r="Z149" s="4"/>
      <c r="AA149" s="4" t="s">
        <v>152</v>
      </c>
      <c r="AB149" s="3" t="str">
        <f>HYPERLINK("https://sitebase.nzcomms.co.nz/spm/spmcandidateview/AKL-007-106-A/","AKL-007-106-A")</f>
        <v>AKL-007-106-A</v>
      </c>
      <c r="AC149" s="4"/>
      <c r="AD149" s="4"/>
      <c r="AE149" s="4"/>
      <c r="AF149" s="4"/>
      <c r="AG149" s="4"/>
      <c r="AH149" s="4"/>
      <c r="AI149" s="4"/>
      <c r="AJ149" s="4"/>
      <c r="AK149" s="4"/>
      <c r="AL149" s="4"/>
      <c r="AM149" s="4"/>
      <c r="AN149" s="5">
        <v>39409</v>
      </c>
      <c r="AO149" s="4">
        <v>3</v>
      </c>
      <c r="AP149" s="4"/>
      <c r="AQ149" s="5">
        <v>39588</v>
      </c>
      <c r="AR149" s="4"/>
      <c r="AS149" s="4"/>
      <c r="AT149" s="5">
        <v>39428</v>
      </c>
      <c r="AU149" s="5">
        <v>39428</v>
      </c>
      <c r="AV149" s="4">
        <v>1</v>
      </c>
      <c r="AW149" s="5">
        <v>39428</v>
      </c>
      <c r="AX149" s="5">
        <v>39428</v>
      </c>
      <c r="AY149" s="4"/>
      <c r="AZ149" s="4"/>
      <c r="BA149" s="4"/>
      <c r="BB149" s="5">
        <v>39629</v>
      </c>
      <c r="BC149" s="4"/>
      <c r="BD149" s="4"/>
      <c r="BE149" s="5">
        <v>39629</v>
      </c>
      <c r="BF149" s="5">
        <v>39619</v>
      </c>
      <c r="BG149" s="4"/>
      <c r="BH149" s="5">
        <v>39394</v>
      </c>
      <c r="BI149" s="4"/>
      <c r="BJ149" s="5">
        <v>39591</v>
      </c>
      <c r="BK149" s="4">
        <v>2</v>
      </c>
      <c r="BL149" s="4">
        <v>3</v>
      </c>
      <c r="BM149" s="5">
        <v>39618</v>
      </c>
      <c r="BN149" s="5">
        <v>39618</v>
      </c>
      <c r="BO149" s="4"/>
      <c r="BP149" s="4"/>
      <c r="BQ149" s="4"/>
      <c r="BR149" s="4"/>
      <c r="BS149" s="4"/>
      <c r="BT149" s="4"/>
      <c r="BU149" s="5">
        <v>39617</v>
      </c>
      <c r="BV149" s="5">
        <v>39696</v>
      </c>
      <c r="BW149" s="5">
        <v>39686</v>
      </c>
      <c r="BX149" s="4"/>
      <c r="BY149" s="5">
        <v>39687</v>
      </c>
      <c r="BZ149" s="5">
        <v>39687</v>
      </c>
      <c r="CA149" s="4"/>
      <c r="CB149" s="4"/>
      <c r="CC149" s="4"/>
      <c r="CD149" s="4"/>
      <c r="CE149" s="4"/>
      <c r="CF149" s="4"/>
      <c r="CG149" s="4"/>
      <c r="CH149" s="4"/>
      <c r="CI149" s="5">
        <v>39892</v>
      </c>
      <c r="CJ149" s="5">
        <v>39896</v>
      </c>
      <c r="CK149" s="5">
        <v>39892</v>
      </c>
      <c r="CL149" s="4"/>
      <c r="CM149" s="4"/>
      <c r="CN149" s="4"/>
      <c r="CO149" s="4"/>
      <c r="CP149" s="4" t="s">
        <v>157</v>
      </c>
      <c r="CQ149" s="4"/>
      <c r="CR149" s="5">
        <v>39896</v>
      </c>
      <c r="CS149" s="4"/>
      <c r="CT149" s="4"/>
      <c r="CU149" s="4"/>
      <c r="CV149" s="4"/>
      <c r="CW149" s="4"/>
      <c r="CX149" s="4"/>
      <c r="CY149" s="4"/>
      <c r="CZ149" s="4"/>
      <c r="DA149" s="4"/>
      <c r="DB149" s="4"/>
      <c r="DC149" s="4"/>
      <c r="DD149" s="4"/>
      <c r="DE149" s="4"/>
      <c r="DF149" s="4"/>
      <c r="DG149" s="4"/>
      <c r="DH149" s="4"/>
      <c r="DI149" s="4"/>
      <c r="DJ149" s="4" t="b">
        <v>0</v>
      </c>
      <c r="DK149" s="4"/>
      <c r="DL149" s="4">
        <v>2660033</v>
      </c>
      <c r="DM149" s="4">
        <v>6473207</v>
      </c>
      <c r="DN149" s="4" t="s">
        <v>631</v>
      </c>
      <c r="DO149" s="4"/>
      <c r="DP149" s="4"/>
      <c r="DQ149" s="4" t="s">
        <v>148</v>
      </c>
      <c r="DR149" s="4"/>
      <c r="DS149" s="4"/>
      <c r="DT149" s="4"/>
      <c r="DU149" s="4"/>
      <c r="DV149" s="4"/>
      <c r="DW149" s="4"/>
      <c r="DX149" s="4"/>
      <c r="DY149" s="4"/>
      <c r="DZ149" s="5">
        <v>39622</v>
      </c>
      <c r="EA149" s="4"/>
      <c r="EB149" s="4"/>
      <c r="EC149" s="4"/>
      <c r="ED149" s="4"/>
      <c r="EE149" s="4"/>
      <c r="EF149" s="4"/>
      <c r="EG149" s="4"/>
      <c r="EH149" s="4"/>
      <c r="EI149" s="5">
        <v>39388</v>
      </c>
    </row>
    <row r="150" spans="1:139" hidden="1" x14ac:dyDescent="0.2">
      <c r="A150">
        <f>VLOOKUP(B150,Sheet1!$A$1:$B$18,2,FALSE)</f>
        <v>0</v>
      </c>
      <c r="B150" t="str">
        <f t="shared" si="2"/>
        <v>AKL</v>
      </c>
      <c r="C150" s="2">
        <v>149</v>
      </c>
      <c r="D150" s="3" t="str">
        <f>HYPERLINK("https://sitebase.nzcomms.co.nz/spm/spmnominalview/AKL-006-013/","AKL-006-013")</f>
        <v>AKL-006-013</v>
      </c>
      <c r="E150" s="4"/>
      <c r="F150" s="3" t="str">
        <f>HYPERLINK("https://sitebase.nzcomms.co.nz/spm/spmcandidateview/AKL-006-013-B/","AKL-006-013-B")</f>
        <v>AKL-006-013-B</v>
      </c>
      <c r="G150" s="4" t="s">
        <v>632</v>
      </c>
      <c r="H150" s="4" t="s">
        <v>600</v>
      </c>
      <c r="I150" s="4"/>
      <c r="J150" s="4" t="s">
        <v>139</v>
      </c>
      <c r="K150" s="4" t="s">
        <v>141</v>
      </c>
      <c r="L150" s="4" t="s">
        <v>181</v>
      </c>
      <c r="M150" s="4" t="s">
        <v>378</v>
      </c>
      <c r="N150" s="4" t="s">
        <v>620</v>
      </c>
      <c r="O150" s="4" t="s">
        <v>144</v>
      </c>
      <c r="P150" s="4"/>
      <c r="Q150" s="4"/>
      <c r="R150" s="4">
        <v>12</v>
      </c>
      <c r="S150" s="4">
        <v>12</v>
      </c>
      <c r="T150" s="4"/>
      <c r="U150" s="4">
        <v>-36.907582230000003</v>
      </c>
      <c r="V150" s="4">
        <v>174.68293532999999</v>
      </c>
      <c r="W150" s="4"/>
      <c r="X150" s="4"/>
      <c r="Y150" s="4"/>
      <c r="Z150" s="4"/>
      <c r="AA150" s="4" t="s">
        <v>171</v>
      </c>
      <c r="AB150" s="3" t="str">
        <f>HYPERLINK("https://sitebase.nzcomms.co.nz/spm/spmcandidateview/AKL-007-112-A/","AKL-007-112-A")</f>
        <v>AKL-007-112-A</v>
      </c>
      <c r="AC150" s="4"/>
      <c r="AD150" s="4"/>
      <c r="AE150" s="4"/>
      <c r="AF150" s="4"/>
      <c r="AG150" s="4"/>
      <c r="AH150" s="4" t="s">
        <v>357</v>
      </c>
      <c r="AI150" s="4"/>
      <c r="AJ150" s="4"/>
      <c r="AK150" s="4"/>
      <c r="AL150" s="4"/>
      <c r="AM150" s="4"/>
      <c r="AN150" s="5">
        <v>39283</v>
      </c>
      <c r="AO150" s="4">
        <v>4</v>
      </c>
      <c r="AP150" s="5">
        <v>39905</v>
      </c>
      <c r="AQ150" s="5">
        <v>40309</v>
      </c>
      <c r="AR150" s="4"/>
      <c r="AS150" s="4"/>
      <c r="AT150" s="5">
        <v>39506</v>
      </c>
      <c r="AU150" s="5">
        <v>39506</v>
      </c>
      <c r="AV150" s="4">
        <v>2</v>
      </c>
      <c r="AW150" s="5">
        <v>39506</v>
      </c>
      <c r="AX150" s="5">
        <v>39506</v>
      </c>
      <c r="AY150" s="4"/>
      <c r="AZ150" s="4"/>
      <c r="BA150" s="4"/>
      <c r="BB150" s="5">
        <v>39337</v>
      </c>
      <c r="BC150" s="4"/>
      <c r="BD150" s="4"/>
      <c r="BE150" s="5">
        <v>39337</v>
      </c>
      <c r="BF150" s="5">
        <v>39337</v>
      </c>
      <c r="BG150" s="4"/>
      <c r="BH150" s="5">
        <v>39346</v>
      </c>
      <c r="BI150" s="4"/>
      <c r="BJ150" s="5">
        <v>39416</v>
      </c>
      <c r="BK150" s="4">
        <v>1</v>
      </c>
      <c r="BL150" s="4">
        <v>2</v>
      </c>
      <c r="BM150" s="5">
        <v>39416</v>
      </c>
      <c r="BN150" s="5">
        <v>39416</v>
      </c>
      <c r="BO150" s="4"/>
      <c r="BP150" s="4"/>
      <c r="BQ150" s="4"/>
      <c r="BR150" s="4"/>
      <c r="BS150" s="4"/>
      <c r="BT150" s="4"/>
      <c r="BU150" s="5">
        <v>39581</v>
      </c>
      <c r="BV150" s="5">
        <v>39591</v>
      </c>
      <c r="BW150" s="5">
        <v>39591</v>
      </c>
      <c r="BX150" s="4"/>
      <c r="BY150" s="5">
        <v>39598</v>
      </c>
      <c r="BZ150" s="5">
        <v>39598</v>
      </c>
      <c r="CA150" s="4"/>
      <c r="CB150" s="4"/>
      <c r="CC150" s="4"/>
      <c r="CD150" s="4"/>
      <c r="CE150" s="4"/>
      <c r="CF150" s="4"/>
      <c r="CG150" s="4"/>
      <c r="CH150" s="4"/>
      <c r="CI150" s="5">
        <v>39793</v>
      </c>
      <c r="CJ150" s="5">
        <v>39813</v>
      </c>
      <c r="CK150" s="5">
        <v>39793</v>
      </c>
      <c r="CL150" s="4"/>
      <c r="CM150" s="4"/>
      <c r="CN150" s="4"/>
      <c r="CO150" s="4"/>
      <c r="CP150" s="4" t="s">
        <v>405</v>
      </c>
      <c r="CQ150" s="4"/>
      <c r="CR150" s="5">
        <v>39813</v>
      </c>
      <c r="CS150" s="4"/>
      <c r="CT150" s="4"/>
      <c r="CU150" s="4"/>
      <c r="CV150" s="4"/>
      <c r="CW150" s="4"/>
      <c r="CX150" s="4"/>
      <c r="CY150" s="4"/>
      <c r="CZ150" s="4"/>
      <c r="DA150" s="4"/>
      <c r="DB150" s="4"/>
      <c r="DC150" s="4"/>
      <c r="DD150" s="4"/>
      <c r="DE150" s="4"/>
      <c r="DF150" s="4"/>
      <c r="DG150" s="4"/>
      <c r="DH150" s="4"/>
      <c r="DI150" s="4"/>
      <c r="DJ150" s="4" t="b">
        <v>0</v>
      </c>
      <c r="DK150" s="4"/>
      <c r="DL150" s="4">
        <v>2660350</v>
      </c>
      <c r="DM150" s="4">
        <v>6475769</v>
      </c>
      <c r="DN150" s="4" t="s">
        <v>633</v>
      </c>
      <c r="DO150" s="4"/>
      <c r="DP150" s="4"/>
      <c r="DQ150" s="4" t="s">
        <v>148</v>
      </c>
      <c r="DR150" s="4"/>
      <c r="DS150" s="4"/>
      <c r="DT150" s="5">
        <v>41806</v>
      </c>
      <c r="DU150" s="4"/>
      <c r="DV150" s="4"/>
      <c r="DW150" s="4"/>
      <c r="DX150" s="4"/>
      <c r="DY150" s="4"/>
      <c r="DZ150" s="5">
        <v>39510</v>
      </c>
      <c r="EA150" s="4"/>
      <c r="EB150" s="4"/>
      <c r="EC150" s="4"/>
      <c r="ED150" s="4"/>
      <c r="EE150" s="4"/>
      <c r="EF150" s="4"/>
      <c r="EG150" s="4"/>
      <c r="EH150" s="4"/>
      <c r="EI150" s="5">
        <v>39253</v>
      </c>
    </row>
    <row r="151" spans="1:139" hidden="1" x14ac:dyDescent="0.2">
      <c r="A151">
        <f>VLOOKUP(B151,Sheet1!$A$1:$B$18,2,FALSE)</f>
        <v>0</v>
      </c>
      <c r="B151" t="str">
        <f t="shared" si="2"/>
        <v>AKL</v>
      </c>
      <c r="C151" s="2">
        <v>150</v>
      </c>
      <c r="D151" s="3" t="str">
        <f>HYPERLINK("https://sitebase.nzcomms.co.nz/spm/spmnominalview/AKL-006-014/","AKL-006-014")</f>
        <v>AKL-006-014</v>
      </c>
      <c r="E151" s="4"/>
      <c r="F151" s="3" t="str">
        <f>HYPERLINK("https://sitebase.nzcomms.co.nz/spm/spmcandidateview/AKL-006-014-A/","AKL-006-014-A")</f>
        <v>AKL-006-014-A</v>
      </c>
      <c r="G151" s="4" t="s">
        <v>634</v>
      </c>
      <c r="H151" s="4" t="s">
        <v>600</v>
      </c>
      <c r="I151" s="4"/>
      <c r="J151" s="4" t="s">
        <v>139</v>
      </c>
      <c r="K151" s="4" t="s">
        <v>141</v>
      </c>
      <c r="L151" s="4" t="s">
        <v>189</v>
      </c>
      <c r="M151" s="4" t="s">
        <v>354</v>
      </c>
      <c r="N151" s="4" t="s">
        <v>355</v>
      </c>
      <c r="O151" s="4" t="s">
        <v>356</v>
      </c>
      <c r="P151" s="4"/>
      <c r="Q151" s="4"/>
      <c r="R151" s="4">
        <v>14</v>
      </c>
      <c r="S151" s="4">
        <v>14</v>
      </c>
      <c r="T151" s="4"/>
      <c r="U151" s="4">
        <v>-36.856170640000002</v>
      </c>
      <c r="V151" s="4">
        <v>174.62093580000001</v>
      </c>
      <c r="W151" s="4"/>
      <c r="X151" s="4"/>
      <c r="Y151" s="4"/>
      <c r="Z151" s="4"/>
      <c r="AA151" s="4" t="s">
        <v>171</v>
      </c>
      <c r="AB151" s="3" t="str">
        <f>HYPERLINK("https://sitebase.nzcomms.co.nz/spm/spmcandidateview/AKL-006-007-B/","AKL-006-007-B")</f>
        <v>AKL-006-007-B</v>
      </c>
      <c r="AC151" s="4"/>
      <c r="AD151" s="4"/>
      <c r="AE151" s="4"/>
      <c r="AF151" s="4"/>
      <c r="AG151" s="4"/>
      <c r="AH151" s="4" t="s">
        <v>365</v>
      </c>
      <c r="AI151" s="4"/>
      <c r="AJ151" s="4"/>
      <c r="AK151" s="4"/>
      <c r="AL151" s="4"/>
      <c r="AM151" s="4"/>
      <c r="AN151" s="5">
        <v>39294</v>
      </c>
      <c r="AO151" s="4">
        <v>3</v>
      </c>
      <c r="AP151" s="4"/>
      <c r="AQ151" s="5">
        <v>39387</v>
      </c>
      <c r="AR151" s="4"/>
      <c r="AS151" s="4"/>
      <c r="AT151" s="5">
        <v>39463</v>
      </c>
      <c r="AU151" s="5">
        <v>39463</v>
      </c>
      <c r="AV151" s="4">
        <v>3</v>
      </c>
      <c r="AW151" s="5">
        <v>39463</v>
      </c>
      <c r="AX151" s="5">
        <v>39463</v>
      </c>
      <c r="AY151" s="4"/>
      <c r="AZ151" s="4"/>
      <c r="BA151" s="4"/>
      <c r="BB151" s="5">
        <v>39471</v>
      </c>
      <c r="BC151" s="4"/>
      <c r="BD151" s="4"/>
      <c r="BE151" s="5">
        <v>39471</v>
      </c>
      <c r="BF151" s="5">
        <v>39471</v>
      </c>
      <c r="BG151" s="4"/>
      <c r="BH151" s="5">
        <v>39483</v>
      </c>
      <c r="BI151" s="4"/>
      <c r="BJ151" s="5">
        <v>39518</v>
      </c>
      <c r="BK151" s="4">
        <v>1</v>
      </c>
      <c r="BL151" s="4">
        <v>3</v>
      </c>
      <c r="BM151" s="5">
        <v>39518</v>
      </c>
      <c r="BN151" s="5">
        <v>39518</v>
      </c>
      <c r="BO151" s="4"/>
      <c r="BP151" s="4"/>
      <c r="BQ151" s="4"/>
      <c r="BR151" s="4"/>
      <c r="BS151" s="4"/>
      <c r="BT151" s="4"/>
      <c r="BU151" s="5">
        <v>39545</v>
      </c>
      <c r="BV151" s="5">
        <v>39591</v>
      </c>
      <c r="BW151" s="5">
        <v>39597</v>
      </c>
      <c r="BX151" s="4"/>
      <c r="BY151" s="5">
        <v>39605</v>
      </c>
      <c r="BZ151" s="5">
        <v>39599</v>
      </c>
      <c r="CA151" s="4"/>
      <c r="CB151" s="4"/>
      <c r="CC151" s="4"/>
      <c r="CD151" s="4"/>
      <c r="CE151" s="4"/>
      <c r="CF151" s="4"/>
      <c r="CG151" s="4"/>
      <c r="CH151" s="4"/>
      <c r="CI151" s="5">
        <v>39920</v>
      </c>
      <c r="CJ151" s="5">
        <v>39923</v>
      </c>
      <c r="CK151" s="5">
        <v>39920</v>
      </c>
      <c r="CL151" s="4"/>
      <c r="CM151" s="4"/>
      <c r="CN151" s="4"/>
      <c r="CO151" s="4"/>
      <c r="CP151" s="4" t="s">
        <v>157</v>
      </c>
      <c r="CQ151" s="4"/>
      <c r="CR151" s="5">
        <v>39923</v>
      </c>
      <c r="CS151" s="4"/>
      <c r="CT151" s="4"/>
      <c r="CU151" s="4"/>
      <c r="CV151" s="4"/>
      <c r="CW151" s="4"/>
      <c r="CX151" s="4"/>
      <c r="CY151" s="4"/>
      <c r="CZ151" s="4"/>
      <c r="DA151" s="4"/>
      <c r="DB151" s="4"/>
      <c r="DC151" s="4"/>
      <c r="DD151" s="4"/>
      <c r="DE151" s="4"/>
      <c r="DF151" s="4"/>
      <c r="DG151" s="4"/>
      <c r="DH151" s="4"/>
      <c r="DI151" s="4"/>
      <c r="DJ151" s="4" t="b">
        <v>0</v>
      </c>
      <c r="DK151" s="4"/>
      <c r="DL151" s="4">
        <v>2654934</v>
      </c>
      <c r="DM151" s="4">
        <v>6481579</v>
      </c>
      <c r="DN151" s="4" t="s">
        <v>635</v>
      </c>
      <c r="DO151" s="4"/>
      <c r="DP151" s="4"/>
      <c r="DQ151" s="4" t="s">
        <v>148</v>
      </c>
      <c r="DR151" s="4"/>
      <c r="DS151" s="4"/>
      <c r="DT151" s="5">
        <v>41887</v>
      </c>
      <c r="DU151" s="4"/>
      <c r="DV151" s="4"/>
      <c r="DW151" s="4"/>
      <c r="DX151" s="4"/>
      <c r="DY151" s="4"/>
      <c r="DZ151" s="5">
        <v>39519</v>
      </c>
      <c r="EA151" s="4"/>
      <c r="EB151" s="4"/>
      <c r="EC151" s="4"/>
      <c r="ED151" s="4"/>
      <c r="EE151" s="4"/>
      <c r="EF151" s="4"/>
      <c r="EG151" s="4"/>
      <c r="EH151" s="4"/>
      <c r="EI151" s="5">
        <v>39246</v>
      </c>
    </row>
    <row r="152" spans="1:139" hidden="1" x14ac:dyDescent="0.2">
      <c r="A152">
        <f>VLOOKUP(B152,Sheet1!$A$1:$B$18,2,FALSE)</f>
        <v>0</v>
      </c>
      <c r="B152" t="str">
        <f t="shared" si="2"/>
        <v>AKL</v>
      </c>
      <c r="C152" s="2">
        <v>151</v>
      </c>
      <c r="D152" s="3" t="str">
        <f>HYPERLINK("https://sitebase.nzcomms.co.nz/spm/spmnominalview/AKL-006-015/","AKL-006-015")</f>
        <v>AKL-006-015</v>
      </c>
      <c r="E152" s="4"/>
      <c r="F152" s="3" t="str">
        <f>HYPERLINK("https://sitebase.nzcomms.co.nz/spm/spmcandidateview/AKL-006-015-A/","AKL-006-015-A")</f>
        <v>AKL-006-015-A</v>
      </c>
      <c r="G152" s="4" t="s">
        <v>636</v>
      </c>
      <c r="H152" s="4" t="s">
        <v>600</v>
      </c>
      <c r="I152" s="4"/>
      <c r="J152" s="4" t="s">
        <v>139</v>
      </c>
      <c r="K152" s="4" t="s">
        <v>141</v>
      </c>
      <c r="L152" s="4" t="s">
        <v>150</v>
      </c>
      <c r="M152" s="4" t="s">
        <v>143</v>
      </c>
      <c r="N152" s="4" t="s">
        <v>246</v>
      </c>
      <c r="O152" s="4" t="s">
        <v>144</v>
      </c>
      <c r="P152" s="4"/>
      <c r="Q152" s="4"/>
      <c r="R152" s="4">
        <v>12</v>
      </c>
      <c r="S152" s="4">
        <v>12</v>
      </c>
      <c r="T152" s="4"/>
      <c r="U152" s="4">
        <v>-36.810264719999999</v>
      </c>
      <c r="V152" s="4">
        <v>174.64350238</v>
      </c>
      <c r="W152" s="4"/>
      <c r="X152" s="4"/>
      <c r="Y152" s="4"/>
      <c r="Z152" s="4"/>
      <c r="AA152" s="4" t="s">
        <v>637</v>
      </c>
      <c r="AB152" s="4" t="s">
        <v>638</v>
      </c>
      <c r="AC152" s="4"/>
      <c r="AD152" s="4"/>
      <c r="AE152" s="4"/>
      <c r="AF152" s="4"/>
      <c r="AG152" s="4"/>
      <c r="AH152" s="4" t="s">
        <v>639</v>
      </c>
      <c r="AI152" s="4"/>
      <c r="AJ152" s="4"/>
      <c r="AK152" s="4"/>
      <c r="AL152" s="4"/>
      <c r="AM152" s="4"/>
      <c r="AN152" s="5">
        <v>39232</v>
      </c>
      <c r="AO152" s="4">
        <v>2</v>
      </c>
      <c r="AP152" s="5">
        <v>39658</v>
      </c>
      <c r="AQ152" s="5">
        <v>39658</v>
      </c>
      <c r="AR152" s="4"/>
      <c r="AS152" s="4"/>
      <c r="AT152" s="5">
        <v>39546</v>
      </c>
      <c r="AU152" s="5">
        <v>39546</v>
      </c>
      <c r="AV152" s="4">
        <v>1</v>
      </c>
      <c r="AW152" s="5">
        <v>39546</v>
      </c>
      <c r="AX152" s="5">
        <v>39546</v>
      </c>
      <c r="AY152" s="4"/>
      <c r="AZ152" s="4"/>
      <c r="BA152" s="4"/>
      <c r="BB152" s="5">
        <v>39691</v>
      </c>
      <c r="BC152" s="4"/>
      <c r="BD152" s="4"/>
      <c r="BE152" s="5">
        <v>39691</v>
      </c>
      <c r="BF152" s="5">
        <v>39714</v>
      </c>
      <c r="BG152" s="4"/>
      <c r="BH152" s="5">
        <v>39505</v>
      </c>
      <c r="BI152" s="4"/>
      <c r="BJ152" s="5">
        <v>39583</v>
      </c>
      <c r="BK152" s="4">
        <v>1</v>
      </c>
      <c r="BL152" s="4">
        <v>1</v>
      </c>
      <c r="BM152" s="5">
        <v>39583</v>
      </c>
      <c r="BN152" s="5">
        <v>39583</v>
      </c>
      <c r="BO152" s="5">
        <v>39797</v>
      </c>
      <c r="BP152" s="4"/>
      <c r="BQ152" s="4"/>
      <c r="BR152" s="4"/>
      <c r="BS152" s="4"/>
      <c r="BT152" s="4"/>
      <c r="BU152" s="5">
        <v>39792</v>
      </c>
      <c r="BV152" s="5">
        <v>39829</v>
      </c>
      <c r="BW152" s="5">
        <v>39822</v>
      </c>
      <c r="BX152" s="4"/>
      <c r="BY152" s="5">
        <v>39843</v>
      </c>
      <c r="BZ152" s="5">
        <v>39822</v>
      </c>
      <c r="CA152" s="4"/>
      <c r="CB152" s="4"/>
      <c r="CC152" s="4"/>
      <c r="CD152" s="4"/>
      <c r="CE152" s="4"/>
      <c r="CF152" s="4"/>
      <c r="CG152" s="4"/>
      <c r="CH152" s="4"/>
      <c r="CI152" s="5">
        <v>39892</v>
      </c>
      <c r="CJ152" s="5">
        <v>39890</v>
      </c>
      <c r="CK152" s="5">
        <v>39892</v>
      </c>
      <c r="CL152" s="4"/>
      <c r="CM152" s="4"/>
      <c r="CN152" s="4"/>
      <c r="CO152" s="4"/>
      <c r="CP152" s="4" t="s">
        <v>640</v>
      </c>
      <c r="CQ152" s="4"/>
      <c r="CR152" s="5">
        <v>39890</v>
      </c>
      <c r="CS152" s="4"/>
      <c r="CT152" s="4"/>
      <c r="CU152" s="4"/>
      <c r="CV152" s="4"/>
      <c r="CW152" s="4"/>
      <c r="CX152" s="5">
        <v>39797</v>
      </c>
      <c r="CY152" s="4"/>
      <c r="CZ152" s="4"/>
      <c r="DA152" s="4"/>
      <c r="DB152" s="4"/>
      <c r="DC152" s="4"/>
      <c r="DD152" s="4"/>
      <c r="DE152" s="4"/>
      <c r="DF152" s="4"/>
      <c r="DG152" s="4"/>
      <c r="DH152" s="4"/>
      <c r="DI152" s="4"/>
      <c r="DJ152" s="4" t="b">
        <v>0</v>
      </c>
      <c r="DK152" s="4"/>
      <c r="DL152" s="4">
        <v>2657044</v>
      </c>
      <c r="DM152" s="4">
        <v>6486635</v>
      </c>
      <c r="DN152" s="4" t="s">
        <v>641</v>
      </c>
      <c r="DO152" s="4"/>
      <c r="DP152" s="4"/>
      <c r="DQ152" s="4" t="s">
        <v>148</v>
      </c>
      <c r="DR152" s="4"/>
      <c r="DS152" s="4"/>
      <c r="DT152" s="5">
        <v>42348</v>
      </c>
      <c r="DU152" s="4"/>
      <c r="DV152" s="4"/>
      <c r="DW152" s="4"/>
      <c r="DX152" s="4"/>
      <c r="DY152" s="4"/>
      <c r="DZ152" s="5">
        <v>39787</v>
      </c>
      <c r="EA152" s="4"/>
      <c r="EB152" s="4"/>
      <c r="EC152" s="4"/>
      <c r="ED152" s="4"/>
      <c r="EE152" s="4"/>
      <c r="EF152" s="4"/>
      <c r="EG152" s="4"/>
      <c r="EH152" s="4"/>
      <c r="EI152" s="5">
        <v>39213</v>
      </c>
    </row>
    <row r="153" spans="1:139" hidden="1" x14ac:dyDescent="0.2">
      <c r="A153">
        <f>VLOOKUP(B153,Sheet1!$A$1:$B$18,2,FALSE)</f>
        <v>0</v>
      </c>
      <c r="B153" t="str">
        <f t="shared" si="2"/>
        <v>AKL</v>
      </c>
      <c r="C153" s="2">
        <v>152</v>
      </c>
      <c r="D153" s="3" t="str">
        <f>HYPERLINK("https://sitebase.nzcomms.co.nz/spm/spmnominalview/AKL-006-016/","AKL-006-016")</f>
        <v>AKL-006-016</v>
      </c>
      <c r="E153" s="4"/>
      <c r="F153" s="3" t="str">
        <f>HYPERLINK("https://sitebase.nzcomms.co.nz/spm/spmcandidateview/AKL-006-016-A/","AKL-006-016-A")</f>
        <v>AKL-006-016-A</v>
      </c>
      <c r="G153" s="4" t="s">
        <v>642</v>
      </c>
      <c r="H153" s="4" t="s">
        <v>600</v>
      </c>
      <c r="I153" s="4"/>
      <c r="J153" s="4" t="s">
        <v>139</v>
      </c>
      <c r="K153" s="4" t="s">
        <v>141</v>
      </c>
      <c r="L153" s="4" t="s">
        <v>181</v>
      </c>
      <c r="M153" s="4" t="s">
        <v>378</v>
      </c>
      <c r="N153" s="4" t="s">
        <v>364</v>
      </c>
      <c r="O153" s="4" t="s">
        <v>144</v>
      </c>
      <c r="P153" s="4"/>
      <c r="Q153" s="4"/>
      <c r="R153" s="4">
        <v>8</v>
      </c>
      <c r="S153" s="4">
        <v>8</v>
      </c>
      <c r="T153" s="4"/>
      <c r="U153" s="4">
        <v>-36.887212349999999</v>
      </c>
      <c r="V153" s="4">
        <v>174.64430016</v>
      </c>
      <c r="W153" s="4"/>
      <c r="X153" s="4"/>
      <c r="Y153" s="4"/>
      <c r="Z153" s="4"/>
      <c r="AA153" s="4" t="s">
        <v>446</v>
      </c>
      <c r="AB153" s="4" t="s">
        <v>643</v>
      </c>
      <c r="AC153" s="4"/>
      <c r="AD153" s="4"/>
      <c r="AE153" s="4"/>
      <c r="AF153" s="4"/>
      <c r="AG153" s="4"/>
      <c r="AH153" s="4" t="s">
        <v>360</v>
      </c>
      <c r="AI153" s="4"/>
      <c r="AJ153" s="4"/>
      <c r="AK153" s="4"/>
      <c r="AL153" s="4"/>
      <c r="AM153" s="4"/>
      <c r="AN153" s="5">
        <v>39366</v>
      </c>
      <c r="AO153" s="4">
        <v>3</v>
      </c>
      <c r="AP153" s="5">
        <v>39366</v>
      </c>
      <c r="AQ153" s="5">
        <v>40078</v>
      </c>
      <c r="AR153" s="4"/>
      <c r="AS153" s="4"/>
      <c r="AT153" s="5">
        <v>39500</v>
      </c>
      <c r="AU153" s="5">
        <v>39500</v>
      </c>
      <c r="AV153" s="4">
        <v>1</v>
      </c>
      <c r="AW153" s="5">
        <v>39500</v>
      </c>
      <c r="AX153" s="5">
        <v>39500</v>
      </c>
      <c r="AY153" s="4"/>
      <c r="AZ153" s="4"/>
      <c r="BA153" s="4"/>
      <c r="BB153" s="5">
        <v>39408</v>
      </c>
      <c r="BC153" s="4"/>
      <c r="BD153" s="4"/>
      <c r="BE153" s="5">
        <v>39408</v>
      </c>
      <c r="BF153" s="5">
        <v>39408</v>
      </c>
      <c r="BG153" s="4"/>
      <c r="BH153" s="5">
        <v>39392</v>
      </c>
      <c r="BI153" s="4"/>
      <c r="BJ153" s="5">
        <v>39518</v>
      </c>
      <c r="BK153" s="4">
        <v>1</v>
      </c>
      <c r="BL153" s="4">
        <v>1</v>
      </c>
      <c r="BM153" s="5">
        <v>39518</v>
      </c>
      <c r="BN153" s="5">
        <v>39518</v>
      </c>
      <c r="BO153" s="4"/>
      <c r="BP153" s="4"/>
      <c r="BQ153" s="4"/>
      <c r="BR153" s="4"/>
      <c r="BS153" s="4"/>
      <c r="BT153" s="4"/>
      <c r="BU153" s="5">
        <v>39608</v>
      </c>
      <c r="BV153" s="5">
        <v>39616</v>
      </c>
      <c r="BW153" s="5">
        <v>39616</v>
      </c>
      <c r="BX153" s="4"/>
      <c r="BY153" s="5">
        <v>39619</v>
      </c>
      <c r="BZ153" s="5">
        <v>39619</v>
      </c>
      <c r="CA153" s="4"/>
      <c r="CB153" s="4"/>
      <c r="CC153" s="4"/>
      <c r="CD153" s="4"/>
      <c r="CE153" s="4"/>
      <c r="CF153" s="4"/>
      <c r="CG153" s="4"/>
      <c r="CH153" s="4"/>
      <c r="CI153" s="5">
        <v>39836</v>
      </c>
      <c r="CJ153" s="5">
        <v>39843</v>
      </c>
      <c r="CK153" s="5">
        <v>39836</v>
      </c>
      <c r="CL153" s="4"/>
      <c r="CM153" s="4"/>
      <c r="CN153" s="4"/>
      <c r="CO153" s="4"/>
      <c r="CP153" s="4" t="s">
        <v>428</v>
      </c>
      <c r="CQ153" s="4"/>
      <c r="CR153" s="5">
        <v>39843</v>
      </c>
      <c r="CS153" s="4"/>
      <c r="CT153" s="4"/>
      <c r="CU153" s="4"/>
      <c r="CV153" s="4"/>
      <c r="CW153" s="4"/>
      <c r="CX153" s="4"/>
      <c r="CY153" s="4"/>
      <c r="CZ153" s="4"/>
      <c r="DA153" s="4"/>
      <c r="DB153" s="4"/>
      <c r="DC153" s="4"/>
      <c r="DD153" s="4"/>
      <c r="DE153" s="4"/>
      <c r="DF153" s="4"/>
      <c r="DG153" s="4"/>
      <c r="DH153" s="4"/>
      <c r="DI153" s="4"/>
      <c r="DJ153" s="4" t="b">
        <v>0</v>
      </c>
      <c r="DK153" s="4"/>
      <c r="DL153" s="4">
        <v>2656951</v>
      </c>
      <c r="DM153" s="4">
        <v>6478096</v>
      </c>
      <c r="DN153" s="4" t="s">
        <v>644</v>
      </c>
      <c r="DO153" s="4"/>
      <c r="DP153" s="4"/>
      <c r="DQ153" s="4" t="s">
        <v>148</v>
      </c>
      <c r="DR153" s="4"/>
      <c r="DS153" s="4"/>
      <c r="DT153" s="5">
        <v>41887</v>
      </c>
      <c r="DU153" s="4"/>
      <c r="DV153" s="4"/>
      <c r="DW153" s="4"/>
      <c r="DX153" s="4"/>
      <c r="DY153" s="4"/>
      <c r="DZ153" s="5">
        <v>39519</v>
      </c>
      <c r="EA153" s="4"/>
      <c r="EB153" s="4"/>
      <c r="EC153" s="4"/>
      <c r="ED153" s="4"/>
      <c r="EE153" s="4"/>
      <c r="EF153" s="4"/>
      <c r="EG153" s="4"/>
      <c r="EH153" s="4"/>
      <c r="EI153" s="5">
        <v>39273</v>
      </c>
    </row>
    <row r="154" spans="1:139" hidden="1" x14ac:dyDescent="0.2">
      <c r="A154">
        <f>VLOOKUP(B154,Sheet1!$A$1:$B$18,2,FALSE)</f>
        <v>0</v>
      </c>
      <c r="B154" t="str">
        <f t="shared" si="2"/>
        <v>AKL</v>
      </c>
      <c r="C154" s="2">
        <v>153</v>
      </c>
      <c r="D154" s="3" t="str">
        <f>HYPERLINK("https://sitebase.nzcomms.co.nz/spm/spmnominalview/AKL-006-017/","AKL-006-017")</f>
        <v>AKL-006-017</v>
      </c>
      <c r="E154" s="4"/>
      <c r="F154" s="3" t="str">
        <f>HYPERLINK("https://sitebase.nzcomms.co.nz/spm/spmcandidateview/AKL-006-017-A/","AKL-006-017-A")</f>
        <v>AKL-006-017-A</v>
      </c>
      <c r="G154" s="4" t="s">
        <v>645</v>
      </c>
      <c r="H154" s="4" t="s">
        <v>600</v>
      </c>
      <c r="I154" s="4"/>
      <c r="J154" s="4" t="s">
        <v>139</v>
      </c>
      <c r="K154" s="4" t="s">
        <v>141</v>
      </c>
      <c r="L154" s="4" t="s">
        <v>150</v>
      </c>
      <c r="M154" s="4" t="s">
        <v>354</v>
      </c>
      <c r="N154" s="4" t="s">
        <v>156</v>
      </c>
      <c r="O154" s="4" t="s">
        <v>144</v>
      </c>
      <c r="P154" s="4"/>
      <c r="Q154" s="4"/>
      <c r="R154" s="4">
        <v>20</v>
      </c>
      <c r="S154" s="4">
        <v>20</v>
      </c>
      <c r="T154" s="4"/>
      <c r="U154" s="4">
        <v>-36.909275000000001</v>
      </c>
      <c r="V154" s="4">
        <v>174.65074297999999</v>
      </c>
      <c r="W154" s="4"/>
      <c r="X154" s="4"/>
      <c r="Y154" s="4"/>
      <c r="Z154" s="4"/>
      <c r="AA154" s="4" t="s">
        <v>171</v>
      </c>
      <c r="AB154" s="3" t="str">
        <f>HYPERLINK("https://sitebase.nzcomms.co.nz/spm/spmcandidateview/AKL-006-027-E/","AKL-006-027-E")</f>
        <v>AKL-006-027-E</v>
      </c>
      <c r="AC154" s="4"/>
      <c r="AD154" s="4"/>
      <c r="AE154" s="4"/>
      <c r="AF154" s="4"/>
      <c r="AG154" s="4"/>
      <c r="AH154" s="4" t="s">
        <v>395</v>
      </c>
      <c r="AI154" s="4"/>
      <c r="AJ154" s="4"/>
      <c r="AK154" s="4"/>
      <c r="AL154" s="4"/>
      <c r="AM154" s="4"/>
      <c r="AN154" s="5">
        <v>39267</v>
      </c>
      <c r="AO154" s="4">
        <v>4</v>
      </c>
      <c r="AP154" s="4"/>
      <c r="AQ154" s="5">
        <v>39605</v>
      </c>
      <c r="AR154" s="4"/>
      <c r="AS154" s="4"/>
      <c r="AT154" s="5">
        <v>39419</v>
      </c>
      <c r="AU154" s="5">
        <v>39419</v>
      </c>
      <c r="AV154" s="4">
        <v>1</v>
      </c>
      <c r="AW154" s="5">
        <v>39419</v>
      </c>
      <c r="AX154" s="5">
        <v>39419</v>
      </c>
      <c r="AY154" s="4"/>
      <c r="AZ154" s="4"/>
      <c r="BA154" s="4"/>
      <c r="BB154" s="5">
        <v>39641</v>
      </c>
      <c r="BC154" s="4"/>
      <c r="BD154" s="4"/>
      <c r="BE154" s="5">
        <v>39641</v>
      </c>
      <c r="BF154" s="5">
        <v>39618</v>
      </c>
      <c r="BG154" s="4"/>
      <c r="BH154" s="5">
        <v>39346</v>
      </c>
      <c r="BI154" s="4"/>
      <c r="BJ154" s="5">
        <v>39610</v>
      </c>
      <c r="BK154" s="4">
        <v>2</v>
      </c>
      <c r="BL154" s="4">
        <v>4</v>
      </c>
      <c r="BM154" s="5">
        <v>39619</v>
      </c>
      <c r="BN154" s="5">
        <v>39619</v>
      </c>
      <c r="BO154" s="4"/>
      <c r="BP154" s="4"/>
      <c r="BQ154" s="4"/>
      <c r="BR154" s="4"/>
      <c r="BS154" s="4"/>
      <c r="BT154" s="4"/>
      <c r="BU154" s="5">
        <v>39637</v>
      </c>
      <c r="BV154" s="5">
        <v>39682</v>
      </c>
      <c r="BW154" s="5">
        <v>39682</v>
      </c>
      <c r="BX154" s="4"/>
      <c r="BY154" s="5">
        <v>39694</v>
      </c>
      <c r="BZ154" s="5">
        <v>39688</v>
      </c>
      <c r="CA154" s="4"/>
      <c r="CB154" s="4"/>
      <c r="CC154" s="4"/>
      <c r="CD154" s="4"/>
      <c r="CE154" s="4"/>
      <c r="CF154" s="4"/>
      <c r="CG154" s="4"/>
      <c r="CH154" s="4"/>
      <c r="CI154" s="5">
        <v>39904</v>
      </c>
      <c r="CJ154" s="5">
        <v>39902</v>
      </c>
      <c r="CK154" s="5">
        <v>39904</v>
      </c>
      <c r="CL154" s="4"/>
      <c r="CM154" s="4"/>
      <c r="CN154" s="4"/>
      <c r="CO154" s="4"/>
      <c r="CP154" s="4" t="s">
        <v>157</v>
      </c>
      <c r="CQ154" s="4"/>
      <c r="CR154" s="5">
        <v>39902</v>
      </c>
      <c r="CS154" s="4"/>
      <c r="CT154" s="4"/>
      <c r="CU154" s="4"/>
      <c r="CV154" s="4"/>
      <c r="CW154" s="4"/>
      <c r="CX154" s="4"/>
      <c r="CY154" s="4"/>
      <c r="CZ154" s="4"/>
      <c r="DA154" s="4"/>
      <c r="DB154" s="4"/>
      <c r="DC154" s="4"/>
      <c r="DD154" s="4"/>
      <c r="DE154" s="4"/>
      <c r="DF154" s="4"/>
      <c r="DG154" s="4"/>
      <c r="DH154" s="4"/>
      <c r="DI154" s="4"/>
      <c r="DJ154" s="4" t="b">
        <v>0</v>
      </c>
      <c r="DK154" s="4"/>
      <c r="DL154" s="4">
        <v>2657478</v>
      </c>
      <c r="DM154" s="4">
        <v>6475637</v>
      </c>
      <c r="DN154" s="4" t="s">
        <v>646</v>
      </c>
      <c r="DO154" s="4"/>
      <c r="DP154" s="4"/>
      <c r="DQ154" s="4" t="s">
        <v>148</v>
      </c>
      <c r="DR154" s="4"/>
      <c r="DS154" s="4"/>
      <c r="DT154" s="5">
        <v>41887</v>
      </c>
      <c r="DU154" s="4"/>
      <c r="DV154" s="4"/>
      <c r="DW154" s="4"/>
      <c r="DX154" s="4"/>
      <c r="DY154" s="4"/>
      <c r="DZ154" s="5">
        <v>39622</v>
      </c>
      <c r="EA154" s="4"/>
      <c r="EB154" s="4"/>
      <c r="EC154" s="4"/>
      <c r="ED154" s="4"/>
      <c r="EE154" s="4"/>
      <c r="EF154" s="4"/>
      <c r="EG154" s="4"/>
      <c r="EH154" s="4"/>
      <c r="EI154" s="5">
        <v>39213</v>
      </c>
    </row>
    <row r="155" spans="1:139" hidden="1" x14ac:dyDescent="0.2">
      <c r="A155">
        <f>VLOOKUP(B155,Sheet1!$A$1:$B$18,2,FALSE)</f>
        <v>0</v>
      </c>
      <c r="B155" t="str">
        <f t="shared" si="2"/>
        <v>AKL</v>
      </c>
      <c r="C155" s="2">
        <v>154</v>
      </c>
      <c r="D155" s="3" t="str">
        <f>HYPERLINK("https://sitebase.nzcomms.co.nz/spm/spmnominalview/AKL-006-018/","AKL-006-018")</f>
        <v>AKL-006-018</v>
      </c>
      <c r="E155" s="4"/>
      <c r="F155" s="3" t="str">
        <f>HYPERLINK("https://sitebase.nzcomms.co.nz/spm/spmcandidateview/AKL-006-018-H/","AKL-006-018-H")</f>
        <v>AKL-006-018-H</v>
      </c>
      <c r="G155" s="4" t="s">
        <v>647</v>
      </c>
      <c r="H155" s="4" t="s">
        <v>600</v>
      </c>
      <c r="I155" s="4"/>
      <c r="J155" s="4" t="s">
        <v>139</v>
      </c>
      <c r="K155" s="4" t="s">
        <v>141</v>
      </c>
      <c r="L155" s="4" t="s">
        <v>181</v>
      </c>
      <c r="M155" s="4" t="s">
        <v>442</v>
      </c>
      <c r="N155" s="4" t="s">
        <v>364</v>
      </c>
      <c r="O155" s="4" t="s">
        <v>144</v>
      </c>
      <c r="P155" s="4"/>
      <c r="Q155" s="4"/>
      <c r="R155" s="4">
        <v>9.8000000000000007</v>
      </c>
      <c r="S155" s="4">
        <v>9.8000000000000007</v>
      </c>
      <c r="T155" s="4"/>
      <c r="U155" s="4">
        <v>-36.937672599999999</v>
      </c>
      <c r="V155" s="4">
        <v>174.65722989</v>
      </c>
      <c r="W155" s="4"/>
      <c r="X155" s="4"/>
      <c r="Y155" s="4"/>
      <c r="Z155" s="4"/>
      <c r="AA155" s="4" t="s">
        <v>171</v>
      </c>
      <c r="AB155" s="3" t="str">
        <f>HYPERLINK("https://sitebase.nzcomms.co.nz/spm/spmcandidateview/AKL-007-133-A/","AKL-007-133-A")</f>
        <v>AKL-007-133-A</v>
      </c>
      <c r="AC155" s="4"/>
      <c r="AD155" s="4"/>
      <c r="AE155" s="4"/>
      <c r="AF155" s="4"/>
      <c r="AG155" s="4"/>
      <c r="AH155" s="4" t="s">
        <v>360</v>
      </c>
      <c r="AI155" s="4"/>
      <c r="AJ155" s="4"/>
      <c r="AK155" s="4"/>
      <c r="AL155" s="4"/>
      <c r="AM155" s="4"/>
      <c r="AN155" s="5">
        <v>39870</v>
      </c>
      <c r="AO155" s="4">
        <v>3</v>
      </c>
      <c r="AP155" s="5">
        <v>40016</v>
      </c>
      <c r="AQ155" s="5">
        <v>40016</v>
      </c>
      <c r="AR155" s="4"/>
      <c r="AS155" s="4"/>
      <c r="AT155" s="5">
        <v>40049</v>
      </c>
      <c r="AU155" s="5">
        <v>40045</v>
      </c>
      <c r="AV155" s="4">
        <v>3</v>
      </c>
      <c r="AW155" s="5">
        <v>40147</v>
      </c>
      <c r="AX155" s="5">
        <v>41221</v>
      </c>
      <c r="AY155" s="4"/>
      <c r="AZ155" s="5">
        <v>39878</v>
      </c>
      <c r="BA155" s="4"/>
      <c r="BB155" s="5">
        <v>39941</v>
      </c>
      <c r="BC155" s="4"/>
      <c r="BD155" s="4"/>
      <c r="BE155" s="5">
        <v>40032</v>
      </c>
      <c r="BF155" s="5">
        <v>40038</v>
      </c>
      <c r="BG155" s="5">
        <v>39895</v>
      </c>
      <c r="BH155" s="5">
        <v>39895</v>
      </c>
      <c r="BI155" s="4"/>
      <c r="BJ155" s="5">
        <v>39931</v>
      </c>
      <c r="BK155" s="4">
        <v>2</v>
      </c>
      <c r="BL155" s="4">
        <v>3</v>
      </c>
      <c r="BM155" s="5">
        <v>40044</v>
      </c>
      <c r="BN155" s="5">
        <v>40044</v>
      </c>
      <c r="BO155" s="4"/>
      <c r="BP155" s="4"/>
      <c r="BQ155" s="4"/>
      <c r="BR155" s="4"/>
      <c r="BS155" s="4"/>
      <c r="BT155" s="5">
        <v>40049</v>
      </c>
      <c r="BU155" s="5">
        <v>40049</v>
      </c>
      <c r="BV155" s="5">
        <v>40070</v>
      </c>
      <c r="BW155" s="5">
        <v>40070</v>
      </c>
      <c r="BX155" s="4"/>
      <c r="BY155" s="5">
        <v>40081</v>
      </c>
      <c r="BZ155" s="5">
        <v>40079</v>
      </c>
      <c r="CA155" s="4"/>
      <c r="CB155" s="4"/>
      <c r="CC155" s="4"/>
      <c r="CD155" s="4"/>
      <c r="CE155" s="4"/>
      <c r="CF155" s="4"/>
      <c r="CG155" s="4"/>
      <c r="CH155" s="4"/>
      <c r="CI155" s="5">
        <v>40080</v>
      </c>
      <c r="CJ155" s="5">
        <v>40081</v>
      </c>
      <c r="CK155" s="5">
        <v>40080</v>
      </c>
      <c r="CL155" s="4"/>
      <c r="CM155" s="4"/>
      <c r="CN155" s="4"/>
      <c r="CO155" s="4"/>
      <c r="CP155" s="4" t="s">
        <v>648</v>
      </c>
      <c r="CQ155" s="4"/>
      <c r="CR155" s="5">
        <v>40081</v>
      </c>
      <c r="CS155" s="4"/>
      <c r="CT155" s="4"/>
      <c r="CU155" s="4"/>
      <c r="CV155" s="4"/>
      <c r="CW155" s="4"/>
      <c r="CX155" s="4"/>
      <c r="CY155" s="4"/>
      <c r="CZ155" s="4"/>
      <c r="DA155" s="4"/>
      <c r="DB155" s="4"/>
      <c r="DC155" s="4"/>
      <c r="DD155" s="4"/>
      <c r="DE155" s="4"/>
      <c r="DF155" s="4"/>
      <c r="DG155" s="4"/>
      <c r="DH155" s="4"/>
      <c r="DI155" s="4"/>
      <c r="DJ155" s="4" t="b">
        <v>0</v>
      </c>
      <c r="DK155" s="4"/>
      <c r="DL155" s="4">
        <v>2657995</v>
      </c>
      <c r="DM155" s="4">
        <v>6472475</v>
      </c>
      <c r="DN155" s="4" t="s">
        <v>649</v>
      </c>
      <c r="DO155" s="4"/>
      <c r="DP155" s="4"/>
      <c r="DQ155" s="4" t="s">
        <v>148</v>
      </c>
      <c r="DR155" s="4"/>
      <c r="DS155" s="4"/>
      <c r="DT155" s="4"/>
      <c r="DU155" s="4"/>
      <c r="DV155" s="4"/>
      <c r="DW155" s="4"/>
      <c r="DX155" s="4"/>
      <c r="DY155" s="5">
        <v>40049</v>
      </c>
      <c r="DZ155" s="5">
        <v>40049</v>
      </c>
      <c r="EA155" s="4"/>
      <c r="EB155" s="4"/>
      <c r="EC155" s="4"/>
      <c r="ED155" s="4"/>
      <c r="EE155" s="4"/>
      <c r="EF155" s="4"/>
      <c r="EG155" s="4"/>
      <c r="EH155" s="4"/>
      <c r="EI155" s="5">
        <v>39834</v>
      </c>
    </row>
    <row r="156" spans="1:139" hidden="1" x14ac:dyDescent="0.2">
      <c r="A156">
        <f>VLOOKUP(B156,Sheet1!$A$1:$B$18,2,FALSE)</f>
        <v>0</v>
      </c>
      <c r="B156" t="str">
        <f t="shared" si="2"/>
        <v>AKL</v>
      </c>
      <c r="C156" s="2">
        <v>155</v>
      </c>
      <c r="D156" s="3" t="str">
        <f>HYPERLINK("https://sitebase.nzcomms.co.nz/spm/spmnominalview/AKL-006-019/","AKL-006-019")</f>
        <v>AKL-006-019</v>
      </c>
      <c r="E156" s="4"/>
      <c r="F156" s="3" t="str">
        <f>HYPERLINK("https://sitebase.nzcomms.co.nz/spm/spmcandidateview/AKL-006-019-A/","AKL-006-019-A")</f>
        <v>AKL-006-019-A</v>
      </c>
      <c r="G156" s="4" t="s">
        <v>650</v>
      </c>
      <c r="H156" s="4" t="s">
        <v>600</v>
      </c>
      <c r="I156" s="4"/>
      <c r="J156" s="4" t="s">
        <v>139</v>
      </c>
      <c r="K156" s="4" t="s">
        <v>141</v>
      </c>
      <c r="L156" s="4" t="s">
        <v>150</v>
      </c>
      <c r="M156" s="4" t="s">
        <v>143</v>
      </c>
      <c r="N156" s="4" t="s">
        <v>156</v>
      </c>
      <c r="O156" s="4" t="s">
        <v>144</v>
      </c>
      <c r="P156" s="4"/>
      <c r="Q156" s="4"/>
      <c r="R156" s="4">
        <v>20</v>
      </c>
      <c r="S156" s="4">
        <v>20</v>
      </c>
      <c r="T156" s="4"/>
      <c r="U156" s="4">
        <v>-36.79344038</v>
      </c>
      <c r="V156" s="4">
        <v>174.61514054</v>
      </c>
      <c r="W156" s="4"/>
      <c r="X156" s="4"/>
      <c r="Y156" s="4"/>
      <c r="Z156" s="4"/>
      <c r="AA156" s="4"/>
      <c r="AB156" s="4"/>
      <c r="AC156" s="4"/>
      <c r="AD156" s="4"/>
      <c r="AE156" s="4"/>
      <c r="AF156" s="4"/>
      <c r="AG156" s="4"/>
      <c r="AH156" s="4"/>
      <c r="AI156" s="4"/>
      <c r="AJ156" s="4"/>
      <c r="AK156" s="4"/>
      <c r="AL156" s="4"/>
      <c r="AM156" s="4"/>
      <c r="AN156" s="5">
        <v>39302</v>
      </c>
      <c r="AO156" s="4">
        <v>1</v>
      </c>
      <c r="AP156" s="4"/>
      <c r="AQ156" s="5">
        <v>39302</v>
      </c>
      <c r="AR156" s="4"/>
      <c r="AS156" s="4"/>
      <c r="AT156" s="5">
        <v>39491</v>
      </c>
      <c r="AU156" s="5">
        <v>39491</v>
      </c>
      <c r="AV156" s="4">
        <v>1</v>
      </c>
      <c r="AW156" s="5">
        <v>39491</v>
      </c>
      <c r="AX156" s="5">
        <v>39491</v>
      </c>
      <c r="AY156" s="4"/>
      <c r="AZ156" s="4"/>
      <c r="BA156" s="4"/>
      <c r="BB156" s="5">
        <v>39691</v>
      </c>
      <c r="BC156" s="4"/>
      <c r="BD156" s="4"/>
      <c r="BE156" s="5">
        <v>39691</v>
      </c>
      <c r="BF156" s="5">
        <v>40261</v>
      </c>
      <c r="BG156" s="4"/>
      <c r="BH156" s="5">
        <v>39346</v>
      </c>
      <c r="BI156" s="4"/>
      <c r="BJ156" s="5">
        <v>39479</v>
      </c>
      <c r="BK156" s="4">
        <v>4</v>
      </c>
      <c r="BL156" s="4">
        <v>1</v>
      </c>
      <c r="BM156" s="5">
        <v>39840</v>
      </c>
      <c r="BN156" s="5">
        <v>39840</v>
      </c>
      <c r="BO156" s="4"/>
      <c r="BP156" s="4"/>
      <c r="BQ156" s="4"/>
      <c r="BR156" s="4"/>
      <c r="BS156" s="4"/>
      <c r="BT156" s="4"/>
      <c r="BU156" s="5">
        <v>39657</v>
      </c>
      <c r="BV156" s="5">
        <v>39710</v>
      </c>
      <c r="BW156" s="5">
        <v>39708</v>
      </c>
      <c r="BX156" s="4"/>
      <c r="BY156" s="5">
        <v>39717</v>
      </c>
      <c r="BZ156" s="5">
        <v>39708</v>
      </c>
      <c r="CA156" s="4"/>
      <c r="CB156" s="4"/>
      <c r="CC156" s="4"/>
      <c r="CD156" s="4"/>
      <c r="CE156" s="4"/>
      <c r="CF156" s="4"/>
      <c r="CG156" s="4"/>
      <c r="CH156" s="4"/>
      <c r="CI156" s="5">
        <v>39932</v>
      </c>
      <c r="CJ156" s="5">
        <v>39941</v>
      </c>
      <c r="CK156" s="5">
        <v>39932</v>
      </c>
      <c r="CL156" s="4"/>
      <c r="CM156" s="4"/>
      <c r="CN156" s="4"/>
      <c r="CO156" s="4"/>
      <c r="CP156" s="4" t="s">
        <v>157</v>
      </c>
      <c r="CQ156" s="4"/>
      <c r="CR156" s="5">
        <v>39941</v>
      </c>
      <c r="CS156" s="4"/>
      <c r="CT156" s="4"/>
      <c r="CU156" s="4"/>
      <c r="CV156" s="4"/>
      <c r="CW156" s="4"/>
      <c r="CX156" s="4"/>
      <c r="CY156" s="4"/>
      <c r="CZ156" s="4"/>
      <c r="DA156" s="4"/>
      <c r="DB156" s="4"/>
      <c r="DC156" s="4"/>
      <c r="DD156" s="4"/>
      <c r="DE156" s="4"/>
      <c r="DF156" s="4"/>
      <c r="DG156" s="4"/>
      <c r="DH156" s="4"/>
      <c r="DI156" s="4"/>
      <c r="DJ156" s="4" t="b">
        <v>0</v>
      </c>
      <c r="DK156" s="4"/>
      <c r="DL156" s="4">
        <v>2654549</v>
      </c>
      <c r="DM156" s="4">
        <v>6488550</v>
      </c>
      <c r="DN156" s="4" t="s">
        <v>651</v>
      </c>
      <c r="DO156" s="4"/>
      <c r="DP156" s="4"/>
      <c r="DQ156" s="4" t="s">
        <v>148</v>
      </c>
      <c r="DR156" s="4"/>
      <c r="DS156" s="4"/>
      <c r="DT156" s="4"/>
      <c r="DU156" s="4"/>
      <c r="DV156" s="4"/>
      <c r="DW156" s="4"/>
      <c r="DX156" s="4"/>
      <c r="DY156" s="4"/>
      <c r="DZ156" s="5">
        <v>39654</v>
      </c>
      <c r="EA156" s="4"/>
      <c r="EB156" s="4"/>
      <c r="EC156" s="4"/>
      <c r="ED156" s="4"/>
      <c r="EE156" s="4"/>
      <c r="EF156" s="4"/>
      <c r="EG156" s="4"/>
      <c r="EH156" s="4"/>
      <c r="EI156" s="5">
        <v>39270</v>
      </c>
    </row>
    <row r="157" spans="1:139" hidden="1" x14ac:dyDescent="0.2">
      <c r="A157">
        <f>VLOOKUP(B157,Sheet1!$A$1:$B$18,2,FALSE)</f>
        <v>0</v>
      </c>
      <c r="B157" t="str">
        <f t="shared" si="2"/>
        <v>AKL</v>
      </c>
      <c r="C157" s="2">
        <v>156</v>
      </c>
      <c r="D157" s="3" t="str">
        <f>HYPERLINK("https://sitebase.nzcomms.co.nz/spm/spmnominalview/AKL-006-020/","AKL-006-020")</f>
        <v>AKL-006-020</v>
      </c>
      <c r="E157" s="4"/>
      <c r="F157" s="3" t="str">
        <f>HYPERLINK("https://sitebase.nzcomms.co.nz/spm/spmcandidateview/AKL-006-020-A/","AKL-006-020-A")</f>
        <v>AKL-006-020-A</v>
      </c>
      <c r="G157" s="4" t="s">
        <v>652</v>
      </c>
      <c r="H157" s="4" t="s">
        <v>600</v>
      </c>
      <c r="I157" s="4"/>
      <c r="J157" s="4" t="s">
        <v>139</v>
      </c>
      <c r="K157" s="4" t="s">
        <v>141</v>
      </c>
      <c r="L157" s="4" t="s">
        <v>189</v>
      </c>
      <c r="M157" s="4" t="s">
        <v>143</v>
      </c>
      <c r="N157" s="4" t="s">
        <v>355</v>
      </c>
      <c r="O157" s="4" t="s">
        <v>356</v>
      </c>
      <c r="P157" s="4"/>
      <c r="Q157" s="4"/>
      <c r="R157" s="4">
        <v>14</v>
      </c>
      <c r="S157" s="4">
        <v>14</v>
      </c>
      <c r="T157" s="4"/>
      <c r="U157" s="4">
        <v>-36.80123356</v>
      </c>
      <c r="V157" s="4">
        <v>174.64060788</v>
      </c>
      <c r="W157" s="4"/>
      <c r="X157" s="4"/>
      <c r="Y157" s="4"/>
      <c r="Z157" s="4"/>
      <c r="AA157" s="4" t="s">
        <v>152</v>
      </c>
      <c r="AB157" s="3" t="str">
        <f>HYPERLINK("https://sitebase.nzcomms.co.nz/spm/spmcandidateview/AKL-007-106-A/","AKL-007-106-A")</f>
        <v>AKL-007-106-A</v>
      </c>
      <c r="AC157" s="4"/>
      <c r="AD157" s="4"/>
      <c r="AE157" s="4"/>
      <c r="AF157" s="4"/>
      <c r="AG157" s="4"/>
      <c r="AH157" s="4"/>
      <c r="AI157" s="4"/>
      <c r="AJ157" s="4"/>
      <c r="AK157" s="4"/>
      <c r="AL157" s="4"/>
      <c r="AM157" s="4"/>
      <c r="AN157" s="5">
        <v>39293</v>
      </c>
      <c r="AO157" s="4">
        <v>3</v>
      </c>
      <c r="AP157" s="4"/>
      <c r="AQ157" s="5">
        <v>39569</v>
      </c>
      <c r="AR157" s="4"/>
      <c r="AS157" s="4"/>
      <c r="AT157" s="5">
        <v>39721</v>
      </c>
      <c r="AU157" s="5">
        <v>39722</v>
      </c>
      <c r="AV157" s="4">
        <v>3</v>
      </c>
      <c r="AW157" s="5">
        <v>39721</v>
      </c>
      <c r="AX157" s="5">
        <v>39722</v>
      </c>
      <c r="AY157" s="4"/>
      <c r="AZ157" s="4"/>
      <c r="BA157" s="4"/>
      <c r="BB157" s="5">
        <v>39660</v>
      </c>
      <c r="BC157" s="4"/>
      <c r="BD157" s="4"/>
      <c r="BE157" s="5">
        <v>39660</v>
      </c>
      <c r="BF157" s="5">
        <v>39688</v>
      </c>
      <c r="BG157" s="4"/>
      <c r="BH157" s="5">
        <v>39548</v>
      </c>
      <c r="BI157" s="4"/>
      <c r="BJ157" s="5">
        <v>39568</v>
      </c>
      <c r="BK157" s="4">
        <v>2</v>
      </c>
      <c r="BL157" s="4">
        <v>3</v>
      </c>
      <c r="BM157" s="5">
        <v>39580</v>
      </c>
      <c r="BN157" s="5">
        <v>39580</v>
      </c>
      <c r="BO157" s="4"/>
      <c r="BP157" s="4"/>
      <c r="BQ157" s="4"/>
      <c r="BR157" s="4"/>
      <c r="BS157" s="4"/>
      <c r="BT157" s="4"/>
      <c r="BU157" s="5">
        <v>39720</v>
      </c>
      <c r="BV157" s="5">
        <v>39730</v>
      </c>
      <c r="BW157" s="5">
        <v>39730</v>
      </c>
      <c r="BX157" s="4"/>
      <c r="BY157" s="4"/>
      <c r="BZ157" s="5">
        <v>39730</v>
      </c>
      <c r="CA157" s="4"/>
      <c r="CB157" s="4"/>
      <c r="CC157" s="4"/>
      <c r="CD157" s="4"/>
      <c r="CE157" s="4"/>
      <c r="CF157" s="4"/>
      <c r="CG157" s="4"/>
      <c r="CH157" s="4"/>
      <c r="CI157" s="5">
        <v>39931</v>
      </c>
      <c r="CJ157" s="5">
        <v>39941</v>
      </c>
      <c r="CK157" s="5">
        <v>39931</v>
      </c>
      <c r="CL157" s="4"/>
      <c r="CM157" s="4"/>
      <c r="CN157" s="4"/>
      <c r="CO157" s="4"/>
      <c r="CP157" s="4" t="s">
        <v>157</v>
      </c>
      <c r="CQ157" s="4"/>
      <c r="CR157" s="5">
        <v>39941</v>
      </c>
      <c r="CS157" s="4"/>
      <c r="CT157" s="4"/>
      <c r="CU157" s="4"/>
      <c r="CV157" s="4"/>
      <c r="CW157" s="4"/>
      <c r="CX157" s="4"/>
      <c r="CY157" s="4"/>
      <c r="CZ157" s="4"/>
      <c r="DA157" s="4"/>
      <c r="DB157" s="4"/>
      <c r="DC157" s="4"/>
      <c r="DD157" s="4"/>
      <c r="DE157" s="4"/>
      <c r="DF157" s="4"/>
      <c r="DG157" s="4"/>
      <c r="DH157" s="4"/>
      <c r="DI157" s="4"/>
      <c r="DJ157" s="4" t="b">
        <v>0</v>
      </c>
      <c r="DK157" s="4"/>
      <c r="DL157" s="4">
        <v>2656805</v>
      </c>
      <c r="DM157" s="4">
        <v>6487642</v>
      </c>
      <c r="DN157" s="4" t="s">
        <v>653</v>
      </c>
      <c r="DO157" s="4"/>
      <c r="DP157" s="4"/>
      <c r="DQ157" s="4" t="s">
        <v>148</v>
      </c>
      <c r="DR157" s="4"/>
      <c r="DS157" s="4"/>
      <c r="DT157" s="5">
        <v>42348</v>
      </c>
      <c r="DU157" s="4"/>
      <c r="DV157" s="4"/>
      <c r="DW157" s="4"/>
      <c r="DX157" s="4"/>
      <c r="DY157" s="4"/>
      <c r="DZ157" s="5">
        <v>39720</v>
      </c>
      <c r="EA157" s="4"/>
      <c r="EB157" s="4"/>
      <c r="EC157" s="4"/>
      <c r="ED157" s="4"/>
      <c r="EE157" s="4"/>
      <c r="EF157" s="4"/>
      <c r="EG157" s="4"/>
      <c r="EH157" s="4"/>
      <c r="EI157" s="5">
        <v>39272</v>
      </c>
    </row>
    <row r="158" spans="1:139" hidden="1" x14ac:dyDescent="0.2">
      <c r="A158">
        <f>VLOOKUP(B158,Sheet1!$A$1:$B$18,2,FALSE)</f>
        <v>0</v>
      </c>
      <c r="B158" t="str">
        <f t="shared" si="2"/>
        <v>AKL</v>
      </c>
      <c r="C158" s="2">
        <v>157</v>
      </c>
      <c r="D158" s="3" t="str">
        <f>HYPERLINK("https://sitebase.nzcomms.co.nz/spm/spmnominalview/AKL-006-021/","AKL-006-021")</f>
        <v>AKL-006-021</v>
      </c>
      <c r="E158" s="4"/>
      <c r="F158" s="3" t="str">
        <f>HYPERLINK("https://sitebase.nzcomms.co.nz/spm/spmcandidateview/AKL-006-021-E/","AKL-006-021-E")</f>
        <v>AKL-006-021-E</v>
      </c>
      <c r="G158" s="4" t="s">
        <v>654</v>
      </c>
      <c r="H158" s="4" t="s">
        <v>600</v>
      </c>
      <c r="I158" s="4"/>
      <c r="J158" s="4" t="s">
        <v>139</v>
      </c>
      <c r="K158" s="4" t="s">
        <v>141</v>
      </c>
      <c r="L158" s="4" t="s">
        <v>150</v>
      </c>
      <c r="M158" s="4" t="s">
        <v>354</v>
      </c>
      <c r="N158" s="4" t="s">
        <v>156</v>
      </c>
      <c r="O158" s="4" t="s">
        <v>356</v>
      </c>
      <c r="P158" s="4"/>
      <c r="Q158" s="4"/>
      <c r="R158" s="4">
        <v>20</v>
      </c>
      <c r="S158" s="4">
        <v>20</v>
      </c>
      <c r="T158" s="4"/>
      <c r="U158" s="4">
        <v>-36.888133330000002</v>
      </c>
      <c r="V158" s="4">
        <v>174.66219609999999</v>
      </c>
      <c r="W158" s="4"/>
      <c r="X158" s="4"/>
      <c r="Y158" s="4"/>
      <c r="Z158" s="4"/>
      <c r="AA158" s="4" t="s">
        <v>171</v>
      </c>
      <c r="AB158" s="3" t="str">
        <f>HYPERLINK("https://sitebase.nzcomms.co.nz/spm/spmcandidateview/AKL-007-129-B/","AKL-007-129-B")</f>
        <v>AKL-007-129-B</v>
      </c>
      <c r="AC158" s="4"/>
      <c r="AD158" s="4"/>
      <c r="AE158" s="4"/>
      <c r="AF158" s="4"/>
      <c r="AG158" s="4"/>
      <c r="AH158" s="4"/>
      <c r="AI158" s="4"/>
      <c r="AJ158" s="4"/>
      <c r="AK158" s="4"/>
      <c r="AL158" s="4"/>
      <c r="AM158" s="4"/>
      <c r="AN158" s="5">
        <v>39505</v>
      </c>
      <c r="AO158" s="4">
        <v>2</v>
      </c>
      <c r="AP158" s="5">
        <v>39534</v>
      </c>
      <c r="AQ158" s="5">
        <v>39534</v>
      </c>
      <c r="AR158" s="4"/>
      <c r="AS158" s="4"/>
      <c r="AT158" s="5">
        <v>39542</v>
      </c>
      <c r="AU158" s="5">
        <v>39542</v>
      </c>
      <c r="AV158" s="4">
        <v>1</v>
      </c>
      <c r="AW158" s="5">
        <v>39542</v>
      </c>
      <c r="AX158" s="5">
        <v>39542</v>
      </c>
      <c r="AY158" s="4"/>
      <c r="AZ158" s="4"/>
      <c r="BA158" s="4"/>
      <c r="BB158" s="5">
        <v>39629</v>
      </c>
      <c r="BC158" s="4"/>
      <c r="BD158" s="4"/>
      <c r="BE158" s="5">
        <v>39629</v>
      </c>
      <c r="BF158" s="5">
        <v>39596</v>
      </c>
      <c r="BG158" s="4"/>
      <c r="BH158" s="5">
        <v>39539</v>
      </c>
      <c r="BI158" s="4"/>
      <c r="BJ158" s="5">
        <v>39626</v>
      </c>
      <c r="BK158" s="4">
        <v>2</v>
      </c>
      <c r="BL158" s="4">
        <v>2</v>
      </c>
      <c r="BM158" s="5">
        <v>39644</v>
      </c>
      <c r="BN158" s="5">
        <v>39644</v>
      </c>
      <c r="BO158" s="4"/>
      <c r="BP158" s="4"/>
      <c r="BQ158" s="4"/>
      <c r="BR158" s="4"/>
      <c r="BS158" s="4"/>
      <c r="BT158" s="4"/>
      <c r="BU158" s="5">
        <v>39643</v>
      </c>
      <c r="BV158" s="5">
        <v>39679</v>
      </c>
      <c r="BW158" s="5">
        <v>39675</v>
      </c>
      <c r="BX158" s="4"/>
      <c r="BY158" s="5">
        <v>39682</v>
      </c>
      <c r="BZ158" s="5">
        <v>39682</v>
      </c>
      <c r="CA158" s="4"/>
      <c r="CB158" s="4"/>
      <c r="CC158" s="4"/>
      <c r="CD158" s="4"/>
      <c r="CE158" s="4"/>
      <c r="CF158" s="4"/>
      <c r="CG158" s="4"/>
      <c r="CH158" s="4"/>
      <c r="CI158" s="5">
        <v>39861</v>
      </c>
      <c r="CJ158" s="5">
        <v>39853</v>
      </c>
      <c r="CK158" s="5">
        <v>39861</v>
      </c>
      <c r="CL158" s="4"/>
      <c r="CM158" s="4"/>
      <c r="CN158" s="4"/>
      <c r="CO158" s="4"/>
      <c r="CP158" s="4" t="s">
        <v>428</v>
      </c>
      <c r="CQ158" s="4"/>
      <c r="CR158" s="5">
        <v>39853</v>
      </c>
      <c r="CS158" s="4"/>
      <c r="CT158" s="4"/>
      <c r="CU158" s="4"/>
      <c r="CV158" s="4"/>
      <c r="CW158" s="4"/>
      <c r="CX158" s="4"/>
      <c r="CY158" s="4"/>
      <c r="CZ158" s="4"/>
      <c r="DA158" s="4"/>
      <c r="DB158" s="4"/>
      <c r="DC158" s="4"/>
      <c r="DD158" s="4"/>
      <c r="DE158" s="4"/>
      <c r="DF158" s="4"/>
      <c r="DG158" s="4"/>
      <c r="DH158" s="4"/>
      <c r="DI158" s="4"/>
      <c r="DJ158" s="4" t="b">
        <v>0</v>
      </c>
      <c r="DK158" s="4"/>
      <c r="DL158" s="4">
        <v>2658544</v>
      </c>
      <c r="DM158" s="4">
        <v>6477963</v>
      </c>
      <c r="DN158" s="4" t="s">
        <v>655</v>
      </c>
      <c r="DO158" s="4"/>
      <c r="DP158" s="4"/>
      <c r="DQ158" s="4" t="s">
        <v>148</v>
      </c>
      <c r="DR158" s="4"/>
      <c r="DS158" s="4"/>
      <c r="DT158" s="5">
        <v>41887</v>
      </c>
      <c r="DU158" s="4"/>
      <c r="DV158" s="4"/>
      <c r="DW158" s="4"/>
      <c r="DX158" s="4"/>
      <c r="DY158" s="4"/>
      <c r="DZ158" s="5">
        <v>39629</v>
      </c>
      <c r="EA158" s="4"/>
      <c r="EB158" s="4"/>
      <c r="EC158" s="4"/>
      <c r="ED158" s="4"/>
      <c r="EE158" s="4"/>
      <c r="EF158" s="4"/>
      <c r="EG158" s="4"/>
      <c r="EH158" s="4"/>
      <c r="EI158" s="5">
        <v>39465</v>
      </c>
    </row>
    <row r="159" spans="1:139" hidden="1" x14ac:dyDescent="0.2">
      <c r="A159">
        <f>VLOOKUP(B159,Sheet1!$A$1:$B$18,2,FALSE)</f>
        <v>0</v>
      </c>
      <c r="B159" t="str">
        <f t="shared" si="2"/>
        <v>AKL</v>
      </c>
      <c r="C159" s="2">
        <v>158</v>
      </c>
      <c r="D159" s="3" t="str">
        <f>HYPERLINK("https://sitebase.nzcomms.co.nz/spm/spmnominalview/AKL-006-023/","AKL-006-023")</f>
        <v>AKL-006-023</v>
      </c>
      <c r="E159" s="4"/>
      <c r="F159" s="3" t="str">
        <f>HYPERLINK("https://sitebase.nzcomms.co.nz/spm/spmcandidateview/AKL-006-023-A/","AKL-006-023-A")</f>
        <v>AKL-006-023-A</v>
      </c>
      <c r="G159" s="4" t="s">
        <v>656</v>
      </c>
      <c r="H159" s="4" t="s">
        <v>600</v>
      </c>
      <c r="I159" s="4"/>
      <c r="J159" s="4" t="s">
        <v>139</v>
      </c>
      <c r="K159" s="4" t="s">
        <v>141</v>
      </c>
      <c r="L159" s="4" t="s">
        <v>150</v>
      </c>
      <c r="M159" s="4" t="s">
        <v>354</v>
      </c>
      <c r="N159" s="4" t="s">
        <v>156</v>
      </c>
      <c r="O159" s="4" t="s">
        <v>144</v>
      </c>
      <c r="P159" s="4"/>
      <c r="Q159" s="4"/>
      <c r="R159" s="4">
        <v>25</v>
      </c>
      <c r="S159" s="4">
        <v>25</v>
      </c>
      <c r="T159" s="4"/>
      <c r="U159" s="4">
        <v>-36.907486460000001</v>
      </c>
      <c r="V159" s="4">
        <v>174.63640179999999</v>
      </c>
      <c r="W159" s="4"/>
      <c r="X159" s="4"/>
      <c r="Y159" s="4"/>
      <c r="Z159" s="4"/>
      <c r="AA159" s="4" t="s">
        <v>217</v>
      </c>
      <c r="AB159" s="4" t="s">
        <v>657</v>
      </c>
      <c r="AC159" s="4"/>
      <c r="AD159" s="4"/>
      <c r="AE159" s="4"/>
      <c r="AF159" s="4"/>
      <c r="AG159" s="4"/>
      <c r="AH159" s="4" t="s">
        <v>658</v>
      </c>
      <c r="AI159" s="4"/>
      <c r="AJ159" s="4"/>
      <c r="AK159" s="4"/>
      <c r="AL159" s="4"/>
      <c r="AM159" s="4"/>
      <c r="AN159" s="5">
        <v>39264</v>
      </c>
      <c r="AO159" s="4">
        <v>1</v>
      </c>
      <c r="AP159" s="5">
        <v>39264</v>
      </c>
      <c r="AQ159" s="5">
        <v>39264</v>
      </c>
      <c r="AR159" s="4"/>
      <c r="AS159" s="4"/>
      <c r="AT159" s="5">
        <v>39290</v>
      </c>
      <c r="AU159" s="5">
        <v>39290</v>
      </c>
      <c r="AV159" s="4">
        <v>1</v>
      </c>
      <c r="AW159" s="5">
        <v>39290</v>
      </c>
      <c r="AX159" s="5">
        <v>39290</v>
      </c>
      <c r="AY159" s="4"/>
      <c r="AZ159" s="4"/>
      <c r="BA159" s="4"/>
      <c r="BB159" s="5">
        <v>39386</v>
      </c>
      <c r="BC159" s="4"/>
      <c r="BD159" s="4"/>
      <c r="BE159" s="5">
        <v>39386</v>
      </c>
      <c r="BF159" s="5">
        <v>39386</v>
      </c>
      <c r="BG159" s="4"/>
      <c r="BH159" s="5">
        <v>39468</v>
      </c>
      <c r="BI159" s="4"/>
      <c r="BJ159" s="5">
        <v>39427</v>
      </c>
      <c r="BK159" s="4">
        <v>1</v>
      </c>
      <c r="BL159" s="4">
        <v>1</v>
      </c>
      <c r="BM159" s="5">
        <v>39427</v>
      </c>
      <c r="BN159" s="5">
        <v>39427</v>
      </c>
      <c r="BO159" s="4"/>
      <c r="BP159" s="4"/>
      <c r="BQ159" s="4"/>
      <c r="BR159" s="4"/>
      <c r="BS159" s="4"/>
      <c r="BT159" s="4"/>
      <c r="BU159" s="5">
        <v>39552</v>
      </c>
      <c r="BV159" s="5">
        <v>39575</v>
      </c>
      <c r="BW159" s="5">
        <v>39575</v>
      </c>
      <c r="BX159" s="4"/>
      <c r="BY159" s="5">
        <v>39591</v>
      </c>
      <c r="BZ159" s="5">
        <v>39591</v>
      </c>
      <c r="CA159" s="4"/>
      <c r="CB159" s="4"/>
      <c r="CC159" s="4"/>
      <c r="CD159" s="4"/>
      <c r="CE159" s="4"/>
      <c r="CF159" s="4"/>
      <c r="CG159" s="4"/>
      <c r="CH159" s="4"/>
      <c r="CI159" s="5">
        <v>39904</v>
      </c>
      <c r="CJ159" s="5">
        <v>39905</v>
      </c>
      <c r="CK159" s="5">
        <v>39904</v>
      </c>
      <c r="CL159" s="4"/>
      <c r="CM159" s="4"/>
      <c r="CN159" s="4"/>
      <c r="CO159" s="4"/>
      <c r="CP159" s="4" t="s">
        <v>659</v>
      </c>
      <c r="CQ159" s="4"/>
      <c r="CR159" s="5">
        <v>39903</v>
      </c>
      <c r="CS159" s="4"/>
      <c r="CT159" s="4"/>
      <c r="CU159" s="4"/>
      <c r="CV159" s="4"/>
      <c r="CW159" s="4"/>
      <c r="CX159" s="4"/>
      <c r="CY159" s="4"/>
      <c r="CZ159" s="4"/>
      <c r="DA159" s="4"/>
      <c r="DB159" s="4"/>
      <c r="DC159" s="4"/>
      <c r="DD159" s="4"/>
      <c r="DE159" s="4"/>
      <c r="DF159" s="4"/>
      <c r="DG159" s="4"/>
      <c r="DH159" s="4"/>
      <c r="DI159" s="4"/>
      <c r="DJ159" s="4" t="b">
        <v>0</v>
      </c>
      <c r="DK159" s="4"/>
      <c r="DL159" s="4">
        <v>2656204</v>
      </c>
      <c r="DM159" s="4">
        <v>6475860</v>
      </c>
      <c r="DN159" s="4" t="s">
        <v>660</v>
      </c>
      <c r="DO159" s="4"/>
      <c r="DP159" s="4"/>
      <c r="DQ159" s="4" t="s">
        <v>148</v>
      </c>
      <c r="DR159" s="4"/>
      <c r="DS159" s="4"/>
      <c r="DT159" s="5">
        <v>41887</v>
      </c>
      <c r="DU159" s="4"/>
      <c r="DV159" s="4"/>
      <c r="DW159" s="4"/>
      <c r="DX159" s="4"/>
      <c r="DY159" s="4"/>
      <c r="DZ159" s="5">
        <v>39428</v>
      </c>
      <c r="EA159" s="4"/>
      <c r="EB159" s="4"/>
      <c r="EC159" s="4"/>
      <c r="ED159" s="4"/>
      <c r="EE159" s="4"/>
      <c r="EF159" s="4"/>
      <c r="EG159" s="4"/>
      <c r="EH159" s="4"/>
      <c r="EI159" s="5">
        <v>39216</v>
      </c>
    </row>
    <row r="160" spans="1:139" hidden="1" x14ac:dyDescent="0.2">
      <c r="A160">
        <f>VLOOKUP(B160,Sheet1!$A$1:$B$18,2,FALSE)</f>
        <v>0</v>
      </c>
      <c r="B160" t="str">
        <f t="shared" si="2"/>
        <v>AKL</v>
      </c>
      <c r="C160" s="2">
        <v>159</v>
      </c>
      <c r="D160" s="3" t="str">
        <f>HYPERLINK("https://sitebase.nzcomms.co.nz/spm/spmnominalview/AKL-006-024/","AKL-006-024")</f>
        <v>AKL-006-024</v>
      </c>
      <c r="E160" s="4"/>
      <c r="F160" s="3" t="str">
        <f>HYPERLINK("https://sitebase.nzcomms.co.nz/spm/spmcandidateview/AKL-006-024-D/","AKL-006-024-D")</f>
        <v>AKL-006-024-D</v>
      </c>
      <c r="G160" s="4" t="s">
        <v>661</v>
      </c>
      <c r="H160" s="4" t="s">
        <v>600</v>
      </c>
      <c r="I160" s="4"/>
      <c r="J160" s="4" t="s">
        <v>139</v>
      </c>
      <c r="K160" s="4" t="s">
        <v>141</v>
      </c>
      <c r="L160" s="4" t="s">
        <v>150</v>
      </c>
      <c r="M160" s="4" t="s">
        <v>354</v>
      </c>
      <c r="N160" s="4" t="s">
        <v>291</v>
      </c>
      <c r="O160" s="4" t="s">
        <v>144</v>
      </c>
      <c r="P160" s="4"/>
      <c r="Q160" s="4"/>
      <c r="R160" s="4">
        <v>20</v>
      </c>
      <c r="S160" s="4">
        <v>20</v>
      </c>
      <c r="T160" s="4"/>
      <c r="U160" s="4">
        <v>-36.877778079999999</v>
      </c>
      <c r="V160" s="4">
        <v>174.65173677999999</v>
      </c>
      <c r="W160" s="4"/>
      <c r="X160" s="4"/>
      <c r="Y160" s="4"/>
      <c r="Z160" s="4"/>
      <c r="AA160" s="4" t="s">
        <v>152</v>
      </c>
      <c r="AB160" s="3" t="str">
        <f>HYPERLINK("https://sitebase.nzcomms.co.nz/spm/spmcandidateview/AKL-007-106-A/","AKL-007-106-A")</f>
        <v>AKL-007-106-A</v>
      </c>
      <c r="AC160" s="4"/>
      <c r="AD160" s="4"/>
      <c r="AE160" s="4"/>
      <c r="AF160" s="4"/>
      <c r="AG160" s="4"/>
      <c r="AH160" s="4"/>
      <c r="AI160" s="4"/>
      <c r="AJ160" s="4"/>
      <c r="AK160" s="4"/>
      <c r="AL160" s="4"/>
      <c r="AM160" s="4"/>
      <c r="AN160" s="5">
        <v>39559</v>
      </c>
      <c r="AO160" s="4">
        <v>1</v>
      </c>
      <c r="AP160" s="4"/>
      <c r="AQ160" s="5">
        <v>39559</v>
      </c>
      <c r="AR160" s="4"/>
      <c r="AS160" s="4"/>
      <c r="AT160" s="5">
        <v>39567</v>
      </c>
      <c r="AU160" s="5">
        <v>39567</v>
      </c>
      <c r="AV160" s="4">
        <v>1</v>
      </c>
      <c r="AW160" s="5">
        <v>39567</v>
      </c>
      <c r="AX160" s="5">
        <v>39567</v>
      </c>
      <c r="AY160" s="4"/>
      <c r="AZ160" s="4"/>
      <c r="BA160" s="4"/>
      <c r="BB160" s="4"/>
      <c r="BC160" s="4"/>
      <c r="BD160" s="4"/>
      <c r="BE160" s="4"/>
      <c r="BF160" s="5">
        <v>39622</v>
      </c>
      <c r="BG160" s="4"/>
      <c r="BH160" s="5">
        <v>39567</v>
      </c>
      <c r="BI160" s="4"/>
      <c r="BJ160" s="5">
        <v>39625</v>
      </c>
      <c r="BK160" s="4">
        <v>1</v>
      </c>
      <c r="BL160" s="4">
        <v>1</v>
      </c>
      <c r="BM160" s="5">
        <v>39625</v>
      </c>
      <c r="BN160" s="5">
        <v>39625</v>
      </c>
      <c r="BO160" s="4"/>
      <c r="BP160" s="4"/>
      <c r="BQ160" s="4"/>
      <c r="BR160" s="4"/>
      <c r="BS160" s="4"/>
      <c r="BT160" s="4"/>
      <c r="BU160" s="5">
        <v>39657</v>
      </c>
      <c r="BV160" s="5">
        <v>39685</v>
      </c>
      <c r="BW160" s="5">
        <v>39685</v>
      </c>
      <c r="BX160" s="4"/>
      <c r="BY160" s="5">
        <v>39690</v>
      </c>
      <c r="BZ160" s="5">
        <v>39687</v>
      </c>
      <c r="CA160" s="4"/>
      <c r="CB160" s="4"/>
      <c r="CC160" s="4"/>
      <c r="CD160" s="4"/>
      <c r="CE160" s="4"/>
      <c r="CF160" s="4"/>
      <c r="CG160" s="4"/>
      <c r="CH160" s="4"/>
      <c r="CI160" s="5">
        <v>39911</v>
      </c>
      <c r="CJ160" s="5">
        <v>39920</v>
      </c>
      <c r="CK160" s="5">
        <v>39911</v>
      </c>
      <c r="CL160" s="4"/>
      <c r="CM160" s="4"/>
      <c r="CN160" s="4"/>
      <c r="CO160" s="4"/>
      <c r="CP160" s="4" t="s">
        <v>157</v>
      </c>
      <c r="CQ160" s="4"/>
      <c r="CR160" s="5">
        <v>39920</v>
      </c>
      <c r="CS160" s="4"/>
      <c r="CT160" s="4"/>
      <c r="CU160" s="4"/>
      <c r="CV160" s="4"/>
      <c r="CW160" s="4"/>
      <c r="CX160" s="4"/>
      <c r="CY160" s="4"/>
      <c r="CZ160" s="4"/>
      <c r="DA160" s="4"/>
      <c r="DB160" s="4"/>
      <c r="DC160" s="4"/>
      <c r="DD160" s="4"/>
      <c r="DE160" s="4"/>
      <c r="DF160" s="4"/>
      <c r="DG160" s="4"/>
      <c r="DH160" s="4"/>
      <c r="DI160" s="4"/>
      <c r="DJ160" s="4" t="b">
        <v>0</v>
      </c>
      <c r="DK160" s="4"/>
      <c r="DL160" s="4">
        <v>2657634</v>
      </c>
      <c r="DM160" s="4">
        <v>6479130</v>
      </c>
      <c r="DN160" s="4" t="s">
        <v>662</v>
      </c>
      <c r="DO160" s="4"/>
      <c r="DP160" s="4"/>
      <c r="DQ160" s="4" t="s">
        <v>148</v>
      </c>
      <c r="DR160" s="4"/>
      <c r="DS160" s="4"/>
      <c r="DT160" s="5">
        <v>41887</v>
      </c>
      <c r="DU160" s="4"/>
      <c r="DV160" s="4"/>
      <c r="DW160" s="4"/>
      <c r="DX160" s="4"/>
      <c r="DY160" s="4"/>
      <c r="DZ160" s="5">
        <v>39630</v>
      </c>
      <c r="EA160" s="4"/>
      <c r="EB160" s="4"/>
      <c r="EC160" s="4"/>
      <c r="ED160" s="4"/>
      <c r="EE160" s="4"/>
      <c r="EF160" s="4"/>
      <c r="EG160" s="4"/>
      <c r="EH160" s="4"/>
      <c r="EI160" s="5">
        <v>39545</v>
      </c>
    </row>
    <row r="161" spans="1:139" hidden="1" x14ac:dyDescent="0.2">
      <c r="A161">
        <f>VLOOKUP(B161,Sheet1!$A$1:$B$18,2,FALSE)</f>
        <v>0</v>
      </c>
      <c r="B161" t="str">
        <f t="shared" si="2"/>
        <v>AKL</v>
      </c>
      <c r="C161" s="2">
        <v>160</v>
      </c>
      <c r="D161" s="3" t="str">
        <f>HYPERLINK("https://sitebase.nzcomms.co.nz/spm/spmnominalview/AKL-006-025/","AKL-006-025")</f>
        <v>AKL-006-025</v>
      </c>
      <c r="E161" s="4"/>
      <c r="F161" s="3" t="str">
        <f>HYPERLINK("https://sitebase.nzcomms.co.nz/spm/spmcandidateview/AKL-006-025-E/","AKL-006-025-E")</f>
        <v>AKL-006-025-E</v>
      </c>
      <c r="G161" s="4" t="s">
        <v>663</v>
      </c>
      <c r="H161" s="4" t="s">
        <v>600</v>
      </c>
      <c r="I161" s="4"/>
      <c r="J161" s="4" t="s">
        <v>139</v>
      </c>
      <c r="K161" s="4" t="s">
        <v>141</v>
      </c>
      <c r="L161" s="4" t="s">
        <v>150</v>
      </c>
      <c r="M161" s="4" t="s">
        <v>354</v>
      </c>
      <c r="N161" s="4" t="s">
        <v>246</v>
      </c>
      <c r="O161" s="4" t="s">
        <v>356</v>
      </c>
      <c r="P161" s="4"/>
      <c r="Q161" s="4"/>
      <c r="R161" s="4">
        <v>15</v>
      </c>
      <c r="S161" s="4">
        <v>15</v>
      </c>
      <c r="T161" s="4"/>
      <c r="U161" s="4">
        <v>-36.895719399999997</v>
      </c>
      <c r="V161" s="4">
        <v>174.6314758</v>
      </c>
      <c r="W161" s="4"/>
      <c r="X161" s="4"/>
      <c r="Y161" s="4"/>
      <c r="Z161" s="4"/>
      <c r="AA161" s="4" t="s">
        <v>171</v>
      </c>
      <c r="AB161" s="3" t="str">
        <f>HYPERLINK("https://sitebase.nzcomms.co.nz/spm/spmcandidateview/AKL-006-040-A/","AKL-006-040-A")</f>
        <v>AKL-006-040-A</v>
      </c>
      <c r="AC161" s="4"/>
      <c r="AD161" s="4"/>
      <c r="AE161" s="4"/>
      <c r="AF161" s="4"/>
      <c r="AG161" s="4"/>
      <c r="AH161" s="4" t="s">
        <v>395</v>
      </c>
      <c r="AI161" s="4"/>
      <c r="AJ161" s="4"/>
      <c r="AK161" s="4"/>
      <c r="AL161" s="4"/>
      <c r="AM161" s="4"/>
      <c r="AN161" s="5">
        <v>39353</v>
      </c>
      <c r="AO161" s="4">
        <v>4</v>
      </c>
      <c r="AP161" s="4"/>
      <c r="AQ161" s="5">
        <v>39521</v>
      </c>
      <c r="AR161" s="4"/>
      <c r="AS161" s="4"/>
      <c r="AT161" s="5">
        <v>39415</v>
      </c>
      <c r="AU161" s="5">
        <v>39415</v>
      </c>
      <c r="AV161" s="4">
        <v>1</v>
      </c>
      <c r="AW161" s="5">
        <v>39415</v>
      </c>
      <c r="AX161" s="5">
        <v>39415</v>
      </c>
      <c r="AY161" s="4"/>
      <c r="AZ161" s="4"/>
      <c r="BA161" s="4"/>
      <c r="BB161" s="5">
        <v>39568</v>
      </c>
      <c r="BC161" s="4"/>
      <c r="BD161" s="4"/>
      <c r="BE161" s="5">
        <v>39568</v>
      </c>
      <c r="BF161" s="5">
        <v>39568</v>
      </c>
      <c r="BG161" s="4"/>
      <c r="BH161" s="5">
        <v>39458</v>
      </c>
      <c r="BI161" s="4"/>
      <c r="BJ161" s="5">
        <v>39560</v>
      </c>
      <c r="BK161" s="4">
        <v>1</v>
      </c>
      <c r="BL161" s="4">
        <v>4</v>
      </c>
      <c r="BM161" s="5">
        <v>39560</v>
      </c>
      <c r="BN161" s="5">
        <v>39560</v>
      </c>
      <c r="BO161" s="4"/>
      <c r="BP161" s="4"/>
      <c r="BQ161" s="4"/>
      <c r="BR161" s="4"/>
      <c r="BS161" s="4"/>
      <c r="BT161" s="4"/>
      <c r="BU161" s="5">
        <v>39582</v>
      </c>
      <c r="BV161" s="5">
        <v>39619</v>
      </c>
      <c r="BW161" s="5">
        <v>39619</v>
      </c>
      <c r="BX161" s="4"/>
      <c r="BY161" s="5">
        <v>39626</v>
      </c>
      <c r="BZ161" s="5">
        <v>39626</v>
      </c>
      <c r="CA161" s="4"/>
      <c r="CB161" s="4"/>
      <c r="CC161" s="4"/>
      <c r="CD161" s="4"/>
      <c r="CE161" s="4"/>
      <c r="CF161" s="4"/>
      <c r="CG161" s="4"/>
      <c r="CH161" s="4"/>
      <c r="CI161" s="5">
        <v>39884</v>
      </c>
      <c r="CJ161" s="5">
        <v>39889</v>
      </c>
      <c r="CK161" s="5">
        <v>39884</v>
      </c>
      <c r="CL161" s="4"/>
      <c r="CM161" s="4"/>
      <c r="CN161" s="4"/>
      <c r="CO161" s="4"/>
      <c r="CP161" s="4" t="s">
        <v>157</v>
      </c>
      <c r="CQ161" s="4"/>
      <c r="CR161" s="5">
        <v>39889</v>
      </c>
      <c r="CS161" s="4"/>
      <c r="CT161" s="4"/>
      <c r="CU161" s="4"/>
      <c r="CV161" s="4"/>
      <c r="CW161" s="4"/>
      <c r="CX161" s="4"/>
      <c r="CY161" s="4"/>
      <c r="CZ161" s="4"/>
      <c r="DA161" s="4"/>
      <c r="DB161" s="4"/>
      <c r="DC161" s="4"/>
      <c r="DD161" s="4"/>
      <c r="DE161" s="4"/>
      <c r="DF161" s="4"/>
      <c r="DG161" s="4"/>
      <c r="DH161" s="4"/>
      <c r="DI161" s="4"/>
      <c r="DJ161" s="4" t="b">
        <v>0</v>
      </c>
      <c r="DK161" s="4"/>
      <c r="DL161" s="4">
        <v>2655790</v>
      </c>
      <c r="DM161" s="4">
        <v>6477174</v>
      </c>
      <c r="DN161" s="4" t="s">
        <v>664</v>
      </c>
      <c r="DO161" s="4"/>
      <c r="DP161" s="4"/>
      <c r="DQ161" s="4" t="s">
        <v>148</v>
      </c>
      <c r="DR161" s="4"/>
      <c r="DS161" s="4"/>
      <c r="DT161" s="5">
        <v>41887</v>
      </c>
      <c r="DU161" s="4"/>
      <c r="DV161" s="4"/>
      <c r="DW161" s="4"/>
      <c r="DX161" s="4"/>
      <c r="DY161" s="4"/>
      <c r="DZ161" s="5">
        <v>39590</v>
      </c>
      <c r="EA161" s="4"/>
      <c r="EB161" s="4"/>
      <c r="EC161" s="4"/>
      <c r="ED161" s="4"/>
      <c r="EE161" s="4"/>
      <c r="EF161" s="4"/>
      <c r="EG161" s="4"/>
      <c r="EH161" s="4"/>
      <c r="EI161" s="5">
        <v>39335</v>
      </c>
    </row>
    <row r="162" spans="1:139" hidden="1" x14ac:dyDescent="0.2">
      <c r="A162">
        <f>VLOOKUP(B162,Sheet1!$A$1:$B$18,2,FALSE)</f>
        <v>0</v>
      </c>
      <c r="B162" t="str">
        <f t="shared" si="2"/>
        <v>AKL</v>
      </c>
      <c r="C162" s="2">
        <v>161</v>
      </c>
      <c r="D162" s="3" t="str">
        <f>HYPERLINK("https://sitebase.nzcomms.co.nz/spm/spmnominalview/AKL-006-026/","AKL-006-026")</f>
        <v>AKL-006-026</v>
      </c>
      <c r="E162" s="4"/>
      <c r="F162" s="3" t="str">
        <f>HYPERLINK("https://sitebase.nzcomms.co.nz/spm/spmcandidateview/AKL-006-026-F/","AKL-006-026-F")</f>
        <v>AKL-006-026-F</v>
      </c>
      <c r="G162" s="4" t="s">
        <v>665</v>
      </c>
      <c r="H162" s="4" t="s">
        <v>600</v>
      </c>
      <c r="I162" s="4"/>
      <c r="J162" s="4" t="s">
        <v>139</v>
      </c>
      <c r="K162" s="4" t="s">
        <v>141</v>
      </c>
      <c r="L162" s="4" t="s">
        <v>189</v>
      </c>
      <c r="M162" s="4" t="s">
        <v>143</v>
      </c>
      <c r="N162" s="4" t="s">
        <v>355</v>
      </c>
      <c r="O162" s="4" t="s">
        <v>356</v>
      </c>
      <c r="P162" s="4"/>
      <c r="Q162" s="4"/>
      <c r="R162" s="4"/>
      <c r="S162" s="4"/>
      <c r="T162" s="4"/>
      <c r="U162" s="4">
        <v>-36.92093174</v>
      </c>
      <c r="V162" s="4">
        <v>174.65923978000001</v>
      </c>
      <c r="W162" s="4"/>
      <c r="X162" s="4"/>
      <c r="Y162" s="4"/>
      <c r="Z162" s="4"/>
      <c r="AA162" s="4" t="s">
        <v>483</v>
      </c>
      <c r="AB162" s="4" t="s">
        <v>666</v>
      </c>
      <c r="AC162" s="4"/>
      <c r="AD162" s="4"/>
      <c r="AE162" s="4"/>
      <c r="AF162" s="4"/>
      <c r="AG162" s="4"/>
      <c r="AH162" s="4" t="s">
        <v>658</v>
      </c>
      <c r="AI162" s="4"/>
      <c r="AJ162" s="4"/>
      <c r="AK162" s="4"/>
      <c r="AL162" s="4"/>
      <c r="AM162" s="4"/>
      <c r="AN162" s="5">
        <v>39524</v>
      </c>
      <c r="AO162" s="4">
        <v>2</v>
      </c>
      <c r="AP162" s="4"/>
      <c r="AQ162" s="5">
        <v>39569</v>
      </c>
      <c r="AR162" s="4"/>
      <c r="AS162" s="4"/>
      <c r="AT162" s="5">
        <v>39661</v>
      </c>
      <c r="AU162" s="5">
        <v>39612</v>
      </c>
      <c r="AV162" s="4">
        <v>2</v>
      </c>
      <c r="AW162" s="5">
        <v>39661</v>
      </c>
      <c r="AX162" s="5">
        <v>39612</v>
      </c>
      <c r="AY162" s="4"/>
      <c r="AZ162" s="4"/>
      <c r="BA162" s="4"/>
      <c r="BB162" s="5">
        <v>39683</v>
      </c>
      <c r="BC162" s="4"/>
      <c r="BD162" s="4"/>
      <c r="BE162" s="5">
        <v>39683</v>
      </c>
      <c r="BF162" s="5">
        <v>39605</v>
      </c>
      <c r="BG162" s="4"/>
      <c r="BH162" s="5">
        <v>39583</v>
      </c>
      <c r="BI162" s="4"/>
      <c r="BJ162" s="5">
        <v>39604</v>
      </c>
      <c r="BK162" s="4">
        <v>2</v>
      </c>
      <c r="BL162" s="4">
        <v>2</v>
      </c>
      <c r="BM162" s="5">
        <v>39640</v>
      </c>
      <c r="BN162" s="5">
        <v>39640</v>
      </c>
      <c r="BO162" s="4"/>
      <c r="BP162" s="4"/>
      <c r="BQ162" s="4"/>
      <c r="BR162" s="4"/>
      <c r="BS162" s="4"/>
      <c r="BT162" s="4"/>
      <c r="BU162" s="5">
        <v>39636</v>
      </c>
      <c r="BV162" s="5">
        <v>39668</v>
      </c>
      <c r="BW162" s="5">
        <v>39668</v>
      </c>
      <c r="BX162" s="4"/>
      <c r="BY162" s="5">
        <v>39688</v>
      </c>
      <c r="BZ162" s="5">
        <v>39669</v>
      </c>
      <c r="CA162" s="4"/>
      <c r="CB162" s="4"/>
      <c r="CC162" s="4"/>
      <c r="CD162" s="4"/>
      <c r="CE162" s="4"/>
      <c r="CF162" s="4"/>
      <c r="CG162" s="4"/>
      <c r="CH162" s="4"/>
      <c r="CI162" s="5">
        <v>39867</v>
      </c>
      <c r="CJ162" s="5">
        <v>39868</v>
      </c>
      <c r="CK162" s="5">
        <v>39867</v>
      </c>
      <c r="CL162" s="4"/>
      <c r="CM162" s="4"/>
      <c r="CN162" s="4"/>
      <c r="CO162" s="4"/>
      <c r="CP162" s="4" t="s">
        <v>157</v>
      </c>
      <c r="CQ162" s="4"/>
      <c r="CR162" s="5">
        <v>39868</v>
      </c>
      <c r="CS162" s="4"/>
      <c r="CT162" s="4"/>
      <c r="CU162" s="4"/>
      <c r="CV162" s="4"/>
      <c r="CW162" s="4"/>
      <c r="CX162" s="4"/>
      <c r="CY162" s="4"/>
      <c r="CZ162" s="4"/>
      <c r="DA162" s="4"/>
      <c r="DB162" s="4"/>
      <c r="DC162" s="4"/>
      <c r="DD162" s="4"/>
      <c r="DE162" s="4"/>
      <c r="DF162" s="4"/>
      <c r="DG162" s="4"/>
      <c r="DH162" s="4"/>
      <c r="DI162" s="4"/>
      <c r="DJ162" s="4" t="b">
        <v>0</v>
      </c>
      <c r="DK162" s="4"/>
      <c r="DL162" s="4">
        <v>2658210</v>
      </c>
      <c r="DM162" s="4">
        <v>6474329</v>
      </c>
      <c r="DN162" s="4" t="s">
        <v>667</v>
      </c>
      <c r="DO162" s="4"/>
      <c r="DP162" s="4"/>
      <c r="DQ162" s="4" t="s">
        <v>148</v>
      </c>
      <c r="DR162" s="4"/>
      <c r="DS162" s="4"/>
      <c r="DT162" s="4"/>
      <c r="DU162" s="4"/>
      <c r="DV162" s="4"/>
      <c r="DW162" s="4"/>
      <c r="DX162" s="4"/>
      <c r="DY162" s="4"/>
      <c r="DZ162" s="5">
        <v>39615</v>
      </c>
      <c r="EA162" s="4"/>
      <c r="EB162" s="4"/>
      <c r="EC162" s="4"/>
      <c r="ED162" s="4"/>
      <c r="EE162" s="4"/>
      <c r="EF162" s="4"/>
      <c r="EG162" s="4"/>
      <c r="EH162" s="4"/>
      <c r="EI162" s="5">
        <v>39482</v>
      </c>
    </row>
    <row r="163" spans="1:139" hidden="1" x14ac:dyDescent="0.2">
      <c r="A163">
        <f>VLOOKUP(B163,Sheet1!$A$1:$B$18,2,FALSE)</f>
        <v>0</v>
      </c>
      <c r="B163" t="str">
        <f t="shared" si="2"/>
        <v>AKL</v>
      </c>
      <c r="C163" s="2">
        <v>162</v>
      </c>
      <c r="D163" s="3" t="str">
        <f>HYPERLINK("https://sitebase.nzcomms.co.nz/spm/spmnominalview/AKL-006-027/","AKL-006-027")</f>
        <v>AKL-006-027</v>
      </c>
      <c r="E163" s="4"/>
      <c r="F163" s="3" t="str">
        <f>HYPERLINK("https://sitebase.nzcomms.co.nz/spm/spmcandidateview/AKL-006-027-E/","AKL-006-027-E")</f>
        <v>AKL-006-027-E</v>
      </c>
      <c r="G163" s="4" t="s">
        <v>668</v>
      </c>
      <c r="H163" s="4" t="s">
        <v>600</v>
      </c>
      <c r="I163" s="4"/>
      <c r="J163" s="4" t="s">
        <v>139</v>
      </c>
      <c r="K163" s="4" t="s">
        <v>141</v>
      </c>
      <c r="L163" s="4" t="s">
        <v>181</v>
      </c>
      <c r="M163" s="4" t="s">
        <v>378</v>
      </c>
      <c r="N163" s="4" t="s">
        <v>364</v>
      </c>
      <c r="O163" s="4" t="s">
        <v>144</v>
      </c>
      <c r="P163" s="4"/>
      <c r="Q163" s="4"/>
      <c r="R163" s="4">
        <v>13.7</v>
      </c>
      <c r="S163" s="4">
        <v>13.7</v>
      </c>
      <c r="T163" s="4"/>
      <c r="U163" s="4">
        <v>-36.909601000000002</v>
      </c>
      <c r="V163" s="4">
        <v>174.66339965</v>
      </c>
      <c r="W163" s="4"/>
      <c r="X163" s="4"/>
      <c r="Y163" s="4"/>
      <c r="Z163" s="4"/>
      <c r="AA163" s="4"/>
      <c r="AB163" s="4"/>
      <c r="AC163" s="4"/>
      <c r="AD163" s="4"/>
      <c r="AE163" s="4"/>
      <c r="AF163" s="4"/>
      <c r="AG163" s="4"/>
      <c r="AH163" s="4"/>
      <c r="AI163" s="4"/>
      <c r="AJ163" s="4"/>
      <c r="AK163" s="4"/>
      <c r="AL163" s="4"/>
      <c r="AM163" s="4"/>
      <c r="AN163" s="5">
        <v>39658</v>
      </c>
      <c r="AO163" s="4">
        <v>5</v>
      </c>
      <c r="AP163" s="5">
        <v>39840</v>
      </c>
      <c r="AQ163" s="5">
        <v>39840</v>
      </c>
      <c r="AR163" s="4"/>
      <c r="AS163" s="4"/>
      <c r="AT163" s="5">
        <v>39801</v>
      </c>
      <c r="AU163" s="5">
        <v>39791</v>
      </c>
      <c r="AV163" s="4">
        <v>5</v>
      </c>
      <c r="AW163" s="5">
        <v>39857</v>
      </c>
      <c r="AX163" s="5">
        <v>39857</v>
      </c>
      <c r="AY163" s="4"/>
      <c r="AZ163" s="4"/>
      <c r="BA163" s="4"/>
      <c r="BB163" s="5">
        <v>39704</v>
      </c>
      <c r="BC163" s="4"/>
      <c r="BD163" s="4"/>
      <c r="BE163" s="5">
        <v>39902</v>
      </c>
      <c r="BF163" s="5">
        <v>39891</v>
      </c>
      <c r="BG163" s="5">
        <v>39832</v>
      </c>
      <c r="BH163" s="5">
        <v>39717</v>
      </c>
      <c r="BI163" s="4"/>
      <c r="BJ163" s="5">
        <v>39755</v>
      </c>
      <c r="BK163" s="4">
        <v>2</v>
      </c>
      <c r="BL163" s="4">
        <v>5</v>
      </c>
      <c r="BM163" s="5">
        <v>39853</v>
      </c>
      <c r="BN163" s="5">
        <v>39853</v>
      </c>
      <c r="BO163" s="4"/>
      <c r="BP163" s="4"/>
      <c r="BQ163" s="4"/>
      <c r="BR163" s="4"/>
      <c r="BS163" s="4"/>
      <c r="BT163" s="4"/>
      <c r="BU163" s="5">
        <v>39875</v>
      </c>
      <c r="BV163" s="5">
        <v>39899</v>
      </c>
      <c r="BW163" s="5">
        <v>39899</v>
      </c>
      <c r="BX163" s="4"/>
      <c r="BY163" s="5">
        <v>39962</v>
      </c>
      <c r="BZ163" s="5">
        <v>39962</v>
      </c>
      <c r="CA163" s="4"/>
      <c r="CB163" s="4"/>
      <c r="CC163" s="4"/>
      <c r="CD163" s="4"/>
      <c r="CE163" s="4"/>
      <c r="CF163" s="4"/>
      <c r="CG163" s="4"/>
      <c r="CH163" s="4"/>
      <c r="CI163" s="5">
        <v>39982</v>
      </c>
      <c r="CJ163" s="5">
        <v>39989</v>
      </c>
      <c r="CK163" s="5">
        <v>39982</v>
      </c>
      <c r="CL163" s="4"/>
      <c r="CM163" s="4"/>
      <c r="CN163" s="4"/>
      <c r="CO163" s="4"/>
      <c r="CP163" s="4" t="s">
        <v>157</v>
      </c>
      <c r="CQ163" s="4"/>
      <c r="CR163" s="5">
        <v>39989</v>
      </c>
      <c r="CS163" s="4"/>
      <c r="CT163" s="4"/>
      <c r="CU163" s="4"/>
      <c r="CV163" s="4"/>
      <c r="CW163" s="4"/>
      <c r="CX163" s="4"/>
      <c r="CY163" s="4"/>
      <c r="CZ163" s="4"/>
      <c r="DA163" s="4"/>
      <c r="DB163" s="4"/>
      <c r="DC163" s="4"/>
      <c r="DD163" s="4"/>
      <c r="DE163" s="4"/>
      <c r="DF163" s="4"/>
      <c r="DG163" s="4"/>
      <c r="DH163" s="4"/>
      <c r="DI163" s="4"/>
      <c r="DJ163" s="4" t="b">
        <v>0</v>
      </c>
      <c r="DK163" s="4"/>
      <c r="DL163" s="4">
        <v>2658605</v>
      </c>
      <c r="DM163" s="4">
        <v>6475579</v>
      </c>
      <c r="DN163" s="4" t="s">
        <v>669</v>
      </c>
      <c r="DO163" s="4"/>
      <c r="DP163" s="4"/>
      <c r="DQ163" s="4" t="s">
        <v>148</v>
      </c>
      <c r="DR163" s="4"/>
      <c r="DS163" s="4"/>
      <c r="DT163" s="5">
        <v>41887</v>
      </c>
      <c r="DU163" s="4"/>
      <c r="DV163" s="4"/>
      <c r="DW163" s="4"/>
      <c r="DX163" s="4"/>
      <c r="DY163" s="5">
        <v>39874</v>
      </c>
      <c r="DZ163" s="5">
        <v>39874</v>
      </c>
      <c r="EA163" s="4"/>
      <c r="EB163" s="4"/>
      <c r="EC163" s="4"/>
      <c r="ED163" s="4"/>
      <c r="EE163" s="4"/>
      <c r="EF163" s="4"/>
      <c r="EG163" s="4"/>
      <c r="EH163" s="4"/>
      <c r="EI163" s="5">
        <v>39619</v>
      </c>
    </row>
    <row r="164" spans="1:139" hidden="1" x14ac:dyDescent="0.2">
      <c r="A164">
        <f>VLOOKUP(B164,Sheet1!$A$1:$B$18,2,FALSE)</f>
        <v>0</v>
      </c>
      <c r="B164" t="str">
        <f t="shared" si="2"/>
        <v>AKL</v>
      </c>
      <c r="C164" s="2">
        <v>163</v>
      </c>
      <c r="D164" s="3" t="str">
        <f>HYPERLINK("https://sitebase.nzcomms.co.nz/spm/spmnominalview/AKL-006-028/","AKL-006-028")</f>
        <v>AKL-006-028</v>
      </c>
      <c r="E164" s="4"/>
      <c r="F164" s="3" t="str">
        <f>HYPERLINK("https://sitebase.nzcomms.co.nz/spm/spmcandidateview/AKL-006-028-D/","AKL-006-028-D")</f>
        <v>AKL-006-028-D</v>
      </c>
      <c r="G164" s="4" t="s">
        <v>670</v>
      </c>
      <c r="H164" s="4" t="s">
        <v>600</v>
      </c>
      <c r="I164" s="4">
        <v>3</v>
      </c>
      <c r="J164" s="4" t="s">
        <v>139</v>
      </c>
      <c r="K164" s="4" t="s">
        <v>141</v>
      </c>
      <c r="L164" s="4" t="s">
        <v>150</v>
      </c>
      <c r="M164" s="4" t="s">
        <v>368</v>
      </c>
      <c r="N164" s="4" t="s">
        <v>156</v>
      </c>
      <c r="O164" s="4" t="s">
        <v>144</v>
      </c>
      <c r="P164" s="4"/>
      <c r="Q164" s="4"/>
      <c r="R164" s="4">
        <v>17.2</v>
      </c>
      <c r="S164" s="4">
        <v>17.2</v>
      </c>
      <c r="T164" s="4"/>
      <c r="U164" s="4">
        <v>-36.814793299999998</v>
      </c>
      <c r="V164" s="4">
        <v>174.62565316999999</v>
      </c>
      <c r="W164" s="4"/>
      <c r="X164" s="4"/>
      <c r="Y164" s="4"/>
      <c r="Z164" s="4"/>
      <c r="AA164" s="4" t="s">
        <v>217</v>
      </c>
      <c r="AB164" s="4" t="s">
        <v>671</v>
      </c>
      <c r="AC164" s="4" t="b">
        <v>0</v>
      </c>
      <c r="AD164" s="4" t="b">
        <v>0</v>
      </c>
      <c r="AE164" s="4"/>
      <c r="AF164" s="4"/>
      <c r="AG164" s="4" t="b">
        <v>0</v>
      </c>
      <c r="AH164" s="4" t="s">
        <v>672</v>
      </c>
      <c r="AI164" s="4"/>
      <c r="AJ164" s="4"/>
      <c r="AK164" s="4"/>
      <c r="AL164" s="4"/>
      <c r="AM164" s="4"/>
      <c r="AN164" s="5">
        <v>39780</v>
      </c>
      <c r="AO164" s="4">
        <v>11</v>
      </c>
      <c r="AP164" s="5">
        <v>39976</v>
      </c>
      <c r="AQ164" s="5">
        <v>41785</v>
      </c>
      <c r="AR164" s="4"/>
      <c r="AS164" s="4"/>
      <c r="AT164" s="5">
        <v>40056</v>
      </c>
      <c r="AU164" s="5">
        <v>40051</v>
      </c>
      <c r="AV164" s="4">
        <v>4</v>
      </c>
      <c r="AW164" s="5">
        <v>40087</v>
      </c>
      <c r="AX164" s="5">
        <v>40095</v>
      </c>
      <c r="AY164" s="4"/>
      <c r="AZ164" s="5">
        <v>39962</v>
      </c>
      <c r="BA164" s="4"/>
      <c r="BB164" s="5">
        <v>40072</v>
      </c>
      <c r="BC164" s="4"/>
      <c r="BD164" s="4"/>
      <c r="BE164" s="5">
        <v>40072</v>
      </c>
      <c r="BF164" s="5">
        <v>40072</v>
      </c>
      <c r="BG164" s="5">
        <v>39962</v>
      </c>
      <c r="BH164" s="5">
        <v>39967</v>
      </c>
      <c r="BI164" s="4"/>
      <c r="BJ164" s="5">
        <v>39983</v>
      </c>
      <c r="BK164" s="4">
        <v>5</v>
      </c>
      <c r="BL164" s="4">
        <v>10</v>
      </c>
      <c r="BM164" s="5">
        <v>40036</v>
      </c>
      <c r="BN164" s="5">
        <v>40170</v>
      </c>
      <c r="BO164" s="5">
        <v>39846</v>
      </c>
      <c r="BP164" s="4"/>
      <c r="BQ164" s="4"/>
      <c r="BR164" s="4"/>
      <c r="BS164" s="4"/>
      <c r="BT164" s="5">
        <v>40071</v>
      </c>
      <c r="BU164" s="5">
        <v>40072</v>
      </c>
      <c r="BV164" s="5">
        <v>40116</v>
      </c>
      <c r="BW164" s="5">
        <v>40116</v>
      </c>
      <c r="BX164" s="4"/>
      <c r="BY164" s="5">
        <v>40116</v>
      </c>
      <c r="BZ164" s="5">
        <v>40116</v>
      </c>
      <c r="CA164" s="4"/>
      <c r="CB164" s="4"/>
      <c r="CC164" s="4"/>
      <c r="CD164" s="4"/>
      <c r="CE164" s="4"/>
      <c r="CF164" s="4"/>
      <c r="CG164" s="4"/>
      <c r="CH164" s="4"/>
      <c r="CI164" s="5">
        <v>40123</v>
      </c>
      <c r="CJ164" s="5">
        <v>40123</v>
      </c>
      <c r="CK164" s="5">
        <v>40123</v>
      </c>
      <c r="CL164" s="4"/>
      <c r="CM164" s="4"/>
      <c r="CN164" s="4"/>
      <c r="CO164" s="4"/>
      <c r="CP164" s="4" t="s">
        <v>673</v>
      </c>
      <c r="CQ164" s="4"/>
      <c r="CR164" s="5">
        <v>40123</v>
      </c>
      <c r="CS164" s="4"/>
      <c r="CT164" s="4"/>
      <c r="CU164" s="4"/>
      <c r="CV164" s="4"/>
      <c r="CW164" s="5">
        <v>39841</v>
      </c>
      <c r="CX164" s="5">
        <v>39846</v>
      </c>
      <c r="CY164" s="4"/>
      <c r="CZ164" s="4"/>
      <c r="DA164" s="4"/>
      <c r="DB164" s="4"/>
      <c r="DC164" s="4"/>
      <c r="DD164" s="4"/>
      <c r="DE164" s="4"/>
      <c r="DF164" s="4"/>
      <c r="DG164" s="4"/>
      <c r="DH164" s="4"/>
      <c r="DI164" s="4"/>
      <c r="DJ164" s="4" t="b">
        <v>0</v>
      </c>
      <c r="DK164" s="4"/>
      <c r="DL164" s="4">
        <v>2655442</v>
      </c>
      <c r="DM164" s="4">
        <v>6486163</v>
      </c>
      <c r="DN164" s="4" t="s">
        <v>674</v>
      </c>
      <c r="DO164" s="4"/>
      <c r="DP164" s="4"/>
      <c r="DQ164" s="4" t="s">
        <v>148</v>
      </c>
      <c r="DR164" s="4"/>
      <c r="DS164" s="4"/>
      <c r="DT164" s="5">
        <v>41887</v>
      </c>
      <c r="DU164" s="4"/>
      <c r="DV164" s="4"/>
      <c r="DW164" s="4"/>
      <c r="DX164" s="4"/>
      <c r="DY164" s="5">
        <v>40071</v>
      </c>
      <c r="DZ164" s="5">
        <v>40071</v>
      </c>
      <c r="EA164" s="4"/>
      <c r="EB164" s="4"/>
      <c r="EC164" s="4"/>
      <c r="ED164" s="4"/>
      <c r="EE164" s="4"/>
      <c r="EF164" s="4"/>
      <c r="EG164" s="4"/>
      <c r="EH164" s="4"/>
      <c r="EI164" s="5">
        <v>39749</v>
      </c>
    </row>
    <row r="165" spans="1:139" hidden="1" x14ac:dyDescent="0.2">
      <c r="A165">
        <f>VLOOKUP(B165,Sheet1!$A$1:$B$18,2,FALSE)</f>
        <v>0</v>
      </c>
      <c r="B165" t="str">
        <f t="shared" si="2"/>
        <v>AKL</v>
      </c>
      <c r="C165" s="2">
        <v>164</v>
      </c>
      <c r="D165" s="3" t="str">
        <f>HYPERLINK("https://sitebase.nzcomms.co.nz/spm/spmnominalview/AKL-006-029/","AKL-006-029")</f>
        <v>AKL-006-029</v>
      </c>
      <c r="E165" s="4"/>
      <c r="F165" s="3" t="str">
        <f>HYPERLINK("https://sitebase.nzcomms.co.nz/spm/spmcandidateview/AKL-006-029-C/","AKL-006-029-C")</f>
        <v>AKL-006-029-C</v>
      </c>
      <c r="G165" s="4" t="s">
        <v>675</v>
      </c>
      <c r="H165" s="4" t="s">
        <v>600</v>
      </c>
      <c r="I165" s="4"/>
      <c r="J165" s="4" t="s">
        <v>139</v>
      </c>
      <c r="K165" s="4" t="s">
        <v>141</v>
      </c>
      <c r="L165" s="4" t="s">
        <v>181</v>
      </c>
      <c r="M165" s="4" t="s">
        <v>143</v>
      </c>
      <c r="N165" s="4" t="s">
        <v>364</v>
      </c>
      <c r="O165" s="4" t="s">
        <v>144</v>
      </c>
      <c r="P165" s="4"/>
      <c r="Q165" s="4"/>
      <c r="R165" s="4"/>
      <c r="S165" s="4"/>
      <c r="T165" s="4"/>
      <c r="U165" s="4">
        <v>-36.921961189999998</v>
      </c>
      <c r="V165" s="4">
        <v>174.63872241000001</v>
      </c>
      <c r="W165" s="4"/>
      <c r="X165" s="4"/>
      <c r="Y165" s="4"/>
      <c r="Z165" s="4"/>
      <c r="AA165" s="4" t="s">
        <v>217</v>
      </c>
      <c r="AB165" s="4" t="s">
        <v>676</v>
      </c>
      <c r="AC165" s="4"/>
      <c r="AD165" s="4"/>
      <c r="AE165" s="4"/>
      <c r="AF165" s="4"/>
      <c r="AG165" s="4"/>
      <c r="AH165" s="4" t="s">
        <v>658</v>
      </c>
      <c r="AI165" s="4"/>
      <c r="AJ165" s="4"/>
      <c r="AK165" s="4"/>
      <c r="AL165" s="4"/>
      <c r="AM165" s="4"/>
      <c r="AN165" s="5">
        <v>39505</v>
      </c>
      <c r="AO165" s="4">
        <v>6</v>
      </c>
      <c r="AP165" s="5">
        <v>39797</v>
      </c>
      <c r="AQ165" s="5">
        <v>40289</v>
      </c>
      <c r="AR165" s="4"/>
      <c r="AS165" s="4"/>
      <c r="AT165" s="5">
        <v>39552</v>
      </c>
      <c r="AU165" s="5">
        <v>39552</v>
      </c>
      <c r="AV165" s="4">
        <v>4</v>
      </c>
      <c r="AW165" s="5">
        <v>39552</v>
      </c>
      <c r="AX165" s="5">
        <v>39552</v>
      </c>
      <c r="AY165" s="4"/>
      <c r="AZ165" s="4"/>
      <c r="BA165" s="4"/>
      <c r="BB165" s="5">
        <v>39948</v>
      </c>
      <c r="BC165" s="4"/>
      <c r="BD165" s="4"/>
      <c r="BE165" s="5">
        <v>39948</v>
      </c>
      <c r="BF165" s="5">
        <v>39934</v>
      </c>
      <c r="BG165" s="5">
        <v>39769</v>
      </c>
      <c r="BH165" s="5">
        <v>39556</v>
      </c>
      <c r="BI165" s="4"/>
      <c r="BJ165" s="5">
        <v>39594</v>
      </c>
      <c r="BK165" s="4">
        <v>3</v>
      </c>
      <c r="BL165" s="4">
        <v>5</v>
      </c>
      <c r="BM165" s="5">
        <v>39798</v>
      </c>
      <c r="BN165" s="5">
        <v>40141</v>
      </c>
      <c r="BO165" s="4"/>
      <c r="BP165" s="4"/>
      <c r="BQ165" s="4"/>
      <c r="BR165" s="4"/>
      <c r="BS165" s="4"/>
      <c r="BT165" s="5">
        <v>39951</v>
      </c>
      <c r="BU165" s="5">
        <v>39951</v>
      </c>
      <c r="BV165" s="5">
        <v>39972</v>
      </c>
      <c r="BW165" s="5">
        <v>39974</v>
      </c>
      <c r="BX165" s="4"/>
      <c r="BY165" s="5">
        <v>39991</v>
      </c>
      <c r="BZ165" s="5">
        <v>39990</v>
      </c>
      <c r="CA165" s="4"/>
      <c r="CB165" s="4"/>
      <c r="CC165" s="4"/>
      <c r="CD165" s="4"/>
      <c r="CE165" s="4"/>
      <c r="CF165" s="4"/>
      <c r="CG165" s="4"/>
      <c r="CH165" s="4"/>
      <c r="CI165" s="5">
        <v>39990</v>
      </c>
      <c r="CJ165" s="5">
        <v>39993</v>
      </c>
      <c r="CK165" s="5">
        <v>39990</v>
      </c>
      <c r="CL165" s="4"/>
      <c r="CM165" s="4"/>
      <c r="CN165" s="4"/>
      <c r="CO165" s="4"/>
      <c r="CP165" s="4" t="s">
        <v>157</v>
      </c>
      <c r="CQ165" s="4"/>
      <c r="CR165" s="5">
        <v>39993</v>
      </c>
      <c r="CS165" s="4"/>
      <c r="CT165" s="4"/>
      <c r="CU165" s="4"/>
      <c r="CV165" s="4"/>
      <c r="CW165" s="4"/>
      <c r="CX165" s="4"/>
      <c r="CY165" s="4"/>
      <c r="CZ165" s="4"/>
      <c r="DA165" s="4"/>
      <c r="DB165" s="4"/>
      <c r="DC165" s="4"/>
      <c r="DD165" s="4"/>
      <c r="DE165" s="4"/>
      <c r="DF165" s="4"/>
      <c r="DG165" s="4"/>
      <c r="DH165" s="4"/>
      <c r="DI165" s="4"/>
      <c r="DJ165" s="4" t="b">
        <v>0</v>
      </c>
      <c r="DK165" s="4"/>
      <c r="DL165" s="4">
        <v>2656380</v>
      </c>
      <c r="DM165" s="4">
        <v>6474250</v>
      </c>
      <c r="DN165" s="4" t="s">
        <v>677</v>
      </c>
      <c r="DO165" s="4"/>
      <c r="DP165" s="4"/>
      <c r="DQ165" s="4" t="s">
        <v>148</v>
      </c>
      <c r="DR165" s="4"/>
      <c r="DS165" s="4"/>
      <c r="DT165" s="4"/>
      <c r="DU165" s="4"/>
      <c r="DV165" s="4"/>
      <c r="DW165" s="4"/>
      <c r="DX165" s="4"/>
      <c r="DY165" s="5">
        <v>39951</v>
      </c>
      <c r="DZ165" s="5">
        <v>39951</v>
      </c>
      <c r="EA165" s="4"/>
      <c r="EB165" s="4"/>
      <c r="EC165" s="4"/>
      <c r="ED165" s="4"/>
      <c r="EE165" s="4"/>
      <c r="EF165" s="4"/>
      <c r="EG165" s="4"/>
      <c r="EH165" s="4"/>
      <c r="EI165" s="5">
        <v>39499</v>
      </c>
    </row>
    <row r="166" spans="1:139" hidden="1" x14ac:dyDescent="0.2">
      <c r="A166">
        <f>VLOOKUP(B166,Sheet1!$A$1:$B$18,2,FALSE)</f>
        <v>0</v>
      </c>
      <c r="B166" t="str">
        <f t="shared" si="2"/>
        <v>AKL</v>
      </c>
      <c r="C166" s="2">
        <v>165</v>
      </c>
      <c r="D166" s="3" t="str">
        <f>HYPERLINK("https://sitebase.nzcomms.co.nz/spm/spmnominalview/AKL-006-031/","AKL-006-031")</f>
        <v>AKL-006-031</v>
      </c>
      <c r="E166" s="4"/>
      <c r="F166" s="3" t="str">
        <f>HYPERLINK("https://sitebase.nzcomms.co.nz/spm/spmcandidateview/AKL-006-031-A/","AKL-006-031-A")</f>
        <v>AKL-006-031-A</v>
      </c>
      <c r="G166" s="4" t="s">
        <v>678</v>
      </c>
      <c r="H166" s="4" t="s">
        <v>600</v>
      </c>
      <c r="I166" s="4"/>
      <c r="J166" s="4" t="s">
        <v>139</v>
      </c>
      <c r="K166" s="4" t="s">
        <v>141</v>
      </c>
      <c r="L166" s="4" t="s">
        <v>189</v>
      </c>
      <c r="M166" s="4" t="s">
        <v>354</v>
      </c>
      <c r="N166" s="4" t="s">
        <v>355</v>
      </c>
      <c r="O166" s="4" t="s">
        <v>356</v>
      </c>
      <c r="P166" s="4"/>
      <c r="Q166" s="4"/>
      <c r="R166" s="4">
        <v>14</v>
      </c>
      <c r="S166" s="4">
        <v>14</v>
      </c>
      <c r="T166" s="4"/>
      <c r="U166" s="4">
        <v>-36.883014629999998</v>
      </c>
      <c r="V166" s="4">
        <v>174.61473745000001</v>
      </c>
      <c r="W166" s="4"/>
      <c r="X166" s="4"/>
      <c r="Y166" s="4"/>
      <c r="Z166" s="4"/>
      <c r="AA166" s="4" t="s">
        <v>171</v>
      </c>
      <c r="AB166" s="3" t="str">
        <f>HYPERLINK("https://sitebase.nzcomms.co.nz/spm/spmcandidateview/AKL-006-040-A/","AKL-006-040-A")</f>
        <v>AKL-006-040-A</v>
      </c>
      <c r="AC166" s="4"/>
      <c r="AD166" s="4"/>
      <c r="AE166" s="4"/>
      <c r="AF166" s="4"/>
      <c r="AG166" s="4"/>
      <c r="AH166" s="4" t="s">
        <v>395</v>
      </c>
      <c r="AI166" s="4"/>
      <c r="AJ166" s="4"/>
      <c r="AK166" s="4"/>
      <c r="AL166" s="4"/>
      <c r="AM166" s="4"/>
      <c r="AN166" s="5">
        <v>39293</v>
      </c>
      <c r="AO166" s="4">
        <v>5</v>
      </c>
      <c r="AP166" s="4"/>
      <c r="AQ166" s="5">
        <v>39941</v>
      </c>
      <c r="AR166" s="4"/>
      <c r="AS166" s="4"/>
      <c r="AT166" s="5">
        <v>39463</v>
      </c>
      <c r="AU166" s="5">
        <v>39463</v>
      </c>
      <c r="AV166" s="4">
        <v>2</v>
      </c>
      <c r="AW166" s="5">
        <v>39463</v>
      </c>
      <c r="AX166" s="5">
        <v>39463</v>
      </c>
      <c r="AY166" s="4"/>
      <c r="AZ166" s="4"/>
      <c r="BA166" s="4"/>
      <c r="BB166" s="5">
        <v>39398</v>
      </c>
      <c r="BC166" s="4"/>
      <c r="BD166" s="4"/>
      <c r="BE166" s="5">
        <v>39398</v>
      </c>
      <c r="BF166" s="5">
        <v>39398</v>
      </c>
      <c r="BG166" s="4"/>
      <c r="BH166" s="5">
        <v>39469</v>
      </c>
      <c r="BI166" s="4"/>
      <c r="BJ166" s="5">
        <v>39526</v>
      </c>
      <c r="BK166" s="4">
        <v>1</v>
      </c>
      <c r="BL166" s="4">
        <v>3</v>
      </c>
      <c r="BM166" s="5">
        <v>39526</v>
      </c>
      <c r="BN166" s="5">
        <v>39526</v>
      </c>
      <c r="BO166" s="4"/>
      <c r="BP166" s="4"/>
      <c r="BQ166" s="4"/>
      <c r="BR166" s="4"/>
      <c r="BS166" s="4"/>
      <c r="BT166" s="4"/>
      <c r="BU166" s="5">
        <v>39552</v>
      </c>
      <c r="BV166" s="5">
        <v>39598</v>
      </c>
      <c r="BW166" s="5">
        <v>39598</v>
      </c>
      <c r="BX166" s="4"/>
      <c r="BY166" s="5">
        <v>39619</v>
      </c>
      <c r="BZ166" s="5">
        <v>39611</v>
      </c>
      <c r="CA166" s="4"/>
      <c r="CB166" s="4"/>
      <c r="CC166" s="4"/>
      <c r="CD166" s="4"/>
      <c r="CE166" s="4"/>
      <c r="CF166" s="4"/>
      <c r="CG166" s="4"/>
      <c r="CH166" s="4"/>
      <c r="CI166" s="5">
        <v>39884</v>
      </c>
      <c r="CJ166" s="5">
        <v>39898</v>
      </c>
      <c r="CK166" s="5">
        <v>39884</v>
      </c>
      <c r="CL166" s="4"/>
      <c r="CM166" s="4"/>
      <c r="CN166" s="4"/>
      <c r="CO166" s="4"/>
      <c r="CP166" s="4" t="s">
        <v>157</v>
      </c>
      <c r="CQ166" s="4"/>
      <c r="CR166" s="5">
        <v>39898</v>
      </c>
      <c r="CS166" s="4"/>
      <c r="CT166" s="4"/>
      <c r="CU166" s="4"/>
      <c r="CV166" s="4"/>
      <c r="CW166" s="4"/>
      <c r="CX166" s="4"/>
      <c r="CY166" s="4"/>
      <c r="CZ166" s="4"/>
      <c r="DA166" s="4"/>
      <c r="DB166" s="4"/>
      <c r="DC166" s="4"/>
      <c r="DD166" s="4"/>
      <c r="DE166" s="4"/>
      <c r="DF166" s="4"/>
      <c r="DG166" s="4"/>
      <c r="DH166" s="4"/>
      <c r="DI166" s="4"/>
      <c r="DJ166" s="4" t="b">
        <v>0</v>
      </c>
      <c r="DK166" s="4"/>
      <c r="DL166" s="4">
        <v>2654325</v>
      </c>
      <c r="DM166" s="4">
        <v>6478612</v>
      </c>
      <c r="DN166" s="4" t="s">
        <v>679</v>
      </c>
      <c r="DO166" s="4"/>
      <c r="DP166" s="4"/>
      <c r="DQ166" s="4" t="s">
        <v>148</v>
      </c>
      <c r="DR166" s="4"/>
      <c r="DS166" s="4"/>
      <c r="DT166" s="5">
        <v>41887</v>
      </c>
      <c r="DU166" s="4"/>
      <c r="DV166" s="4"/>
      <c r="DW166" s="4"/>
      <c r="DX166" s="4"/>
      <c r="DY166" s="4"/>
      <c r="DZ166" s="5">
        <v>39527</v>
      </c>
      <c r="EA166" s="4"/>
      <c r="EB166" s="4"/>
      <c r="EC166" s="4"/>
      <c r="ED166" s="4"/>
      <c r="EE166" s="4"/>
      <c r="EF166" s="4"/>
      <c r="EG166" s="4"/>
      <c r="EH166" s="4"/>
      <c r="EI166" s="5">
        <v>39279</v>
      </c>
    </row>
    <row r="167" spans="1:139" hidden="1" x14ac:dyDescent="0.2">
      <c r="A167">
        <f>VLOOKUP(B167,Sheet1!$A$1:$B$18,2,FALSE)</f>
        <v>0</v>
      </c>
      <c r="B167" t="str">
        <f t="shared" si="2"/>
        <v>AKL</v>
      </c>
      <c r="C167" s="2">
        <v>166</v>
      </c>
      <c r="D167" s="3" t="str">
        <f>HYPERLINK("https://sitebase.nzcomms.co.nz/spm/spmnominalview/AKL-006-032/","AKL-006-032")</f>
        <v>AKL-006-032</v>
      </c>
      <c r="E167" s="4"/>
      <c r="F167" s="3" t="str">
        <f>HYPERLINK("https://sitebase.nzcomms.co.nz/spm/spmcandidateview/AKL-006-032-A/","AKL-006-032-A")</f>
        <v>AKL-006-032-A</v>
      </c>
      <c r="G167" s="4" t="s">
        <v>680</v>
      </c>
      <c r="H167" s="4" t="s">
        <v>600</v>
      </c>
      <c r="I167" s="4"/>
      <c r="J167" s="4" t="s">
        <v>139</v>
      </c>
      <c r="K167" s="4" t="s">
        <v>141</v>
      </c>
      <c r="L167" s="4" t="s">
        <v>189</v>
      </c>
      <c r="M167" s="4" t="s">
        <v>354</v>
      </c>
      <c r="N167" s="4" t="s">
        <v>355</v>
      </c>
      <c r="O167" s="4" t="s">
        <v>356</v>
      </c>
      <c r="P167" s="4"/>
      <c r="Q167" s="4"/>
      <c r="R167" s="4">
        <v>0</v>
      </c>
      <c r="S167" s="4">
        <v>0</v>
      </c>
      <c r="T167" s="4"/>
      <c r="U167" s="4">
        <v>-36.897036550000003</v>
      </c>
      <c r="V167" s="4">
        <v>174.64777834</v>
      </c>
      <c r="W167" s="4"/>
      <c r="X167" s="4"/>
      <c r="Y167" s="4"/>
      <c r="Z167" s="4"/>
      <c r="AA167" s="4" t="s">
        <v>171</v>
      </c>
      <c r="AB167" s="3" t="str">
        <f>HYPERLINK("https://sitebase.nzcomms.co.nz/spm/spmcandidateview/AKL-006-001-F/","AKL-006-001-F")</f>
        <v>AKL-006-001-F</v>
      </c>
      <c r="AC167" s="4"/>
      <c r="AD167" s="4"/>
      <c r="AE167" s="4"/>
      <c r="AF167" s="4"/>
      <c r="AG167" s="4"/>
      <c r="AH167" s="4" t="s">
        <v>360</v>
      </c>
      <c r="AI167" s="4"/>
      <c r="AJ167" s="4"/>
      <c r="AK167" s="4"/>
      <c r="AL167" s="4"/>
      <c r="AM167" s="4"/>
      <c r="AN167" s="5">
        <v>39294</v>
      </c>
      <c r="AO167" s="4">
        <v>3</v>
      </c>
      <c r="AP167" s="4"/>
      <c r="AQ167" s="5">
        <v>39503</v>
      </c>
      <c r="AR167" s="4"/>
      <c r="AS167" s="4"/>
      <c r="AT167" s="5">
        <v>39463</v>
      </c>
      <c r="AU167" s="5">
        <v>39463</v>
      </c>
      <c r="AV167" s="4">
        <v>2</v>
      </c>
      <c r="AW167" s="5">
        <v>39463</v>
      </c>
      <c r="AX167" s="5">
        <v>39463</v>
      </c>
      <c r="AY167" s="4"/>
      <c r="AZ167" s="4"/>
      <c r="BA167" s="4"/>
      <c r="BB167" s="5">
        <v>39408</v>
      </c>
      <c r="BC167" s="4"/>
      <c r="BD167" s="4"/>
      <c r="BE167" s="5">
        <v>39408</v>
      </c>
      <c r="BF167" s="5">
        <v>39408</v>
      </c>
      <c r="BG167" s="4"/>
      <c r="BH167" s="5">
        <v>39469</v>
      </c>
      <c r="BI167" s="4"/>
      <c r="BJ167" s="5">
        <v>39514</v>
      </c>
      <c r="BK167" s="4">
        <v>1</v>
      </c>
      <c r="BL167" s="4">
        <v>3</v>
      </c>
      <c r="BM167" s="5">
        <v>39514</v>
      </c>
      <c r="BN167" s="5">
        <v>39514</v>
      </c>
      <c r="BO167" s="4"/>
      <c r="BP167" s="4"/>
      <c r="BQ167" s="4"/>
      <c r="BR167" s="4"/>
      <c r="BS167" s="4"/>
      <c r="BT167" s="4"/>
      <c r="BU167" s="5">
        <v>39545</v>
      </c>
      <c r="BV167" s="5">
        <v>39591</v>
      </c>
      <c r="BW167" s="5">
        <v>39597</v>
      </c>
      <c r="BX167" s="4"/>
      <c r="BY167" s="5">
        <v>39605</v>
      </c>
      <c r="BZ167" s="5">
        <v>39605</v>
      </c>
      <c r="CA167" s="4"/>
      <c r="CB167" s="4"/>
      <c r="CC167" s="4"/>
      <c r="CD167" s="4"/>
      <c r="CE167" s="4"/>
      <c r="CF167" s="4"/>
      <c r="CG167" s="4"/>
      <c r="CH167" s="4"/>
      <c r="CI167" s="5">
        <v>39861</v>
      </c>
      <c r="CJ167" s="5">
        <v>39853</v>
      </c>
      <c r="CK167" s="5">
        <v>39861</v>
      </c>
      <c r="CL167" s="4"/>
      <c r="CM167" s="4"/>
      <c r="CN167" s="4"/>
      <c r="CO167" s="4"/>
      <c r="CP167" s="4" t="s">
        <v>157</v>
      </c>
      <c r="CQ167" s="4"/>
      <c r="CR167" s="5">
        <v>39853</v>
      </c>
      <c r="CS167" s="4"/>
      <c r="CT167" s="4"/>
      <c r="CU167" s="4"/>
      <c r="CV167" s="4"/>
      <c r="CW167" s="4"/>
      <c r="CX167" s="4"/>
      <c r="CY167" s="4"/>
      <c r="CZ167" s="4"/>
      <c r="DA167" s="4"/>
      <c r="DB167" s="4"/>
      <c r="DC167" s="4"/>
      <c r="DD167" s="4"/>
      <c r="DE167" s="4"/>
      <c r="DF167" s="4"/>
      <c r="DG167" s="4"/>
      <c r="DH167" s="4"/>
      <c r="DI167" s="4"/>
      <c r="DJ167" s="4" t="b">
        <v>0</v>
      </c>
      <c r="DK167" s="4"/>
      <c r="DL167" s="4">
        <v>2657240</v>
      </c>
      <c r="DM167" s="4">
        <v>6477000</v>
      </c>
      <c r="DN167" s="4" t="s">
        <v>681</v>
      </c>
      <c r="DO167" s="4"/>
      <c r="DP167" s="4"/>
      <c r="DQ167" s="4" t="s">
        <v>148</v>
      </c>
      <c r="DR167" s="4"/>
      <c r="DS167" s="4"/>
      <c r="DT167" s="5">
        <v>41887</v>
      </c>
      <c r="DU167" s="4"/>
      <c r="DV167" s="4"/>
      <c r="DW167" s="4"/>
      <c r="DX167" s="4"/>
      <c r="DY167" s="4"/>
      <c r="DZ167" s="5">
        <v>39517</v>
      </c>
      <c r="EA167" s="4"/>
      <c r="EB167" s="4"/>
      <c r="EC167" s="4"/>
      <c r="ED167" s="4"/>
      <c r="EE167" s="4"/>
      <c r="EF167" s="4"/>
      <c r="EG167" s="4"/>
      <c r="EH167" s="4"/>
      <c r="EI167" s="5">
        <v>39264</v>
      </c>
    </row>
    <row r="168" spans="1:139" hidden="1" x14ac:dyDescent="0.2">
      <c r="A168">
        <f>VLOOKUP(B168,Sheet1!$A$1:$B$18,2,FALSE)</f>
        <v>0</v>
      </c>
      <c r="B168" t="str">
        <f t="shared" si="2"/>
        <v>AKL</v>
      </c>
      <c r="C168" s="2">
        <v>167</v>
      </c>
      <c r="D168" s="3" t="str">
        <f>HYPERLINK("https://sitebase.nzcomms.co.nz/spm/spmnominalview/AKL-006-033/","AKL-006-033")</f>
        <v>AKL-006-033</v>
      </c>
      <c r="E168" s="4"/>
      <c r="F168" s="3" t="str">
        <f>HYPERLINK("https://sitebase.nzcomms.co.nz/spm/spmcandidateview/AKL-006-033-C/","AKL-006-033-C")</f>
        <v>AKL-006-033-C</v>
      </c>
      <c r="G168" s="4" t="s">
        <v>682</v>
      </c>
      <c r="H168" s="4" t="s">
        <v>600</v>
      </c>
      <c r="I168" s="4"/>
      <c r="J168" s="4" t="s">
        <v>139</v>
      </c>
      <c r="K168" s="4" t="s">
        <v>141</v>
      </c>
      <c r="L168" s="4" t="s">
        <v>150</v>
      </c>
      <c r="M168" s="4" t="s">
        <v>143</v>
      </c>
      <c r="N168" s="4" t="s">
        <v>291</v>
      </c>
      <c r="O168" s="4" t="s">
        <v>683</v>
      </c>
      <c r="P168" s="4"/>
      <c r="Q168" s="4" t="s">
        <v>170</v>
      </c>
      <c r="R168" s="4">
        <v>8</v>
      </c>
      <c r="S168" s="4">
        <v>8</v>
      </c>
      <c r="T168" s="4"/>
      <c r="U168" s="4">
        <v>-36.962795399999997</v>
      </c>
      <c r="V168" s="4">
        <v>174.47169327</v>
      </c>
      <c r="W168" s="4"/>
      <c r="X168" s="4"/>
      <c r="Y168" s="4"/>
      <c r="Z168" s="4"/>
      <c r="AA168" s="4" t="s">
        <v>152</v>
      </c>
      <c r="AB168" s="3" t="str">
        <f>HYPERLINK("https://sitebase.nzcomms.co.nz/spm/spmcandidateview/AKL-007-106-A/","AKL-007-106-A")</f>
        <v>AKL-007-106-A</v>
      </c>
      <c r="AC168" s="4"/>
      <c r="AD168" s="4"/>
      <c r="AE168" s="4"/>
      <c r="AF168" s="4"/>
      <c r="AG168" s="4"/>
      <c r="AH168" s="4"/>
      <c r="AI168" s="4"/>
      <c r="AJ168" s="4"/>
      <c r="AK168" s="4"/>
      <c r="AL168" s="4"/>
      <c r="AM168" s="4"/>
      <c r="AN168" s="5">
        <v>39651</v>
      </c>
      <c r="AO168" s="4">
        <v>2</v>
      </c>
      <c r="AP168" s="5">
        <v>39917</v>
      </c>
      <c r="AQ168" s="5">
        <v>39917</v>
      </c>
      <c r="AR168" s="4"/>
      <c r="AS168" s="4"/>
      <c r="AT168" s="4"/>
      <c r="AU168" s="5">
        <v>39678</v>
      </c>
      <c r="AV168" s="4">
        <v>1</v>
      </c>
      <c r="AW168" s="5">
        <v>39933</v>
      </c>
      <c r="AX168" s="5">
        <v>39923</v>
      </c>
      <c r="AY168" s="4"/>
      <c r="AZ168" s="4"/>
      <c r="BA168" s="4"/>
      <c r="BB168" s="5">
        <v>39934</v>
      </c>
      <c r="BC168" s="4"/>
      <c r="BD168" s="4"/>
      <c r="BE168" s="5">
        <v>39934</v>
      </c>
      <c r="BF168" s="5">
        <v>39933</v>
      </c>
      <c r="BG168" s="5">
        <v>39694</v>
      </c>
      <c r="BH168" s="5">
        <v>39699</v>
      </c>
      <c r="BI168" s="4"/>
      <c r="BJ168" s="5">
        <v>39724</v>
      </c>
      <c r="BK168" s="4">
        <v>1</v>
      </c>
      <c r="BL168" s="4">
        <v>1</v>
      </c>
      <c r="BM168" s="5">
        <v>39724</v>
      </c>
      <c r="BN168" s="5">
        <v>39724</v>
      </c>
      <c r="BO168" s="5">
        <v>39923</v>
      </c>
      <c r="BP168" s="4"/>
      <c r="BQ168" s="4"/>
      <c r="BR168" s="4"/>
      <c r="BS168" s="4"/>
      <c r="BT168" s="5">
        <v>39937</v>
      </c>
      <c r="BU168" s="5">
        <v>39937</v>
      </c>
      <c r="BV168" s="5">
        <v>39976</v>
      </c>
      <c r="BW168" s="5">
        <v>39969</v>
      </c>
      <c r="BX168" s="4"/>
      <c r="BY168" s="5">
        <v>39976</v>
      </c>
      <c r="BZ168" s="5">
        <v>39976</v>
      </c>
      <c r="CA168" s="4"/>
      <c r="CB168" s="4"/>
      <c r="CC168" s="4"/>
      <c r="CD168" s="4"/>
      <c r="CE168" s="4"/>
      <c r="CF168" s="4"/>
      <c r="CG168" s="4"/>
      <c r="CH168" s="4"/>
      <c r="CI168" s="5">
        <v>39977</v>
      </c>
      <c r="CJ168" s="5">
        <v>39979</v>
      </c>
      <c r="CK168" s="5">
        <v>39977</v>
      </c>
      <c r="CL168" s="4"/>
      <c r="CM168" s="4"/>
      <c r="CN168" s="4"/>
      <c r="CO168" s="4"/>
      <c r="CP168" s="4" t="s">
        <v>157</v>
      </c>
      <c r="CQ168" s="4"/>
      <c r="CR168" s="5">
        <v>39979</v>
      </c>
      <c r="CS168" s="4"/>
      <c r="CT168" s="4"/>
      <c r="CU168" s="4"/>
      <c r="CV168" s="4"/>
      <c r="CW168" s="5">
        <v>39920</v>
      </c>
      <c r="CX168" s="5">
        <v>39923</v>
      </c>
      <c r="CY168" s="4"/>
      <c r="CZ168" s="4"/>
      <c r="DA168" s="4"/>
      <c r="DB168" s="4"/>
      <c r="DC168" s="4"/>
      <c r="DD168" s="4"/>
      <c r="DE168" s="4"/>
      <c r="DF168" s="4"/>
      <c r="DG168" s="4"/>
      <c r="DH168" s="4"/>
      <c r="DI168" s="4"/>
      <c r="DJ168" s="4" t="b">
        <v>0</v>
      </c>
      <c r="DK168" s="4"/>
      <c r="DL168" s="4">
        <v>2641421</v>
      </c>
      <c r="DM168" s="4">
        <v>6469991</v>
      </c>
      <c r="DN168" s="4" t="s">
        <v>684</v>
      </c>
      <c r="DO168" s="4"/>
      <c r="DP168" s="4"/>
      <c r="DQ168" s="4" t="s">
        <v>148</v>
      </c>
      <c r="DR168" s="4"/>
      <c r="DS168" s="4"/>
      <c r="DT168" s="4"/>
      <c r="DU168" s="4"/>
      <c r="DV168" s="4"/>
      <c r="DW168" s="4"/>
      <c r="DX168" s="4"/>
      <c r="DY168" s="5">
        <v>39937</v>
      </c>
      <c r="DZ168" s="5">
        <v>39937</v>
      </c>
      <c r="EA168" s="4"/>
      <c r="EB168" s="4"/>
      <c r="EC168" s="4"/>
      <c r="ED168" s="4"/>
      <c r="EE168" s="4"/>
      <c r="EF168" s="4"/>
      <c r="EG168" s="4"/>
      <c r="EH168" s="4"/>
      <c r="EI168" s="5">
        <v>39640</v>
      </c>
    </row>
    <row r="169" spans="1:139" hidden="1" x14ac:dyDescent="0.2">
      <c r="A169">
        <f>VLOOKUP(B169,Sheet1!$A$1:$B$18,2,FALSE)</f>
        <v>0</v>
      </c>
      <c r="B169" t="str">
        <f t="shared" si="2"/>
        <v>AKL</v>
      </c>
      <c r="C169" s="2">
        <v>168</v>
      </c>
      <c r="D169" s="3" t="str">
        <f>HYPERLINK("https://sitebase.nzcomms.co.nz/spm/spmnominalview/AKL-006-034/","AKL-006-034")</f>
        <v>AKL-006-034</v>
      </c>
      <c r="E169" s="4"/>
      <c r="F169" s="3" t="str">
        <f>HYPERLINK("https://sitebase.nzcomms.co.nz/spm/spmcandidateview/AKL-006-034-A/","AKL-006-034-A")</f>
        <v>AKL-006-034-A</v>
      </c>
      <c r="G169" s="4" t="s">
        <v>685</v>
      </c>
      <c r="H169" s="4" t="s">
        <v>600</v>
      </c>
      <c r="I169" s="4"/>
      <c r="J169" s="4" t="s">
        <v>139</v>
      </c>
      <c r="K169" s="4" t="s">
        <v>141</v>
      </c>
      <c r="L169" s="4" t="s">
        <v>142</v>
      </c>
      <c r="M169" s="4" t="s">
        <v>143</v>
      </c>
      <c r="N169" s="4" t="s">
        <v>142</v>
      </c>
      <c r="O169" s="4" t="s">
        <v>144</v>
      </c>
      <c r="P169" s="4"/>
      <c r="Q169" s="4" t="s">
        <v>170</v>
      </c>
      <c r="R169" s="4"/>
      <c r="S169" s="4"/>
      <c r="T169" s="4"/>
      <c r="U169" s="4">
        <v>-36.853363549999997</v>
      </c>
      <c r="V169" s="4">
        <v>174.54516881999999</v>
      </c>
      <c r="W169" s="4"/>
      <c r="X169" s="4"/>
      <c r="Y169" s="4"/>
      <c r="Z169" s="4"/>
      <c r="AA169" s="4" t="s">
        <v>152</v>
      </c>
      <c r="AB169" s="3" t="str">
        <f>HYPERLINK("https://sitebase.nzcomms.co.nz/spm/spmcandidateview/AKL-007-106-A/","AKL-007-106-A")</f>
        <v>AKL-007-106-A</v>
      </c>
      <c r="AC169" s="4"/>
      <c r="AD169" s="4"/>
      <c r="AE169" s="4"/>
      <c r="AF169" s="4"/>
      <c r="AG169" s="4"/>
      <c r="AH169" s="4"/>
      <c r="AI169" s="4"/>
      <c r="AJ169" s="4"/>
      <c r="AK169" s="4"/>
      <c r="AL169" s="4"/>
      <c r="AM169" s="4"/>
      <c r="AN169" s="5">
        <v>39423</v>
      </c>
      <c r="AO169" s="4">
        <v>2</v>
      </c>
      <c r="AP169" s="4"/>
      <c r="AQ169" s="5">
        <v>39743</v>
      </c>
      <c r="AR169" s="4"/>
      <c r="AS169" s="4"/>
      <c r="AT169" s="5">
        <v>39887</v>
      </c>
      <c r="AU169" s="5">
        <v>39903</v>
      </c>
      <c r="AV169" s="4">
        <v>1</v>
      </c>
      <c r="AW169" s="5">
        <v>39887</v>
      </c>
      <c r="AX169" s="5">
        <v>39903</v>
      </c>
      <c r="AY169" s="4"/>
      <c r="AZ169" s="4"/>
      <c r="BA169" s="4"/>
      <c r="BB169" s="5">
        <v>39599</v>
      </c>
      <c r="BC169" s="4"/>
      <c r="BD169" s="4"/>
      <c r="BE169" s="5">
        <v>39599</v>
      </c>
      <c r="BF169" s="5">
        <v>39591</v>
      </c>
      <c r="BG169" s="4"/>
      <c r="BH169" s="5">
        <v>39513</v>
      </c>
      <c r="BI169" s="4"/>
      <c r="BJ169" s="5">
        <v>39588</v>
      </c>
      <c r="BK169" s="4">
        <v>2</v>
      </c>
      <c r="BL169" s="4">
        <v>2</v>
      </c>
      <c r="BM169" s="5">
        <v>39783</v>
      </c>
      <c r="BN169" s="5">
        <v>39783</v>
      </c>
      <c r="BO169" s="4"/>
      <c r="BP169" s="4"/>
      <c r="BQ169" s="4"/>
      <c r="BR169" s="4"/>
      <c r="BS169" s="4"/>
      <c r="BT169" s="4"/>
      <c r="BU169" s="5">
        <v>39896</v>
      </c>
      <c r="BV169" s="5">
        <v>39906</v>
      </c>
      <c r="BW169" s="5">
        <v>39906</v>
      </c>
      <c r="BX169" s="4"/>
      <c r="BY169" s="5">
        <v>39934</v>
      </c>
      <c r="BZ169" s="5">
        <v>39938</v>
      </c>
      <c r="CA169" s="4"/>
      <c r="CB169" s="4"/>
      <c r="CC169" s="4"/>
      <c r="CD169" s="4"/>
      <c r="CE169" s="4"/>
      <c r="CF169" s="4"/>
      <c r="CG169" s="4"/>
      <c r="CH169" s="4"/>
      <c r="CI169" s="5">
        <v>39960</v>
      </c>
      <c r="CJ169" s="5">
        <v>39955</v>
      </c>
      <c r="CK169" s="5">
        <v>39960</v>
      </c>
      <c r="CL169" s="4"/>
      <c r="CM169" s="4"/>
      <c r="CN169" s="4"/>
      <c r="CO169" s="4"/>
      <c r="CP169" s="4" t="s">
        <v>686</v>
      </c>
      <c r="CQ169" s="4"/>
      <c r="CR169" s="5">
        <v>39955</v>
      </c>
      <c r="CS169" s="4"/>
      <c r="CT169" s="4"/>
      <c r="CU169" s="4"/>
      <c r="CV169" s="4"/>
      <c r="CW169" s="4"/>
      <c r="CX169" s="4"/>
      <c r="CY169" s="4"/>
      <c r="CZ169" s="4"/>
      <c r="DA169" s="4"/>
      <c r="DB169" s="4"/>
      <c r="DC169" s="4"/>
      <c r="DD169" s="4"/>
      <c r="DE169" s="4"/>
      <c r="DF169" s="4"/>
      <c r="DG169" s="4"/>
      <c r="DH169" s="4"/>
      <c r="DI169" s="4"/>
      <c r="DJ169" s="4" t="b">
        <v>0</v>
      </c>
      <c r="DK169" s="4"/>
      <c r="DL169" s="4">
        <v>2648184</v>
      </c>
      <c r="DM169" s="4">
        <v>6482017</v>
      </c>
      <c r="DN169" s="4" t="s">
        <v>687</v>
      </c>
      <c r="DO169" s="4"/>
      <c r="DP169" s="4"/>
      <c r="DQ169" s="4" t="s">
        <v>148</v>
      </c>
      <c r="DR169" s="4"/>
      <c r="DS169" s="4"/>
      <c r="DT169" s="4"/>
      <c r="DU169" s="4"/>
      <c r="DV169" s="4"/>
      <c r="DW169" s="4"/>
      <c r="DX169" s="4"/>
      <c r="DY169" s="4"/>
      <c r="DZ169" s="5">
        <v>39896</v>
      </c>
      <c r="EA169" s="4"/>
      <c r="EB169" s="4"/>
      <c r="EC169" s="4"/>
      <c r="ED169" s="4"/>
      <c r="EE169" s="4"/>
      <c r="EF169" s="4"/>
      <c r="EG169" s="4"/>
      <c r="EH169" s="4"/>
      <c r="EI169" s="5">
        <v>39429</v>
      </c>
    </row>
    <row r="170" spans="1:139" hidden="1" x14ac:dyDescent="0.2">
      <c r="A170">
        <f>VLOOKUP(B170,Sheet1!$A$1:$B$18,2,FALSE)</f>
        <v>0</v>
      </c>
      <c r="B170" t="str">
        <f t="shared" si="2"/>
        <v>AKL</v>
      </c>
      <c r="C170" s="2">
        <v>169</v>
      </c>
      <c r="D170" s="3" t="str">
        <f>HYPERLINK("https://sitebase.nzcomms.co.nz/spm/spmnominalview/AKL-006-036/","AKL-006-036")</f>
        <v>AKL-006-036</v>
      </c>
      <c r="E170" s="4"/>
      <c r="F170" s="3" t="str">
        <f>HYPERLINK("https://sitebase.nzcomms.co.nz/spm/spmcandidateview/AKL-006-036-G/","AKL-006-036-G")</f>
        <v>AKL-006-036-G</v>
      </c>
      <c r="G170" s="4" t="s">
        <v>688</v>
      </c>
      <c r="H170" s="4" t="s">
        <v>600</v>
      </c>
      <c r="I170" s="4"/>
      <c r="J170" s="4" t="s">
        <v>139</v>
      </c>
      <c r="K170" s="4" t="s">
        <v>141</v>
      </c>
      <c r="L170" s="4" t="s">
        <v>150</v>
      </c>
      <c r="M170" s="4" t="s">
        <v>354</v>
      </c>
      <c r="N170" s="4" t="s">
        <v>246</v>
      </c>
      <c r="O170" s="4" t="s">
        <v>144</v>
      </c>
      <c r="P170" s="4"/>
      <c r="Q170" s="4"/>
      <c r="R170" s="4">
        <v>13.8</v>
      </c>
      <c r="S170" s="4">
        <v>13.8</v>
      </c>
      <c r="T170" s="4"/>
      <c r="U170" s="4">
        <v>-36.841933050000002</v>
      </c>
      <c r="V170" s="4">
        <v>174.65123457999999</v>
      </c>
      <c r="W170" s="4"/>
      <c r="X170" s="4"/>
      <c r="Y170" s="4"/>
      <c r="Z170" s="4"/>
      <c r="AA170" s="4" t="s">
        <v>171</v>
      </c>
      <c r="AB170" s="3" t="str">
        <f>HYPERLINK("https://sitebase.nzcomms.co.nz/spm/spmcandidateview/AKL-006-008-C/","AKL-006-008-C")</f>
        <v>AKL-006-008-C</v>
      </c>
      <c r="AC170" s="4"/>
      <c r="AD170" s="4"/>
      <c r="AE170" s="4"/>
      <c r="AF170" s="4"/>
      <c r="AG170" s="4"/>
      <c r="AH170" s="4" t="s">
        <v>395</v>
      </c>
      <c r="AI170" s="4"/>
      <c r="AJ170" s="4"/>
      <c r="AK170" s="4"/>
      <c r="AL170" s="4"/>
      <c r="AM170" s="4"/>
      <c r="AN170" s="5">
        <v>39772</v>
      </c>
      <c r="AO170" s="4">
        <v>4</v>
      </c>
      <c r="AP170" s="5">
        <v>39899</v>
      </c>
      <c r="AQ170" s="5">
        <v>39899</v>
      </c>
      <c r="AR170" s="4"/>
      <c r="AS170" s="4"/>
      <c r="AT170" s="5">
        <v>39903</v>
      </c>
      <c r="AU170" s="5">
        <v>39910</v>
      </c>
      <c r="AV170" s="4">
        <v>4</v>
      </c>
      <c r="AW170" s="5">
        <v>39979</v>
      </c>
      <c r="AX170" s="5">
        <v>39988</v>
      </c>
      <c r="AY170" s="4"/>
      <c r="AZ170" s="5">
        <v>39779</v>
      </c>
      <c r="BA170" s="4"/>
      <c r="BB170" s="5">
        <v>39844</v>
      </c>
      <c r="BC170" s="4"/>
      <c r="BD170" s="4"/>
      <c r="BE170" s="5">
        <v>39948</v>
      </c>
      <c r="BF170" s="5">
        <v>39948</v>
      </c>
      <c r="BG170" s="5">
        <v>39903</v>
      </c>
      <c r="BH170" s="5">
        <v>39904</v>
      </c>
      <c r="BI170" s="5">
        <v>39909</v>
      </c>
      <c r="BJ170" s="5">
        <v>39933</v>
      </c>
      <c r="BK170" s="4">
        <v>2</v>
      </c>
      <c r="BL170" s="4">
        <v>4</v>
      </c>
      <c r="BM170" s="5">
        <v>39933</v>
      </c>
      <c r="BN170" s="5">
        <v>39938</v>
      </c>
      <c r="BO170" s="5">
        <v>39847</v>
      </c>
      <c r="BP170" s="4"/>
      <c r="BQ170" s="4"/>
      <c r="BR170" s="4"/>
      <c r="BS170" s="4"/>
      <c r="BT170" s="5">
        <v>39951</v>
      </c>
      <c r="BU170" s="5">
        <v>39951</v>
      </c>
      <c r="BV170" s="5">
        <v>39994</v>
      </c>
      <c r="BW170" s="5">
        <v>39994</v>
      </c>
      <c r="BX170" s="4"/>
      <c r="BY170" s="5">
        <v>40016</v>
      </c>
      <c r="BZ170" s="5">
        <v>40016</v>
      </c>
      <c r="CA170" s="4"/>
      <c r="CB170" s="4"/>
      <c r="CC170" s="4"/>
      <c r="CD170" s="4"/>
      <c r="CE170" s="4"/>
      <c r="CF170" s="4"/>
      <c r="CG170" s="4"/>
      <c r="CH170" s="4"/>
      <c r="CI170" s="5">
        <v>40037</v>
      </c>
      <c r="CJ170" s="5">
        <v>40038</v>
      </c>
      <c r="CK170" s="5">
        <v>40037</v>
      </c>
      <c r="CL170" s="4"/>
      <c r="CM170" s="4"/>
      <c r="CN170" s="4"/>
      <c r="CO170" s="4"/>
      <c r="CP170" s="4" t="s">
        <v>157</v>
      </c>
      <c r="CQ170" s="4"/>
      <c r="CR170" s="5">
        <v>40038</v>
      </c>
      <c r="CS170" s="4"/>
      <c r="CT170" s="4"/>
      <c r="CU170" s="4"/>
      <c r="CV170" s="4"/>
      <c r="CW170" s="5">
        <v>39850</v>
      </c>
      <c r="CX170" s="5">
        <v>39847</v>
      </c>
      <c r="CY170" s="4"/>
      <c r="CZ170" s="4"/>
      <c r="DA170" s="4"/>
      <c r="DB170" s="4"/>
      <c r="DC170" s="4"/>
      <c r="DD170" s="4"/>
      <c r="DE170" s="4"/>
      <c r="DF170" s="4"/>
      <c r="DG170" s="4"/>
      <c r="DH170" s="4"/>
      <c r="DI170" s="4"/>
      <c r="DJ170" s="4" t="b">
        <v>0</v>
      </c>
      <c r="DK170" s="4"/>
      <c r="DL170" s="4">
        <v>2657666</v>
      </c>
      <c r="DM170" s="4">
        <v>6483108</v>
      </c>
      <c r="DN170" s="4" t="s">
        <v>689</v>
      </c>
      <c r="DO170" s="4"/>
      <c r="DP170" s="4"/>
      <c r="DQ170" s="4" t="s">
        <v>148</v>
      </c>
      <c r="DR170" s="4"/>
      <c r="DS170" s="4"/>
      <c r="DT170" s="5">
        <v>41887</v>
      </c>
      <c r="DU170" s="4"/>
      <c r="DV170" s="4"/>
      <c r="DW170" s="4"/>
      <c r="DX170" s="4"/>
      <c r="DY170" s="5">
        <v>39951</v>
      </c>
      <c r="DZ170" s="5">
        <v>39951</v>
      </c>
      <c r="EA170" s="4"/>
      <c r="EB170" s="4"/>
      <c r="EC170" s="4"/>
      <c r="ED170" s="4"/>
      <c r="EE170" s="4"/>
      <c r="EF170" s="4"/>
      <c r="EG170" s="4"/>
      <c r="EH170" s="4"/>
      <c r="EI170" s="5">
        <v>39756</v>
      </c>
    </row>
    <row r="171" spans="1:139" hidden="1" x14ac:dyDescent="0.2">
      <c r="A171">
        <f>VLOOKUP(B171,Sheet1!$A$1:$B$18,2,FALSE)</f>
        <v>0</v>
      </c>
      <c r="B171" t="str">
        <f t="shared" si="2"/>
        <v>AKL</v>
      </c>
      <c r="C171" s="2">
        <v>170</v>
      </c>
      <c r="D171" s="3" t="str">
        <f>HYPERLINK("https://sitebase.nzcomms.co.nz/spm/spmnominalview/AKL-006-037/","AKL-006-037")</f>
        <v>AKL-006-037</v>
      </c>
      <c r="E171" s="4"/>
      <c r="F171" s="3" t="str">
        <f>HYPERLINK("https://sitebase.nzcomms.co.nz/spm/spmcandidateview/AKL-006-037-G/","AKL-006-037-G")</f>
        <v>AKL-006-037-G</v>
      </c>
      <c r="G171" s="4" t="s">
        <v>690</v>
      </c>
      <c r="H171" s="4" t="s">
        <v>600</v>
      </c>
      <c r="I171" s="4"/>
      <c r="J171" s="4" t="s">
        <v>139</v>
      </c>
      <c r="K171" s="4" t="s">
        <v>141</v>
      </c>
      <c r="L171" s="4" t="s">
        <v>189</v>
      </c>
      <c r="M171" s="4" t="s">
        <v>463</v>
      </c>
      <c r="N171" s="4" t="s">
        <v>274</v>
      </c>
      <c r="O171" s="4" t="s">
        <v>356</v>
      </c>
      <c r="P171" s="4"/>
      <c r="Q171" s="4"/>
      <c r="R171" s="4">
        <v>14.8</v>
      </c>
      <c r="S171" s="4">
        <v>14.8</v>
      </c>
      <c r="T171" s="4"/>
      <c r="U171" s="4">
        <v>-36.871055939999998</v>
      </c>
      <c r="V171" s="4">
        <v>174.62825364</v>
      </c>
      <c r="W171" s="4"/>
      <c r="X171" s="4"/>
      <c r="Y171" s="4"/>
      <c r="Z171" s="4"/>
      <c r="AA171" s="4" t="s">
        <v>171</v>
      </c>
      <c r="AB171" s="3" t="str">
        <f>HYPERLINK("https://sitebase.nzcomms.co.nz/spm/spmcandidateview/AKL-006-007-B/","AKL-006-007-B")</f>
        <v>AKL-006-007-B</v>
      </c>
      <c r="AC171" s="4"/>
      <c r="AD171" s="4"/>
      <c r="AE171" s="4"/>
      <c r="AF171" s="4"/>
      <c r="AG171" s="4"/>
      <c r="AH171" s="4" t="s">
        <v>365</v>
      </c>
      <c r="AI171" s="4"/>
      <c r="AJ171" s="4"/>
      <c r="AK171" s="4"/>
      <c r="AL171" s="4"/>
      <c r="AM171" s="4"/>
      <c r="AN171" s="5">
        <v>39877</v>
      </c>
      <c r="AO171" s="4">
        <v>1</v>
      </c>
      <c r="AP171" s="5">
        <v>39888</v>
      </c>
      <c r="AQ171" s="5">
        <v>39877</v>
      </c>
      <c r="AR171" s="4"/>
      <c r="AS171" s="4"/>
      <c r="AT171" s="5">
        <v>39918</v>
      </c>
      <c r="AU171" s="5">
        <v>39899</v>
      </c>
      <c r="AV171" s="4"/>
      <c r="AW171" s="5">
        <v>39918</v>
      </c>
      <c r="AX171" s="5">
        <v>39903</v>
      </c>
      <c r="AY171" s="4"/>
      <c r="AZ171" s="5">
        <v>39895</v>
      </c>
      <c r="BA171" s="4"/>
      <c r="BB171" s="5">
        <v>39895</v>
      </c>
      <c r="BC171" s="4"/>
      <c r="BD171" s="4"/>
      <c r="BE171" s="5">
        <v>39895</v>
      </c>
      <c r="BF171" s="5">
        <v>39896</v>
      </c>
      <c r="BG171" s="5">
        <v>39895</v>
      </c>
      <c r="BH171" s="5">
        <v>39890</v>
      </c>
      <c r="BI171" s="4"/>
      <c r="BJ171" s="5">
        <v>39909</v>
      </c>
      <c r="BK171" s="4">
        <v>1</v>
      </c>
      <c r="BL171" s="4">
        <v>1</v>
      </c>
      <c r="BM171" s="5">
        <v>39909</v>
      </c>
      <c r="BN171" s="5">
        <v>39909</v>
      </c>
      <c r="BO171" s="5">
        <v>39946</v>
      </c>
      <c r="BP171" s="4"/>
      <c r="BQ171" s="4"/>
      <c r="BR171" s="4"/>
      <c r="BS171" s="4"/>
      <c r="BT171" s="5">
        <v>39937</v>
      </c>
      <c r="BU171" s="5">
        <v>39937</v>
      </c>
      <c r="BV171" s="5">
        <v>39958</v>
      </c>
      <c r="BW171" s="5">
        <v>39955</v>
      </c>
      <c r="BX171" s="4"/>
      <c r="BY171" s="5">
        <v>39969</v>
      </c>
      <c r="BZ171" s="5">
        <v>39968</v>
      </c>
      <c r="CA171" s="4"/>
      <c r="CB171" s="4"/>
      <c r="CC171" s="4"/>
      <c r="CD171" s="4"/>
      <c r="CE171" s="4"/>
      <c r="CF171" s="4"/>
      <c r="CG171" s="4"/>
      <c r="CH171" s="4"/>
      <c r="CI171" s="5">
        <v>39968</v>
      </c>
      <c r="CJ171" s="5">
        <v>39975</v>
      </c>
      <c r="CK171" s="5">
        <v>39968</v>
      </c>
      <c r="CL171" s="4"/>
      <c r="CM171" s="4"/>
      <c r="CN171" s="4"/>
      <c r="CO171" s="4"/>
      <c r="CP171" s="4" t="s">
        <v>157</v>
      </c>
      <c r="CQ171" s="4"/>
      <c r="CR171" s="5">
        <v>39975</v>
      </c>
      <c r="CS171" s="4"/>
      <c r="CT171" s="4"/>
      <c r="CU171" s="4"/>
      <c r="CV171" s="4"/>
      <c r="CW171" s="5">
        <v>39941</v>
      </c>
      <c r="CX171" s="5">
        <v>39946</v>
      </c>
      <c r="CY171" s="4"/>
      <c r="CZ171" s="4"/>
      <c r="DA171" s="4"/>
      <c r="DB171" s="4"/>
      <c r="DC171" s="4"/>
      <c r="DD171" s="4"/>
      <c r="DE171" s="4"/>
      <c r="DF171" s="4"/>
      <c r="DG171" s="4"/>
      <c r="DH171" s="4"/>
      <c r="DI171" s="4"/>
      <c r="DJ171" s="4" t="b">
        <v>0</v>
      </c>
      <c r="DK171" s="4"/>
      <c r="DL171" s="4">
        <v>2655555</v>
      </c>
      <c r="DM171" s="4">
        <v>6479916</v>
      </c>
      <c r="DN171" s="4" t="s">
        <v>691</v>
      </c>
      <c r="DO171" s="4"/>
      <c r="DP171" s="4"/>
      <c r="DQ171" s="4" t="s">
        <v>148</v>
      </c>
      <c r="DR171" s="4"/>
      <c r="DS171" s="4"/>
      <c r="DT171" s="5">
        <v>41887</v>
      </c>
      <c r="DU171" s="4"/>
      <c r="DV171" s="4"/>
      <c r="DW171" s="4"/>
      <c r="DX171" s="4"/>
      <c r="DY171" s="5">
        <v>39937</v>
      </c>
      <c r="DZ171" s="5">
        <v>39937</v>
      </c>
      <c r="EA171" s="4"/>
      <c r="EB171" s="4"/>
      <c r="EC171" s="4"/>
      <c r="ED171" s="4"/>
      <c r="EE171" s="4"/>
      <c r="EF171" s="4"/>
      <c r="EG171" s="4"/>
      <c r="EH171" s="4"/>
      <c r="EI171" s="5">
        <v>39861</v>
      </c>
    </row>
    <row r="172" spans="1:139" hidden="1" x14ac:dyDescent="0.2">
      <c r="A172">
        <f>VLOOKUP(B172,Sheet1!$A$1:$B$18,2,FALSE)</f>
        <v>0</v>
      </c>
      <c r="B172" t="str">
        <f t="shared" si="2"/>
        <v>AKL</v>
      </c>
      <c r="C172" s="2">
        <v>171</v>
      </c>
      <c r="D172" s="3" t="str">
        <f>HYPERLINK("https://sitebase.nzcomms.co.nz/spm/spmnominalview/AKL-006-038/","AKL-006-038")</f>
        <v>AKL-006-038</v>
      </c>
      <c r="E172" s="4"/>
      <c r="F172" s="3" t="str">
        <f>HYPERLINK("https://sitebase.nzcomms.co.nz/spm/spmcandidateview/AKL-006-038-C/","AKL-006-038-C")</f>
        <v>AKL-006-038-C</v>
      </c>
      <c r="G172" s="4" t="s">
        <v>692</v>
      </c>
      <c r="H172" s="4" t="s">
        <v>600</v>
      </c>
      <c r="I172" s="4"/>
      <c r="J172" s="4" t="s">
        <v>139</v>
      </c>
      <c r="K172" s="4" t="s">
        <v>141</v>
      </c>
      <c r="L172" s="4" t="s">
        <v>189</v>
      </c>
      <c r="M172" s="4" t="s">
        <v>296</v>
      </c>
      <c r="N172" s="4" t="s">
        <v>274</v>
      </c>
      <c r="O172" s="4" t="s">
        <v>356</v>
      </c>
      <c r="P172" s="4"/>
      <c r="Q172" s="4"/>
      <c r="R172" s="4">
        <v>12</v>
      </c>
      <c r="S172" s="4">
        <v>12</v>
      </c>
      <c r="T172" s="4"/>
      <c r="U172" s="4">
        <v>-36.919182990000003</v>
      </c>
      <c r="V172" s="4">
        <v>174.67597881</v>
      </c>
      <c r="W172" s="4"/>
      <c r="X172" s="4"/>
      <c r="Y172" s="4"/>
      <c r="Z172" s="4"/>
      <c r="AA172" s="4" t="s">
        <v>152</v>
      </c>
      <c r="AB172" s="3" t="str">
        <f>HYPERLINK("https://sitebase.nzcomms.co.nz/spm/spmcandidateview/AKL-007-106-A/","AKL-007-106-A")</f>
        <v>AKL-007-106-A</v>
      </c>
      <c r="AC172" s="4"/>
      <c r="AD172" s="4"/>
      <c r="AE172" s="4"/>
      <c r="AF172" s="4"/>
      <c r="AG172" s="4"/>
      <c r="AH172" s="4"/>
      <c r="AI172" s="4"/>
      <c r="AJ172" s="4"/>
      <c r="AK172" s="4"/>
      <c r="AL172" s="4"/>
      <c r="AM172" s="4"/>
      <c r="AN172" s="5">
        <v>39911</v>
      </c>
      <c r="AO172" s="4">
        <v>1</v>
      </c>
      <c r="AP172" s="5">
        <v>39906</v>
      </c>
      <c r="AQ172" s="5">
        <v>39911</v>
      </c>
      <c r="AR172" s="4"/>
      <c r="AS172" s="4"/>
      <c r="AT172" s="5">
        <v>39973</v>
      </c>
      <c r="AU172" s="5">
        <v>39988</v>
      </c>
      <c r="AV172" s="4"/>
      <c r="AW172" s="5">
        <v>39973</v>
      </c>
      <c r="AX172" s="5">
        <v>39988</v>
      </c>
      <c r="AY172" s="4"/>
      <c r="AZ172" s="5">
        <v>39933</v>
      </c>
      <c r="BA172" s="4"/>
      <c r="BB172" s="5">
        <v>39969</v>
      </c>
      <c r="BC172" s="4"/>
      <c r="BD172" s="4"/>
      <c r="BE172" s="5">
        <v>39969</v>
      </c>
      <c r="BF172" s="5">
        <v>39966</v>
      </c>
      <c r="BG172" s="5">
        <v>39925</v>
      </c>
      <c r="BH172" s="5">
        <v>39918</v>
      </c>
      <c r="BI172" s="4"/>
      <c r="BJ172" s="5">
        <v>39948</v>
      </c>
      <c r="BK172" s="4">
        <v>1</v>
      </c>
      <c r="BL172" s="4">
        <v>1</v>
      </c>
      <c r="BM172" s="5">
        <v>39946</v>
      </c>
      <c r="BN172" s="5">
        <v>39948</v>
      </c>
      <c r="BO172" s="5">
        <v>39982</v>
      </c>
      <c r="BP172" s="4"/>
      <c r="BQ172" s="4"/>
      <c r="BR172" s="4"/>
      <c r="BS172" s="4"/>
      <c r="BT172" s="5">
        <v>39979</v>
      </c>
      <c r="BU172" s="5">
        <v>39979</v>
      </c>
      <c r="BV172" s="5">
        <v>40045</v>
      </c>
      <c r="BW172" s="5">
        <v>40044</v>
      </c>
      <c r="BX172" s="4"/>
      <c r="BY172" s="5">
        <v>40049</v>
      </c>
      <c r="BZ172" s="5">
        <v>40049</v>
      </c>
      <c r="CA172" s="4"/>
      <c r="CB172" s="4"/>
      <c r="CC172" s="4"/>
      <c r="CD172" s="4"/>
      <c r="CE172" s="4"/>
      <c r="CF172" s="4"/>
      <c r="CG172" s="4"/>
      <c r="CH172" s="4"/>
      <c r="CI172" s="5">
        <v>40056</v>
      </c>
      <c r="CJ172" s="5">
        <v>40055</v>
      </c>
      <c r="CK172" s="5">
        <v>40056</v>
      </c>
      <c r="CL172" s="4"/>
      <c r="CM172" s="4"/>
      <c r="CN172" s="4"/>
      <c r="CO172" s="4"/>
      <c r="CP172" s="4" t="s">
        <v>157</v>
      </c>
      <c r="CQ172" s="4"/>
      <c r="CR172" s="5">
        <v>40055</v>
      </c>
      <c r="CS172" s="4"/>
      <c r="CT172" s="4"/>
      <c r="CU172" s="4"/>
      <c r="CV172" s="4"/>
      <c r="CW172" s="5">
        <v>39983</v>
      </c>
      <c r="CX172" s="5">
        <v>39982</v>
      </c>
      <c r="CY172" s="4"/>
      <c r="CZ172" s="4"/>
      <c r="DA172" s="4"/>
      <c r="DB172" s="4"/>
      <c r="DC172" s="4"/>
      <c r="DD172" s="4"/>
      <c r="DE172" s="4"/>
      <c r="DF172" s="4"/>
      <c r="DG172" s="4"/>
      <c r="DH172" s="4"/>
      <c r="DI172" s="4"/>
      <c r="DJ172" s="4" t="b">
        <v>0</v>
      </c>
      <c r="DK172" s="4"/>
      <c r="DL172" s="4">
        <v>2659705</v>
      </c>
      <c r="DM172" s="4">
        <v>6474494</v>
      </c>
      <c r="DN172" s="4" t="s">
        <v>693</v>
      </c>
      <c r="DO172" s="4"/>
      <c r="DP172" s="4"/>
      <c r="DQ172" s="4" t="s">
        <v>148</v>
      </c>
      <c r="DR172" s="4"/>
      <c r="DS172" s="4"/>
      <c r="DT172" s="4"/>
      <c r="DU172" s="4"/>
      <c r="DV172" s="4"/>
      <c r="DW172" s="4"/>
      <c r="DX172" s="4"/>
      <c r="DY172" s="5">
        <v>39979</v>
      </c>
      <c r="DZ172" s="5">
        <v>39979</v>
      </c>
      <c r="EA172" s="4"/>
      <c r="EB172" s="4"/>
      <c r="EC172" s="4"/>
      <c r="ED172" s="4"/>
      <c r="EE172" s="4"/>
      <c r="EF172" s="4"/>
      <c r="EG172" s="4"/>
      <c r="EH172" s="4"/>
      <c r="EI172" s="5">
        <v>39895</v>
      </c>
    </row>
    <row r="173" spans="1:139" hidden="1" x14ac:dyDescent="0.2">
      <c r="A173">
        <f>VLOOKUP(B173,Sheet1!$A$1:$B$18,2,FALSE)</f>
        <v>0</v>
      </c>
      <c r="B173" t="str">
        <f t="shared" si="2"/>
        <v>AKL</v>
      </c>
      <c r="C173" s="2">
        <v>172</v>
      </c>
      <c r="D173" s="3" t="str">
        <f>HYPERLINK("https://sitebase.nzcomms.co.nz/spm/spmnominalview/AKL-006-040/","AKL-006-040")</f>
        <v>AKL-006-040</v>
      </c>
      <c r="E173" s="4"/>
      <c r="F173" s="3" t="str">
        <f>HYPERLINK("https://sitebase.nzcomms.co.nz/spm/spmcandidateview/AKL-006-040-A/","AKL-006-040-A")</f>
        <v>AKL-006-040-A</v>
      </c>
      <c r="G173" s="4" t="s">
        <v>694</v>
      </c>
      <c r="H173" s="4" t="s">
        <v>600</v>
      </c>
      <c r="I173" s="4"/>
      <c r="J173" s="4" t="s">
        <v>139</v>
      </c>
      <c r="K173" s="4" t="s">
        <v>141</v>
      </c>
      <c r="L173" s="4" t="s">
        <v>181</v>
      </c>
      <c r="M173" s="4" t="s">
        <v>378</v>
      </c>
      <c r="N173" s="4" t="s">
        <v>364</v>
      </c>
      <c r="O173" s="4" t="s">
        <v>144</v>
      </c>
      <c r="P173" s="4"/>
      <c r="Q173" s="4"/>
      <c r="R173" s="4">
        <v>22</v>
      </c>
      <c r="S173" s="4">
        <v>22</v>
      </c>
      <c r="T173" s="4"/>
      <c r="U173" s="4">
        <v>-36.882326650000003</v>
      </c>
      <c r="V173" s="4">
        <v>174.6320551</v>
      </c>
      <c r="W173" s="4"/>
      <c r="X173" s="4"/>
      <c r="Y173" s="4"/>
      <c r="Z173" s="4"/>
      <c r="AA173" s="4" t="s">
        <v>382</v>
      </c>
      <c r="AB173" s="4" t="s">
        <v>695</v>
      </c>
      <c r="AC173" s="4"/>
      <c r="AD173" s="4"/>
      <c r="AE173" s="4"/>
      <c r="AF173" s="4"/>
      <c r="AG173" s="4"/>
      <c r="AH173" s="4" t="s">
        <v>395</v>
      </c>
      <c r="AI173" s="4"/>
      <c r="AJ173" s="4"/>
      <c r="AK173" s="4"/>
      <c r="AL173" s="4"/>
      <c r="AM173" s="4"/>
      <c r="AN173" s="5">
        <v>39660</v>
      </c>
      <c r="AO173" s="4">
        <v>3</v>
      </c>
      <c r="AP173" s="4"/>
      <c r="AQ173" s="5">
        <v>40302</v>
      </c>
      <c r="AR173" s="4"/>
      <c r="AS173" s="4"/>
      <c r="AT173" s="5">
        <v>39691</v>
      </c>
      <c r="AU173" s="5">
        <v>39706</v>
      </c>
      <c r="AV173" s="4">
        <v>1</v>
      </c>
      <c r="AW173" s="5">
        <v>39691</v>
      </c>
      <c r="AX173" s="5">
        <v>39706</v>
      </c>
      <c r="AY173" s="4"/>
      <c r="AZ173" s="5">
        <v>40324</v>
      </c>
      <c r="BA173" s="4"/>
      <c r="BB173" s="5">
        <v>40354</v>
      </c>
      <c r="BC173" s="4"/>
      <c r="BD173" s="4"/>
      <c r="BE173" s="4"/>
      <c r="BF173" s="5">
        <v>40354</v>
      </c>
      <c r="BG173" s="4"/>
      <c r="BH173" s="5">
        <v>39699</v>
      </c>
      <c r="BI173" s="4"/>
      <c r="BJ173" s="5">
        <v>39715</v>
      </c>
      <c r="BK173" s="4">
        <v>1</v>
      </c>
      <c r="BL173" s="4">
        <v>1</v>
      </c>
      <c r="BM173" s="5">
        <v>39715</v>
      </c>
      <c r="BN173" s="5">
        <v>39715</v>
      </c>
      <c r="BO173" s="4"/>
      <c r="BP173" s="4"/>
      <c r="BQ173" s="4"/>
      <c r="BR173" s="4"/>
      <c r="BS173" s="4"/>
      <c r="BT173" s="4"/>
      <c r="BU173" s="5">
        <v>39749</v>
      </c>
      <c r="BV173" s="5">
        <v>39776</v>
      </c>
      <c r="BW173" s="5">
        <v>39777</v>
      </c>
      <c r="BX173" s="4"/>
      <c r="BY173" s="5">
        <v>39864</v>
      </c>
      <c r="BZ173" s="5">
        <v>39864</v>
      </c>
      <c r="CA173" s="4"/>
      <c r="CB173" s="4"/>
      <c r="CC173" s="4"/>
      <c r="CD173" s="4"/>
      <c r="CE173" s="4"/>
      <c r="CF173" s="4"/>
      <c r="CG173" s="4"/>
      <c r="CH173" s="4"/>
      <c r="CI173" s="5">
        <v>39868</v>
      </c>
      <c r="CJ173" s="5">
        <v>39870</v>
      </c>
      <c r="CK173" s="5">
        <v>39868</v>
      </c>
      <c r="CL173" s="4"/>
      <c r="CM173" s="4"/>
      <c r="CN173" s="4"/>
      <c r="CO173" s="4"/>
      <c r="CP173" s="4" t="s">
        <v>696</v>
      </c>
      <c r="CQ173" s="4"/>
      <c r="CR173" s="5">
        <v>39870</v>
      </c>
      <c r="CS173" s="4"/>
      <c r="CT173" s="4"/>
      <c r="CU173" s="4"/>
      <c r="CV173" s="4"/>
      <c r="CW173" s="4"/>
      <c r="CX173" s="4"/>
      <c r="CY173" s="4"/>
      <c r="CZ173" s="4"/>
      <c r="DA173" s="4"/>
      <c r="DB173" s="4"/>
      <c r="DC173" s="4"/>
      <c r="DD173" s="4"/>
      <c r="DE173" s="4"/>
      <c r="DF173" s="4"/>
      <c r="DG173" s="4"/>
      <c r="DH173" s="4"/>
      <c r="DI173" s="4"/>
      <c r="DJ173" s="4" t="b">
        <v>0</v>
      </c>
      <c r="DK173" s="4"/>
      <c r="DL173" s="4">
        <v>2655870</v>
      </c>
      <c r="DM173" s="4">
        <v>6478659</v>
      </c>
      <c r="DN173" s="4" t="s">
        <v>697</v>
      </c>
      <c r="DO173" s="4"/>
      <c r="DP173" s="4"/>
      <c r="DQ173" s="4" t="s">
        <v>148</v>
      </c>
      <c r="DR173" s="4"/>
      <c r="DS173" s="4"/>
      <c r="DT173" s="5">
        <v>41887</v>
      </c>
      <c r="DU173" s="4"/>
      <c r="DV173" s="4"/>
      <c r="DW173" s="4"/>
      <c r="DX173" s="4"/>
      <c r="DY173" s="4"/>
      <c r="DZ173" s="5">
        <v>39734</v>
      </c>
      <c r="EA173" s="4"/>
      <c r="EB173" s="4"/>
      <c r="EC173" s="4"/>
      <c r="ED173" s="4"/>
      <c r="EE173" s="4"/>
      <c r="EF173" s="4"/>
      <c r="EG173" s="4"/>
      <c r="EH173" s="4"/>
      <c r="EI173" s="5">
        <v>39595</v>
      </c>
    </row>
    <row r="174" spans="1:139" hidden="1" x14ac:dyDescent="0.2">
      <c r="A174">
        <f>VLOOKUP(B174,Sheet1!$A$1:$B$18,2,FALSE)</f>
        <v>0</v>
      </c>
      <c r="B174" t="str">
        <f t="shared" si="2"/>
        <v>AKL</v>
      </c>
      <c r="C174" s="2">
        <v>173</v>
      </c>
      <c r="D174" s="3" t="str">
        <f>HYPERLINK("https://sitebase.nzcomms.co.nz/spm/spmnominalview/AKL-006-043/","AKL-006-043")</f>
        <v>AKL-006-043</v>
      </c>
      <c r="E174" s="4"/>
      <c r="F174" s="3" t="str">
        <f>HYPERLINK("https://sitebase.nzcomms.co.nz/spm/spmcandidateview/AKL-006-043-C/","AKL-006-043-C")</f>
        <v>AKL-006-043-C</v>
      </c>
      <c r="G174" s="4" t="s">
        <v>698</v>
      </c>
      <c r="H174" s="4" t="s">
        <v>600</v>
      </c>
      <c r="I174" s="4"/>
      <c r="J174" s="4" t="s">
        <v>139</v>
      </c>
      <c r="K174" s="4" t="s">
        <v>141</v>
      </c>
      <c r="L174" s="4" t="s">
        <v>150</v>
      </c>
      <c r="M174" s="4" t="s">
        <v>143</v>
      </c>
      <c r="N174" s="4" t="s">
        <v>156</v>
      </c>
      <c r="O174" s="4" t="s">
        <v>356</v>
      </c>
      <c r="P174" s="4"/>
      <c r="Q174" s="4"/>
      <c r="R174" s="4">
        <v>22</v>
      </c>
      <c r="S174" s="4">
        <v>22</v>
      </c>
      <c r="T174" s="4"/>
      <c r="U174" s="4">
        <v>-36.923166209999998</v>
      </c>
      <c r="V174" s="4">
        <v>174.68859229</v>
      </c>
      <c r="W174" s="4"/>
      <c r="X174" s="4"/>
      <c r="Y174" s="4"/>
      <c r="Z174" s="4"/>
      <c r="AA174" s="4" t="s">
        <v>446</v>
      </c>
      <c r="AB174" s="4" t="s">
        <v>699</v>
      </c>
      <c r="AC174" s="4"/>
      <c r="AD174" s="4"/>
      <c r="AE174" s="4"/>
      <c r="AF174" s="4"/>
      <c r="AG174" s="4"/>
      <c r="AH174" s="4"/>
      <c r="AI174" s="4"/>
      <c r="AJ174" s="4"/>
      <c r="AK174" s="4"/>
      <c r="AL174" s="4"/>
      <c r="AM174" s="4"/>
      <c r="AN174" s="5">
        <v>39736</v>
      </c>
      <c r="AO174" s="4">
        <v>4</v>
      </c>
      <c r="AP174" s="5">
        <v>39918</v>
      </c>
      <c r="AQ174" s="5">
        <v>39918</v>
      </c>
      <c r="AR174" s="4"/>
      <c r="AS174" s="4"/>
      <c r="AT174" s="4"/>
      <c r="AU174" s="5">
        <v>39778</v>
      </c>
      <c r="AV174" s="4">
        <v>2</v>
      </c>
      <c r="AW174" s="5">
        <v>39933</v>
      </c>
      <c r="AX174" s="5">
        <v>39931</v>
      </c>
      <c r="AY174" s="4"/>
      <c r="AZ174" s="5">
        <v>39792</v>
      </c>
      <c r="BA174" s="4"/>
      <c r="BB174" s="5">
        <v>39899</v>
      </c>
      <c r="BC174" s="4"/>
      <c r="BD174" s="4"/>
      <c r="BE174" s="5">
        <v>39899</v>
      </c>
      <c r="BF174" s="5">
        <v>39897</v>
      </c>
      <c r="BG174" s="4"/>
      <c r="BH174" s="5">
        <v>39741</v>
      </c>
      <c r="BI174" s="4"/>
      <c r="BJ174" s="5">
        <v>39773</v>
      </c>
      <c r="BK174" s="4">
        <v>2</v>
      </c>
      <c r="BL174" s="4">
        <v>2</v>
      </c>
      <c r="BM174" s="5">
        <v>39797</v>
      </c>
      <c r="BN174" s="5">
        <v>39797</v>
      </c>
      <c r="BO174" s="5">
        <v>39899</v>
      </c>
      <c r="BP174" s="4"/>
      <c r="BQ174" s="4"/>
      <c r="BR174" s="4"/>
      <c r="BS174" s="4"/>
      <c r="BT174" s="5">
        <v>39903</v>
      </c>
      <c r="BU174" s="5">
        <v>39903</v>
      </c>
      <c r="BV174" s="5">
        <v>39933</v>
      </c>
      <c r="BW174" s="5">
        <v>39932</v>
      </c>
      <c r="BX174" s="4"/>
      <c r="BY174" s="5">
        <v>39933</v>
      </c>
      <c r="BZ174" s="5">
        <v>39932</v>
      </c>
      <c r="CA174" s="4"/>
      <c r="CB174" s="4"/>
      <c r="CC174" s="4"/>
      <c r="CD174" s="4"/>
      <c r="CE174" s="4"/>
      <c r="CF174" s="4"/>
      <c r="CG174" s="4"/>
      <c r="CH174" s="4"/>
      <c r="CI174" s="5">
        <v>39972</v>
      </c>
      <c r="CJ174" s="5">
        <v>39974</v>
      </c>
      <c r="CK174" s="5">
        <v>39972</v>
      </c>
      <c r="CL174" s="4"/>
      <c r="CM174" s="4"/>
      <c r="CN174" s="4"/>
      <c r="CO174" s="4"/>
      <c r="CP174" s="4" t="s">
        <v>157</v>
      </c>
      <c r="CQ174" s="4"/>
      <c r="CR174" s="5">
        <v>39974</v>
      </c>
      <c r="CS174" s="4"/>
      <c r="CT174" s="4"/>
      <c r="CU174" s="4"/>
      <c r="CV174" s="4"/>
      <c r="CW174" s="5">
        <v>39892</v>
      </c>
      <c r="CX174" s="5">
        <v>39899</v>
      </c>
      <c r="CY174" s="4"/>
      <c r="CZ174" s="4"/>
      <c r="DA174" s="4"/>
      <c r="DB174" s="4"/>
      <c r="DC174" s="4"/>
      <c r="DD174" s="4"/>
      <c r="DE174" s="4"/>
      <c r="DF174" s="4"/>
      <c r="DG174" s="4"/>
      <c r="DH174" s="4"/>
      <c r="DI174" s="4"/>
      <c r="DJ174" s="4" t="b">
        <v>0</v>
      </c>
      <c r="DK174" s="4"/>
      <c r="DL174" s="4">
        <v>2660820</v>
      </c>
      <c r="DM174" s="4">
        <v>6474030</v>
      </c>
      <c r="DN174" s="4" t="s">
        <v>700</v>
      </c>
      <c r="DO174" s="4"/>
      <c r="DP174" s="4"/>
      <c r="DQ174" s="4" t="s">
        <v>148</v>
      </c>
      <c r="DR174" s="4"/>
      <c r="DS174" s="4"/>
      <c r="DT174" s="4"/>
      <c r="DU174" s="4"/>
      <c r="DV174" s="4"/>
      <c r="DW174" s="4"/>
      <c r="DX174" s="4"/>
      <c r="DY174" s="5">
        <v>39903</v>
      </c>
      <c r="DZ174" s="5">
        <v>39903</v>
      </c>
      <c r="EA174" s="4"/>
      <c r="EB174" s="4"/>
      <c r="EC174" s="4"/>
      <c r="ED174" s="4"/>
      <c r="EE174" s="4"/>
      <c r="EF174" s="4"/>
      <c r="EG174" s="4"/>
      <c r="EH174" s="4"/>
      <c r="EI174" s="5">
        <v>39707</v>
      </c>
    </row>
    <row r="175" spans="1:139" hidden="1" x14ac:dyDescent="0.2">
      <c r="A175">
        <f>VLOOKUP(B175,Sheet1!$A$1:$B$18,2,FALSE)</f>
        <v>0</v>
      </c>
      <c r="B175" t="str">
        <f t="shared" si="2"/>
        <v>AKL</v>
      </c>
      <c r="C175" s="2">
        <v>174</v>
      </c>
      <c r="D175" s="3" t="str">
        <f>HYPERLINK("https://sitebase.nzcomms.co.nz/spm/spmnominalview/AKL-006-045/","AKL-006-045")</f>
        <v>AKL-006-045</v>
      </c>
      <c r="E175" s="4" t="s">
        <v>701</v>
      </c>
      <c r="F175" s="3" t="str">
        <f>HYPERLINK("https://sitebase.nzcomms.co.nz/spm/spmcandidateview/AKL-006-045-H/","AKL-006-045-H")</f>
        <v>AKL-006-045-H</v>
      </c>
      <c r="G175" s="4" t="s">
        <v>702</v>
      </c>
      <c r="H175" s="4" t="s">
        <v>600</v>
      </c>
      <c r="I175" s="4"/>
      <c r="J175" s="4" t="s">
        <v>317</v>
      </c>
      <c r="K175" s="4" t="s">
        <v>141</v>
      </c>
      <c r="L175" s="4" t="s">
        <v>189</v>
      </c>
      <c r="M175" s="4" t="s">
        <v>190</v>
      </c>
      <c r="N175" s="4" t="s">
        <v>274</v>
      </c>
      <c r="O175" s="4"/>
      <c r="P175" s="4" t="s">
        <v>182</v>
      </c>
      <c r="Q175" s="4" t="s">
        <v>192</v>
      </c>
      <c r="R175" s="4"/>
      <c r="S175" s="4"/>
      <c r="T175" s="4"/>
      <c r="U175" s="4">
        <v>-36.896457789999999</v>
      </c>
      <c r="V175" s="4">
        <v>174.67795039000001</v>
      </c>
      <c r="W175" s="4"/>
      <c r="X175" s="4"/>
      <c r="Y175" s="4"/>
      <c r="Z175" s="4"/>
      <c r="AA175" s="4"/>
      <c r="AB175" s="4"/>
      <c r="AC175" s="4" t="b">
        <v>0</v>
      </c>
      <c r="AD175" s="4" t="b">
        <v>0</v>
      </c>
      <c r="AE175" s="4"/>
      <c r="AF175" s="4"/>
      <c r="AG175" s="4" t="b">
        <v>0</v>
      </c>
      <c r="AH175" s="4"/>
      <c r="AI175" s="5">
        <v>40822</v>
      </c>
      <c r="AJ175" s="5">
        <v>40822</v>
      </c>
      <c r="AK175" s="5">
        <v>40829</v>
      </c>
      <c r="AL175" s="5">
        <v>40835</v>
      </c>
      <c r="AM175" s="5">
        <v>40865</v>
      </c>
      <c r="AN175" s="5">
        <v>40868</v>
      </c>
      <c r="AO175" s="4">
        <v>1</v>
      </c>
      <c r="AP175" s="5">
        <v>40865</v>
      </c>
      <c r="AQ175" s="5">
        <v>40868</v>
      </c>
      <c r="AR175" s="5">
        <v>40954</v>
      </c>
      <c r="AS175" s="5">
        <v>40948</v>
      </c>
      <c r="AT175" s="5">
        <v>40987</v>
      </c>
      <c r="AU175" s="5">
        <v>40969</v>
      </c>
      <c r="AV175" s="4"/>
      <c r="AW175" s="5">
        <v>40998</v>
      </c>
      <c r="AX175" s="5">
        <v>40969</v>
      </c>
      <c r="AY175" s="4" t="s">
        <v>183</v>
      </c>
      <c r="AZ175" s="5">
        <v>40889</v>
      </c>
      <c r="BA175" s="5">
        <v>40890</v>
      </c>
      <c r="BB175" s="5">
        <v>40961</v>
      </c>
      <c r="BC175" s="5">
        <v>40928</v>
      </c>
      <c r="BD175" s="4">
        <v>1</v>
      </c>
      <c r="BE175" s="5">
        <v>40968</v>
      </c>
      <c r="BF175" s="5">
        <v>40933</v>
      </c>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t="s">
        <v>703</v>
      </c>
      <c r="CQ175" s="4"/>
      <c r="CR175" s="4"/>
      <c r="CS175" s="4"/>
      <c r="CT175" s="4"/>
      <c r="CU175" s="4"/>
      <c r="CV175" s="4"/>
      <c r="CW175" s="4"/>
      <c r="CX175" s="4"/>
      <c r="CY175" s="4"/>
      <c r="CZ175" s="4"/>
      <c r="DA175" s="4"/>
      <c r="DB175" s="4"/>
      <c r="DC175" s="4"/>
      <c r="DD175" s="4"/>
      <c r="DE175" s="4"/>
      <c r="DF175" s="4"/>
      <c r="DG175" s="4"/>
      <c r="DH175" s="4" t="s">
        <v>240</v>
      </c>
      <c r="DI175" s="4"/>
      <c r="DJ175" s="4" t="b">
        <v>0</v>
      </c>
      <c r="DK175" s="4"/>
      <c r="DL175" s="4">
        <v>2659930</v>
      </c>
      <c r="DM175" s="4">
        <v>6477012</v>
      </c>
      <c r="DN175" s="4" t="s">
        <v>704</v>
      </c>
      <c r="DO175" s="4"/>
      <c r="DP175" s="4" t="s">
        <v>705</v>
      </c>
      <c r="DQ175" s="4" t="s">
        <v>148</v>
      </c>
      <c r="DR175" s="4" t="s">
        <v>244</v>
      </c>
      <c r="DS175" s="4"/>
      <c r="DT175" s="4"/>
      <c r="DU175" s="4"/>
      <c r="DV175" s="4"/>
      <c r="DW175" s="4"/>
      <c r="DX175" s="4"/>
      <c r="DY175" s="4"/>
      <c r="DZ175" s="4"/>
      <c r="EA175" s="4"/>
      <c r="EB175" s="4"/>
      <c r="EC175" s="4"/>
      <c r="ED175" s="4"/>
      <c r="EE175" s="4"/>
      <c r="EF175" s="4"/>
      <c r="EG175" s="4"/>
      <c r="EH175" s="4"/>
      <c r="EI175" s="4"/>
    </row>
    <row r="176" spans="1:139" hidden="1" x14ac:dyDescent="0.2">
      <c r="A176">
        <f>VLOOKUP(B176,Sheet1!$A$1:$B$18,2,FALSE)</f>
        <v>0</v>
      </c>
      <c r="B176" t="str">
        <f t="shared" si="2"/>
        <v>AKL</v>
      </c>
      <c r="C176" s="2">
        <v>175</v>
      </c>
      <c r="D176" s="3" t="str">
        <f>HYPERLINK("https://sitebase.nzcomms.co.nz/spm/spmnominalview/AKL-006-046/","AKL-006-046")</f>
        <v>AKL-006-046</v>
      </c>
      <c r="E176" s="4" t="s">
        <v>706</v>
      </c>
      <c r="F176" s="3" t="str">
        <f>HYPERLINK("https://sitebase.nzcomms.co.nz/spm/spmcandidateview/AKL-006-046-A/","AKL-006-046-A")</f>
        <v>AKL-006-046-A</v>
      </c>
      <c r="G176" s="4" t="s">
        <v>706</v>
      </c>
      <c r="H176" s="4" t="s">
        <v>600</v>
      </c>
      <c r="I176" s="4">
        <v>3</v>
      </c>
      <c r="J176" s="4" t="s">
        <v>180</v>
      </c>
      <c r="K176" s="4" t="s">
        <v>141</v>
      </c>
      <c r="L176" s="4" t="s">
        <v>150</v>
      </c>
      <c r="M176" s="4" t="s">
        <v>296</v>
      </c>
      <c r="N176" s="4" t="s">
        <v>291</v>
      </c>
      <c r="O176" s="4" t="s">
        <v>168</v>
      </c>
      <c r="P176" s="4" t="s">
        <v>182</v>
      </c>
      <c r="Q176" s="4" t="s">
        <v>170</v>
      </c>
      <c r="R176" s="4">
        <v>14.5</v>
      </c>
      <c r="S176" s="4">
        <v>15</v>
      </c>
      <c r="T176" s="4"/>
      <c r="U176" s="4">
        <v>-36.952796620000001</v>
      </c>
      <c r="V176" s="4">
        <v>174.62262502999999</v>
      </c>
      <c r="W176" s="4"/>
      <c r="X176" s="4"/>
      <c r="Y176" s="4"/>
      <c r="Z176" s="4"/>
      <c r="AA176" s="4" t="s">
        <v>171</v>
      </c>
      <c r="AB176" s="3" t="str">
        <f>HYPERLINK("https://sitebase.nzcomms.co.nz/spm/spmcandidateview/AKL-007-075-A/","AKL-007-075-A")</f>
        <v>AKL-007-075-A</v>
      </c>
      <c r="AC176" s="4" t="b">
        <v>0</v>
      </c>
      <c r="AD176" s="4" t="b">
        <v>0</v>
      </c>
      <c r="AE176" s="4"/>
      <c r="AF176" s="4"/>
      <c r="AG176" s="4" t="b">
        <v>0</v>
      </c>
      <c r="AH176" s="4"/>
      <c r="AI176" s="5">
        <v>40701</v>
      </c>
      <c r="AJ176" s="5">
        <v>40694</v>
      </c>
      <c r="AK176" s="5">
        <v>40701</v>
      </c>
      <c r="AL176" s="5">
        <v>40696</v>
      </c>
      <c r="AM176" s="5">
        <v>40752</v>
      </c>
      <c r="AN176" s="5">
        <v>40753</v>
      </c>
      <c r="AO176" s="4">
        <v>3</v>
      </c>
      <c r="AP176" s="5">
        <v>40752</v>
      </c>
      <c r="AQ176" s="5">
        <v>41246</v>
      </c>
      <c r="AR176" s="5">
        <v>40961</v>
      </c>
      <c r="AS176" s="5">
        <v>40968</v>
      </c>
      <c r="AT176" s="5">
        <v>41177</v>
      </c>
      <c r="AU176" s="5">
        <v>41163</v>
      </c>
      <c r="AV176" s="4"/>
      <c r="AW176" s="5">
        <v>41184</v>
      </c>
      <c r="AX176" s="5">
        <v>41163</v>
      </c>
      <c r="AY176" s="4" t="s">
        <v>183</v>
      </c>
      <c r="AZ176" s="5">
        <v>40763</v>
      </c>
      <c r="BA176" s="5">
        <v>40763</v>
      </c>
      <c r="BB176" s="5">
        <v>41082</v>
      </c>
      <c r="BC176" s="5">
        <v>41078</v>
      </c>
      <c r="BD176" s="4">
        <v>1</v>
      </c>
      <c r="BE176" s="5">
        <v>41089</v>
      </c>
      <c r="BF176" s="5">
        <v>41079</v>
      </c>
      <c r="BG176" s="5">
        <v>41110</v>
      </c>
      <c r="BH176" s="4"/>
      <c r="BI176" s="5">
        <v>41194</v>
      </c>
      <c r="BJ176" s="5">
        <v>41187</v>
      </c>
      <c r="BK176" s="4">
        <v>2</v>
      </c>
      <c r="BL176" s="4">
        <v>3</v>
      </c>
      <c r="BM176" s="5">
        <v>41194</v>
      </c>
      <c r="BN176" s="5">
        <v>41516</v>
      </c>
      <c r="BO176" s="5">
        <v>41196</v>
      </c>
      <c r="BP176" s="4"/>
      <c r="BQ176" s="4"/>
      <c r="BR176" s="5">
        <v>41164</v>
      </c>
      <c r="BS176" s="4"/>
      <c r="BT176" s="5">
        <v>41191</v>
      </c>
      <c r="BU176" s="5">
        <v>41191</v>
      </c>
      <c r="BV176" s="5">
        <v>41205</v>
      </c>
      <c r="BW176" s="5">
        <v>41205</v>
      </c>
      <c r="BX176" s="5">
        <v>41200</v>
      </c>
      <c r="BY176" s="5">
        <v>41211</v>
      </c>
      <c r="BZ176" s="5">
        <v>41211</v>
      </c>
      <c r="CA176" s="4"/>
      <c r="CB176" s="4"/>
      <c r="CC176" s="4"/>
      <c r="CD176" s="4"/>
      <c r="CE176" s="4"/>
      <c r="CF176" s="4"/>
      <c r="CG176" s="4"/>
      <c r="CH176" s="4"/>
      <c r="CI176" s="5">
        <v>41221</v>
      </c>
      <c r="CJ176" s="5">
        <v>41243</v>
      </c>
      <c r="CK176" s="5">
        <v>41234</v>
      </c>
      <c r="CL176" s="5">
        <v>41284</v>
      </c>
      <c r="CM176" s="5">
        <v>41236</v>
      </c>
      <c r="CN176" s="5">
        <v>41516</v>
      </c>
      <c r="CO176" s="5">
        <v>41520</v>
      </c>
      <c r="CP176" s="4" t="s">
        <v>707</v>
      </c>
      <c r="CQ176" s="4"/>
      <c r="CR176" s="5">
        <v>41220</v>
      </c>
      <c r="CS176" s="5">
        <v>41188</v>
      </c>
      <c r="CT176" s="5">
        <v>41188</v>
      </c>
      <c r="CU176" s="5">
        <v>41192</v>
      </c>
      <c r="CV176" s="5">
        <v>41192</v>
      </c>
      <c r="CW176" s="5">
        <v>41192</v>
      </c>
      <c r="CX176" s="5">
        <v>41196</v>
      </c>
      <c r="CY176" s="5">
        <v>41215</v>
      </c>
      <c r="CZ176" s="5">
        <v>41213</v>
      </c>
      <c r="DA176" s="5">
        <v>41222</v>
      </c>
      <c r="DB176" s="5">
        <v>41219</v>
      </c>
      <c r="DC176" s="4"/>
      <c r="DD176" s="4"/>
      <c r="DE176" s="4" t="s">
        <v>194</v>
      </c>
      <c r="DF176" s="4"/>
      <c r="DG176" s="4"/>
      <c r="DH176" s="4" t="s">
        <v>174</v>
      </c>
      <c r="DI176" s="5">
        <v>41200</v>
      </c>
      <c r="DJ176" s="4" t="b">
        <v>1</v>
      </c>
      <c r="DK176" s="4"/>
      <c r="DL176" s="4">
        <v>2654881</v>
      </c>
      <c r="DM176" s="4">
        <v>6470856</v>
      </c>
      <c r="DN176" s="4" t="s">
        <v>708</v>
      </c>
      <c r="DO176" s="4"/>
      <c r="DP176" s="4" t="s">
        <v>709</v>
      </c>
      <c r="DQ176" s="4" t="s">
        <v>148</v>
      </c>
      <c r="DR176" s="4"/>
      <c r="DS176" s="4"/>
      <c r="DT176" s="4"/>
      <c r="DU176" s="4"/>
      <c r="DV176" s="4"/>
      <c r="DW176" s="4"/>
      <c r="DX176" s="4"/>
      <c r="DY176" s="4"/>
      <c r="DZ176" s="4"/>
      <c r="EA176" s="4"/>
      <c r="EB176" s="4"/>
      <c r="EC176" s="4"/>
      <c r="ED176" s="4"/>
      <c r="EE176" s="4"/>
      <c r="EF176" s="4"/>
      <c r="EG176" s="5">
        <v>41222</v>
      </c>
      <c r="EH176" s="5">
        <v>41225</v>
      </c>
      <c r="EI176" s="4"/>
    </row>
    <row r="177" spans="1:139" hidden="1" x14ac:dyDescent="0.2">
      <c r="A177">
        <f>VLOOKUP(B177,Sheet1!$A$1:$B$18,2,FALSE)</f>
        <v>0</v>
      </c>
      <c r="B177" t="str">
        <f t="shared" si="2"/>
        <v>AKL</v>
      </c>
      <c r="C177" s="2">
        <v>176</v>
      </c>
      <c r="D177" s="3" t="str">
        <f>HYPERLINK("https://sitebase.nzcomms.co.nz/spm/spmnominalview/AKL-006-047/","AKL-006-047")</f>
        <v>AKL-006-047</v>
      </c>
      <c r="E177" s="4" t="s">
        <v>710</v>
      </c>
      <c r="F177" s="3" t="str">
        <f>HYPERLINK("https://sitebase.nzcomms.co.nz/spm/spmcandidateview/AKL-006-047-A/","AKL-006-047-A")</f>
        <v>AKL-006-047-A</v>
      </c>
      <c r="G177" s="4" t="s">
        <v>711</v>
      </c>
      <c r="H177" s="4" t="s">
        <v>600</v>
      </c>
      <c r="I177" s="4">
        <v>3</v>
      </c>
      <c r="J177" s="4" t="s">
        <v>194</v>
      </c>
      <c r="K177" s="4" t="s">
        <v>141</v>
      </c>
      <c r="L177" s="4" t="s">
        <v>189</v>
      </c>
      <c r="M177" s="4" t="s">
        <v>190</v>
      </c>
      <c r="N177" s="4" t="s">
        <v>274</v>
      </c>
      <c r="O177" s="4" t="s">
        <v>297</v>
      </c>
      <c r="P177" s="4" t="s">
        <v>182</v>
      </c>
      <c r="Q177" s="4"/>
      <c r="R177" s="4">
        <v>13</v>
      </c>
      <c r="S177" s="4">
        <v>13.5</v>
      </c>
      <c r="T177" s="4"/>
      <c r="U177" s="4">
        <v>-36.896872449999996</v>
      </c>
      <c r="V177" s="4">
        <v>174.61912593</v>
      </c>
      <c r="W177" s="4"/>
      <c r="X177" s="4"/>
      <c r="Y177" s="4"/>
      <c r="Z177" s="4"/>
      <c r="AA177" s="4" t="s">
        <v>171</v>
      </c>
      <c r="AB177" s="3" t="str">
        <f>HYPERLINK("https://sitebase.nzcomms.co.nz/spm/spmcandidateview/AKL-006-003-D/","AKL-006-003-D")</f>
        <v>AKL-006-003-D</v>
      </c>
      <c r="AC177" s="4" t="b">
        <v>0</v>
      </c>
      <c r="AD177" s="4" t="b">
        <v>0</v>
      </c>
      <c r="AE177" s="4"/>
      <c r="AF177" s="4"/>
      <c r="AG177" s="4" t="b">
        <v>0</v>
      </c>
      <c r="AH177" s="4"/>
      <c r="AI177" s="5">
        <v>40701</v>
      </c>
      <c r="AJ177" s="5">
        <v>40701</v>
      </c>
      <c r="AK177" s="5">
        <v>40708</v>
      </c>
      <c r="AL177" s="5">
        <v>40701</v>
      </c>
      <c r="AM177" s="5">
        <v>40752</v>
      </c>
      <c r="AN177" s="5">
        <v>40753</v>
      </c>
      <c r="AO177" s="4">
        <v>1</v>
      </c>
      <c r="AP177" s="5">
        <v>40752</v>
      </c>
      <c r="AQ177" s="5">
        <v>40753</v>
      </c>
      <c r="AR177" s="5">
        <v>40932</v>
      </c>
      <c r="AS177" s="5">
        <v>40932</v>
      </c>
      <c r="AT177" s="5">
        <v>40990</v>
      </c>
      <c r="AU177" s="5">
        <v>40932</v>
      </c>
      <c r="AV177" s="4"/>
      <c r="AW177" s="5">
        <v>40998</v>
      </c>
      <c r="AX177" s="5">
        <v>40953</v>
      </c>
      <c r="AY177" s="4" t="s">
        <v>193</v>
      </c>
      <c r="AZ177" s="5">
        <v>40763</v>
      </c>
      <c r="BA177" s="5">
        <v>40763</v>
      </c>
      <c r="BB177" s="5">
        <v>40805</v>
      </c>
      <c r="BC177" s="5">
        <v>40792</v>
      </c>
      <c r="BD177" s="4">
        <v>1</v>
      </c>
      <c r="BE177" s="5">
        <v>40812</v>
      </c>
      <c r="BF177" s="5">
        <v>40793</v>
      </c>
      <c r="BG177" s="4"/>
      <c r="BH177" s="4"/>
      <c r="BI177" s="4"/>
      <c r="BJ177" s="5">
        <v>41103</v>
      </c>
      <c r="BK177" s="4">
        <v>1</v>
      </c>
      <c r="BL177" s="4"/>
      <c r="BM177" s="4"/>
      <c r="BN177" s="5">
        <v>41103</v>
      </c>
      <c r="BO177" s="5">
        <v>41111</v>
      </c>
      <c r="BP177" s="4"/>
      <c r="BQ177" s="4"/>
      <c r="BR177" s="4"/>
      <c r="BS177" s="4"/>
      <c r="BT177" s="5">
        <v>41113</v>
      </c>
      <c r="BU177" s="5">
        <v>41115</v>
      </c>
      <c r="BV177" s="5">
        <v>41120</v>
      </c>
      <c r="BW177" s="5">
        <v>41117</v>
      </c>
      <c r="BX177" s="5">
        <v>41121</v>
      </c>
      <c r="BY177" s="5">
        <v>41142</v>
      </c>
      <c r="BZ177" s="5">
        <v>41142</v>
      </c>
      <c r="CA177" s="4"/>
      <c r="CB177" s="5">
        <v>41142</v>
      </c>
      <c r="CC177" s="4"/>
      <c r="CD177" s="4"/>
      <c r="CE177" s="4"/>
      <c r="CF177" s="4"/>
      <c r="CG177" s="4"/>
      <c r="CH177" s="4"/>
      <c r="CI177" s="5">
        <v>41142</v>
      </c>
      <c r="CJ177" s="5">
        <v>41166</v>
      </c>
      <c r="CK177" s="5">
        <v>41149</v>
      </c>
      <c r="CL177" s="5">
        <v>41188</v>
      </c>
      <c r="CM177" s="5">
        <v>41152</v>
      </c>
      <c r="CN177" s="5">
        <v>41394</v>
      </c>
      <c r="CO177" s="5">
        <v>41386</v>
      </c>
      <c r="CP177" s="4" t="s">
        <v>712</v>
      </c>
      <c r="CQ177" s="4"/>
      <c r="CR177" s="5">
        <v>41141</v>
      </c>
      <c r="CS177" s="5">
        <v>41111</v>
      </c>
      <c r="CT177" s="5">
        <v>41111</v>
      </c>
      <c r="CU177" s="5">
        <v>41110</v>
      </c>
      <c r="CV177" s="5">
        <v>41111</v>
      </c>
      <c r="CW177" s="5">
        <v>41106</v>
      </c>
      <c r="CX177" s="5">
        <v>41111</v>
      </c>
      <c r="CY177" s="5">
        <v>41121</v>
      </c>
      <c r="CZ177" s="5">
        <v>41137</v>
      </c>
      <c r="DA177" s="5">
        <v>41148</v>
      </c>
      <c r="DB177" s="5">
        <v>41148</v>
      </c>
      <c r="DC177" s="4"/>
      <c r="DD177" s="4"/>
      <c r="DE177" s="4"/>
      <c r="DF177" s="4"/>
      <c r="DG177" s="4"/>
      <c r="DH177" s="4" t="s">
        <v>174</v>
      </c>
      <c r="DI177" s="5">
        <v>41121</v>
      </c>
      <c r="DJ177" s="4" t="b">
        <v>0</v>
      </c>
      <c r="DK177" s="4"/>
      <c r="DL177" s="4">
        <v>2654687</v>
      </c>
      <c r="DM177" s="4">
        <v>6477067</v>
      </c>
      <c r="DN177" s="4" t="s">
        <v>713</v>
      </c>
      <c r="DO177" s="4"/>
      <c r="DP177" s="4" t="s">
        <v>714</v>
      </c>
      <c r="DQ177" s="4" t="s">
        <v>148</v>
      </c>
      <c r="DR177" s="4"/>
      <c r="DS177" s="4"/>
      <c r="DT177" s="4"/>
      <c r="DU177" s="4"/>
      <c r="DV177" s="4"/>
      <c r="DW177" s="4"/>
      <c r="DX177" s="4"/>
      <c r="DY177" s="4"/>
      <c r="DZ177" s="4"/>
      <c r="EA177" s="4"/>
      <c r="EB177" s="4"/>
      <c r="EC177" s="4"/>
      <c r="ED177" s="4"/>
      <c r="EE177" s="4"/>
      <c r="EF177" s="4"/>
      <c r="EG177" s="5">
        <v>41148</v>
      </c>
      <c r="EH177" s="5">
        <v>41143</v>
      </c>
      <c r="EI177" s="4"/>
    </row>
    <row r="178" spans="1:139" hidden="1" x14ac:dyDescent="0.2">
      <c r="A178">
        <f>VLOOKUP(B178,Sheet1!$A$1:$B$18,2,FALSE)</f>
        <v>0</v>
      </c>
      <c r="B178" t="str">
        <f t="shared" si="2"/>
        <v>AKL</v>
      </c>
      <c r="C178" s="2">
        <v>177</v>
      </c>
      <c r="D178" s="3" t="str">
        <f>HYPERLINK("https://sitebase.nzcomms.co.nz/spm/spmnominalview/AKL-006-048/","AKL-006-048")</f>
        <v>AKL-006-048</v>
      </c>
      <c r="E178" s="4" t="s">
        <v>715</v>
      </c>
      <c r="F178" s="3" t="str">
        <f>HYPERLINK("https://sitebase.nzcomms.co.nz/spm/spmcandidateview/AKL-006-048-A/","AKL-006-048-A")</f>
        <v>AKL-006-048-A</v>
      </c>
      <c r="G178" s="4" t="s">
        <v>716</v>
      </c>
      <c r="H178" s="4" t="s">
        <v>600</v>
      </c>
      <c r="I178" s="4">
        <v>3</v>
      </c>
      <c r="J178" s="4" t="s">
        <v>194</v>
      </c>
      <c r="K178" s="4" t="s">
        <v>141</v>
      </c>
      <c r="L178" s="4" t="s">
        <v>189</v>
      </c>
      <c r="M178" s="4" t="s">
        <v>368</v>
      </c>
      <c r="N178" s="4" t="s">
        <v>612</v>
      </c>
      <c r="O178" s="4" t="s">
        <v>356</v>
      </c>
      <c r="P178" s="4" t="s">
        <v>182</v>
      </c>
      <c r="Q178" s="4"/>
      <c r="R178" s="4">
        <v>14.7</v>
      </c>
      <c r="S178" s="4">
        <v>15.2</v>
      </c>
      <c r="T178" s="4"/>
      <c r="U178" s="4">
        <v>-36.834116139999999</v>
      </c>
      <c r="V178" s="4">
        <v>174.60375366</v>
      </c>
      <c r="W178" s="4"/>
      <c r="X178" s="4"/>
      <c r="Y178" s="4"/>
      <c r="Z178" s="4"/>
      <c r="AA178" s="4" t="s">
        <v>171</v>
      </c>
      <c r="AB178" s="3" t="str">
        <f>HYPERLINK("https://sitebase.nzcomms.co.nz/spm/spmcandidateview/AKL-007-015-C/","AKL-007-015-C")</f>
        <v>AKL-007-015-C</v>
      </c>
      <c r="AC178" s="4" t="b">
        <v>0</v>
      </c>
      <c r="AD178" s="4" t="b">
        <v>0</v>
      </c>
      <c r="AE178" s="4"/>
      <c r="AF178" s="4"/>
      <c r="AG178" s="4" t="b">
        <v>0</v>
      </c>
      <c r="AH178" s="4" t="s">
        <v>717</v>
      </c>
      <c r="AI178" s="5">
        <v>40701</v>
      </c>
      <c r="AJ178" s="5">
        <v>40701</v>
      </c>
      <c r="AK178" s="5">
        <v>40708</v>
      </c>
      <c r="AL178" s="5">
        <v>40701</v>
      </c>
      <c r="AM178" s="5">
        <v>40752</v>
      </c>
      <c r="AN178" s="5">
        <v>40753</v>
      </c>
      <c r="AO178" s="4">
        <v>2</v>
      </c>
      <c r="AP178" s="5">
        <v>40752</v>
      </c>
      <c r="AQ178" s="5">
        <v>40806</v>
      </c>
      <c r="AR178" s="5">
        <v>40968</v>
      </c>
      <c r="AS178" s="5">
        <v>40932</v>
      </c>
      <c r="AT178" s="5">
        <v>40983</v>
      </c>
      <c r="AU178" s="5">
        <v>40932</v>
      </c>
      <c r="AV178" s="4"/>
      <c r="AW178" s="5">
        <v>40990</v>
      </c>
      <c r="AX178" s="5">
        <v>40953</v>
      </c>
      <c r="AY178" s="4" t="s">
        <v>183</v>
      </c>
      <c r="AZ178" s="5">
        <v>40763</v>
      </c>
      <c r="BA178" s="5">
        <v>40763</v>
      </c>
      <c r="BB178" s="5">
        <v>40847</v>
      </c>
      <c r="BC178" s="5">
        <v>40843</v>
      </c>
      <c r="BD178" s="4">
        <v>1</v>
      </c>
      <c r="BE178" s="5">
        <v>40854</v>
      </c>
      <c r="BF178" s="5">
        <v>40843</v>
      </c>
      <c r="BG178" s="4"/>
      <c r="BH178" s="4"/>
      <c r="BI178" s="5">
        <v>40969</v>
      </c>
      <c r="BJ178" s="5">
        <v>40970</v>
      </c>
      <c r="BK178" s="4">
        <v>1</v>
      </c>
      <c r="BL178" s="4"/>
      <c r="BM178" s="4"/>
      <c r="BN178" s="5">
        <v>40970</v>
      </c>
      <c r="BO178" s="5">
        <v>41001</v>
      </c>
      <c r="BP178" s="4"/>
      <c r="BQ178" s="4"/>
      <c r="BR178" s="4"/>
      <c r="BS178" s="4"/>
      <c r="BT178" s="5">
        <v>40994</v>
      </c>
      <c r="BU178" s="5">
        <v>40994</v>
      </c>
      <c r="BV178" s="5">
        <v>41004</v>
      </c>
      <c r="BW178" s="5">
        <v>41009</v>
      </c>
      <c r="BX178" s="5">
        <v>41001</v>
      </c>
      <c r="BY178" s="5">
        <v>41012</v>
      </c>
      <c r="BZ178" s="5">
        <v>41011</v>
      </c>
      <c r="CA178" s="4"/>
      <c r="CB178" s="4"/>
      <c r="CC178" s="4"/>
      <c r="CD178" s="4"/>
      <c r="CE178" s="4"/>
      <c r="CF178" s="4"/>
      <c r="CG178" s="4"/>
      <c r="CH178" s="4"/>
      <c r="CI178" s="5">
        <v>41012</v>
      </c>
      <c r="CJ178" s="5">
        <v>41012</v>
      </c>
      <c r="CK178" s="5">
        <v>41012</v>
      </c>
      <c r="CL178" s="5">
        <v>41052</v>
      </c>
      <c r="CM178" s="5">
        <v>41033</v>
      </c>
      <c r="CN178" s="5">
        <v>41123</v>
      </c>
      <c r="CO178" s="5">
        <v>41155</v>
      </c>
      <c r="CP178" s="4" t="s">
        <v>718</v>
      </c>
      <c r="CQ178" s="4"/>
      <c r="CR178" s="5">
        <v>41012</v>
      </c>
      <c r="CS178" s="5">
        <v>41001</v>
      </c>
      <c r="CT178" s="5">
        <v>41001</v>
      </c>
      <c r="CU178" s="5">
        <v>41001</v>
      </c>
      <c r="CV178" s="5">
        <v>41001</v>
      </c>
      <c r="CW178" s="5">
        <v>41001</v>
      </c>
      <c r="CX178" s="5">
        <v>41001</v>
      </c>
      <c r="CY178" s="5">
        <v>41003</v>
      </c>
      <c r="CZ178" s="5">
        <v>41009</v>
      </c>
      <c r="DA178" s="4"/>
      <c r="DB178" s="4"/>
      <c r="DC178" s="4"/>
      <c r="DD178" s="4"/>
      <c r="DE178" s="4"/>
      <c r="DF178" s="4"/>
      <c r="DG178" s="4"/>
      <c r="DH178" s="4"/>
      <c r="DI178" s="5">
        <v>41001</v>
      </c>
      <c r="DJ178" s="4" t="b">
        <v>0</v>
      </c>
      <c r="DK178" s="4"/>
      <c r="DL178" s="4">
        <v>2653448</v>
      </c>
      <c r="DM178" s="4">
        <v>6484056</v>
      </c>
      <c r="DN178" s="4" t="s">
        <v>719</v>
      </c>
      <c r="DO178" s="4"/>
      <c r="DP178" s="4" t="s">
        <v>720</v>
      </c>
      <c r="DQ178" s="4" t="s">
        <v>148</v>
      </c>
      <c r="DR178" s="4"/>
      <c r="DS178" s="4"/>
      <c r="DT178" s="5">
        <v>41887</v>
      </c>
      <c r="DU178" s="4"/>
      <c r="DV178" s="4"/>
      <c r="DW178" s="4"/>
      <c r="DX178" s="4"/>
      <c r="DY178" s="4"/>
      <c r="DZ178" s="4"/>
      <c r="EA178" s="4"/>
      <c r="EB178" s="4"/>
      <c r="EC178" s="4"/>
      <c r="ED178" s="4"/>
      <c r="EE178" s="4"/>
      <c r="EF178" s="4"/>
      <c r="EG178" s="5">
        <v>41019</v>
      </c>
      <c r="EH178" s="5">
        <v>41019</v>
      </c>
      <c r="EI178" s="4"/>
    </row>
    <row r="179" spans="1:139" hidden="1" x14ac:dyDescent="0.2">
      <c r="A179">
        <f>VLOOKUP(B179,Sheet1!$A$1:$B$18,2,FALSE)</f>
        <v>0</v>
      </c>
      <c r="B179" t="str">
        <f t="shared" si="2"/>
        <v>AKL</v>
      </c>
      <c r="C179" s="2">
        <v>178</v>
      </c>
      <c r="D179" s="3" t="str">
        <f>HYPERLINK("https://sitebase.nzcomms.co.nz/spm/spmnominalview/AKL-006-049/","AKL-006-049")</f>
        <v>AKL-006-049</v>
      </c>
      <c r="E179" s="4" t="s">
        <v>721</v>
      </c>
      <c r="F179" s="4"/>
      <c r="G179" s="4"/>
      <c r="H179" s="4" t="s">
        <v>600</v>
      </c>
      <c r="I179" s="4"/>
      <c r="J179" s="4" t="s">
        <v>722</v>
      </c>
      <c r="K179" s="4"/>
      <c r="L179" s="4"/>
      <c r="M179" s="4"/>
      <c r="N179" s="4"/>
      <c r="O179" s="4"/>
      <c r="P179" s="4"/>
      <c r="Q179" s="4"/>
      <c r="R179" s="4"/>
      <c r="S179" s="4"/>
      <c r="T179" s="4"/>
      <c r="U179" s="4"/>
      <c r="V179" s="4"/>
      <c r="W179" s="4"/>
      <c r="X179" s="4"/>
      <c r="Y179" s="4"/>
      <c r="Z179" s="4"/>
      <c r="AA179" s="4"/>
      <c r="AB179" s="4"/>
      <c r="AC179" s="4"/>
      <c r="AD179" s="4"/>
      <c r="AE179" s="4"/>
      <c r="AF179" s="4"/>
      <c r="AG179" s="4" t="b">
        <v>0</v>
      </c>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row>
    <row r="180" spans="1:139" hidden="1" x14ac:dyDescent="0.2">
      <c r="A180">
        <f>VLOOKUP(B180,Sheet1!$A$1:$B$18,2,FALSE)</f>
        <v>0</v>
      </c>
      <c r="B180" t="str">
        <f t="shared" si="2"/>
        <v>AKL</v>
      </c>
      <c r="C180" s="2">
        <v>179</v>
      </c>
      <c r="D180" s="3" t="str">
        <f>HYPERLINK("https://sitebase.nzcomms.co.nz/spm/spmnominalview/AKL-006-050/","AKL-006-050")</f>
        <v>AKL-006-050</v>
      </c>
      <c r="E180" s="4" t="s">
        <v>723</v>
      </c>
      <c r="F180" s="4"/>
      <c r="G180" s="4"/>
      <c r="H180" s="4" t="s">
        <v>600</v>
      </c>
      <c r="I180" s="4"/>
      <c r="J180" s="4" t="s">
        <v>722</v>
      </c>
      <c r="K180" s="4"/>
      <c r="L180" s="4"/>
      <c r="M180" s="4"/>
      <c r="N180" s="4"/>
      <c r="O180" s="4"/>
      <c r="P180" s="4"/>
      <c r="Q180" s="4"/>
      <c r="R180" s="4"/>
      <c r="S180" s="4"/>
      <c r="T180" s="4"/>
      <c r="U180" s="4"/>
      <c r="V180" s="4"/>
      <c r="W180" s="4"/>
      <c r="X180" s="4"/>
      <c r="Y180" s="4"/>
      <c r="Z180" s="4"/>
      <c r="AA180" s="4"/>
      <c r="AB180" s="4"/>
      <c r="AC180" s="4"/>
      <c r="AD180" s="4"/>
      <c r="AE180" s="4"/>
      <c r="AF180" s="4"/>
      <c r="AG180" s="4" t="b">
        <v>0</v>
      </c>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row>
    <row r="181" spans="1:139" hidden="1" x14ac:dyDescent="0.2">
      <c r="A181">
        <f>VLOOKUP(B181,Sheet1!$A$1:$B$18,2,FALSE)</f>
        <v>0</v>
      </c>
      <c r="B181" t="str">
        <f t="shared" si="2"/>
        <v>AKL</v>
      </c>
      <c r="C181" s="2">
        <v>180</v>
      </c>
      <c r="D181" s="3" t="str">
        <f>HYPERLINK("https://sitebase.nzcomms.co.nz/spm/spmnominalview/AKL-006-051/","AKL-006-051")</f>
        <v>AKL-006-051</v>
      </c>
      <c r="E181" s="4" t="s">
        <v>724</v>
      </c>
      <c r="F181" s="3" t="str">
        <f>HYPERLINK("https://sitebase.nzcomms.co.nz/spm/spmcandidateview/AKL-006-051-A/","AKL-006-051-A")</f>
        <v>AKL-006-051-A</v>
      </c>
      <c r="G181" s="4" t="s">
        <v>725</v>
      </c>
      <c r="H181" s="4" t="s">
        <v>600</v>
      </c>
      <c r="I181" s="4"/>
      <c r="J181" s="4" t="s">
        <v>317</v>
      </c>
      <c r="K181" s="4" t="s">
        <v>141</v>
      </c>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t="s">
        <v>726</v>
      </c>
      <c r="DO181" s="4"/>
      <c r="DP181" s="4"/>
      <c r="DQ181" s="4"/>
      <c r="DR181" s="4"/>
      <c r="DS181" s="4"/>
      <c r="DT181" s="4"/>
      <c r="DU181" s="4"/>
      <c r="DV181" s="4"/>
      <c r="DW181" s="4"/>
      <c r="DX181" s="4"/>
      <c r="DY181" s="4"/>
      <c r="DZ181" s="4"/>
      <c r="EA181" s="4"/>
      <c r="EB181" s="4"/>
      <c r="EC181" s="4"/>
      <c r="ED181" s="4"/>
      <c r="EE181" s="4"/>
      <c r="EF181" s="4"/>
      <c r="EG181" s="4"/>
      <c r="EH181" s="4"/>
      <c r="EI181" s="4"/>
    </row>
    <row r="182" spans="1:139" hidden="1" x14ac:dyDescent="0.2">
      <c r="A182">
        <f>VLOOKUP(B182,Sheet1!$A$1:$B$18,2,FALSE)</f>
        <v>0</v>
      </c>
      <c r="B182" t="str">
        <f t="shared" si="2"/>
        <v>AKL</v>
      </c>
      <c r="C182" s="2">
        <v>181</v>
      </c>
      <c r="D182" s="3" t="str">
        <f>HYPERLINK("https://sitebase.nzcomms.co.nz/spm/spmnominalview/AKL-006-052/","AKL-006-052")</f>
        <v>AKL-006-052</v>
      </c>
      <c r="E182" s="4" t="s">
        <v>727</v>
      </c>
      <c r="F182" s="4"/>
      <c r="G182" s="4"/>
      <c r="H182" s="4" t="s">
        <v>600</v>
      </c>
      <c r="I182" s="4"/>
      <c r="J182" s="4" t="s">
        <v>317</v>
      </c>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row>
    <row r="183" spans="1:139" hidden="1" x14ac:dyDescent="0.2">
      <c r="A183">
        <f>VLOOKUP(B183,Sheet1!$A$1:$B$18,2,FALSE)</f>
        <v>0</v>
      </c>
      <c r="B183" t="str">
        <f t="shared" si="2"/>
        <v>AKL</v>
      </c>
      <c r="C183" s="2">
        <v>182</v>
      </c>
      <c r="D183" s="3" t="str">
        <f>HYPERLINK("https://sitebase.nzcomms.co.nz/spm/spmnominalview/AKL-006-053/","AKL-006-053")</f>
        <v>AKL-006-053</v>
      </c>
      <c r="E183" s="4" t="s">
        <v>728</v>
      </c>
      <c r="F183" s="3" t="str">
        <f>HYPERLINK("https://sitebase.nzcomms.co.nz/spm/spmcandidateview/AKL-006-053-F/","AKL-006-053-F")</f>
        <v>AKL-006-053-F</v>
      </c>
      <c r="G183" s="4" t="s">
        <v>729</v>
      </c>
      <c r="H183" s="4" t="s">
        <v>600</v>
      </c>
      <c r="I183" s="4">
        <v>22</v>
      </c>
      <c r="J183" s="4" t="s">
        <v>331</v>
      </c>
      <c r="K183" s="4" t="s">
        <v>141</v>
      </c>
      <c r="L183" s="4" t="s">
        <v>150</v>
      </c>
      <c r="M183" s="4" t="s">
        <v>166</v>
      </c>
      <c r="N183" s="4" t="s">
        <v>730</v>
      </c>
      <c r="O183" s="4"/>
      <c r="P183" s="4" t="s">
        <v>169</v>
      </c>
      <c r="Q183" s="4" t="s">
        <v>192</v>
      </c>
      <c r="R183" s="4">
        <v>24.5</v>
      </c>
      <c r="S183" s="4">
        <v>25</v>
      </c>
      <c r="T183" s="4"/>
      <c r="U183" s="4"/>
      <c r="V183" s="4"/>
      <c r="W183" s="4"/>
      <c r="X183" s="4"/>
      <c r="Y183" s="4"/>
      <c r="Z183" s="4"/>
      <c r="AA183" s="4" t="s">
        <v>145</v>
      </c>
      <c r="AB183" s="3" t="str">
        <f>HYPERLINK("https://sitebase.nzcomms.co.nz/spm/spmcandidateview/AKL-005-088-A/","AKL-005-088-A")</f>
        <v>AKL-005-088-A</v>
      </c>
      <c r="AC183" s="4" t="b">
        <v>0</v>
      </c>
      <c r="AD183" s="4" t="b">
        <v>0</v>
      </c>
      <c r="AE183" s="4"/>
      <c r="AF183" s="4"/>
      <c r="AG183" s="4" t="b">
        <v>0</v>
      </c>
      <c r="AH183" s="4"/>
      <c r="AI183" s="5">
        <v>42327</v>
      </c>
      <c r="AJ183" s="5">
        <v>42327</v>
      </c>
      <c r="AK183" s="5">
        <v>42328</v>
      </c>
      <c r="AL183" s="5">
        <v>42327</v>
      </c>
      <c r="AM183" s="5">
        <v>42387</v>
      </c>
      <c r="AN183" s="5">
        <v>42384</v>
      </c>
      <c r="AO183" s="4">
        <v>1</v>
      </c>
      <c r="AP183" s="5">
        <v>42391</v>
      </c>
      <c r="AQ183" s="5">
        <v>42384</v>
      </c>
      <c r="AR183" s="5">
        <v>42419</v>
      </c>
      <c r="AS183" s="4"/>
      <c r="AT183" s="5">
        <v>42459</v>
      </c>
      <c r="AU183" s="4"/>
      <c r="AV183" s="4"/>
      <c r="AW183" s="5">
        <v>42460</v>
      </c>
      <c r="AX183" s="4"/>
      <c r="AY183" s="4" t="s">
        <v>203</v>
      </c>
      <c r="AZ183" s="5">
        <v>42422</v>
      </c>
      <c r="BA183" s="4"/>
      <c r="BB183" s="5">
        <v>42485</v>
      </c>
      <c r="BC183" s="4"/>
      <c r="BD183" s="4"/>
      <c r="BE183" s="5">
        <v>42485</v>
      </c>
      <c r="BF183" s="4"/>
      <c r="BG183" s="5">
        <v>42422</v>
      </c>
      <c r="BH183" s="4"/>
      <c r="BI183" s="5">
        <v>42460</v>
      </c>
      <c r="BJ183" s="4"/>
      <c r="BK183" s="4"/>
      <c r="BL183" s="4"/>
      <c r="BM183" s="5">
        <v>42460</v>
      </c>
      <c r="BN183" s="4"/>
      <c r="BO183" s="4"/>
      <c r="BP183" s="4"/>
      <c r="BQ183" s="4"/>
      <c r="BR183" s="4"/>
      <c r="BS183" s="4"/>
      <c r="BT183" s="5">
        <v>42541</v>
      </c>
      <c r="BU183" s="4"/>
      <c r="BV183" s="5">
        <v>42569</v>
      </c>
      <c r="BW183" s="4"/>
      <c r="BX183" s="4"/>
      <c r="BY183" s="5">
        <v>42583</v>
      </c>
      <c r="BZ183" s="4"/>
      <c r="CA183" s="4"/>
      <c r="CB183" s="4"/>
      <c r="CC183" s="4"/>
      <c r="CD183" s="4"/>
      <c r="CE183" s="4"/>
      <c r="CF183" s="4"/>
      <c r="CG183" s="4"/>
      <c r="CH183" s="4"/>
      <c r="CI183" s="4"/>
      <c r="CJ183" s="5">
        <v>42618</v>
      </c>
      <c r="CK183" s="4"/>
      <c r="CL183" s="4"/>
      <c r="CM183" s="4"/>
      <c r="CN183" s="4"/>
      <c r="CO183" s="4"/>
      <c r="CP183" s="4"/>
      <c r="CQ183" s="4"/>
      <c r="CR183" s="4"/>
      <c r="CS183" s="4"/>
      <c r="CT183" s="4"/>
      <c r="CU183" s="4"/>
      <c r="CV183" s="4"/>
      <c r="CW183" s="4"/>
      <c r="CX183" s="4"/>
      <c r="CY183" s="4"/>
      <c r="CZ183" s="4"/>
      <c r="DA183" s="5">
        <v>42604</v>
      </c>
      <c r="DB183" s="4"/>
      <c r="DC183" s="4"/>
      <c r="DD183" s="4"/>
      <c r="DE183" s="4" t="s">
        <v>194</v>
      </c>
      <c r="DF183" s="4"/>
      <c r="DG183" s="4"/>
      <c r="DH183" s="4" t="s">
        <v>174</v>
      </c>
      <c r="DI183" s="4"/>
      <c r="DJ183" s="4" t="b">
        <v>0</v>
      </c>
      <c r="DK183" s="4"/>
      <c r="DL183" s="4"/>
      <c r="DM183" s="4"/>
      <c r="DN183" s="4" t="s">
        <v>731</v>
      </c>
      <c r="DO183" s="4"/>
      <c r="DP183" s="4"/>
      <c r="DQ183" s="4" t="s">
        <v>148</v>
      </c>
      <c r="DR183" s="4" t="s">
        <v>255</v>
      </c>
      <c r="DS183" s="4"/>
      <c r="DT183" s="4"/>
      <c r="DU183" s="4" t="s">
        <v>178</v>
      </c>
      <c r="DV183" s="4"/>
      <c r="DW183" s="4"/>
      <c r="DX183" s="4"/>
      <c r="DY183" s="5">
        <v>42488</v>
      </c>
      <c r="DZ183" s="4"/>
      <c r="EA183" s="4"/>
      <c r="EB183" s="5">
        <v>42327</v>
      </c>
      <c r="EC183" s="4"/>
      <c r="ED183" s="4"/>
      <c r="EE183" s="5">
        <v>42513</v>
      </c>
      <c r="EF183" s="4"/>
      <c r="EG183" s="4"/>
      <c r="EH183" s="4"/>
      <c r="EI183" s="5">
        <v>42327</v>
      </c>
    </row>
    <row r="184" spans="1:139" hidden="1" x14ac:dyDescent="0.2">
      <c r="A184">
        <f>VLOOKUP(B184,Sheet1!$A$1:$B$18,2,FALSE)</f>
        <v>0</v>
      </c>
      <c r="B184" t="str">
        <f t="shared" si="2"/>
        <v>AKL</v>
      </c>
      <c r="C184" s="2">
        <v>183</v>
      </c>
      <c r="D184" s="3" t="str">
        <f>HYPERLINK("https://sitebase.nzcomms.co.nz/spm/spmnominalview/AKL-006-054/","AKL-006-054")</f>
        <v>AKL-006-054</v>
      </c>
      <c r="E184" s="4" t="s">
        <v>732</v>
      </c>
      <c r="F184" s="3" t="str">
        <f>HYPERLINK("https://sitebase.nzcomms.co.nz/spm/spmcandidateview/AKL-006-054-B/","AKL-006-054-B")</f>
        <v>AKL-006-054-B</v>
      </c>
      <c r="G184" s="4" t="s">
        <v>733</v>
      </c>
      <c r="H184" s="4" t="s">
        <v>600</v>
      </c>
      <c r="I184" s="4">
        <v>22</v>
      </c>
      <c r="J184" s="4" t="s">
        <v>331</v>
      </c>
      <c r="K184" s="4" t="s">
        <v>141</v>
      </c>
      <c r="L184" s="4" t="s">
        <v>150</v>
      </c>
      <c r="M184" s="4" t="s">
        <v>166</v>
      </c>
      <c r="N184" s="4" t="s">
        <v>216</v>
      </c>
      <c r="O184" s="4"/>
      <c r="P184" s="4" t="s">
        <v>169</v>
      </c>
      <c r="Q184" s="4" t="s">
        <v>170</v>
      </c>
      <c r="R184" s="4">
        <v>18.5</v>
      </c>
      <c r="S184" s="4">
        <v>20</v>
      </c>
      <c r="T184" s="4"/>
      <c r="U184" s="4">
        <v>-36.709578409999999</v>
      </c>
      <c r="V184" s="4">
        <v>174.63735851000001</v>
      </c>
      <c r="W184" s="4"/>
      <c r="X184" s="4"/>
      <c r="Y184" s="4"/>
      <c r="Z184" s="4"/>
      <c r="AA184" s="4" t="s">
        <v>171</v>
      </c>
      <c r="AB184" s="3" t="str">
        <f>HYPERLINK("https://sitebase.nzcomms.co.nz/spm/spmcandidateview/AKL-007-112-A/","AKL-007-112-A")</f>
        <v>AKL-007-112-A</v>
      </c>
      <c r="AC184" s="4" t="b">
        <v>0</v>
      </c>
      <c r="AD184" s="4" t="b">
        <v>0</v>
      </c>
      <c r="AE184" s="4"/>
      <c r="AF184" s="4"/>
      <c r="AG184" s="4" t="b">
        <v>0</v>
      </c>
      <c r="AH184" s="4"/>
      <c r="AI184" s="5">
        <v>42261</v>
      </c>
      <c r="AJ184" s="5">
        <v>42261</v>
      </c>
      <c r="AK184" s="5">
        <v>42268</v>
      </c>
      <c r="AL184" s="5">
        <v>42275</v>
      </c>
      <c r="AM184" s="5">
        <v>42293</v>
      </c>
      <c r="AN184" s="5">
        <v>41143</v>
      </c>
      <c r="AO184" s="4">
        <v>3</v>
      </c>
      <c r="AP184" s="4"/>
      <c r="AQ184" s="5">
        <v>42320</v>
      </c>
      <c r="AR184" s="5">
        <v>41173</v>
      </c>
      <c r="AS184" s="5">
        <v>41170</v>
      </c>
      <c r="AT184" s="5">
        <v>41250</v>
      </c>
      <c r="AU184" s="5">
        <v>41257</v>
      </c>
      <c r="AV184" s="4"/>
      <c r="AW184" s="5">
        <v>41257</v>
      </c>
      <c r="AX184" s="5">
        <v>41257</v>
      </c>
      <c r="AY184" s="4" t="s">
        <v>203</v>
      </c>
      <c r="AZ184" s="5">
        <v>42300</v>
      </c>
      <c r="BA184" s="5">
        <v>42297</v>
      </c>
      <c r="BB184" s="5">
        <v>42331</v>
      </c>
      <c r="BC184" s="5">
        <v>42342</v>
      </c>
      <c r="BD184" s="4">
        <v>1</v>
      </c>
      <c r="BE184" s="5">
        <v>42338</v>
      </c>
      <c r="BF184" s="5">
        <v>42342</v>
      </c>
      <c r="BG184" s="5">
        <v>42317</v>
      </c>
      <c r="BH184" s="5">
        <v>42318</v>
      </c>
      <c r="BI184" s="5">
        <v>42352</v>
      </c>
      <c r="BJ184" s="5">
        <v>42352</v>
      </c>
      <c r="BK184" s="4">
        <v>1</v>
      </c>
      <c r="BL184" s="4"/>
      <c r="BM184" s="5">
        <v>42352</v>
      </c>
      <c r="BN184" s="5">
        <v>42352</v>
      </c>
      <c r="BO184" s="4"/>
      <c r="BP184" s="4"/>
      <c r="BQ184" s="4"/>
      <c r="BR184" s="4"/>
      <c r="BS184" s="4"/>
      <c r="BT184" s="5">
        <v>42429</v>
      </c>
      <c r="BU184" s="4"/>
      <c r="BV184" s="5">
        <v>42457</v>
      </c>
      <c r="BW184" s="4"/>
      <c r="BX184" s="4"/>
      <c r="BY184" s="5">
        <v>42471</v>
      </c>
      <c r="BZ184" s="4"/>
      <c r="CA184" s="4"/>
      <c r="CB184" s="4"/>
      <c r="CC184" s="4"/>
      <c r="CD184" s="4"/>
      <c r="CE184" s="4"/>
      <c r="CF184" s="4"/>
      <c r="CG184" s="4"/>
      <c r="CH184" s="4"/>
      <c r="CI184" s="4"/>
      <c r="CJ184" s="5">
        <v>42499</v>
      </c>
      <c r="CK184" s="4"/>
      <c r="CL184" s="4"/>
      <c r="CM184" s="4"/>
      <c r="CN184" s="4"/>
      <c r="CO184" s="4"/>
      <c r="CP184" s="4" t="s">
        <v>734</v>
      </c>
      <c r="CQ184" s="4"/>
      <c r="CR184" s="4"/>
      <c r="CS184" s="4"/>
      <c r="CT184" s="4"/>
      <c r="CU184" s="4"/>
      <c r="CV184" s="4"/>
      <c r="CW184" s="4"/>
      <c r="CX184" s="4"/>
      <c r="CY184" s="4"/>
      <c r="CZ184" s="4"/>
      <c r="DA184" s="5">
        <v>42485</v>
      </c>
      <c r="DB184" s="4"/>
      <c r="DC184" s="4"/>
      <c r="DD184" s="4"/>
      <c r="DE184" s="4" t="s">
        <v>194</v>
      </c>
      <c r="DF184" s="4"/>
      <c r="DG184" s="4"/>
      <c r="DH184" s="4" t="s">
        <v>174</v>
      </c>
      <c r="DI184" s="4"/>
      <c r="DJ184" s="4" t="b">
        <v>0</v>
      </c>
      <c r="DK184" s="4"/>
      <c r="DL184" s="4">
        <v>2656710</v>
      </c>
      <c r="DM184" s="4">
        <v>6497817</v>
      </c>
      <c r="DN184" s="4" t="s">
        <v>735</v>
      </c>
      <c r="DO184" s="4"/>
      <c r="DP184" s="4"/>
      <c r="DQ184" s="4" t="s">
        <v>148</v>
      </c>
      <c r="DR184" s="4" t="s">
        <v>244</v>
      </c>
      <c r="DS184" s="4"/>
      <c r="DT184" s="4"/>
      <c r="DU184" s="4" t="s">
        <v>178</v>
      </c>
      <c r="DV184" s="4"/>
      <c r="DW184" s="5">
        <v>42339</v>
      </c>
      <c r="DX184" s="5">
        <v>42383</v>
      </c>
      <c r="DY184" s="5">
        <v>42387</v>
      </c>
      <c r="DZ184" s="5">
        <v>42381</v>
      </c>
      <c r="EA184" s="4"/>
      <c r="EB184" s="4"/>
      <c r="EC184" s="4"/>
      <c r="ED184" s="4"/>
      <c r="EE184" s="5">
        <v>42415</v>
      </c>
      <c r="EF184" s="4"/>
      <c r="EG184" s="4"/>
      <c r="EH184" s="4"/>
      <c r="EI184" s="5">
        <v>42275</v>
      </c>
    </row>
    <row r="185" spans="1:139" hidden="1" x14ac:dyDescent="0.2">
      <c r="A185">
        <f>VLOOKUP(B185,Sheet1!$A$1:$B$18,2,FALSE)</f>
        <v>0</v>
      </c>
      <c r="B185" t="str">
        <f t="shared" si="2"/>
        <v>AKL</v>
      </c>
      <c r="C185" s="2">
        <v>184</v>
      </c>
      <c r="D185" s="3" t="str">
        <f>HYPERLINK("https://sitebase.nzcomms.co.nz/spm/spmnominalview/AKL-006-055/","AKL-006-055")</f>
        <v>AKL-006-055</v>
      </c>
      <c r="E185" s="4" t="s">
        <v>736</v>
      </c>
      <c r="F185" s="3" t="str">
        <f>HYPERLINK("https://sitebase.nzcomms.co.nz/spm/spmcandidateview/AKL-006-055-A/","AKL-006-055-A")</f>
        <v>AKL-006-055-A</v>
      </c>
      <c r="G185" s="4" t="s">
        <v>737</v>
      </c>
      <c r="H185" s="4" t="s">
        <v>600</v>
      </c>
      <c r="I185" s="4">
        <v>12</v>
      </c>
      <c r="J185" s="4" t="s">
        <v>317</v>
      </c>
      <c r="K185" s="4" t="s">
        <v>141</v>
      </c>
      <c r="L185" s="4" t="s">
        <v>325</v>
      </c>
      <c r="M185" s="4" t="s">
        <v>738</v>
      </c>
      <c r="N185" s="4" t="s">
        <v>620</v>
      </c>
      <c r="O185" s="4"/>
      <c r="P185" s="4"/>
      <c r="Q185" s="4" t="s">
        <v>192</v>
      </c>
      <c r="R185" s="4"/>
      <c r="S185" s="4"/>
      <c r="T185" s="4"/>
      <c r="U185" s="4">
        <v>-36.952382669999999</v>
      </c>
      <c r="V185" s="4">
        <v>174.63260965000001</v>
      </c>
      <c r="W185" s="4"/>
      <c r="X185" s="4"/>
      <c r="Y185" s="4"/>
      <c r="Z185" s="4"/>
      <c r="AA185" s="4"/>
      <c r="AB185" s="4"/>
      <c r="AC185" s="4" t="b">
        <v>0</v>
      </c>
      <c r="AD185" s="4" t="b">
        <v>0</v>
      </c>
      <c r="AE185" s="4"/>
      <c r="AF185" s="4"/>
      <c r="AG185" s="4" t="b">
        <v>0</v>
      </c>
      <c r="AH185" s="4"/>
      <c r="AI185" s="5">
        <v>41066</v>
      </c>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5">
        <v>41089</v>
      </c>
      <c r="CK185" s="5">
        <v>41089</v>
      </c>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t="b">
        <v>0</v>
      </c>
      <c r="DK185" s="4"/>
      <c r="DL185" s="4">
        <v>2655771</v>
      </c>
      <c r="DM185" s="4">
        <v>6470885</v>
      </c>
      <c r="DN185" s="4" t="s">
        <v>739</v>
      </c>
      <c r="DO185" s="4"/>
      <c r="DP185" s="4"/>
      <c r="DQ185" s="4" t="s">
        <v>740</v>
      </c>
      <c r="DR185" s="4"/>
      <c r="DS185" s="4"/>
      <c r="DT185" s="4"/>
      <c r="DU185" s="4"/>
      <c r="DV185" s="4"/>
      <c r="DW185" s="4"/>
      <c r="DX185" s="4"/>
      <c r="DY185" s="4"/>
      <c r="DZ185" s="4"/>
      <c r="EA185" s="4"/>
      <c r="EB185" s="4"/>
      <c r="EC185" s="4"/>
      <c r="ED185" s="4"/>
      <c r="EE185" s="4"/>
      <c r="EF185" s="4"/>
      <c r="EG185" s="4"/>
      <c r="EH185" s="4"/>
      <c r="EI185" s="4"/>
    </row>
    <row r="186" spans="1:139" hidden="1" x14ac:dyDescent="0.2">
      <c r="A186">
        <f>VLOOKUP(B186,Sheet1!$A$1:$B$18,2,FALSE)</f>
        <v>0</v>
      </c>
      <c r="B186" t="str">
        <f t="shared" si="2"/>
        <v>AKL</v>
      </c>
      <c r="C186" s="2">
        <v>185</v>
      </c>
      <c r="D186" s="3" t="str">
        <f>HYPERLINK("https://sitebase.nzcomms.co.nz/spm/spmnominalview/AKL-006-056/","AKL-006-056")</f>
        <v>AKL-006-056</v>
      </c>
      <c r="E186" s="4" t="s">
        <v>741</v>
      </c>
      <c r="F186" s="4"/>
      <c r="G186" s="4"/>
      <c r="H186" s="4" t="s">
        <v>600</v>
      </c>
      <c r="I186" s="4"/>
      <c r="J186" s="4" t="s">
        <v>196</v>
      </c>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row>
    <row r="187" spans="1:139" hidden="1" x14ac:dyDescent="0.2">
      <c r="A187">
        <f>VLOOKUP(B187,Sheet1!$A$1:$B$18,2,FALSE)</f>
        <v>0</v>
      </c>
      <c r="B187" t="str">
        <f t="shared" si="2"/>
        <v>AKL</v>
      </c>
      <c r="C187" s="2">
        <v>186</v>
      </c>
      <c r="D187" s="3" t="str">
        <f>HYPERLINK("https://sitebase.nzcomms.co.nz/spm/spmnominalview/AKL-006-057/","AKL-006-057")</f>
        <v>AKL-006-057</v>
      </c>
      <c r="E187" s="4" t="s">
        <v>652</v>
      </c>
      <c r="F187" s="4"/>
      <c r="G187" s="4"/>
      <c r="H187" s="4" t="s">
        <v>600</v>
      </c>
      <c r="I187" s="4"/>
      <c r="J187" s="4" t="s">
        <v>196</v>
      </c>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row>
    <row r="188" spans="1:139" hidden="1" x14ac:dyDescent="0.2">
      <c r="A188">
        <f>VLOOKUP(B188,Sheet1!$A$1:$B$18,2,FALSE)</f>
        <v>0</v>
      </c>
      <c r="B188" t="str">
        <f t="shared" si="2"/>
        <v>AKL</v>
      </c>
      <c r="C188" s="2">
        <v>187</v>
      </c>
      <c r="D188" s="3" t="str">
        <f>HYPERLINK("https://sitebase.nzcomms.co.nz/spm/spmnominalview/AKL-006-058/","AKL-006-058")</f>
        <v>AKL-006-058</v>
      </c>
      <c r="E188" s="4" t="s">
        <v>742</v>
      </c>
      <c r="F188" s="3" t="str">
        <f>HYPERLINK("https://sitebase.nzcomms.co.nz/spm/spmcandidateview/AKL-006-058-A/","AKL-006-058-A")</f>
        <v>AKL-006-058-A</v>
      </c>
      <c r="G188" s="4" t="s">
        <v>743</v>
      </c>
      <c r="H188" s="4" t="s">
        <v>600</v>
      </c>
      <c r="I188" s="4"/>
      <c r="J188" s="4" t="s">
        <v>317</v>
      </c>
      <c r="K188" s="4" t="s">
        <v>141</v>
      </c>
      <c r="L188" s="4" t="s">
        <v>142</v>
      </c>
      <c r="M188" s="4" t="s">
        <v>324</v>
      </c>
      <c r="N188" s="4" t="s">
        <v>142</v>
      </c>
      <c r="O188" s="4"/>
      <c r="P188" s="4"/>
      <c r="Q188" s="4" t="s">
        <v>142</v>
      </c>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5">
        <v>41942</v>
      </c>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t="s">
        <v>328</v>
      </c>
      <c r="DR188" s="4"/>
      <c r="DS188" s="4"/>
      <c r="DT188" s="4"/>
      <c r="DU188" s="4"/>
      <c r="DV188" s="4"/>
      <c r="DW188" s="4"/>
      <c r="DX188" s="4"/>
      <c r="DY188" s="4"/>
      <c r="DZ188" s="4"/>
      <c r="EA188" s="4"/>
      <c r="EB188" s="4"/>
      <c r="EC188" s="4"/>
      <c r="ED188" s="4"/>
      <c r="EE188" s="4"/>
      <c r="EF188" s="4"/>
      <c r="EG188" s="4"/>
      <c r="EH188" s="4"/>
      <c r="EI188" s="4"/>
    </row>
    <row r="189" spans="1:139" hidden="1" x14ac:dyDescent="0.2">
      <c r="A189">
        <f>VLOOKUP(B189,Sheet1!$A$1:$B$18,2,FALSE)</f>
        <v>0</v>
      </c>
      <c r="B189" t="str">
        <f t="shared" si="2"/>
        <v>AKL</v>
      </c>
      <c r="C189" s="2">
        <v>188</v>
      </c>
      <c r="D189" s="3" t="str">
        <f>HYPERLINK("https://sitebase.nzcomms.co.nz/spm/spmnominalview/AKL-007-001/","AKL-007-001")</f>
        <v>AKL-007-001</v>
      </c>
      <c r="E189" s="4"/>
      <c r="F189" s="3" t="str">
        <f>HYPERLINK("https://sitebase.nzcomms.co.nz/spm/spmcandidateview/AKL-007-001-B/","AKL-007-001-B")</f>
        <v>AKL-007-001-B</v>
      </c>
      <c r="G189" s="4" t="s">
        <v>744</v>
      </c>
      <c r="H189" s="4" t="s">
        <v>745</v>
      </c>
      <c r="I189" s="4"/>
      <c r="J189" s="4" t="s">
        <v>139</v>
      </c>
      <c r="K189" s="4" t="s">
        <v>141</v>
      </c>
      <c r="L189" s="4" t="s">
        <v>142</v>
      </c>
      <c r="M189" s="4" t="s">
        <v>354</v>
      </c>
      <c r="N189" s="4" t="s">
        <v>142</v>
      </c>
      <c r="O189" s="4" t="s">
        <v>144</v>
      </c>
      <c r="P189" s="4"/>
      <c r="Q189" s="4" t="s">
        <v>170</v>
      </c>
      <c r="R189" s="4"/>
      <c r="S189" s="4"/>
      <c r="T189" s="4"/>
      <c r="U189" s="4">
        <v>-36.927651140000002</v>
      </c>
      <c r="V189" s="4">
        <v>174.78387960000001</v>
      </c>
      <c r="W189" s="4"/>
      <c r="X189" s="4"/>
      <c r="Y189" s="4"/>
      <c r="Z189" s="4"/>
      <c r="AA189" s="4" t="s">
        <v>171</v>
      </c>
      <c r="AB189" s="3" t="str">
        <f>HYPERLINK("https://sitebase.nzcomms.co.nz/spm/spmcandidateview/AKL-007-114-D/","AKL-007-114-D")</f>
        <v>AKL-007-114-D</v>
      </c>
      <c r="AC189" s="4"/>
      <c r="AD189" s="4"/>
      <c r="AE189" s="4"/>
      <c r="AF189" s="4"/>
      <c r="AG189" s="4"/>
      <c r="AH189" s="4"/>
      <c r="AI189" s="4"/>
      <c r="AJ189" s="4"/>
      <c r="AK189" s="4"/>
      <c r="AL189" s="4"/>
      <c r="AM189" s="4"/>
      <c r="AN189" s="5">
        <v>39364</v>
      </c>
      <c r="AO189" s="4">
        <v>1</v>
      </c>
      <c r="AP189" s="5">
        <v>39364</v>
      </c>
      <c r="AQ189" s="5">
        <v>39364</v>
      </c>
      <c r="AR189" s="4"/>
      <c r="AS189" s="4"/>
      <c r="AT189" s="5">
        <v>39419</v>
      </c>
      <c r="AU189" s="5">
        <v>39419</v>
      </c>
      <c r="AV189" s="4">
        <v>1</v>
      </c>
      <c r="AW189" s="5">
        <v>39419</v>
      </c>
      <c r="AX189" s="5">
        <v>39419</v>
      </c>
      <c r="AY189" s="4"/>
      <c r="AZ189" s="4"/>
      <c r="BA189" s="4"/>
      <c r="BB189" s="5">
        <v>39423</v>
      </c>
      <c r="BC189" s="4"/>
      <c r="BD189" s="4"/>
      <c r="BE189" s="5">
        <v>39423</v>
      </c>
      <c r="BF189" s="5">
        <v>39423</v>
      </c>
      <c r="BG189" s="4"/>
      <c r="BH189" s="5">
        <v>39373</v>
      </c>
      <c r="BI189" s="4"/>
      <c r="BJ189" s="5">
        <v>39500</v>
      </c>
      <c r="BK189" s="4">
        <v>2</v>
      </c>
      <c r="BL189" s="4">
        <v>1</v>
      </c>
      <c r="BM189" s="5">
        <v>39517</v>
      </c>
      <c r="BN189" s="5">
        <v>39517</v>
      </c>
      <c r="BO189" s="4"/>
      <c r="BP189" s="4"/>
      <c r="BQ189" s="4"/>
      <c r="BR189" s="4"/>
      <c r="BS189" s="4"/>
      <c r="BT189" s="4"/>
      <c r="BU189" s="5">
        <v>39539</v>
      </c>
      <c r="BV189" s="5">
        <v>39548</v>
      </c>
      <c r="BW189" s="5">
        <v>39548</v>
      </c>
      <c r="BX189" s="4"/>
      <c r="BY189" s="5">
        <v>39562</v>
      </c>
      <c r="BZ189" s="5">
        <v>39562</v>
      </c>
      <c r="CA189" s="4"/>
      <c r="CB189" s="4"/>
      <c r="CC189" s="4"/>
      <c r="CD189" s="4"/>
      <c r="CE189" s="4"/>
      <c r="CF189" s="4"/>
      <c r="CG189" s="4"/>
      <c r="CH189" s="4"/>
      <c r="CI189" s="5">
        <v>39882</v>
      </c>
      <c r="CJ189" s="5">
        <v>39881</v>
      </c>
      <c r="CK189" s="5">
        <v>39882</v>
      </c>
      <c r="CL189" s="4"/>
      <c r="CM189" s="4"/>
      <c r="CN189" s="4"/>
      <c r="CO189" s="4"/>
      <c r="CP189" s="4" t="s">
        <v>746</v>
      </c>
      <c r="CQ189" s="4"/>
      <c r="CR189" s="5">
        <v>39881</v>
      </c>
      <c r="CS189" s="4"/>
      <c r="CT189" s="4"/>
      <c r="CU189" s="4"/>
      <c r="CV189" s="4"/>
      <c r="CW189" s="4"/>
      <c r="CX189" s="4"/>
      <c r="CY189" s="4"/>
      <c r="CZ189" s="4"/>
      <c r="DA189" s="4"/>
      <c r="DB189" s="4"/>
      <c r="DC189" s="4"/>
      <c r="DD189" s="4"/>
      <c r="DE189" s="4"/>
      <c r="DF189" s="4"/>
      <c r="DG189" s="4"/>
      <c r="DH189" s="4"/>
      <c r="DI189" s="4"/>
      <c r="DJ189" s="4" t="b">
        <v>0</v>
      </c>
      <c r="DK189" s="4"/>
      <c r="DL189" s="4">
        <v>2669298</v>
      </c>
      <c r="DM189" s="4">
        <v>6473361</v>
      </c>
      <c r="DN189" s="4" t="s">
        <v>747</v>
      </c>
      <c r="DO189" s="4"/>
      <c r="DP189" s="4"/>
      <c r="DQ189" s="4" t="s">
        <v>148</v>
      </c>
      <c r="DR189" s="4"/>
      <c r="DS189" s="4"/>
      <c r="DT189" s="5">
        <v>41863</v>
      </c>
      <c r="DU189" s="4"/>
      <c r="DV189" s="4"/>
      <c r="DW189" s="4"/>
      <c r="DX189" s="4"/>
      <c r="DY189" s="4"/>
      <c r="DZ189" s="5">
        <v>39518</v>
      </c>
      <c r="EA189" s="4"/>
      <c r="EB189" s="4"/>
      <c r="EC189" s="4"/>
      <c r="ED189" s="4"/>
      <c r="EE189" s="4"/>
      <c r="EF189" s="4"/>
      <c r="EG189" s="4"/>
      <c r="EH189" s="4"/>
      <c r="EI189" s="5">
        <v>39351</v>
      </c>
    </row>
    <row r="190" spans="1:139" hidden="1" x14ac:dyDescent="0.2">
      <c r="A190">
        <f>VLOOKUP(B190,Sheet1!$A$1:$B$18,2,FALSE)</f>
        <v>0</v>
      </c>
      <c r="B190" t="str">
        <f t="shared" si="2"/>
        <v>AKL</v>
      </c>
      <c r="C190" s="2">
        <v>189</v>
      </c>
      <c r="D190" s="3" t="str">
        <f>HYPERLINK("https://sitebase.nzcomms.co.nz/spm/spmnominalview/AKL-007-002/","AKL-007-002")</f>
        <v>AKL-007-002</v>
      </c>
      <c r="E190" s="4"/>
      <c r="F190" s="3" t="str">
        <f>HYPERLINK("https://sitebase.nzcomms.co.nz/spm/spmcandidateview/AKL-007-002-A/","AKL-007-002-A")</f>
        <v>AKL-007-002-A</v>
      </c>
      <c r="G190" s="4" t="s">
        <v>748</v>
      </c>
      <c r="H190" s="4" t="s">
        <v>745</v>
      </c>
      <c r="I190" s="4"/>
      <c r="J190" s="4" t="s">
        <v>139</v>
      </c>
      <c r="K190" s="4" t="s">
        <v>141</v>
      </c>
      <c r="L190" s="4" t="s">
        <v>150</v>
      </c>
      <c r="M190" s="4" t="s">
        <v>354</v>
      </c>
      <c r="N190" s="4" t="s">
        <v>156</v>
      </c>
      <c r="O190" s="4" t="s">
        <v>144</v>
      </c>
      <c r="P190" s="4"/>
      <c r="Q190" s="4"/>
      <c r="R190" s="4">
        <v>20</v>
      </c>
      <c r="S190" s="4">
        <v>20</v>
      </c>
      <c r="T190" s="4"/>
      <c r="U190" s="4">
        <v>-36.915976090000001</v>
      </c>
      <c r="V190" s="4">
        <v>174.82432506000001</v>
      </c>
      <c r="W190" s="4"/>
      <c r="X190" s="4"/>
      <c r="Y190" s="4"/>
      <c r="Z190" s="4"/>
      <c r="AA190" s="4" t="s">
        <v>382</v>
      </c>
      <c r="AB190" s="4" t="s">
        <v>749</v>
      </c>
      <c r="AC190" s="4"/>
      <c r="AD190" s="4"/>
      <c r="AE190" s="4"/>
      <c r="AF190" s="4"/>
      <c r="AG190" s="4"/>
      <c r="AH190" s="4"/>
      <c r="AI190" s="4"/>
      <c r="AJ190" s="4"/>
      <c r="AK190" s="4"/>
      <c r="AL190" s="4"/>
      <c r="AM190" s="4"/>
      <c r="AN190" s="5">
        <v>39500</v>
      </c>
      <c r="AO190" s="4">
        <v>1</v>
      </c>
      <c r="AP190" s="4"/>
      <c r="AQ190" s="5">
        <v>39500</v>
      </c>
      <c r="AR190" s="4"/>
      <c r="AS190" s="4"/>
      <c r="AT190" s="5">
        <v>39436</v>
      </c>
      <c r="AU190" s="5">
        <v>39504</v>
      </c>
      <c r="AV190" s="4">
        <v>1</v>
      </c>
      <c r="AW190" s="5">
        <v>39436</v>
      </c>
      <c r="AX190" s="5">
        <v>39504</v>
      </c>
      <c r="AY190" s="4"/>
      <c r="AZ190" s="4"/>
      <c r="BA190" s="4"/>
      <c r="BB190" s="5">
        <v>39568</v>
      </c>
      <c r="BC190" s="4"/>
      <c r="BD190" s="4"/>
      <c r="BE190" s="5">
        <v>39568</v>
      </c>
      <c r="BF190" s="5">
        <v>39568</v>
      </c>
      <c r="BG190" s="4"/>
      <c r="BH190" s="5">
        <v>39505</v>
      </c>
      <c r="BI190" s="4"/>
      <c r="BJ190" s="5">
        <v>39587</v>
      </c>
      <c r="BK190" s="4">
        <v>1</v>
      </c>
      <c r="BL190" s="4">
        <v>1</v>
      </c>
      <c r="BM190" s="5">
        <v>39587</v>
      </c>
      <c r="BN190" s="5">
        <v>39587</v>
      </c>
      <c r="BO190" s="4"/>
      <c r="BP190" s="4"/>
      <c r="BQ190" s="4"/>
      <c r="BR190" s="4"/>
      <c r="BS190" s="4"/>
      <c r="BT190" s="4"/>
      <c r="BU190" s="5">
        <v>39608</v>
      </c>
      <c r="BV190" s="5">
        <v>39626</v>
      </c>
      <c r="BW190" s="5">
        <v>39650</v>
      </c>
      <c r="BX190" s="4"/>
      <c r="BY190" s="5">
        <v>39635</v>
      </c>
      <c r="BZ190" s="5">
        <v>39651</v>
      </c>
      <c r="CA190" s="4"/>
      <c r="CB190" s="4"/>
      <c r="CC190" s="4"/>
      <c r="CD190" s="4"/>
      <c r="CE190" s="4"/>
      <c r="CF190" s="4"/>
      <c r="CG190" s="4"/>
      <c r="CH190" s="4"/>
      <c r="CI190" s="5">
        <v>39905</v>
      </c>
      <c r="CJ190" s="5">
        <v>39905</v>
      </c>
      <c r="CK190" s="5">
        <v>39905</v>
      </c>
      <c r="CL190" s="4"/>
      <c r="CM190" s="4"/>
      <c r="CN190" s="4"/>
      <c r="CO190" s="4"/>
      <c r="CP190" s="4" t="s">
        <v>157</v>
      </c>
      <c r="CQ190" s="4"/>
      <c r="CR190" s="5">
        <v>39905</v>
      </c>
      <c r="CS190" s="4"/>
      <c r="CT190" s="4"/>
      <c r="CU190" s="4"/>
      <c r="CV190" s="4"/>
      <c r="CW190" s="4"/>
      <c r="CX190" s="4"/>
      <c r="CY190" s="4"/>
      <c r="CZ190" s="4"/>
      <c r="DA190" s="4"/>
      <c r="DB190" s="4"/>
      <c r="DC190" s="4"/>
      <c r="DD190" s="4"/>
      <c r="DE190" s="4"/>
      <c r="DF190" s="4"/>
      <c r="DG190" s="4"/>
      <c r="DH190" s="4"/>
      <c r="DI190" s="4"/>
      <c r="DJ190" s="4" t="b">
        <v>0</v>
      </c>
      <c r="DK190" s="4"/>
      <c r="DL190" s="4">
        <v>2672928</v>
      </c>
      <c r="DM190" s="4">
        <v>6474581</v>
      </c>
      <c r="DN190" s="4" t="s">
        <v>750</v>
      </c>
      <c r="DO190" s="4"/>
      <c r="DP190" s="4"/>
      <c r="DQ190" s="4" t="s">
        <v>148</v>
      </c>
      <c r="DR190" s="4"/>
      <c r="DS190" s="4"/>
      <c r="DT190" s="5">
        <v>41863</v>
      </c>
      <c r="DU190" s="4"/>
      <c r="DV190" s="4"/>
      <c r="DW190" s="4"/>
      <c r="DX190" s="4"/>
      <c r="DY190" s="4"/>
      <c r="DZ190" s="5">
        <v>39588</v>
      </c>
      <c r="EA190" s="4"/>
      <c r="EB190" s="4"/>
      <c r="EC190" s="4"/>
      <c r="ED190" s="4"/>
      <c r="EE190" s="4"/>
      <c r="EF190" s="4"/>
      <c r="EG190" s="4"/>
      <c r="EH190" s="4"/>
      <c r="EI190" s="5">
        <v>39471</v>
      </c>
    </row>
    <row r="191" spans="1:139" hidden="1" x14ac:dyDescent="0.2">
      <c r="A191">
        <f>VLOOKUP(B191,Sheet1!$A$1:$B$18,2,FALSE)</f>
        <v>0</v>
      </c>
      <c r="B191" t="str">
        <f t="shared" si="2"/>
        <v>AKL</v>
      </c>
      <c r="C191" s="2">
        <v>190</v>
      </c>
      <c r="D191" s="3" t="str">
        <f>HYPERLINK("https://sitebase.nzcomms.co.nz/spm/spmnominalview/AKL-007-003/","AKL-007-003")</f>
        <v>AKL-007-003</v>
      </c>
      <c r="E191" s="4"/>
      <c r="F191" s="3" t="str">
        <f>HYPERLINK("https://sitebase.nzcomms.co.nz/spm/spmcandidateview/AKL-007-003-A/","AKL-007-003-A")</f>
        <v>AKL-007-003-A</v>
      </c>
      <c r="G191" s="4" t="s">
        <v>751</v>
      </c>
      <c r="H191" s="4" t="s">
        <v>745</v>
      </c>
      <c r="I191" s="4"/>
      <c r="J191" s="4" t="s">
        <v>139</v>
      </c>
      <c r="K191" s="4" t="s">
        <v>141</v>
      </c>
      <c r="L191" s="4" t="s">
        <v>181</v>
      </c>
      <c r="M191" s="4" t="s">
        <v>378</v>
      </c>
      <c r="N191" s="4" t="s">
        <v>364</v>
      </c>
      <c r="O191" s="4" t="s">
        <v>144</v>
      </c>
      <c r="P191" s="4"/>
      <c r="Q191" s="4"/>
      <c r="R191" s="4">
        <v>26.7</v>
      </c>
      <c r="S191" s="4">
        <v>26.7</v>
      </c>
      <c r="T191" s="4"/>
      <c r="U191" s="4">
        <v>-36.890511070000002</v>
      </c>
      <c r="V191" s="4">
        <v>174.80259323000001</v>
      </c>
      <c r="W191" s="4"/>
      <c r="X191" s="4"/>
      <c r="Y191" s="4"/>
      <c r="Z191" s="4"/>
      <c r="AA191" s="4" t="s">
        <v>171</v>
      </c>
      <c r="AB191" s="3" t="str">
        <f>HYPERLINK("https://sitebase.nzcomms.co.nz/spm/spmcandidateview/AKL-007-113-A/","AKL-007-113-A")</f>
        <v>AKL-007-113-A</v>
      </c>
      <c r="AC191" s="4"/>
      <c r="AD191" s="4"/>
      <c r="AE191" s="4"/>
      <c r="AF191" s="4"/>
      <c r="AG191" s="4"/>
      <c r="AH191" s="4" t="s">
        <v>395</v>
      </c>
      <c r="AI191" s="4"/>
      <c r="AJ191" s="4"/>
      <c r="AK191" s="4"/>
      <c r="AL191" s="4"/>
      <c r="AM191" s="4"/>
      <c r="AN191" s="5">
        <v>39253</v>
      </c>
      <c r="AO191" s="4">
        <v>2</v>
      </c>
      <c r="AP191" s="5">
        <v>39435</v>
      </c>
      <c r="AQ191" s="5">
        <v>39435</v>
      </c>
      <c r="AR191" s="4"/>
      <c r="AS191" s="4"/>
      <c r="AT191" s="5">
        <v>39489</v>
      </c>
      <c r="AU191" s="5">
        <v>39489</v>
      </c>
      <c r="AV191" s="4">
        <v>1</v>
      </c>
      <c r="AW191" s="5">
        <v>39489</v>
      </c>
      <c r="AX191" s="5">
        <v>39489</v>
      </c>
      <c r="AY191" s="4"/>
      <c r="AZ191" s="4"/>
      <c r="BA191" s="4"/>
      <c r="BB191" s="5">
        <v>39422</v>
      </c>
      <c r="BC191" s="4"/>
      <c r="BD191" s="4"/>
      <c r="BE191" s="5">
        <v>39422</v>
      </c>
      <c r="BF191" s="5">
        <v>39422</v>
      </c>
      <c r="BG191" s="4"/>
      <c r="BH191" s="5">
        <v>39468</v>
      </c>
      <c r="BI191" s="4"/>
      <c r="BJ191" s="5">
        <v>39416</v>
      </c>
      <c r="BK191" s="4">
        <v>1</v>
      </c>
      <c r="BL191" s="4">
        <v>2</v>
      </c>
      <c r="BM191" s="5">
        <v>39416</v>
      </c>
      <c r="BN191" s="5">
        <v>39416</v>
      </c>
      <c r="BO191" s="4"/>
      <c r="BP191" s="4"/>
      <c r="BQ191" s="4"/>
      <c r="BR191" s="4"/>
      <c r="BS191" s="4"/>
      <c r="BT191" s="4"/>
      <c r="BU191" s="5">
        <v>39524</v>
      </c>
      <c r="BV191" s="5">
        <v>39556</v>
      </c>
      <c r="BW191" s="5">
        <v>39556</v>
      </c>
      <c r="BX191" s="4"/>
      <c r="BY191" s="5">
        <v>39567</v>
      </c>
      <c r="BZ191" s="5">
        <v>39567</v>
      </c>
      <c r="CA191" s="4"/>
      <c r="CB191" s="4"/>
      <c r="CC191" s="4"/>
      <c r="CD191" s="4"/>
      <c r="CE191" s="4"/>
      <c r="CF191" s="4"/>
      <c r="CG191" s="4"/>
      <c r="CH191" s="4"/>
      <c r="CI191" s="5">
        <v>39888</v>
      </c>
      <c r="CJ191" s="5">
        <v>39889</v>
      </c>
      <c r="CK191" s="5">
        <v>39888</v>
      </c>
      <c r="CL191" s="4"/>
      <c r="CM191" s="4"/>
      <c r="CN191" s="4"/>
      <c r="CO191" s="4"/>
      <c r="CP191" s="4" t="s">
        <v>752</v>
      </c>
      <c r="CQ191" s="4"/>
      <c r="CR191" s="5">
        <v>39889</v>
      </c>
      <c r="CS191" s="4"/>
      <c r="CT191" s="4"/>
      <c r="CU191" s="4"/>
      <c r="CV191" s="4"/>
      <c r="CW191" s="4"/>
      <c r="CX191" s="4"/>
      <c r="CY191" s="4"/>
      <c r="CZ191" s="4"/>
      <c r="DA191" s="4"/>
      <c r="DB191" s="4"/>
      <c r="DC191" s="4"/>
      <c r="DD191" s="4"/>
      <c r="DE191" s="4"/>
      <c r="DF191" s="4"/>
      <c r="DG191" s="4"/>
      <c r="DH191" s="4"/>
      <c r="DI191" s="4"/>
      <c r="DJ191" s="4" t="b">
        <v>0</v>
      </c>
      <c r="DK191" s="4"/>
      <c r="DL191" s="4">
        <v>2671051</v>
      </c>
      <c r="DM191" s="4">
        <v>6477447</v>
      </c>
      <c r="DN191" s="4" t="s">
        <v>753</v>
      </c>
      <c r="DO191" s="4"/>
      <c r="DP191" s="4"/>
      <c r="DQ191" s="4" t="s">
        <v>148</v>
      </c>
      <c r="DR191" s="4"/>
      <c r="DS191" s="4"/>
      <c r="DT191" s="5">
        <v>41806</v>
      </c>
      <c r="DU191" s="4"/>
      <c r="DV191" s="4"/>
      <c r="DW191" s="4"/>
      <c r="DX191" s="4"/>
      <c r="DY191" s="4"/>
      <c r="DZ191" s="5">
        <v>39493</v>
      </c>
      <c r="EA191" s="4"/>
      <c r="EB191" s="4"/>
      <c r="EC191" s="4"/>
      <c r="ED191" s="4"/>
      <c r="EE191" s="4"/>
      <c r="EF191" s="4"/>
      <c r="EG191" s="4"/>
      <c r="EH191" s="4"/>
      <c r="EI191" s="5">
        <v>39223</v>
      </c>
    </row>
    <row r="192" spans="1:139" hidden="1" x14ac:dyDescent="0.2">
      <c r="A192">
        <f>VLOOKUP(B192,Sheet1!$A$1:$B$18,2,FALSE)</f>
        <v>0</v>
      </c>
      <c r="B192" t="str">
        <f t="shared" si="2"/>
        <v>AKL</v>
      </c>
      <c r="C192" s="2">
        <v>191</v>
      </c>
      <c r="D192" s="3" t="str">
        <f>HYPERLINK("https://sitebase.nzcomms.co.nz/spm/spmnominalview/AKL-007-004/","AKL-007-004")</f>
        <v>AKL-007-004</v>
      </c>
      <c r="E192" s="4"/>
      <c r="F192" s="3" t="str">
        <f>HYPERLINK("https://sitebase.nzcomms.co.nz/spm/spmcandidateview/AKL-007-004-A/","AKL-007-004-A")</f>
        <v>AKL-007-004-A</v>
      </c>
      <c r="G192" s="4" t="s">
        <v>754</v>
      </c>
      <c r="H192" s="4" t="s">
        <v>745</v>
      </c>
      <c r="I192" s="4"/>
      <c r="J192" s="4" t="s">
        <v>139</v>
      </c>
      <c r="K192" s="4" t="s">
        <v>141</v>
      </c>
      <c r="L192" s="4" t="s">
        <v>181</v>
      </c>
      <c r="M192" s="4" t="s">
        <v>378</v>
      </c>
      <c r="N192" s="4" t="s">
        <v>364</v>
      </c>
      <c r="O192" s="4" t="s">
        <v>144</v>
      </c>
      <c r="P192" s="4"/>
      <c r="Q192" s="4"/>
      <c r="R192" s="4">
        <v>18.600000000000001</v>
      </c>
      <c r="S192" s="4">
        <v>18.600000000000001</v>
      </c>
      <c r="T192" s="4"/>
      <c r="U192" s="4">
        <v>-36.877028160000002</v>
      </c>
      <c r="V192" s="4">
        <v>174.77878337000001</v>
      </c>
      <c r="W192" s="4"/>
      <c r="X192" s="4"/>
      <c r="Y192" s="4"/>
      <c r="Z192" s="4"/>
      <c r="AA192" s="4" t="s">
        <v>171</v>
      </c>
      <c r="AB192" s="3" t="str">
        <f>HYPERLINK("https://sitebase.nzcomms.co.nz/spm/spmcandidateview/AKL-007-094-B/","AKL-007-094-B")</f>
        <v>AKL-007-094-B</v>
      </c>
      <c r="AC192" s="4"/>
      <c r="AD192" s="4"/>
      <c r="AE192" s="4"/>
      <c r="AF192" s="4"/>
      <c r="AG192" s="4"/>
      <c r="AH192" s="4" t="s">
        <v>395</v>
      </c>
      <c r="AI192" s="4"/>
      <c r="AJ192" s="4"/>
      <c r="AK192" s="4"/>
      <c r="AL192" s="4"/>
      <c r="AM192" s="4"/>
      <c r="AN192" s="5">
        <v>39324</v>
      </c>
      <c r="AO192" s="4">
        <v>8</v>
      </c>
      <c r="AP192" s="5">
        <v>39821</v>
      </c>
      <c r="AQ192" s="5">
        <v>39821</v>
      </c>
      <c r="AR192" s="4"/>
      <c r="AS192" s="4"/>
      <c r="AT192" s="5">
        <v>39322</v>
      </c>
      <c r="AU192" s="5">
        <v>39322</v>
      </c>
      <c r="AV192" s="4">
        <v>1</v>
      </c>
      <c r="AW192" s="5">
        <v>39322</v>
      </c>
      <c r="AX192" s="5">
        <v>39322</v>
      </c>
      <c r="AY192" s="4"/>
      <c r="AZ192" s="5">
        <v>39367</v>
      </c>
      <c r="BA192" s="4"/>
      <c r="BB192" s="4"/>
      <c r="BC192" s="4"/>
      <c r="BD192" s="4"/>
      <c r="BE192" s="4"/>
      <c r="BF192" s="5">
        <v>39783</v>
      </c>
      <c r="BG192" s="4"/>
      <c r="BH192" s="5">
        <v>39468</v>
      </c>
      <c r="BI192" s="4"/>
      <c r="BJ192" s="5">
        <v>39367</v>
      </c>
      <c r="BK192" s="4">
        <v>3</v>
      </c>
      <c r="BL192" s="4">
        <v>8</v>
      </c>
      <c r="BM192" s="5">
        <v>39821</v>
      </c>
      <c r="BN192" s="5">
        <v>39821</v>
      </c>
      <c r="BO192" s="4"/>
      <c r="BP192" s="4"/>
      <c r="BQ192" s="4"/>
      <c r="BR192" s="4"/>
      <c r="BS192" s="4"/>
      <c r="BT192" s="4"/>
      <c r="BU192" s="5">
        <v>39818</v>
      </c>
      <c r="BV192" s="5">
        <v>39843</v>
      </c>
      <c r="BW192" s="5">
        <v>39843</v>
      </c>
      <c r="BX192" s="4"/>
      <c r="BY192" s="5">
        <v>39860</v>
      </c>
      <c r="BZ192" s="5">
        <v>39855</v>
      </c>
      <c r="CA192" s="4"/>
      <c r="CB192" s="4"/>
      <c r="CC192" s="4"/>
      <c r="CD192" s="4"/>
      <c r="CE192" s="4"/>
      <c r="CF192" s="4"/>
      <c r="CG192" s="4"/>
      <c r="CH192" s="4"/>
      <c r="CI192" s="5">
        <v>39927</v>
      </c>
      <c r="CJ192" s="5">
        <v>39927</v>
      </c>
      <c r="CK192" s="5">
        <v>39927</v>
      </c>
      <c r="CL192" s="4"/>
      <c r="CM192" s="4"/>
      <c r="CN192" s="4"/>
      <c r="CO192" s="4"/>
      <c r="CP192" s="4" t="s">
        <v>755</v>
      </c>
      <c r="CQ192" s="4"/>
      <c r="CR192" s="5">
        <v>39927</v>
      </c>
      <c r="CS192" s="4"/>
      <c r="CT192" s="4"/>
      <c r="CU192" s="4"/>
      <c r="CV192" s="4"/>
      <c r="CW192" s="4"/>
      <c r="CX192" s="4"/>
      <c r="CY192" s="4"/>
      <c r="CZ192" s="4"/>
      <c r="DA192" s="4"/>
      <c r="DB192" s="4"/>
      <c r="DC192" s="4"/>
      <c r="DD192" s="4"/>
      <c r="DE192" s="4"/>
      <c r="DF192" s="4"/>
      <c r="DG192" s="4"/>
      <c r="DH192" s="4"/>
      <c r="DI192" s="4"/>
      <c r="DJ192" s="4" t="b">
        <v>0</v>
      </c>
      <c r="DK192" s="4"/>
      <c r="DL192" s="4">
        <v>2668960</v>
      </c>
      <c r="DM192" s="4">
        <v>6478987</v>
      </c>
      <c r="DN192" s="4" t="s">
        <v>756</v>
      </c>
      <c r="DO192" s="4"/>
      <c r="DP192" s="4"/>
      <c r="DQ192" s="4" t="s">
        <v>148</v>
      </c>
      <c r="DR192" s="4"/>
      <c r="DS192" s="4"/>
      <c r="DT192" s="5">
        <v>41806</v>
      </c>
      <c r="DU192" s="4"/>
      <c r="DV192" s="4"/>
      <c r="DW192" s="4"/>
      <c r="DX192" s="4"/>
      <c r="DY192" s="4"/>
      <c r="DZ192" s="5">
        <v>39818</v>
      </c>
      <c r="EA192" s="4"/>
      <c r="EB192" s="4"/>
      <c r="EC192" s="4"/>
      <c r="ED192" s="4"/>
      <c r="EE192" s="4"/>
      <c r="EF192" s="4"/>
      <c r="EG192" s="4"/>
      <c r="EH192" s="4"/>
      <c r="EI192" s="5">
        <v>39307</v>
      </c>
    </row>
    <row r="193" spans="1:139" hidden="1" x14ac:dyDescent="0.2">
      <c r="A193">
        <f>VLOOKUP(B193,Sheet1!$A$1:$B$18,2,FALSE)</f>
        <v>0</v>
      </c>
      <c r="B193" t="str">
        <f t="shared" si="2"/>
        <v>AKL</v>
      </c>
      <c r="C193" s="2">
        <v>192</v>
      </c>
      <c r="D193" s="3" t="str">
        <f>HYPERLINK("https://sitebase.nzcomms.co.nz/spm/spmnominalview/AKL-007-005/","AKL-007-005")</f>
        <v>AKL-007-005</v>
      </c>
      <c r="E193" s="4"/>
      <c r="F193" s="3" t="str">
        <f>HYPERLINK("https://sitebase.nzcomms.co.nz/spm/spmcandidateview/AKL-007-005-A/","AKL-007-005-A")</f>
        <v>AKL-007-005-A</v>
      </c>
      <c r="G193" s="4" t="s">
        <v>757</v>
      </c>
      <c r="H193" s="4" t="s">
        <v>745</v>
      </c>
      <c r="I193" s="4"/>
      <c r="J193" s="4" t="s">
        <v>139</v>
      </c>
      <c r="K193" s="4" t="s">
        <v>141</v>
      </c>
      <c r="L193" s="4" t="s">
        <v>181</v>
      </c>
      <c r="M193" s="4" t="s">
        <v>378</v>
      </c>
      <c r="N193" s="4" t="s">
        <v>364</v>
      </c>
      <c r="O193" s="4" t="s">
        <v>144</v>
      </c>
      <c r="P193" s="4"/>
      <c r="Q193" s="4"/>
      <c r="R193" s="4">
        <v>14</v>
      </c>
      <c r="S193" s="4">
        <v>14</v>
      </c>
      <c r="T193" s="4"/>
      <c r="U193" s="4">
        <v>-36.914747460000001</v>
      </c>
      <c r="V193" s="4">
        <v>174.75308351000001</v>
      </c>
      <c r="W193" s="4"/>
      <c r="X193" s="4"/>
      <c r="Y193" s="4"/>
      <c r="Z193" s="4"/>
      <c r="AA193" s="4" t="s">
        <v>152</v>
      </c>
      <c r="AB193" s="3" t="str">
        <f>HYPERLINK("https://sitebase.nzcomms.co.nz/spm/spmcandidateview/AKL-007-106-A/","AKL-007-106-A")</f>
        <v>AKL-007-106-A</v>
      </c>
      <c r="AC193" s="4"/>
      <c r="AD193" s="4"/>
      <c r="AE193" s="4"/>
      <c r="AF193" s="4"/>
      <c r="AG193" s="4"/>
      <c r="AH193" s="4"/>
      <c r="AI193" s="4"/>
      <c r="AJ193" s="4"/>
      <c r="AK193" s="4"/>
      <c r="AL193" s="4"/>
      <c r="AM193" s="4"/>
      <c r="AN193" s="5">
        <v>39307</v>
      </c>
      <c r="AO193" s="4">
        <v>2</v>
      </c>
      <c r="AP193" s="4"/>
      <c r="AQ193" s="5">
        <v>39426</v>
      </c>
      <c r="AR193" s="4"/>
      <c r="AS193" s="4"/>
      <c r="AT193" s="5">
        <v>39415</v>
      </c>
      <c r="AU193" s="5">
        <v>39415</v>
      </c>
      <c r="AV193" s="4">
        <v>2</v>
      </c>
      <c r="AW193" s="5">
        <v>39415</v>
      </c>
      <c r="AX193" s="5">
        <v>39415</v>
      </c>
      <c r="AY193" s="4"/>
      <c r="AZ193" s="4"/>
      <c r="BA193" s="4"/>
      <c r="BB193" s="5">
        <v>39370</v>
      </c>
      <c r="BC193" s="4"/>
      <c r="BD193" s="4"/>
      <c r="BE193" s="5">
        <v>39370</v>
      </c>
      <c r="BF193" s="5">
        <v>39370</v>
      </c>
      <c r="BG193" s="4"/>
      <c r="BH193" s="5">
        <v>39359</v>
      </c>
      <c r="BI193" s="4"/>
      <c r="BJ193" s="5">
        <v>39380</v>
      </c>
      <c r="BK193" s="4">
        <v>2</v>
      </c>
      <c r="BL193" s="4">
        <v>2</v>
      </c>
      <c r="BM193" s="5">
        <v>39428</v>
      </c>
      <c r="BN193" s="5">
        <v>39428</v>
      </c>
      <c r="BO193" s="4"/>
      <c r="BP193" s="4"/>
      <c r="BQ193" s="4"/>
      <c r="BR193" s="4"/>
      <c r="BS193" s="4"/>
      <c r="BT193" s="4"/>
      <c r="BU193" s="5">
        <v>39485</v>
      </c>
      <c r="BV193" s="5">
        <v>39496</v>
      </c>
      <c r="BW193" s="5">
        <v>39496</v>
      </c>
      <c r="BX193" s="4"/>
      <c r="BY193" s="5">
        <v>39522</v>
      </c>
      <c r="BZ193" s="5">
        <v>39522</v>
      </c>
      <c r="CA193" s="4"/>
      <c r="CB193" s="4"/>
      <c r="CC193" s="4"/>
      <c r="CD193" s="4"/>
      <c r="CE193" s="4"/>
      <c r="CF193" s="4"/>
      <c r="CG193" s="4"/>
      <c r="CH193" s="4"/>
      <c r="CI193" s="5">
        <v>39559</v>
      </c>
      <c r="CJ193" s="4"/>
      <c r="CK193" s="5">
        <v>39559</v>
      </c>
      <c r="CL193" s="4"/>
      <c r="CM193" s="4"/>
      <c r="CN193" s="4"/>
      <c r="CO193" s="4"/>
      <c r="CP193" s="4" t="s">
        <v>157</v>
      </c>
      <c r="CQ193" s="4"/>
      <c r="CR193" s="5">
        <v>39559</v>
      </c>
      <c r="CS193" s="4"/>
      <c r="CT193" s="4"/>
      <c r="CU193" s="4"/>
      <c r="CV193" s="4"/>
      <c r="CW193" s="4"/>
      <c r="CX193" s="4"/>
      <c r="CY193" s="4"/>
      <c r="CZ193" s="4"/>
      <c r="DA193" s="4"/>
      <c r="DB193" s="4"/>
      <c r="DC193" s="4"/>
      <c r="DD193" s="4"/>
      <c r="DE193" s="4"/>
      <c r="DF193" s="4"/>
      <c r="DG193" s="4"/>
      <c r="DH193" s="4"/>
      <c r="DI193" s="4"/>
      <c r="DJ193" s="4" t="b">
        <v>0</v>
      </c>
      <c r="DK193" s="4"/>
      <c r="DL193" s="4">
        <v>2666584</v>
      </c>
      <c r="DM193" s="4">
        <v>6474849</v>
      </c>
      <c r="DN193" s="4" t="s">
        <v>758</v>
      </c>
      <c r="DO193" s="4"/>
      <c r="DP193" s="4"/>
      <c r="DQ193" s="4" t="s">
        <v>148</v>
      </c>
      <c r="DR193" s="4"/>
      <c r="DS193" s="4"/>
      <c r="DT193" s="5">
        <v>41863</v>
      </c>
      <c r="DU193" s="4"/>
      <c r="DV193" s="4"/>
      <c r="DW193" s="4"/>
      <c r="DX193" s="4"/>
      <c r="DY193" s="4"/>
      <c r="DZ193" s="5">
        <v>39416</v>
      </c>
      <c r="EA193" s="4"/>
      <c r="EB193" s="4"/>
      <c r="EC193" s="4"/>
      <c r="ED193" s="4"/>
      <c r="EE193" s="4"/>
      <c r="EF193" s="4"/>
      <c r="EG193" s="4"/>
      <c r="EH193" s="4"/>
      <c r="EI193" s="5">
        <v>39220</v>
      </c>
    </row>
    <row r="194" spans="1:139" hidden="1" x14ac:dyDescent="0.2">
      <c r="A194">
        <f>VLOOKUP(B194,Sheet1!$A$1:$B$18,2,FALSE)</f>
        <v>0</v>
      </c>
      <c r="B194" t="str">
        <f t="shared" si="2"/>
        <v>AKL</v>
      </c>
      <c r="C194" s="2">
        <v>193</v>
      </c>
      <c r="D194" s="3" t="str">
        <f>HYPERLINK("https://sitebase.nzcomms.co.nz/spm/spmnominalview/AKL-007-006/","AKL-007-006")</f>
        <v>AKL-007-006</v>
      </c>
      <c r="E194" s="4"/>
      <c r="F194" s="3" t="str">
        <f>HYPERLINK("https://sitebase.nzcomms.co.nz/spm/spmcandidateview/AKL-007-006-E/","AKL-007-006-E")</f>
        <v>AKL-007-006-E</v>
      </c>
      <c r="G194" s="4" t="s">
        <v>759</v>
      </c>
      <c r="H194" s="4" t="s">
        <v>745</v>
      </c>
      <c r="I194" s="4"/>
      <c r="J194" s="4" t="s">
        <v>139</v>
      </c>
      <c r="K194" s="4" t="s">
        <v>141</v>
      </c>
      <c r="L194" s="4" t="s">
        <v>150</v>
      </c>
      <c r="M194" s="4" t="s">
        <v>354</v>
      </c>
      <c r="N194" s="4" t="s">
        <v>291</v>
      </c>
      <c r="O194" s="4" t="s">
        <v>144</v>
      </c>
      <c r="P194" s="4"/>
      <c r="Q194" s="4"/>
      <c r="R194" s="4"/>
      <c r="S194" s="4"/>
      <c r="T194" s="4"/>
      <c r="U194" s="4">
        <v>-36.881732270000001</v>
      </c>
      <c r="V194" s="4">
        <v>174.68072169000001</v>
      </c>
      <c r="W194" s="4"/>
      <c r="X194" s="4"/>
      <c r="Y194" s="4"/>
      <c r="Z194" s="4"/>
      <c r="AA194" s="4" t="s">
        <v>171</v>
      </c>
      <c r="AB194" s="3" t="str">
        <f>HYPERLINK("https://sitebase.nzcomms.co.nz/spm/spmcandidateview/AKL-007-008-A/","AKL-007-008-A")</f>
        <v>AKL-007-008-A</v>
      </c>
      <c r="AC194" s="4"/>
      <c r="AD194" s="4"/>
      <c r="AE194" s="4"/>
      <c r="AF194" s="4"/>
      <c r="AG194" s="4"/>
      <c r="AH194" s="4"/>
      <c r="AI194" s="4"/>
      <c r="AJ194" s="4"/>
      <c r="AK194" s="4"/>
      <c r="AL194" s="4"/>
      <c r="AM194" s="4"/>
      <c r="AN194" s="5">
        <v>39637</v>
      </c>
      <c r="AO194" s="4">
        <v>2</v>
      </c>
      <c r="AP194" s="4"/>
      <c r="AQ194" s="5">
        <v>42250</v>
      </c>
      <c r="AR194" s="4"/>
      <c r="AS194" s="4"/>
      <c r="AT194" s="5">
        <v>39660</v>
      </c>
      <c r="AU194" s="5">
        <v>39622</v>
      </c>
      <c r="AV194" s="4">
        <v>1</v>
      </c>
      <c r="AW194" s="5">
        <v>39660</v>
      </c>
      <c r="AX194" s="5">
        <v>39622</v>
      </c>
      <c r="AY194" s="4"/>
      <c r="AZ194" s="4"/>
      <c r="BA194" s="4"/>
      <c r="BB194" s="5">
        <v>39752</v>
      </c>
      <c r="BC194" s="4"/>
      <c r="BD194" s="4"/>
      <c r="BE194" s="5">
        <v>39752</v>
      </c>
      <c r="BF194" s="5">
        <v>39741</v>
      </c>
      <c r="BG194" s="4"/>
      <c r="BH194" s="5">
        <v>39717</v>
      </c>
      <c r="BI194" s="4"/>
      <c r="BJ194" s="5">
        <v>39757</v>
      </c>
      <c r="BK194" s="4">
        <v>2</v>
      </c>
      <c r="BL194" s="4">
        <v>1</v>
      </c>
      <c r="BM194" s="5">
        <v>39764</v>
      </c>
      <c r="BN194" s="5">
        <v>39764</v>
      </c>
      <c r="BO194" s="5">
        <v>39797</v>
      </c>
      <c r="BP194" s="4"/>
      <c r="BQ194" s="4"/>
      <c r="BR194" s="4"/>
      <c r="BS194" s="4"/>
      <c r="BT194" s="4"/>
      <c r="BU194" s="5">
        <v>39784</v>
      </c>
      <c r="BV194" s="5">
        <v>39801</v>
      </c>
      <c r="BW194" s="5">
        <v>39801</v>
      </c>
      <c r="BX194" s="4"/>
      <c r="BY194" s="5">
        <v>39801</v>
      </c>
      <c r="BZ194" s="5">
        <v>39804</v>
      </c>
      <c r="CA194" s="4"/>
      <c r="CB194" s="4"/>
      <c r="CC194" s="4"/>
      <c r="CD194" s="4"/>
      <c r="CE194" s="4"/>
      <c r="CF194" s="4"/>
      <c r="CG194" s="4"/>
      <c r="CH194" s="4"/>
      <c r="CI194" s="5">
        <v>39882</v>
      </c>
      <c r="CJ194" s="5">
        <v>39882</v>
      </c>
      <c r="CK194" s="5">
        <v>39882</v>
      </c>
      <c r="CL194" s="4"/>
      <c r="CM194" s="4"/>
      <c r="CN194" s="4"/>
      <c r="CO194" s="4"/>
      <c r="CP194" s="4" t="s">
        <v>157</v>
      </c>
      <c r="CQ194" s="4"/>
      <c r="CR194" s="5">
        <v>39882</v>
      </c>
      <c r="CS194" s="4"/>
      <c r="CT194" s="4"/>
      <c r="CU194" s="4"/>
      <c r="CV194" s="4"/>
      <c r="CW194" s="4"/>
      <c r="CX194" s="5">
        <v>39797</v>
      </c>
      <c r="CY194" s="4"/>
      <c r="CZ194" s="4"/>
      <c r="DA194" s="4"/>
      <c r="DB194" s="4"/>
      <c r="DC194" s="4"/>
      <c r="DD194" s="4"/>
      <c r="DE194" s="4"/>
      <c r="DF194" s="4"/>
      <c r="DG194" s="4"/>
      <c r="DH194" s="4"/>
      <c r="DI194" s="4"/>
      <c r="DJ194" s="4" t="b">
        <v>0</v>
      </c>
      <c r="DK194" s="4"/>
      <c r="DL194" s="4">
        <v>2660209</v>
      </c>
      <c r="DM194" s="4">
        <v>6478641</v>
      </c>
      <c r="DN194" s="4" t="s">
        <v>760</v>
      </c>
      <c r="DO194" s="4"/>
      <c r="DP194" s="4"/>
      <c r="DQ194" s="4" t="s">
        <v>148</v>
      </c>
      <c r="DR194" s="4"/>
      <c r="DS194" s="4"/>
      <c r="DT194" s="5">
        <v>41887</v>
      </c>
      <c r="DU194" s="4"/>
      <c r="DV194" s="4"/>
      <c r="DW194" s="4"/>
      <c r="DX194" s="4"/>
      <c r="DY194" s="4"/>
      <c r="DZ194" s="5">
        <v>39776</v>
      </c>
      <c r="EA194" s="4"/>
      <c r="EB194" s="4"/>
      <c r="EC194" s="4"/>
      <c r="ED194" s="4"/>
      <c r="EE194" s="4"/>
      <c r="EF194" s="4"/>
      <c r="EG194" s="4"/>
      <c r="EH194" s="4"/>
      <c r="EI194" s="5">
        <v>39545</v>
      </c>
    </row>
    <row r="195" spans="1:139" hidden="1" x14ac:dyDescent="0.2">
      <c r="A195">
        <f>VLOOKUP(B195,Sheet1!$A$1:$B$18,2,FALSE)</f>
        <v>0</v>
      </c>
      <c r="B195" t="str">
        <f t="shared" ref="B195:B258" si="3">LEFT(D195,3)</f>
        <v>AKL</v>
      </c>
      <c r="C195" s="2">
        <v>194</v>
      </c>
      <c r="D195" s="3" t="str">
        <f>HYPERLINK("https://sitebase.nzcomms.co.nz/spm/spmnominalview/AKL-007-007/","AKL-007-007")</f>
        <v>AKL-007-007</v>
      </c>
      <c r="E195" s="4"/>
      <c r="F195" s="3" t="str">
        <f>HYPERLINK("https://sitebase.nzcomms.co.nz/spm/spmcandidateview/AKL-007-007-D/","AKL-007-007-D")</f>
        <v>AKL-007-007-D</v>
      </c>
      <c r="G195" s="4" t="s">
        <v>761</v>
      </c>
      <c r="H195" s="4" t="s">
        <v>745</v>
      </c>
      <c r="I195" s="4"/>
      <c r="J195" s="4" t="s">
        <v>139</v>
      </c>
      <c r="K195" s="4" t="s">
        <v>141</v>
      </c>
      <c r="L195" s="4" t="s">
        <v>142</v>
      </c>
      <c r="M195" s="4" t="s">
        <v>354</v>
      </c>
      <c r="N195" s="4" t="s">
        <v>142</v>
      </c>
      <c r="O195" s="4" t="s">
        <v>144</v>
      </c>
      <c r="P195" s="4"/>
      <c r="Q195" s="4" t="s">
        <v>170</v>
      </c>
      <c r="R195" s="4">
        <v>16.7</v>
      </c>
      <c r="S195" s="4">
        <v>16.7</v>
      </c>
      <c r="T195" s="4"/>
      <c r="U195" s="4">
        <v>-36.904794340000002</v>
      </c>
      <c r="V195" s="4">
        <v>174.72718645</v>
      </c>
      <c r="W195" s="4"/>
      <c r="X195" s="4"/>
      <c r="Y195" s="4"/>
      <c r="Z195" s="4"/>
      <c r="AA195" s="4" t="s">
        <v>171</v>
      </c>
      <c r="AB195" s="3" t="str">
        <f>HYPERLINK("https://sitebase.nzcomms.co.nz/spm/spmcandidateview/AKL-007-041-B/","AKL-007-041-B")</f>
        <v>AKL-007-041-B</v>
      </c>
      <c r="AC195" s="4"/>
      <c r="AD195" s="4"/>
      <c r="AE195" s="4"/>
      <c r="AF195" s="4"/>
      <c r="AG195" s="4"/>
      <c r="AH195" s="4" t="s">
        <v>395</v>
      </c>
      <c r="AI195" s="4"/>
      <c r="AJ195" s="4"/>
      <c r="AK195" s="4"/>
      <c r="AL195" s="4"/>
      <c r="AM195" s="4"/>
      <c r="AN195" s="5">
        <v>39402</v>
      </c>
      <c r="AO195" s="4">
        <v>5</v>
      </c>
      <c r="AP195" s="5">
        <v>39765</v>
      </c>
      <c r="AQ195" s="5">
        <v>39765</v>
      </c>
      <c r="AR195" s="4"/>
      <c r="AS195" s="4"/>
      <c r="AT195" s="5">
        <v>39871</v>
      </c>
      <c r="AU195" s="5">
        <v>39876</v>
      </c>
      <c r="AV195" s="4">
        <v>2</v>
      </c>
      <c r="AW195" s="5">
        <v>39871</v>
      </c>
      <c r="AX195" s="5">
        <v>39876</v>
      </c>
      <c r="AY195" s="4"/>
      <c r="AZ195" s="4"/>
      <c r="BA195" s="4"/>
      <c r="BB195" s="5">
        <v>39920</v>
      </c>
      <c r="BC195" s="4"/>
      <c r="BD195" s="4"/>
      <c r="BE195" s="5">
        <v>39920</v>
      </c>
      <c r="BF195" s="5">
        <v>39917</v>
      </c>
      <c r="BG195" s="4"/>
      <c r="BH195" s="5">
        <v>39591</v>
      </c>
      <c r="BI195" s="4"/>
      <c r="BJ195" s="5">
        <v>39653</v>
      </c>
      <c r="BK195" s="4">
        <v>3</v>
      </c>
      <c r="BL195" s="4"/>
      <c r="BM195" s="5">
        <v>39842</v>
      </c>
      <c r="BN195" s="5">
        <v>39842</v>
      </c>
      <c r="BO195" s="4"/>
      <c r="BP195" s="4"/>
      <c r="BQ195" s="4"/>
      <c r="BR195" s="4"/>
      <c r="BS195" s="4"/>
      <c r="BT195" s="5">
        <v>39923</v>
      </c>
      <c r="BU195" s="5">
        <v>39923</v>
      </c>
      <c r="BV195" s="5">
        <v>39941</v>
      </c>
      <c r="BW195" s="5">
        <v>39941</v>
      </c>
      <c r="BX195" s="4"/>
      <c r="BY195" s="5">
        <v>39948</v>
      </c>
      <c r="BZ195" s="5">
        <v>39948</v>
      </c>
      <c r="CA195" s="4"/>
      <c r="CB195" s="4"/>
      <c r="CC195" s="4"/>
      <c r="CD195" s="4"/>
      <c r="CE195" s="4"/>
      <c r="CF195" s="4"/>
      <c r="CG195" s="4"/>
      <c r="CH195" s="4"/>
      <c r="CI195" s="5">
        <v>40009</v>
      </c>
      <c r="CJ195" s="5">
        <v>40009</v>
      </c>
      <c r="CK195" s="5">
        <v>40009</v>
      </c>
      <c r="CL195" s="4"/>
      <c r="CM195" s="4"/>
      <c r="CN195" s="4"/>
      <c r="CO195" s="4"/>
      <c r="CP195" s="4" t="s">
        <v>762</v>
      </c>
      <c r="CQ195" s="4"/>
      <c r="CR195" s="5">
        <v>40009</v>
      </c>
      <c r="CS195" s="4"/>
      <c r="CT195" s="4"/>
      <c r="CU195" s="4"/>
      <c r="CV195" s="4"/>
      <c r="CW195" s="4"/>
      <c r="CX195" s="4"/>
      <c r="CY195" s="4"/>
      <c r="CZ195" s="4"/>
      <c r="DA195" s="4"/>
      <c r="DB195" s="4"/>
      <c r="DC195" s="4"/>
      <c r="DD195" s="4"/>
      <c r="DE195" s="4"/>
      <c r="DF195" s="4"/>
      <c r="DG195" s="4"/>
      <c r="DH195" s="4"/>
      <c r="DI195" s="4"/>
      <c r="DJ195" s="4" t="b">
        <v>0</v>
      </c>
      <c r="DK195" s="4"/>
      <c r="DL195" s="4">
        <v>2664299</v>
      </c>
      <c r="DM195" s="4">
        <v>6476000</v>
      </c>
      <c r="DN195" s="4" t="s">
        <v>763</v>
      </c>
      <c r="DO195" s="4"/>
      <c r="DP195" s="4"/>
      <c r="DQ195" s="4" t="s">
        <v>148</v>
      </c>
      <c r="DR195" s="4"/>
      <c r="DS195" s="4"/>
      <c r="DT195" s="5">
        <v>41806</v>
      </c>
      <c r="DU195" s="4"/>
      <c r="DV195" s="4"/>
      <c r="DW195" s="4"/>
      <c r="DX195" s="4"/>
      <c r="DY195" s="5">
        <v>39923</v>
      </c>
      <c r="DZ195" s="5">
        <v>39923</v>
      </c>
      <c r="EA195" s="4"/>
      <c r="EB195" s="4"/>
      <c r="EC195" s="4"/>
      <c r="ED195" s="4"/>
      <c r="EE195" s="4"/>
      <c r="EF195" s="4"/>
      <c r="EG195" s="4"/>
      <c r="EH195" s="4"/>
      <c r="EI195" s="5">
        <v>39395</v>
      </c>
    </row>
    <row r="196" spans="1:139" hidden="1" x14ac:dyDescent="0.2">
      <c r="A196">
        <f>VLOOKUP(B196,Sheet1!$A$1:$B$18,2,FALSE)</f>
        <v>0</v>
      </c>
      <c r="B196" t="str">
        <f t="shared" si="3"/>
        <v>AKL</v>
      </c>
      <c r="C196" s="2">
        <v>195</v>
      </c>
      <c r="D196" s="3" t="str">
        <f>HYPERLINK("https://sitebase.nzcomms.co.nz/spm/spmnominalview/AKL-007-008/","AKL-007-008")</f>
        <v>AKL-007-008</v>
      </c>
      <c r="E196" s="4"/>
      <c r="F196" s="3" t="str">
        <f>HYPERLINK("https://sitebase.nzcomms.co.nz/spm/spmcandidateview/AKL-007-008-A/","AKL-007-008-A")</f>
        <v>AKL-007-008-A</v>
      </c>
      <c r="G196" s="4" t="s">
        <v>764</v>
      </c>
      <c r="H196" s="4" t="s">
        <v>745</v>
      </c>
      <c r="I196" s="4"/>
      <c r="J196" s="4" t="s">
        <v>139</v>
      </c>
      <c r="K196" s="4" t="s">
        <v>141</v>
      </c>
      <c r="L196" s="4" t="s">
        <v>325</v>
      </c>
      <c r="M196" s="4" t="s">
        <v>354</v>
      </c>
      <c r="N196" s="4" t="s">
        <v>364</v>
      </c>
      <c r="O196" s="4" t="s">
        <v>356</v>
      </c>
      <c r="P196" s="4"/>
      <c r="Q196" s="4"/>
      <c r="R196" s="4">
        <v>28.3</v>
      </c>
      <c r="S196" s="4">
        <v>28.3</v>
      </c>
      <c r="T196" s="4"/>
      <c r="U196" s="4">
        <v>-36.87551517</v>
      </c>
      <c r="V196" s="4">
        <v>174.70899774</v>
      </c>
      <c r="W196" s="4"/>
      <c r="X196" s="4"/>
      <c r="Y196" s="4"/>
      <c r="Z196" s="4"/>
      <c r="AA196" s="4"/>
      <c r="AB196" s="4"/>
      <c r="AC196" s="4"/>
      <c r="AD196" s="4"/>
      <c r="AE196" s="4"/>
      <c r="AF196" s="4"/>
      <c r="AG196" s="4"/>
      <c r="AH196" s="4"/>
      <c r="AI196" s="4"/>
      <c r="AJ196" s="4"/>
      <c r="AK196" s="4"/>
      <c r="AL196" s="4"/>
      <c r="AM196" s="5">
        <v>39843</v>
      </c>
      <c r="AN196" s="5">
        <v>39385</v>
      </c>
      <c r="AO196" s="4">
        <v>10</v>
      </c>
      <c r="AP196" s="5">
        <v>39882</v>
      </c>
      <c r="AQ196" s="5">
        <v>40750</v>
      </c>
      <c r="AR196" s="4"/>
      <c r="AS196" s="4"/>
      <c r="AT196" s="5">
        <v>39927</v>
      </c>
      <c r="AU196" s="5">
        <v>39931</v>
      </c>
      <c r="AV196" s="4">
        <v>5</v>
      </c>
      <c r="AW196" s="5">
        <v>39927</v>
      </c>
      <c r="AX196" s="5">
        <v>39931</v>
      </c>
      <c r="AY196" s="4"/>
      <c r="AZ196" s="5">
        <v>39878</v>
      </c>
      <c r="BA196" s="4"/>
      <c r="BB196" s="5">
        <v>39934</v>
      </c>
      <c r="BC196" s="4"/>
      <c r="BD196" s="4"/>
      <c r="BE196" s="5">
        <v>39934</v>
      </c>
      <c r="BF196" s="5">
        <v>39938</v>
      </c>
      <c r="BG196" s="5">
        <v>39885</v>
      </c>
      <c r="BH196" s="5">
        <v>39468</v>
      </c>
      <c r="BI196" s="4"/>
      <c r="BJ196" s="5">
        <v>39412</v>
      </c>
      <c r="BK196" s="4">
        <v>10</v>
      </c>
      <c r="BL196" s="4"/>
      <c r="BM196" s="5">
        <v>39899</v>
      </c>
      <c r="BN196" s="5">
        <v>40834</v>
      </c>
      <c r="BO196" s="4"/>
      <c r="BP196" s="4"/>
      <c r="BQ196" s="4"/>
      <c r="BR196" s="4"/>
      <c r="BS196" s="4"/>
      <c r="BT196" s="5">
        <v>39937</v>
      </c>
      <c r="BU196" s="5">
        <v>39937</v>
      </c>
      <c r="BV196" s="5">
        <v>39969</v>
      </c>
      <c r="BW196" s="5">
        <v>39969</v>
      </c>
      <c r="BX196" s="4"/>
      <c r="BY196" s="5">
        <v>39990</v>
      </c>
      <c r="BZ196" s="5">
        <v>39990</v>
      </c>
      <c r="CA196" s="4"/>
      <c r="CB196" s="4"/>
      <c r="CC196" s="4"/>
      <c r="CD196" s="4"/>
      <c r="CE196" s="4"/>
      <c r="CF196" s="4"/>
      <c r="CG196" s="4"/>
      <c r="CH196" s="4"/>
      <c r="CI196" s="5">
        <v>39991</v>
      </c>
      <c r="CJ196" s="5">
        <v>39994</v>
      </c>
      <c r="CK196" s="5">
        <v>39991</v>
      </c>
      <c r="CL196" s="4"/>
      <c r="CM196" s="4"/>
      <c r="CN196" s="4"/>
      <c r="CO196" s="4"/>
      <c r="CP196" s="4" t="s">
        <v>765</v>
      </c>
      <c r="CQ196" s="4"/>
      <c r="CR196" s="5">
        <v>39994</v>
      </c>
      <c r="CS196" s="4"/>
      <c r="CT196" s="4"/>
      <c r="CU196" s="4"/>
      <c r="CV196" s="4"/>
      <c r="CW196" s="4"/>
      <c r="CX196" s="4"/>
      <c r="CY196" s="4"/>
      <c r="CZ196" s="4"/>
      <c r="DA196" s="4"/>
      <c r="DB196" s="4"/>
      <c r="DC196" s="4"/>
      <c r="DD196" s="4"/>
      <c r="DE196" s="4"/>
      <c r="DF196" s="4"/>
      <c r="DG196" s="4"/>
      <c r="DH196" s="4"/>
      <c r="DI196" s="4"/>
      <c r="DJ196" s="4" t="b">
        <v>0</v>
      </c>
      <c r="DK196" s="4"/>
      <c r="DL196" s="4">
        <v>2662743</v>
      </c>
      <c r="DM196" s="4">
        <v>6479281</v>
      </c>
      <c r="DN196" s="4" t="s">
        <v>766</v>
      </c>
      <c r="DO196" s="4"/>
      <c r="DP196" s="4"/>
      <c r="DQ196" s="4" t="s">
        <v>148</v>
      </c>
      <c r="DR196" s="4"/>
      <c r="DS196" s="4"/>
      <c r="DT196" s="5">
        <v>41806</v>
      </c>
      <c r="DU196" s="4"/>
      <c r="DV196" s="4"/>
      <c r="DW196" s="4"/>
      <c r="DX196" s="4"/>
      <c r="DY196" s="5">
        <v>39937</v>
      </c>
      <c r="DZ196" s="5">
        <v>39937</v>
      </c>
      <c r="EA196" s="4"/>
      <c r="EB196" s="4"/>
      <c r="EC196" s="4"/>
      <c r="ED196" s="4"/>
      <c r="EE196" s="4"/>
      <c r="EF196" s="4"/>
      <c r="EG196" s="4"/>
      <c r="EH196" s="4"/>
      <c r="EI196" s="5">
        <v>39366</v>
      </c>
    </row>
    <row r="197" spans="1:139" hidden="1" x14ac:dyDescent="0.2">
      <c r="A197">
        <f>VLOOKUP(B197,Sheet1!$A$1:$B$18,2,FALSE)</f>
        <v>0</v>
      </c>
      <c r="B197" t="str">
        <f t="shared" si="3"/>
        <v>AKL</v>
      </c>
      <c r="C197" s="2">
        <v>196</v>
      </c>
      <c r="D197" s="3" t="str">
        <f>HYPERLINK("https://sitebase.nzcomms.co.nz/spm/spmnominalview/AKL-007-009/","AKL-007-009")</f>
        <v>AKL-007-009</v>
      </c>
      <c r="E197" s="4"/>
      <c r="F197" s="3" t="str">
        <f>HYPERLINK("https://sitebase.nzcomms.co.nz/spm/spmcandidateview/AKL-007-009-L/","AKL-007-009-L")</f>
        <v>AKL-007-009-L</v>
      </c>
      <c r="G197" s="4" t="s">
        <v>767</v>
      </c>
      <c r="H197" s="4" t="s">
        <v>745</v>
      </c>
      <c r="I197" s="4"/>
      <c r="J197" s="4" t="s">
        <v>139</v>
      </c>
      <c r="K197" s="4" t="s">
        <v>141</v>
      </c>
      <c r="L197" s="4" t="s">
        <v>189</v>
      </c>
      <c r="M197" s="4" t="s">
        <v>463</v>
      </c>
      <c r="N197" s="4" t="s">
        <v>191</v>
      </c>
      <c r="O197" s="4" t="s">
        <v>356</v>
      </c>
      <c r="P197" s="4"/>
      <c r="Q197" s="4" t="s">
        <v>192</v>
      </c>
      <c r="R197" s="4"/>
      <c r="S197" s="4"/>
      <c r="T197" s="4"/>
      <c r="U197" s="4">
        <v>-36.886984839999997</v>
      </c>
      <c r="V197" s="4">
        <v>174.74717315999999</v>
      </c>
      <c r="W197" s="4"/>
      <c r="X197" s="4"/>
      <c r="Y197" s="4"/>
      <c r="Z197" s="4"/>
      <c r="AA197" s="4"/>
      <c r="AB197" s="4"/>
      <c r="AC197" s="4"/>
      <c r="AD197" s="4"/>
      <c r="AE197" s="4"/>
      <c r="AF197" s="4"/>
      <c r="AG197" s="4"/>
      <c r="AH197" s="4"/>
      <c r="AI197" s="4"/>
      <c r="AJ197" s="4"/>
      <c r="AK197" s="4"/>
      <c r="AL197" s="4"/>
      <c r="AM197" s="4"/>
      <c r="AN197" s="5">
        <v>40158</v>
      </c>
      <c r="AO197" s="4">
        <v>4</v>
      </c>
      <c r="AP197" s="5">
        <v>40214</v>
      </c>
      <c r="AQ197" s="5">
        <v>40500</v>
      </c>
      <c r="AR197" s="4"/>
      <c r="AS197" s="4"/>
      <c r="AT197" s="5">
        <v>40235</v>
      </c>
      <c r="AU197" s="5">
        <v>40234</v>
      </c>
      <c r="AV197" s="4"/>
      <c r="AW197" s="5">
        <v>40235</v>
      </c>
      <c r="AX197" s="5">
        <v>40234</v>
      </c>
      <c r="AY197" s="4"/>
      <c r="AZ197" s="5">
        <v>40165</v>
      </c>
      <c r="BA197" s="4"/>
      <c r="BB197" s="5">
        <v>40242</v>
      </c>
      <c r="BC197" s="4"/>
      <c r="BD197" s="4"/>
      <c r="BE197" s="5">
        <v>40242</v>
      </c>
      <c r="BF197" s="5">
        <v>40242</v>
      </c>
      <c r="BG197" s="5">
        <v>40182</v>
      </c>
      <c r="BH197" s="5">
        <v>40191</v>
      </c>
      <c r="BI197" s="4"/>
      <c r="BJ197" s="5">
        <v>40203</v>
      </c>
      <c r="BK197" s="4">
        <v>2</v>
      </c>
      <c r="BL197" s="4">
        <v>1</v>
      </c>
      <c r="BM197" s="5">
        <v>40218</v>
      </c>
      <c r="BN197" s="5">
        <v>40218</v>
      </c>
      <c r="BO197" s="4"/>
      <c r="BP197" s="4"/>
      <c r="BQ197" s="4"/>
      <c r="BR197" s="4"/>
      <c r="BS197" s="4"/>
      <c r="BT197" s="5">
        <v>40266</v>
      </c>
      <c r="BU197" s="5">
        <v>40266</v>
      </c>
      <c r="BV197" s="5">
        <v>40287</v>
      </c>
      <c r="BW197" s="5">
        <v>40291</v>
      </c>
      <c r="BX197" s="4"/>
      <c r="BY197" s="5">
        <v>40279</v>
      </c>
      <c r="BZ197" s="5">
        <v>40281</v>
      </c>
      <c r="CA197" s="4"/>
      <c r="CB197" s="4"/>
      <c r="CC197" s="4"/>
      <c r="CD197" s="4"/>
      <c r="CE197" s="4"/>
      <c r="CF197" s="4"/>
      <c r="CG197" s="4"/>
      <c r="CH197" s="4"/>
      <c r="CI197" s="5">
        <v>40281</v>
      </c>
      <c r="CJ197" s="5">
        <v>40282</v>
      </c>
      <c r="CK197" s="5">
        <v>40281</v>
      </c>
      <c r="CL197" s="4"/>
      <c r="CM197" s="4"/>
      <c r="CN197" s="4"/>
      <c r="CO197" s="4"/>
      <c r="CP197" s="4" t="s">
        <v>768</v>
      </c>
      <c r="CQ197" s="4"/>
      <c r="CR197" s="5">
        <v>40282</v>
      </c>
      <c r="CS197" s="4"/>
      <c r="CT197" s="4"/>
      <c r="CU197" s="4"/>
      <c r="CV197" s="4"/>
      <c r="CW197" s="4"/>
      <c r="CX197" s="4"/>
      <c r="CY197" s="4"/>
      <c r="CZ197" s="4"/>
      <c r="DA197" s="4"/>
      <c r="DB197" s="4"/>
      <c r="DC197" s="4"/>
      <c r="DD197" s="4"/>
      <c r="DE197" s="4"/>
      <c r="DF197" s="4"/>
      <c r="DG197" s="4"/>
      <c r="DH197" s="4"/>
      <c r="DI197" s="4"/>
      <c r="DJ197" s="4" t="b">
        <v>0</v>
      </c>
      <c r="DK197" s="4"/>
      <c r="DL197" s="4">
        <v>2666120</v>
      </c>
      <c r="DM197" s="4">
        <v>6477940</v>
      </c>
      <c r="DN197" s="4" t="s">
        <v>769</v>
      </c>
      <c r="DO197" s="4"/>
      <c r="DP197" s="4"/>
      <c r="DQ197" s="4" t="s">
        <v>148</v>
      </c>
      <c r="DR197" s="4"/>
      <c r="DS197" s="4"/>
      <c r="DT197" s="5">
        <v>41806</v>
      </c>
      <c r="DU197" s="4"/>
      <c r="DV197" s="4"/>
      <c r="DW197" s="4"/>
      <c r="DX197" s="4"/>
      <c r="DY197" s="5">
        <v>40266</v>
      </c>
      <c r="DZ197" s="5">
        <v>40266</v>
      </c>
      <c r="EA197" s="4"/>
      <c r="EB197" s="4"/>
      <c r="EC197" s="4"/>
      <c r="ED197" s="4"/>
      <c r="EE197" s="4"/>
      <c r="EF197" s="4"/>
      <c r="EG197" s="4"/>
      <c r="EH197" s="4"/>
      <c r="EI197" s="5">
        <v>40147</v>
      </c>
    </row>
    <row r="198" spans="1:139" hidden="1" x14ac:dyDescent="0.2">
      <c r="A198">
        <f>VLOOKUP(B198,Sheet1!$A$1:$B$18,2,FALSE)</f>
        <v>0</v>
      </c>
      <c r="B198" t="str">
        <f t="shared" si="3"/>
        <v>AKL</v>
      </c>
      <c r="C198" s="2">
        <v>197</v>
      </c>
      <c r="D198" s="3" t="str">
        <f>HYPERLINK("https://sitebase.nzcomms.co.nz/spm/spmnominalview/AKL-007-010/","AKL-007-010")</f>
        <v>AKL-007-010</v>
      </c>
      <c r="E198" s="4"/>
      <c r="F198" s="3" t="str">
        <f>HYPERLINK("https://sitebase.nzcomms.co.nz/spm/spmcandidateview/AKL-007-010-A/","AKL-007-010-A")</f>
        <v>AKL-007-010-A</v>
      </c>
      <c r="G198" s="4" t="s">
        <v>770</v>
      </c>
      <c r="H198" s="4" t="s">
        <v>745</v>
      </c>
      <c r="I198" s="4"/>
      <c r="J198" s="4" t="s">
        <v>139</v>
      </c>
      <c r="K198" s="4" t="s">
        <v>141</v>
      </c>
      <c r="L198" s="4" t="s">
        <v>189</v>
      </c>
      <c r="M198" s="4" t="s">
        <v>354</v>
      </c>
      <c r="N198" s="4" t="s">
        <v>355</v>
      </c>
      <c r="O198" s="4" t="s">
        <v>356</v>
      </c>
      <c r="P198" s="4"/>
      <c r="Q198" s="4"/>
      <c r="R198" s="4">
        <v>12</v>
      </c>
      <c r="S198" s="4">
        <v>12</v>
      </c>
      <c r="T198" s="4"/>
      <c r="U198" s="4">
        <v>-36.876985679999997</v>
      </c>
      <c r="V198" s="4">
        <v>174.72629999</v>
      </c>
      <c r="W198" s="4"/>
      <c r="X198" s="4"/>
      <c r="Y198" s="4"/>
      <c r="Z198" s="4"/>
      <c r="AA198" s="4" t="s">
        <v>171</v>
      </c>
      <c r="AB198" s="3" t="str">
        <f>HYPERLINK("https://sitebase.nzcomms.co.nz/spm/spmcandidateview/AKL-007-015-C/","AKL-007-015-C")</f>
        <v>AKL-007-015-C</v>
      </c>
      <c r="AC198" s="4"/>
      <c r="AD198" s="4"/>
      <c r="AE198" s="4"/>
      <c r="AF198" s="4"/>
      <c r="AG198" s="4"/>
      <c r="AH198" s="4" t="s">
        <v>360</v>
      </c>
      <c r="AI198" s="4"/>
      <c r="AJ198" s="4"/>
      <c r="AK198" s="4"/>
      <c r="AL198" s="4"/>
      <c r="AM198" s="4"/>
      <c r="AN198" s="5">
        <v>39400</v>
      </c>
      <c r="AO198" s="4">
        <v>2</v>
      </c>
      <c r="AP198" s="4"/>
      <c r="AQ198" s="5">
        <v>39400</v>
      </c>
      <c r="AR198" s="4"/>
      <c r="AS198" s="4"/>
      <c r="AT198" s="5">
        <v>39518</v>
      </c>
      <c r="AU198" s="5">
        <v>39518</v>
      </c>
      <c r="AV198" s="4">
        <v>1</v>
      </c>
      <c r="AW198" s="5">
        <v>39518</v>
      </c>
      <c r="AX198" s="5">
        <v>39518</v>
      </c>
      <c r="AY198" s="4"/>
      <c r="AZ198" s="4"/>
      <c r="BA198" s="4"/>
      <c r="BB198" s="5">
        <v>39660</v>
      </c>
      <c r="BC198" s="4"/>
      <c r="BD198" s="4"/>
      <c r="BE198" s="5">
        <v>39660</v>
      </c>
      <c r="BF198" s="5">
        <v>39640</v>
      </c>
      <c r="BG198" s="4"/>
      <c r="BH198" s="5">
        <v>39518</v>
      </c>
      <c r="BI198" s="4"/>
      <c r="BJ198" s="5">
        <v>39535</v>
      </c>
      <c r="BK198" s="4">
        <v>2</v>
      </c>
      <c r="BL198" s="4">
        <v>2</v>
      </c>
      <c r="BM198" s="5">
        <v>39700</v>
      </c>
      <c r="BN198" s="5">
        <v>39700</v>
      </c>
      <c r="BO198" s="4"/>
      <c r="BP198" s="4"/>
      <c r="BQ198" s="4"/>
      <c r="BR198" s="4"/>
      <c r="BS198" s="4"/>
      <c r="BT198" s="4"/>
      <c r="BU198" s="5">
        <v>39671</v>
      </c>
      <c r="BV198" s="5">
        <v>39716</v>
      </c>
      <c r="BW198" s="5">
        <v>39716</v>
      </c>
      <c r="BX198" s="4"/>
      <c r="BY198" s="5">
        <v>39716</v>
      </c>
      <c r="BZ198" s="5">
        <v>39716</v>
      </c>
      <c r="CA198" s="4"/>
      <c r="CB198" s="4"/>
      <c r="CC198" s="4"/>
      <c r="CD198" s="4"/>
      <c r="CE198" s="4"/>
      <c r="CF198" s="4"/>
      <c r="CG198" s="4"/>
      <c r="CH198" s="4"/>
      <c r="CI198" s="5">
        <v>39794</v>
      </c>
      <c r="CJ198" s="5">
        <v>39813</v>
      </c>
      <c r="CK198" s="5">
        <v>39794</v>
      </c>
      <c r="CL198" s="4"/>
      <c r="CM198" s="4"/>
      <c r="CN198" s="4"/>
      <c r="CO198" s="4"/>
      <c r="CP198" s="4" t="s">
        <v>157</v>
      </c>
      <c r="CQ198" s="4"/>
      <c r="CR198" s="5">
        <v>39813</v>
      </c>
      <c r="CS198" s="4"/>
      <c r="CT198" s="4"/>
      <c r="CU198" s="4"/>
      <c r="CV198" s="4"/>
      <c r="CW198" s="4"/>
      <c r="CX198" s="4"/>
      <c r="CY198" s="4"/>
      <c r="CZ198" s="4"/>
      <c r="DA198" s="4"/>
      <c r="DB198" s="4"/>
      <c r="DC198" s="4"/>
      <c r="DD198" s="4"/>
      <c r="DE198" s="4"/>
      <c r="DF198" s="4"/>
      <c r="DG198" s="4"/>
      <c r="DH198" s="4"/>
      <c r="DI198" s="4"/>
      <c r="DJ198" s="4" t="b">
        <v>0</v>
      </c>
      <c r="DK198" s="4"/>
      <c r="DL198" s="4">
        <v>2664282</v>
      </c>
      <c r="DM198" s="4">
        <v>6479087</v>
      </c>
      <c r="DN198" s="4" t="s">
        <v>771</v>
      </c>
      <c r="DO198" s="4"/>
      <c r="DP198" s="4"/>
      <c r="DQ198" s="4" t="s">
        <v>148</v>
      </c>
      <c r="DR198" s="4"/>
      <c r="DS198" s="4"/>
      <c r="DT198" s="5">
        <v>41806</v>
      </c>
      <c r="DU198" s="4"/>
      <c r="DV198" s="4"/>
      <c r="DW198" s="4"/>
      <c r="DX198" s="4"/>
      <c r="DY198" s="4"/>
      <c r="DZ198" s="5">
        <v>39665</v>
      </c>
      <c r="EA198" s="4"/>
      <c r="EB198" s="4"/>
      <c r="EC198" s="4"/>
      <c r="ED198" s="4"/>
      <c r="EE198" s="4"/>
      <c r="EF198" s="4"/>
      <c r="EG198" s="4"/>
      <c r="EH198" s="4"/>
      <c r="EI198" s="5">
        <v>39374</v>
      </c>
    </row>
    <row r="199" spans="1:139" hidden="1" x14ac:dyDescent="0.2">
      <c r="A199">
        <f>VLOOKUP(B199,Sheet1!$A$1:$B$18,2,FALSE)</f>
        <v>0</v>
      </c>
      <c r="B199" t="str">
        <f t="shared" si="3"/>
        <v>AKL</v>
      </c>
      <c r="C199" s="2">
        <v>198</v>
      </c>
      <c r="D199" s="3" t="str">
        <f>HYPERLINK("https://sitebase.nzcomms.co.nz/spm/spmnominalview/AKL-007-011/","AKL-007-011")</f>
        <v>AKL-007-011</v>
      </c>
      <c r="E199" s="4"/>
      <c r="F199" s="3" t="str">
        <f>HYPERLINK("https://sitebase.nzcomms.co.nz/spm/spmcandidateview/AKL-007-011-F/","AKL-007-011-F")</f>
        <v>AKL-007-011-F</v>
      </c>
      <c r="G199" s="4" t="s">
        <v>772</v>
      </c>
      <c r="H199" s="4" t="s">
        <v>745</v>
      </c>
      <c r="I199" s="4"/>
      <c r="J199" s="4" t="s">
        <v>139</v>
      </c>
      <c r="K199" s="4" t="s">
        <v>141</v>
      </c>
      <c r="L199" s="4" t="s">
        <v>181</v>
      </c>
      <c r="M199" s="4" t="s">
        <v>378</v>
      </c>
      <c r="N199" s="4" t="s">
        <v>364</v>
      </c>
      <c r="O199" s="4" t="s">
        <v>144</v>
      </c>
      <c r="P199" s="4"/>
      <c r="Q199" s="4"/>
      <c r="R199" s="4">
        <v>23.8</v>
      </c>
      <c r="S199" s="4">
        <v>23.8</v>
      </c>
      <c r="T199" s="4"/>
      <c r="U199" s="4">
        <v>-36.889665100000002</v>
      </c>
      <c r="V199" s="4">
        <v>174.77548385</v>
      </c>
      <c r="W199" s="4"/>
      <c r="X199" s="4"/>
      <c r="Y199" s="4"/>
      <c r="Z199" s="4"/>
      <c r="AA199" s="4"/>
      <c r="AB199" s="4"/>
      <c r="AC199" s="4"/>
      <c r="AD199" s="4"/>
      <c r="AE199" s="4"/>
      <c r="AF199" s="4"/>
      <c r="AG199" s="4"/>
      <c r="AH199" s="4"/>
      <c r="AI199" s="4"/>
      <c r="AJ199" s="4"/>
      <c r="AK199" s="4"/>
      <c r="AL199" s="4"/>
      <c r="AM199" s="5">
        <v>39804</v>
      </c>
      <c r="AN199" s="5">
        <v>39804</v>
      </c>
      <c r="AO199" s="4">
        <v>3</v>
      </c>
      <c r="AP199" s="5">
        <v>39794</v>
      </c>
      <c r="AQ199" s="5">
        <v>39896</v>
      </c>
      <c r="AR199" s="4"/>
      <c r="AS199" s="4"/>
      <c r="AT199" s="5">
        <v>39860</v>
      </c>
      <c r="AU199" s="5">
        <v>39864</v>
      </c>
      <c r="AV199" s="4">
        <v>2</v>
      </c>
      <c r="AW199" s="5">
        <v>39920</v>
      </c>
      <c r="AX199" s="5">
        <v>39918</v>
      </c>
      <c r="AY199" s="4"/>
      <c r="AZ199" s="5">
        <v>39801</v>
      </c>
      <c r="BA199" s="4"/>
      <c r="BB199" s="5">
        <v>39934</v>
      </c>
      <c r="BC199" s="4"/>
      <c r="BD199" s="4"/>
      <c r="BE199" s="5">
        <v>39934</v>
      </c>
      <c r="BF199" s="5">
        <v>39994</v>
      </c>
      <c r="BG199" s="5">
        <v>39797</v>
      </c>
      <c r="BH199" s="5">
        <v>39798</v>
      </c>
      <c r="BI199" s="4"/>
      <c r="BJ199" s="5">
        <v>39806</v>
      </c>
      <c r="BK199" s="4">
        <v>2</v>
      </c>
      <c r="BL199" s="4">
        <v>3</v>
      </c>
      <c r="BM199" s="5">
        <v>39806</v>
      </c>
      <c r="BN199" s="5">
        <v>39896</v>
      </c>
      <c r="BO199" s="4"/>
      <c r="BP199" s="4"/>
      <c r="BQ199" s="4"/>
      <c r="BR199" s="4"/>
      <c r="BS199" s="4"/>
      <c r="BT199" s="5">
        <v>39934</v>
      </c>
      <c r="BU199" s="5">
        <v>39934</v>
      </c>
      <c r="BV199" s="5">
        <v>39969</v>
      </c>
      <c r="BW199" s="5">
        <v>39969</v>
      </c>
      <c r="BX199" s="4"/>
      <c r="BY199" s="5">
        <v>39983</v>
      </c>
      <c r="BZ199" s="5">
        <v>39983</v>
      </c>
      <c r="CA199" s="4"/>
      <c r="CB199" s="4"/>
      <c r="CC199" s="4"/>
      <c r="CD199" s="4"/>
      <c r="CE199" s="4"/>
      <c r="CF199" s="4"/>
      <c r="CG199" s="4"/>
      <c r="CH199" s="4"/>
      <c r="CI199" s="5">
        <v>39986</v>
      </c>
      <c r="CJ199" s="5">
        <v>39988</v>
      </c>
      <c r="CK199" s="5">
        <v>39986</v>
      </c>
      <c r="CL199" s="4"/>
      <c r="CM199" s="4"/>
      <c r="CN199" s="4"/>
      <c r="CO199" s="4"/>
      <c r="CP199" s="4" t="s">
        <v>773</v>
      </c>
      <c r="CQ199" s="4"/>
      <c r="CR199" s="5">
        <v>39988</v>
      </c>
      <c r="CS199" s="4"/>
      <c r="CT199" s="4"/>
      <c r="CU199" s="4"/>
      <c r="CV199" s="4"/>
      <c r="CW199" s="4"/>
      <c r="CX199" s="4"/>
      <c r="CY199" s="4"/>
      <c r="CZ199" s="4"/>
      <c r="DA199" s="4"/>
      <c r="DB199" s="4"/>
      <c r="DC199" s="4"/>
      <c r="DD199" s="4"/>
      <c r="DE199" s="4"/>
      <c r="DF199" s="4"/>
      <c r="DG199" s="4"/>
      <c r="DH199" s="4"/>
      <c r="DI199" s="4"/>
      <c r="DJ199" s="4" t="b">
        <v>0</v>
      </c>
      <c r="DK199" s="4"/>
      <c r="DL199" s="4">
        <v>2668637</v>
      </c>
      <c r="DM199" s="4">
        <v>6477591</v>
      </c>
      <c r="DN199" s="4" t="s">
        <v>774</v>
      </c>
      <c r="DO199" s="4"/>
      <c r="DP199" s="4"/>
      <c r="DQ199" s="4" t="s">
        <v>148</v>
      </c>
      <c r="DR199" s="4"/>
      <c r="DS199" s="4"/>
      <c r="DT199" s="5">
        <v>41806</v>
      </c>
      <c r="DU199" s="4"/>
      <c r="DV199" s="4"/>
      <c r="DW199" s="4"/>
      <c r="DX199" s="4"/>
      <c r="DY199" s="5">
        <v>39934</v>
      </c>
      <c r="DZ199" s="5">
        <v>39934</v>
      </c>
      <c r="EA199" s="4"/>
      <c r="EB199" s="4"/>
      <c r="EC199" s="4"/>
      <c r="ED199" s="4"/>
      <c r="EE199" s="4"/>
      <c r="EF199" s="4"/>
      <c r="EG199" s="4"/>
      <c r="EH199" s="4"/>
      <c r="EI199" s="5">
        <v>39786</v>
      </c>
    </row>
    <row r="200" spans="1:139" hidden="1" x14ac:dyDescent="0.2">
      <c r="A200">
        <f>VLOOKUP(B200,Sheet1!$A$1:$B$18,2,FALSE)</f>
        <v>0</v>
      </c>
      <c r="B200" t="str">
        <f t="shared" si="3"/>
        <v>AKL</v>
      </c>
      <c r="C200" s="2">
        <v>199</v>
      </c>
      <c r="D200" s="3" t="str">
        <f>HYPERLINK("https://sitebase.nzcomms.co.nz/spm/spmnominalview/AKL-007-012/","AKL-007-012")</f>
        <v>AKL-007-012</v>
      </c>
      <c r="E200" s="4"/>
      <c r="F200" s="3" t="str">
        <f>HYPERLINK("https://sitebase.nzcomms.co.nz/spm/spmcandidateview/AKL-007-012-B/","AKL-007-012-B")</f>
        <v>AKL-007-012-B</v>
      </c>
      <c r="G200" s="4" t="s">
        <v>775</v>
      </c>
      <c r="H200" s="4" t="s">
        <v>745</v>
      </c>
      <c r="I200" s="4"/>
      <c r="J200" s="4" t="s">
        <v>139</v>
      </c>
      <c r="K200" s="4" t="s">
        <v>141</v>
      </c>
      <c r="L200" s="4" t="s">
        <v>189</v>
      </c>
      <c r="M200" s="4" t="s">
        <v>354</v>
      </c>
      <c r="N200" s="4" t="s">
        <v>355</v>
      </c>
      <c r="O200" s="4" t="s">
        <v>356</v>
      </c>
      <c r="P200" s="4"/>
      <c r="Q200" s="4"/>
      <c r="R200" s="4">
        <v>10</v>
      </c>
      <c r="S200" s="4">
        <v>10</v>
      </c>
      <c r="T200" s="4"/>
      <c r="U200" s="4">
        <v>-36.861670789999998</v>
      </c>
      <c r="V200" s="4">
        <v>174.82543225000001</v>
      </c>
      <c r="W200" s="4"/>
      <c r="X200" s="4"/>
      <c r="Y200" s="4"/>
      <c r="Z200" s="4"/>
      <c r="AA200" s="4" t="s">
        <v>171</v>
      </c>
      <c r="AB200" s="3" t="str">
        <f>HYPERLINK("https://sitebase.nzcomms.co.nz/spm/spmcandidateview/AKL-007-113-A/","AKL-007-113-A")</f>
        <v>AKL-007-113-A</v>
      </c>
      <c r="AC200" s="4"/>
      <c r="AD200" s="4"/>
      <c r="AE200" s="4"/>
      <c r="AF200" s="4"/>
      <c r="AG200" s="4"/>
      <c r="AH200" s="4" t="s">
        <v>357</v>
      </c>
      <c r="AI200" s="4"/>
      <c r="AJ200" s="4"/>
      <c r="AK200" s="4"/>
      <c r="AL200" s="4"/>
      <c r="AM200" s="4"/>
      <c r="AN200" s="5">
        <v>39310</v>
      </c>
      <c r="AO200" s="4">
        <v>3</v>
      </c>
      <c r="AP200" s="4"/>
      <c r="AQ200" s="5">
        <v>39533</v>
      </c>
      <c r="AR200" s="4"/>
      <c r="AS200" s="4"/>
      <c r="AT200" s="5">
        <v>39629</v>
      </c>
      <c r="AU200" s="5">
        <v>39622</v>
      </c>
      <c r="AV200" s="4">
        <v>3</v>
      </c>
      <c r="AW200" s="5">
        <v>39629</v>
      </c>
      <c r="AX200" s="5">
        <v>39622</v>
      </c>
      <c r="AY200" s="4"/>
      <c r="AZ200" s="4"/>
      <c r="BA200" s="4"/>
      <c r="BB200" s="5">
        <v>39407</v>
      </c>
      <c r="BC200" s="4"/>
      <c r="BD200" s="4"/>
      <c r="BE200" s="5">
        <v>39407</v>
      </c>
      <c r="BF200" s="5">
        <v>39407</v>
      </c>
      <c r="BG200" s="4"/>
      <c r="BH200" s="5">
        <v>39391</v>
      </c>
      <c r="BI200" s="4"/>
      <c r="BJ200" s="5">
        <v>39533</v>
      </c>
      <c r="BK200" s="4">
        <v>2</v>
      </c>
      <c r="BL200" s="4">
        <v>3</v>
      </c>
      <c r="BM200" s="5">
        <v>39689</v>
      </c>
      <c r="BN200" s="5">
        <v>39689</v>
      </c>
      <c r="BO200" s="4"/>
      <c r="BP200" s="4"/>
      <c r="BQ200" s="4"/>
      <c r="BR200" s="4"/>
      <c r="BS200" s="4"/>
      <c r="BT200" s="4"/>
      <c r="BU200" s="5">
        <v>39647</v>
      </c>
      <c r="BV200" s="5">
        <v>39710</v>
      </c>
      <c r="BW200" s="5">
        <v>39707</v>
      </c>
      <c r="BX200" s="4"/>
      <c r="BY200" s="5">
        <v>39715</v>
      </c>
      <c r="BZ200" s="5">
        <v>39713</v>
      </c>
      <c r="CA200" s="4"/>
      <c r="CB200" s="4"/>
      <c r="CC200" s="4"/>
      <c r="CD200" s="4"/>
      <c r="CE200" s="4"/>
      <c r="CF200" s="4"/>
      <c r="CG200" s="4"/>
      <c r="CH200" s="4"/>
      <c r="CI200" s="5">
        <v>39780</v>
      </c>
      <c r="CJ200" s="5">
        <v>39792</v>
      </c>
      <c r="CK200" s="5">
        <v>39780</v>
      </c>
      <c r="CL200" s="4"/>
      <c r="CM200" s="4"/>
      <c r="CN200" s="4"/>
      <c r="CO200" s="4"/>
      <c r="CP200" s="4" t="s">
        <v>405</v>
      </c>
      <c r="CQ200" s="4"/>
      <c r="CR200" s="5">
        <v>39778</v>
      </c>
      <c r="CS200" s="4"/>
      <c r="CT200" s="4"/>
      <c r="CU200" s="4"/>
      <c r="CV200" s="4"/>
      <c r="CW200" s="4"/>
      <c r="CX200" s="4"/>
      <c r="CY200" s="4"/>
      <c r="CZ200" s="4"/>
      <c r="DA200" s="4"/>
      <c r="DB200" s="4"/>
      <c r="DC200" s="4"/>
      <c r="DD200" s="4"/>
      <c r="DE200" s="4"/>
      <c r="DF200" s="4"/>
      <c r="DG200" s="4"/>
      <c r="DH200" s="4"/>
      <c r="DI200" s="4"/>
      <c r="DJ200" s="4" t="b">
        <v>0</v>
      </c>
      <c r="DK200" s="4"/>
      <c r="DL200" s="4">
        <v>2673154</v>
      </c>
      <c r="DM200" s="4">
        <v>6480604</v>
      </c>
      <c r="DN200" s="4" t="s">
        <v>776</v>
      </c>
      <c r="DO200" s="4"/>
      <c r="DP200" s="4"/>
      <c r="DQ200" s="4" t="s">
        <v>148</v>
      </c>
      <c r="DR200" s="4"/>
      <c r="DS200" s="4"/>
      <c r="DT200" s="5">
        <v>41863</v>
      </c>
      <c r="DU200" s="4"/>
      <c r="DV200" s="4"/>
      <c r="DW200" s="4"/>
      <c r="DX200" s="4"/>
      <c r="DY200" s="4"/>
      <c r="DZ200" s="5">
        <v>39623</v>
      </c>
      <c r="EA200" s="4"/>
      <c r="EB200" s="4"/>
      <c r="EC200" s="4"/>
      <c r="ED200" s="4"/>
      <c r="EE200" s="4"/>
      <c r="EF200" s="4"/>
      <c r="EG200" s="4"/>
      <c r="EH200" s="4"/>
      <c r="EI200" s="5">
        <v>39287</v>
      </c>
    </row>
    <row r="201" spans="1:139" hidden="1" x14ac:dyDescent="0.2">
      <c r="A201">
        <f>VLOOKUP(B201,Sheet1!$A$1:$B$18,2,FALSE)</f>
        <v>0</v>
      </c>
      <c r="B201" t="str">
        <f t="shared" si="3"/>
        <v>AKL</v>
      </c>
      <c r="C201" s="2">
        <v>200</v>
      </c>
      <c r="D201" s="3" t="str">
        <f>HYPERLINK("https://sitebase.nzcomms.co.nz/spm/spmnominalview/AKL-007-013/","AKL-007-013")</f>
        <v>AKL-007-013</v>
      </c>
      <c r="E201" s="4"/>
      <c r="F201" s="3" t="str">
        <f>HYPERLINK("https://sitebase.nzcomms.co.nz/spm/spmcandidateview/AKL-007-013-A/","AKL-007-013-A")</f>
        <v>AKL-007-013-A</v>
      </c>
      <c r="G201" s="4" t="s">
        <v>777</v>
      </c>
      <c r="H201" s="4" t="s">
        <v>745</v>
      </c>
      <c r="I201" s="4"/>
      <c r="J201" s="4" t="s">
        <v>139</v>
      </c>
      <c r="K201" s="4" t="s">
        <v>141</v>
      </c>
      <c r="L201" s="4" t="s">
        <v>181</v>
      </c>
      <c r="M201" s="4" t="s">
        <v>354</v>
      </c>
      <c r="N201" s="4" t="s">
        <v>364</v>
      </c>
      <c r="O201" s="4" t="s">
        <v>144</v>
      </c>
      <c r="P201" s="4"/>
      <c r="Q201" s="4"/>
      <c r="R201" s="4"/>
      <c r="S201" s="4"/>
      <c r="T201" s="4"/>
      <c r="U201" s="4">
        <v>-36.891148680000001</v>
      </c>
      <c r="V201" s="4">
        <v>174.83574623000001</v>
      </c>
      <c r="W201" s="4"/>
      <c r="X201" s="4"/>
      <c r="Y201" s="4"/>
      <c r="Z201" s="4"/>
      <c r="AA201" s="4"/>
      <c r="AB201" s="4"/>
      <c r="AC201" s="4"/>
      <c r="AD201" s="4"/>
      <c r="AE201" s="4"/>
      <c r="AF201" s="4"/>
      <c r="AG201" s="4"/>
      <c r="AH201" s="4"/>
      <c r="AI201" s="4"/>
      <c r="AJ201" s="4"/>
      <c r="AK201" s="4"/>
      <c r="AL201" s="4"/>
      <c r="AM201" s="4"/>
      <c r="AN201" s="5">
        <v>39409</v>
      </c>
      <c r="AO201" s="4">
        <v>5</v>
      </c>
      <c r="AP201" s="5">
        <v>39927</v>
      </c>
      <c r="AQ201" s="5">
        <v>39931</v>
      </c>
      <c r="AR201" s="4"/>
      <c r="AS201" s="4"/>
      <c r="AT201" s="5">
        <v>39435</v>
      </c>
      <c r="AU201" s="5">
        <v>39435</v>
      </c>
      <c r="AV201" s="4">
        <v>1</v>
      </c>
      <c r="AW201" s="5">
        <v>40074</v>
      </c>
      <c r="AX201" s="5">
        <v>40071</v>
      </c>
      <c r="AY201" s="4"/>
      <c r="AZ201" s="4"/>
      <c r="BA201" s="4"/>
      <c r="BB201" s="5">
        <v>39976</v>
      </c>
      <c r="BC201" s="4"/>
      <c r="BD201" s="4"/>
      <c r="BE201" s="5">
        <v>39976</v>
      </c>
      <c r="BF201" s="5">
        <v>39976</v>
      </c>
      <c r="BG201" s="5">
        <v>39895</v>
      </c>
      <c r="BH201" s="5">
        <v>39391</v>
      </c>
      <c r="BI201" s="4"/>
      <c r="BJ201" s="5">
        <v>39668</v>
      </c>
      <c r="BK201" s="4">
        <v>4</v>
      </c>
      <c r="BL201" s="4"/>
      <c r="BM201" s="5">
        <v>40046</v>
      </c>
      <c r="BN201" s="5">
        <v>40038</v>
      </c>
      <c r="BO201" s="5">
        <v>39981</v>
      </c>
      <c r="BP201" s="4"/>
      <c r="BQ201" s="4"/>
      <c r="BR201" s="4"/>
      <c r="BS201" s="4"/>
      <c r="BT201" s="5">
        <v>40086</v>
      </c>
      <c r="BU201" s="5">
        <v>40086</v>
      </c>
      <c r="BV201" s="5">
        <v>40126</v>
      </c>
      <c r="BW201" s="5">
        <v>40127</v>
      </c>
      <c r="BX201" s="4"/>
      <c r="BY201" s="5">
        <v>40134</v>
      </c>
      <c r="BZ201" s="5">
        <v>40134</v>
      </c>
      <c r="CA201" s="4"/>
      <c r="CB201" s="4"/>
      <c r="CC201" s="4"/>
      <c r="CD201" s="4"/>
      <c r="CE201" s="4"/>
      <c r="CF201" s="4"/>
      <c r="CG201" s="4"/>
      <c r="CH201" s="4"/>
      <c r="CI201" s="5">
        <v>40137</v>
      </c>
      <c r="CJ201" s="5">
        <v>40137</v>
      </c>
      <c r="CK201" s="5">
        <v>40137</v>
      </c>
      <c r="CL201" s="4"/>
      <c r="CM201" s="4"/>
      <c r="CN201" s="4"/>
      <c r="CO201" s="4"/>
      <c r="CP201" s="4" t="s">
        <v>157</v>
      </c>
      <c r="CQ201" s="4"/>
      <c r="CR201" s="5">
        <v>40137</v>
      </c>
      <c r="CS201" s="4"/>
      <c r="CT201" s="4"/>
      <c r="CU201" s="4"/>
      <c r="CV201" s="4"/>
      <c r="CW201" s="5">
        <v>39976</v>
      </c>
      <c r="CX201" s="5">
        <v>39981</v>
      </c>
      <c r="CY201" s="4"/>
      <c r="CZ201" s="4"/>
      <c r="DA201" s="4"/>
      <c r="DB201" s="4"/>
      <c r="DC201" s="4"/>
      <c r="DD201" s="4"/>
      <c r="DE201" s="4"/>
      <c r="DF201" s="4"/>
      <c r="DG201" s="4"/>
      <c r="DH201" s="4"/>
      <c r="DI201" s="4"/>
      <c r="DJ201" s="4" t="b">
        <v>0</v>
      </c>
      <c r="DK201" s="4"/>
      <c r="DL201" s="4">
        <v>2674004</v>
      </c>
      <c r="DM201" s="4">
        <v>6477314</v>
      </c>
      <c r="DN201" s="4" t="s">
        <v>778</v>
      </c>
      <c r="DO201" s="4"/>
      <c r="DP201" s="4"/>
      <c r="DQ201" s="4" t="s">
        <v>148</v>
      </c>
      <c r="DR201" s="4"/>
      <c r="DS201" s="4"/>
      <c r="DT201" s="5">
        <v>41863</v>
      </c>
      <c r="DU201" s="4"/>
      <c r="DV201" s="4"/>
      <c r="DW201" s="4"/>
      <c r="DX201" s="4"/>
      <c r="DY201" s="4"/>
      <c r="DZ201" s="5">
        <v>40086</v>
      </c>
      <c r="EA201" s="4"/>
      <c r="EB201" s="4"/>
      <c r="EC201" s="4"/>
      <c r="ED201" s="4"/>
      <c r="EE201" s="4"/>
      <c r="EF201" s="4"/>
      <c r="EG201" s="4"/>
      <c r="EH201" s="4"/>
      <c r="EI201" s="5">
        <v>39294</v>
      </c>
    </row>
    <row r="202" spans="1:139" hidden="1" x14ac:dyDescent="0.2">
      <c r="A202">
        <f>VLOOKUP(B202,Sheet1!$A$1:$B$18,2,FALSE)</f>
        <v>0</v>
      </c>
      <c r="B202" t="str">
        <f t="shared" si="3"/>
        <v>AKL</v>
      </c>
      <c r="C202" s="2">
        <v>201</v>
      </c>
      <c r="D202" s="3" t="str">
        <f>HYPERLINK("https://sitebase.nzcomms.co.nz/spm/spmnominalview/AKL-007-014/","AKL-007-014")</f>
        <v>AKL-007-014</v>
      </c>
      <c r="E202" s="4"/>
      <c r="F202" s="3" t="str">
        <f>HYPERLINK("https://sitebase.nzcomms.co.nz/spm/spmcandidateview/AKL-007-014-A/","AKL-007-014-A")</f>
        <v>AKL-007-014-A</v>
      </c>
      <c r="G202" s="4" t="s">
        <v>779</v>
      </c>
      <c r="H202" s="4" t="s">
        <v>745</v>
      </c>
      <c r="I202" s="4"/>
      <c r="J202" s="4" t="s">
        <v>139</v>
      </c>
      <c r="K202" s="4" t="s">
        <v>141</v>
      </c>
      <c r="L202" s="4" t="s">
        <v>181</v>
      </c>
      <c r="M202" s="4" t="s">
        <v>378</v>
      </c>
      <c r="N202" s="4" t="s">
        <v>364</v>
      </c>
      <c r="O202" s="4" t="s">
        <v>144</v>
      </c>
      <c r="P202" s="4"/>
      <c r="Q202" s="4"/>
      <c r="R202" s="4">
        <v>13.3</v>
      </c>
      <c r="S202" s="4">
        <v>13.3</v>
      </c>
      <c r="T202" s="4"/>
      <c r="U202" s="4">
        <v>-36.91131086</v>
      </c>
      <c r="V202" s="4">
        <v>174.77570263999999</v>
      </c>
      <c r="W202" s="4"/>
      <c r="X202" s="4"/>
      <c r="Y202" s="4"/>
      <c r="Z202" s="4"/>
      <c r="AA202" s="4" t="s">
        <v>446</v>
      </c>
      <c r="AB202" s="4" t="s">
        <v>780</v>
      </c>
      <c r="AC202" s="4"/>
      <c r="AD202" s="4"/>
      <c r="AE202" s="4"/>
      <c r="AF202" s="4"/>
      <c r="AG202" s="4"/>
      <c r="AH202" s="4"/>
      <c r="AI202" s="4"/>
      <c r="AJ202" s="4"/>
      <c r="AK202" s="4"/>
      <c r="AL202" s="4"/>
      <c r="AM202" s="4"/>
      <c r="AN202" s="5">
        <v>39278</v>
      </c>
      <c r="AO202" s="4">
        <v>1</v>
      </c>
      <c r="AP202" s="4"/>
      <c r="AQ202" s="5">
        <v>39278</v>
      </c>
      <c r="AR202" s="4"/>
      <c r="AS202" s="4"/>
      <c r="AT202" s="5">
        <v>39323</v>
      </c>
      <c r="AU202" s="5">
        <v>39323</v>
      </c>
      <c r="AV202" s="4">
        <v>1</v>
      </c>
      <c r="AW202" s="5">
        <v>39323</v>
      </c>
      <c r="AX202" s="5">
        <v>39323</v>
      </c>
      <c r="AY202" s="4"/>
      <c r="AZ202" s="4"/>
      <c r="BA202" s="4"/>
      <c r="BB202" s="5">
        <v>39346</v>
      </c>
      <c r="BC202" s="4"/>
      <c r="BD202" s="4"/>
      <c r="BE202" s="5">
        <v>39346</v>
      </c>
      <c r="BF202" s="5">
        <v>39346</v>
      </c>
      <c r="BG202" s="4"/>
      <c r="BH202" s="5">
        <v>39468</v>
      </c>
      <c r="BI202" s="4"/>
      <c r="BJ202" s="5">
        <v>39380</v>
      </c>
      <c r="BK202" s="4">
        <v>1</v>
      </c>
      <c r="BL202" s="4">
        <v>1</v>
      </c>
      <c r="BM202" s="5">
        <v>39380</v>
      </c>
      <c r="BN202" s="5">
        <v>39380</v>
      </c>
      <c r="BO202" s="4"/>
      <c r="BP202" s="4"/>
      <c r="BQ202" s="4"/>
      <c r="BR202" s="4"/>
      <c r="BS202" s="4"/>
      <c r="BT202" s="4"/>
      <c r="BU202" s="5">
        <v>39398</v>
      </c>
      <c r="BV202" s="5">
        <v>39478</v>
      </c>
      <c r="BW202" s="5">
        <v>39478</v>
      </c>
      <c r="BX202" s="4"/>
      <c r="BY202" s="5">
        <v>39503</v>
      </c>
      <c r="BZ202" s="5">
        <v>39503</v>
      </c>
      <c r="CA202" s="4"/>
      <c r="CB202" s="4"/>
      <c r="CC202" s="4"/>
      <c r="CD202" s="4"/>
      <c r="CE202" s="4"/>
      <c r="CF202" s="4"/>
      <c r="CG202" s="4"/>
      <c r="CH202" s="4"/>
      <c r="CI202" s="5">
        <v>39584</v>
      </c>
      <c r="CJ202" s="4"/>
      <c r="CK202" s="5">
        <v>39584</v>
      </c>
      <c r="CL202" s="4"/>
      <c r="CM202" s="4"/>
      <c r="CN202" s="4"/>
      <c r="CO202" s="4"/>
      <c r="CP202" s="4" t="s">
        <v>405</v>
      </c>
      <c r="CQ202" s="4"/>
      <c r="CR202" s="5">
        <v>39584</v>
      </c>
      <c r="CS202" s="4"/>
      <c r="CT202" s="4"/>
      <c r="CU202" s="4"/>
      <c r="CV202" s="4"/>
      <c r="CW202" s="4"/>
      <c r="CX202" s="4"/>
      <c r="CY202" s="4"/>
      <c r="CZ202" s="4"/>
      <c r="DA202" s="4"/>
      <c r="DB202" s="4"/>
      <c r="DC202" s="4"/>
      <c r="DD202" s="4"/>
      <c r="DE202" s="4"/>
      <c r="DF202" s="4"/>
      <c r="DG202" s="4"/>
      <c r="DH202" s="4"/>
      <c r="DI202" s="4"/>
      <c r="DJ202" s="4" t="b">
        <v>0</v>
      </c>
      <c r="DK202" s="4"/>
      <c r="DL202" s="4">
        <v>2668607</v>
      </c>
      <c r="DM202" s="4">
        <v>6475189</v>
      </c>
      <c r="DN202" s="4" t="s">
        <v>781</v>
      </c>
      <c r="DO202" s="4"/>
      <c r="DP202" s="4"/>
      <c r="DQ202" s="4" t="s">
        <v>148</v>
      </c>
      <c r="DR202" s="4"/>
      <c r="DS202" s="4"/>
      <c r="DT202" s="5">
        <v>41863</v>
      </c>
      <c r="DU202" s="4"/>
      <c r="DV202" s="4"/>
      <c r="DW202" s="4"/>
      <c r="DX202" s="4"/>
      <c r="DY202" s="4"/>
      <c r="DZ202" s="5">
        <v>39399</v>
      </c>
      <c r="EA202" s="4"/>
      <c r="EB202" s="4"/>
      <c r="EC202" s="4"/>
      <c r="ED202" s="4"/>
      <c r="EE202" s="4"/>
      <c r="EF202" s="4"/>
      <c r="EG202" s="4"/>
      <c r="EH202" s="4"/>
      <c r="EI202" s="5">
        <v>39218</v>
      </c>
    </row>
    <row r="203" spans="1:139" hidden="1" x14ac:dyDescent="0.2">
      <c r="A203">
        <f>VLOOKUP(B203,Sheet1!$A$1:$B$18,2,FALSE)</f>
        <v>0</v>
      </c>
      <c r="B203" t="str">
        <f t="shared" si="3"/>
        <v>AKL</v>
      </c>
      <c r="C203" s="2">
        <v>202</v>
      </c>
      <c r="D203" s="3" t="str">
        <f>HYPERLINK("https://sitebase.nzcomms.co.nz/spm/spmnominalview/AKL-007-015/","AKL-007-015")</f>
        <v>AKL-007-015</v>
      </c>
      <c r="E203" s="4"/>
      <c r="F203" s="3" t="str">
        <f>HYPERLINK("https://sitebase.nzcomms.co.nz/spm/spmcandidateview/AKL-007-015-C/","AKL-007-015-C")</f>
        <v>AKL-007-015-C</v>
      </c>
      <c r="G203" s="4" t="s">
        <v>782</v>
      </c>
      <c r="H203" s="4" t="s">
        <v>745</v>
      </c>
      <c r="I203" s="4">
        <v>3</v>
      </c>
      <c r="J203" s="4" t="s">
        <v>139</v>
      </c>
      <c r="K203" s="4" t="s">
        <v>141</v>
      </c>
      <c r="L203" s="4" t="s">
        <v>181</v>
      </c>
      <c r="M203" s="4" t="s">
        <v>378</v>
      </c>
      <c r="N203" s="4" t="s">
        <v>364</v>
      </c>
      <c r="O203" s="4" t="s">
        <v>144</v>
      </c>
      <c r="P203" s="4"/>
      <c r="Q203" s="4"/>
      <c r="R203" s="4">
        <v>17</v>
      </c>
      <c r="S203" s="4">
        <v>17</v>
      </c>
      <c r="T203" s="4"/>
      <c r="U203" s="4">
        <v>-36.87143623</v>
      </c>
      <c r="V203" s="4">
        <v>174.75275930999999</v>
      </c>
      <c r="W203" s="4"/>
      <c r="X203" s="4"/>
      <c r="Y203" s="4"/>
      <c r="Z203" s="4"/>
      <c r="AA203" s="4" t="s">
        <v>171</v>
      </c>
      <c r="AB203" s="3" t="str">
        <f>HYPERLINK("https://sitebase.nzcomms.co.nz/spm/spmcandidateview/AKL-007-112-A/","AKL-007-112-A")</f>
        <v>AKL-007-112-A</v>
      </c>
      <c r="AC203" s="4" t="b">
        <v>0</v>
      </c>
      <c r="AD203" s="4" t="b">
        <v>0</v>
      </c>
      <c r="AE203" s="4"/>
      <c r="AF203" s="4"/>
      <c r="AG203" s="4" t="b">
        <v>0</v>
      </c>
      <c r="AH203" s="4" t="s">
        <v>395</v>
      </c>
      <c r="AI203" s="4"/>
      <c r="AJ203" s="4"/>
      <c r="AK203" s="4"/>
      <c r="AL203" s="4"/>
      <c r="AM203" s="4"/>
      <c r="AN203" s="5">
        <v>39317</v>
      </c>
      <c r="AO203" s="4">
        <v>10</v>
      </c>
      <c r="AP203" s="5">
        <v>39905</v>
      </c>
      <c r="AQ203" s="5">
        <v>41752</v>
      </c>
      <c r="AR203" s="4"/>
      <c r="AS203" s="4"/>
      <c r="AT203" s="5">
        <v>39436</v>
      </c>
      <c r="AU203" s="5">
        <v>39395</v>
      </c>
      <c r="AV203" s="4">
        <v>3</v>
      </c>
      <c r="AW203" s="5">
        <v>39436</v>
      </c>
      <c r="AX203" s="5">
        <v>40071</v>
      </c>
      <c r="AY203" s="4"/>
      <c r="AZ203" s="4"/>
      <c r="BA203" s="4"/>
      <c r="BB203" s="5">
        <v>39358</v>
      </c>
      <c r="BC203" s="4"/>
      <c r="BD203" s="4"/>
      <c r="BE203" s="5">
        <v>39358</v>
      </c>
      <c r="BF203" s="5">
        <v>39903</v>
      </c>
      <c r="BG203" s="4"/>
      <c r="BH203" s="5">
        <v>39468</v>
      </c>
      <c r="BI203" s="4"/>
      <c r="BJ203" s="5">
        <v>39350</v>
      </c>
      <c r="BK203" s="4">
        <v>8</v>
      </c>
      <c r="BL203" s="4"/>
      <c r="BM203" s="5">
        <v>39708</v>
      </c>
      <c r="BN203" s="5">
        <v>40834</v>
      </c>
      <c r="BO203" s="4"/>
      <c r="BP203" s="4"/>
      <c r="BQ203" s="4"/>
      <c r="BR203" s="4"/>
      <c r="BS203" s="4"/>
      <c r="BT203" s="4"/>
      <c r="BU203" s="5">
        <v>39405</v>
      </c>
      <c r="BV203" s="5">
        <v>39428</v>
      </c>
      <c r="BW203" s="5">
        <v>39428</v>
      </c>
      <c r="BX203" s="4"/>
      <c r="BY203" s="5">
        <v>39462</v>
      </c>
      <c r="BZ203" s="5">
        <v>39462</v>
      </c>
      <c r="CA203" s="4"/>
      <c r="CB203" s="4"/>
      <c r="CC203" s="4"/>
      <c r="CD203" s="4"/>
      <c r="CE203" s="4"/>
      <c r="CF203" s="4"/>
      <c r="CG203" s="4"/>
      <c r="CH203" s="4"/>
      <c r="CI203" s="5">
        <v>39482</v>
      </c>
      <c r="CJ203" s="4"/>
      <c r="CK203" s="5">
        <v>39482</v>
      </c>
      <c r="CL203" s="4"/>
      <c r="CM203" s="4"/>
      <c r="CN203" s="4"/>
      <c r="CO203" s="4"/>
      <c r="CP203" s="4" t="s">
        <v>783</v>
      </c>
      <c r="CQ203" s="4"/>
      <c r="CR203" s="5">
        <v>39482</v>
      </c>
      <c r="CS203" s="4"/>
      <c r="CT203" s="4"/>
      <c r="CU203" s="4"/>
      <c r="CV203" s="4"/>
      <c r="CW203" s="4"/>
      <c r="CX203" s="4"/>
      <c r="CY203" s="4"/>
      <c r="CZ203" s="4"/>
      <c r="DA203" s="4"/>
      <c r="DB203" s="4"/>
      <c r="DC203" s="4"/>
      <c r="DD203" s="4"/>
      <c r="DE203" s="4"/>
      <c r="DF203" s="4"/>
      <c r="DG203" s="4"/>
      <c r="DH203" s="4"/>
      <c r="DI203" s="4"/>
      <c r="DJ203" s="4" t="b">
        <v>0</v>
      </c>
      <c r="DK203" s="4"/>
      <c r="DL203" s="4">
        <v>2666653</v>
      </c>
      <c r="DM203" s="4">
        <v>6479655</v>
      </c>
      <c r="DN203" s="4" t="s">
        <v>784</v>
      </c>
      <c r="DO203" s="4"/>
      <c r="DP203" s="4"/>
      <c r="DQ203" s="4" t="s">
        <v>148</v>
      </c>
      <c r="DR203" s="4"/>
      <c r="DS203" s="4"/>
      <c r="DT203" s="5">
        <v>41806</v>
      </c>
      <c r="DU203" s="4"/>
      <c r="DV203" s="4"/>
      <c r="DW203" s="4"/>
      <c r="DX203" s="4"/>
      <c r="DY203" s="4"/>
      <c r="DZ203" s="5">
        <v>39405</v>
      </c>
      <c r="EA203" s="4"/>
      <c r="EB203" s="4"/>
      <c r="EC203" s="4"/>
      <c r="ED203" s="4"/>
      <c r="EE203" s="4"/>
      <c r="EF203" s="4"/>
      <c r="EG203" s="4"/>
      <c r="EH203" s="4"/>
      <c r="EI203" s="5">
        <v>39265</v>
      </c>
    </row>
    <row r="204" spans="1:139" hidden="1" x14ac:dyDescent="0.2">
      <c r="A204">
        <f>VLOOKUP(B204,Sheet1!$A$1:$B$18,2,FALSE)</f>
        <v>0</v>
      </c>
      <c r="B204" t="str">
        <f t="shared" si="3"/>
        <v>AKL</v>
      </c>
      <c r="C204" s="2">
        <v>203</v>
      </c>
      <c r="D204" s="3" t="str">
        <f>HYPERLINK("https://sitebase.nzcomms.co.nz/spm/spmnominalview/AKL-007-016/","AKL-007-016")</f>
        <v>AKL-007-016</v>
      </c>
      <c r="E204" s="4"/>
      <c r="F204" s="3" t="str">
        <f>HYPERLINK("https://sitebase.nzcomms.co.nz/spm/spmcandidateview/AKL-007-016-B/","AKL-007-016-B")</f>
        <v>AKL-007-016-B</v>
      </c>
      <c r="G204" s="4" t="s">
        <v>785</v>
      </c>
      <c r="H204" s="4" t="s">
        <v>745</v>
      </c>
      <c r="I204" s="4"/>
      <c r="J204" s="4" t="s">
        <v>139</v>
      </c>
      <c r="K204" s="4" t="s">
        <v>141</v>
      </c>
      <c r="L204" s="4" t="s">
        <v>150</v>
      </c>
      <c r="M204" s="4" t="s">
        <v>354</v>
      </c>
      <c r="N204" s="4" t="s">
        <v>246</v>
      </c>
      <c r="O204" s="4" t="s">
        <v>144</v>
      </c>
      <c r="P204" s="4"/>
      <c r="Q204" s="4"/>
      <c r="R204" s="4">
        <v>15</v>
      </c>
      <c r="S204" s="4">
        <v>15</v>
      </c>
      <c r="T204" s="4"/>
      <c r="U204" s="4">
        <v>-36.90387827</v>
      </c>
      <c r="V204" s="4">
        <v>174.74145025000001</v>
      </c>
      <c r="W204" s="4"/>
      <c r="X204" s="4"/>
      <c r="Y204" s="4"/>
      <c r="Z204" s="4"/>
      <c r="AA204" s="4" t="s">
        <v>171</v>
      </c>
      <c r="AB204" s="3" t="str">
        <f>HYPERLINK("https://sitebase.nzcomms.co.nz/spm/spmcandidateview/AKL-007-112-A/","AKL-007-112-A")</f>
        <v>AKL-007-112-A</v>
      </c>
      <c r="AC204" s="4"/>
      <c r="AD204" s="4"/>
      <c r="AE204" s="4"/>
      <c r="AF204" s="4"/>
      <c r="AG204" s="4"/>
      <c r="AH204" s="4" t="s">
        <v>365</v>
      </c>
      <c r="AI204" s="4"/>
      <c r="AJ204" s="4"/>
      <c r="AK204" s="4"/>
      <c r="AL204" s="4"/>
      <c r="AM204" s="4"/>
      <c r="AN204" s="5">
        <v>39490</v>
      </c>
      <c r="AO204" s="4">
        <v>3</v>
      </c>
      <c r="AP204" s="5">
        <v>39869</v>
      </c>
      <c r="AQ204" s="5">
        <v>39869</v>
      </c>
      <c r="AR204" s="4"/>
      <c r="AS204" s="4"/>
      <c r="AT204" s="5">
        <v>39640</v>
      </c>
      <c r="AU204" s="5">
        <v>39777</v>
      </c>
      <c r="AV204" s="4">
        <v>1</v>
      </c>
      <c r="AW204" s="5">
        <v>39899</v>
      </c>
      <c r="AX204" s="5">
        <v>39892</v>
      </c>
      <c r="AY204" s="4"/>
      <c r="AZ204" s="4"/>
      <c r="BA204" s="4"/>
      <c r="BB204" s="5">
        <v>39913</v>
      </c>
      <c r="BC204" s="4"/>
      <c r="BD204" s="4"/>
      <c r="BE204" s="5">
        <v>39913</v>
      </c>
      <c r="BF204" s="5">
        <v>39910</v>
      </c>
      <c r="BG204" s="5">
        <v>39797</v>
      </c>
      <c r="BH204" s="5">
        <v>39800</v>
      </c>
      <c r="BI204" s="4"/>
      <c r="BJ204" s="5">
        <v>39843</v>
      </c>
      <c r="BK204" s="4">
        <v>3</v>
      </c>
      <c r="BL204" s="4">
        <v>3</v>
      </c>
      <c r="BM204" s="5">
        <v>39878</v>
      </c>
      <c r="BN204" s="5">
        <v>39938</v>
      </c>
      <c r="BO204" s="5">
        <v>39822</v>
      </c>
      <c r="BP204" s="4"/>
      <c r="BQ204" s="4"/>
      <c r="BR204" s="4"/>
      <c r="BS204" s="4"/>
      <c r="BT204" s="5">
        <v>39918</v>
      </c>
      <c r="BU204" s="5">
        <v>39918</v>
      </c>
      <c r="BV204" s="5">
        <v>39962</v>
      </c>
      <c r="BW204" s="5">
        <v>39959</v>
      </c>
      <c r="BX204" s="4"/>
      <c r="BY204" s="5">
        <v>39969</v>
      </c>
      <c r="BZ204" s="5">
        <v>39969</v>
      </c>
      <c r="CA204" s="4"/>
      <c r="CB204" s="4"/>
      <c r="CC204" s="4"/>
      <c r="CD204" s="4"/>
      <c r="CE204" s="4"/>
      <c r="CF204" s="4"/>
      <c r="CG204" s="4"/>
      <c r="CH204" s="4"/>
      <c r="CI204" s="5">
        <v>39982</v>
      </c>
      <c r="CJ204" s="5">
        <v>39983</v>
      </c>
      <c r="CK204" s="5">
        <v>39982</v>
      </c>
      <c r="CL204" s="4"/>
      <c r="CM204" s="4"/>
      <c r="CN204" s="4"/>
      <c r="CO204" s="4"/>
      <c r="CP204" s="4" t="s">
        <v>786</v>
      </c>
      <c r="CQ204" s="4"/>
      <c r="CR204" s="5">
        <v>39983</v>
      </c>
      <c r="CS204" s="4"/>
      <c r="CT204" s="4"/>
      <c r="CU204" s="4"/>
      <c r="CV204" s="4"/>
      <c r="CW204" s="4"/>
      <c r="CX204" s="5">
        <v>39822</v>
      </c>
      <c r="CY204" s="4"/>
      <c r="CZ204" s="4"/>
      <c r="DA204" s="4"/>
      <c r="DB204" s="4"/>
      <c r="DC204" s="4"/>
      <c r="DD204" s="4"/>
      <c r="DE204" s="4"/>
      <c r="DF204" s="4"/>
      <c r="DG204" s="4"/>
      <c r="DH204" s="4"/>
      <c r="DI204" s="4"/>
      <c r="DJ204" s="4" t="b">
        <v>0</v>
      </c>
      <c r="DK204" s="4"/>
      <c r="DL204" s="4">
        <v>2665572</v>
      </c>
      <c r="DM204" s="4">
        <v>6476076</v>
      </c>
      <c r="DN204" s="4" t="s">
        <v>787</v>
      </c>
      <c r="DO204" s="4"/>
      <c r="DP204" s="4"/>
      <c r="DQ204" s="4" t="s">
        <v>148</v>
      </c>
      <c r="DR204" s="4"/>
      <c r="DS204" s="4"/>
      <c r="DT204" s="5">
        <v>41806</v>
      </c>
      <c r="DU204" s="4"/>
      <c r="DV204" s="4"/>
      <c r="DW204" s="4"/>
      <c r="DX204" s="4"/>
      <c r="DY204" s="5">
        <v>39917</v>
      </c>
      <c r="DZ204" s="5">
        <v>39917</v>
      </c>
      <c r="EA204" s="4"/>
      <c r="EB204" s="4"/>
      <c r="EC204" s="4"/>
      <c r="ED204" s="4"/>
      <c r="EE204" s="4"/>
      <c r="EF204" s="4"/>
      <c r="EG204" s="4"/>
      <c r="EH204" s="4"/>
      <c r="EI204" s="5">
        <v>39465</v>
      </c>
    </row>
    <row r="205" spans="1:139" hidden="1" x14ac:dyDescent="0.2">
      <c r="A205">
        <f>VLOOKUP(B205,Sheet1!$A$1:$B$18,2,FALSE)</f>
        <v>0</v>
      </c>
      <c r="B205" t="str">
        <f t="shared" si="3"/>
        <v>AKL</v>
      </c>
      <c r="C205" s="2">
        <v>204</v>
      </c>
      <c r="D205" s="3" t="str">
        <f>HYPERLINK("https://sitebase.nzcomms.co.nz/spm/spmnominalview/AKL-007-018/","AKL-007-018")</f>
        <v>AKL-007-018</v>
      </c>
      <c r="E205" s="4"/>
      <c r="F205" s="3" t="str">
        <f>HYPERLINK("https://sitebase.nzcomms.co.nz/spm/spmcandidateview/AKL-007-018-F/","AKL-007-018-F")</f>
        <v>AKL-007-018-F</v>
      </c>
      <c r="G205" s="4" t="s">
        <v>788</v>
      </c>
      <c r="H205" s="4" t="s">
        <v>745</v>
      </c>
      <c r="I205" s="4"/>
      <c r="J205" s="4" t="s">
        <v>139</v>
      </c>
      <c r="K205" s="4" t="s">
        <v>141</v>
      </c>
      <c r="L205" s="4" t="s">
        <v>189</v>
      </c>
      <c r="M205" s="4" t="s">
        <v>463</v>
      </c>
      <c r="N205" s="4" t="s">
        <v>191</v>
      </c>
      <c r="O205" s="4" t="s">
        <v>356</v>
      </c>
      <c r="P205" s="4"/>
      <c r="Q205" s="4"/>
      <c r="R205" s="4">
        <v>14.4</v>
      </c>
      <c r="S205" s="4">
        <v>14.4</v>
      </c>
      <c r="T205" s="4"/>
      <c r="U205" s="4">
        <v>-36.88039405</v>
      </c>
      <c r="V205" s="4">
        <v>174.79585632000001</v>
      </c>
      <c r="W205" s="4"/>
      <c r="X205" s="4"/>
      <c r="Y205" s="4"/>
      <c r="Z205" s="4"/>
      <c r="AA205" s="4" t="s">
        <v>152</v>
      </c>
      <c r="AB205" s="3" t="str">
        <f>HYPERLINK("https://sitebase.nzcomms.co.nz/spm/spmcandidateview/AKL-007-106-A/","AKL-007-106-A")</f>
        <v>AKL-007-106-A</v>
      </c>
      <c r="AC205" s="4"/>
      <c r="AD205" s="4"/>
      <c r="AE205" s="4"/>
      <c r="AF205" s="4"/>
      <c r="AG205" s="4"/>
      <c r="AH205" s="4"/>
      <c r="AI205" s="4"/>
      <c r="AJ205" s="4"/>
      <c r="AK205" s="4"/>
      <c r="AL205" s="4"/>
      <c r="AM205" s="4"/>
      <c r="AN205" s="5">
        <v>39786</v>
      </c>
      <c r="AO205" s="4">
        <v>3</v>
      </c>
      <c r="AP205" s="5">
        <v>39822</v>
      </c>
      <c r="AQ205" s="5">
        <v>39822</v>
      </c>
      <c r="AR205" s="4"/>
      <c r="AS205" s="4"/>
      <c r="AT205" s="5">
        <v>39899</v>
      </c>
      <c r="AU205" s="5">
        <v>39899</v>
      </c>
      <c r="AV205" s="4">
        <v>2</v>
      </c>
      <c r="AW205" s="5">
        <v>39899</v>
      </c>
      <c r="AX205" s="5">
        <v>39899</v>
      </c>
      <c r="AY205" s="4"/>
      <c r="AZ205" s="4"/>
      <c r="BA205" s="4"/>
      <c r="BB205" s="5">
        <v>39903</v>
      </c>
      <c r="BC205" s="4"/>
      <c r="BD205" s="4"/>
      <c r="BE205" s="5">
        <v>39906</v>
      </c>
      <c r="BF205" s="5">
        <v>39910</v>
      </c>
      <c r="BG205" s="5">
        <v>39842</v>
      </c>
      <c r="BH205" s="5">
        <v>39835</v>
      </c>
      <c r="BI205" s="4"/>
      <c r="BJ205" s="5">
        <v>39853</v>
      </c>
      <c r="BK205" s="4">
        <v>1</v>
      </c>
      <c r="BL205" s="4">
        <v>3</v>
      </c>
      <c r="BM205" s="5">
        <v>39853</v>
      </c>
      <c r="BN205" s="5">
        <v>39853</v>
      </c>
      <c r="BO205" s="5">
        <v>39946</v>
      </c>
      <c r="BP205" s="4"/>
      <c r="BQ205" s="4"/>
      <c r="BR205" s="4"/>
      <c r="BS205" s="4"/>
      <c r="BT205" s="5">
        <v>39937</v>
      </c>
      <c r="BU205" s="5">
        <v>39937</v>
      </c>
      <c r="BV205" s="5">
        <v>39955</v>
      </c>
      <c r="BW205" s="5">
        <v>39955</v>
      </c>
      <c r="BX205" s="4"/>
      <c r="BY205" s="5">
        <v>39962</v>
      </c>
      <c r="BZ205" s="5">
        <v>39962</v>
      </c>
      <c r="CA205" s="4"/>
      <c r="CB205" s="4"/>
      <c r="CC205" s="4"/>
      <c r="CD205" s="4"/>
      <c r="CE205" s="4"/>
      <c r="CF205" s="4"/>
      <c r="CG205" s="4"/>
      <c r="CH205" s="4"/>
      <c r="CI205" s="5">
        <v>39976</v>
      </c>
      <c r="CJ205" s="5">
        <v>39976</v>
      </c>
      <c r="CK205" s="5">
        <v>39976</v>
      </c>
      <c r="CL205" s="4"/>
      <c r="CM205" s="4"/>
      <c r="CN205" s="4"/>
      <c r="CO205" s="4"/>
      <c r="CP205" s="4" t="s">
        <v>789</v>
      </c>
      <c r="CQ205" s="4"/>
      <c r="CR205" s="5">
        <v>39976</v>
      </c>
      <c r="CS205" s="4"/>
      <c r="CT205" s="4"/>
      <c r="CU205" s="4"/>
      <c r="CV205" s="4"/>
      <c r="CW205" s="5">
        <v>39939</v>
      </c>
      <c r="CX205" s="5">
        <v>39946</v>
      </c>
      <c r="CY205" s="4"/>
      <c r="CZ205" s="4"/>
      <c r="DA205" s="4"/>
      <c r="DB205" s="4"/>
      <c r="DC205" s="4"/>
      <c r="DD205" s="4"/>
      <c r="DE205" s="4"/>
      <c r="DF205" s="4"/>
      <c r="DG205" s="4"/>
      <c r="DH205" s="4"/>
      <c r="DI205" s="4"/>
      <c r="DJ205" s="4" t="b">
        <v>0</v>
      </c>
      <c r="DK205" s="4"/>
      <c r="DL205" s="4">
        <v>2670474</v>
      </c>
      <c r="DM205" s="4">
        <v>6478582</v>
      </c>
      <c r="DN205" s="4" t="s">
        <v>790</v>
      </c>
      <c r="DO205" s="4"/>
      <c r="DP205" s="4"/>
      <c r="DQ205" s="4" t="s">
        <v>148</v>
      </c>
      <c r="DR205" s="4"/>
      <c r="DS205" s="4"/>
      <c r="DT205" s="5">
        <v>41863</v>
      </c>
      <c r="DU205" s="4"/>
      <c r="DV205" s="4"/>
      <c r="DW205" s="4"/>
      <c r="DX205" s="4"/>
      <c r="DY205" s="5">
        <v>39937</v>
      </c>
      <c r="DZ205" s="5">
        <v>39937</v>
      </c>
      <c r="EA205" s="4"/>
      <c r="EB205" s="4"/>
      <c r="EC205" s="4"/>
      <c r="ED205" s="4"/>
      <c r="EE205" s="4"/>
      <c r="EF205" s="4"/>
      <c r="EG205" s="4"/>
      <c r="EH205" s="4"/>
      <c r="EI205" s="5">
        <v>39745</v>
      </c>
    </row>
    <row r="206" spans="1:139" hidden="1" x14ac:dyDescent="0.2">
      <c r="A206">
        <f>VLOOKUP(B206,Sheet1!$A$1:$B$18,2,FALSE)</f>
        <v>0</v>
      </c>
      <c r="B206" t="str">
        <f t="shared" si="3"/>
        <v>AKL</v>
      </c>
      <c r="C206" s="2">
        <v>205</v>
      </c>
      <c r="D206" s="3" t="str">
        <f>HYPERLINK("https://sitebase.nzcomms.co.nz/spm/spmnominalview/AKL-007-019/","AKL-007-019")</f>
        <v>AKL-007-019</v>
      </c>
      <c r="E206" s="4"/>
      <c r="F206" s="3" t="str">
        <f>HYPERLINK("https://sitebase.nzcomms.co.nz/spm/spmcandidateview/AKL-007-019-C/","AKL-007-019-C")</f>
        <v>AKL-007-019-C</v>
      </c>
      <c r="G206" s="4" t="s">
        <v>791</v>
      </c>
      <c r="H206" s="4" t="s">
        <v>745</v>
      </c>
      <c r="I206" s="4"/>
      <c r="J206" s="4" t="s">
        <v>139</v>
      </c>
      <c r="K206" s="4" t="s">
        <v>141</v>
      </c>
      <c r="L206" s="4" t="s">
        <v>142</v>
      </c>
      <c r="M206" s="4" t="s">
        <v>354</v>
      </c>
      <c r="N206" s="4" t="s">
        <v>142</v>
      </c>
      <c r="O206" s="4" t="s">
        <v>144</v>
      </c>
      <c r="P206" s="4"/>
      <c r="Q206" s="4" t="s">
        <v>142</v>
      </c>
      <c r="R206" s="4">
        <v>12</v>
      </c>
      <c r="S206" s="4">
        <v>12</v>
      </c>
      <c r="T206" s="4"/>
      <c r="U206" s="4">
        <v>-36.921395840000002</v>
      </c>
      <c r="V206" s="4">
        <v>174.71262725</v>
      </c>
      <c r="W206" s="4"/>
      <c r="X206" s="4"/>
      <c r="Y206" s="4"/>
      <c r="Z206" s="4"/>
      <c r="AA206" s="4" t="s">
        <v>152</v>
      </c>
      <c r="AB206" s="3" t="str">
        <f>HYPERLINK("https://sitebase.nzcomms.co.nz/spm/spmcandidateview/AKL-007-106-A/","AKL-007-106-A")</f>
        <v>AKL-007-106-A</v>
      </c>
      <c r="AC206" s="4"/>
      <c r="AD206" s="4"/>
      <c r="AE206" s="4"/>
      <c r="AF206" s="4"/>
      <c r="AG206" s="4"/>
      <c r="AH206" s="4"/>
      <c r="AI206" s="4"/>
      <c r="AJ206" s="4"/>
      <c r="AK206" s="4"/>
      <c r="AL206" s="4"/>
      <c r="AM206" s="4"/>
      <c r="AN206" s="5">
        <v>39402</v>
      </c>
      <c r="AO206" s="4">
        <v>4</v>
      </c>
      <c r="AP206" s="5">
        <v>39783</v>
      </c>
      <c r="AQ206" s="5">
        <v>39783</v>
      </c>
      <c r="AR206" s="4"/>
      <c r="AS206" s="4"/>
      <c r="AT206" s="5">
        <v>39904</v>
      </c>
      <c r="AU206" s="5">
        <v>39903</v>
      </c>
      <c r="AV206" s="4">
        <v>2</v>
      </c>
      <c r="AW206" s="5">
        <v>39906</v>
      </c>
      <c r="AX206" s="5">
        <v>39903</v>
      </c>
      <c r="AY206" s="4"/>
      <c r="AZ206" s="4"/>
      <c r="BA206" s="4"/>
      <c r="BB206" s="5">
        <v>39629</v>
      </c>
      <c r="BC206" s="4"/>
      <c r="BD206" s="4"/>
      <c r="BE206" s="5">
        <v>39871</v>
      </c>
      <c r="BF206" s="5">
        <v>39877</v>
      </c>
      <c r="BG206" s="4"/>
      <c r="BH206" s="5">
        <v>39519</v>
      </c>
      <c r="BI206" s="4"/>
      <c r="BJ206" s="5">
        <v>39588</v>
      </c>
      <c r="BK206" s="4">
        <v>3</v>
      </c>
      <c r="BL206" s="4"/>
      <c r="BM206" s="5">
        <v>39842</v>
      </c>
      <c r="BN206" s="5">
        <v>39842</v>
      </c>
      <c r="BO206" s="4"/>
      <c r="BP206" s="4"/>
      <c r="BQ206" s="4"/>
      <c r="BR206" s="4"/>
      <c r="BS206" s="4"/>
      <c r="BT206" s="5">
        <v>39899</v>
      </c>
      <c r="BU206" s="5">
        <v>39884</v>
      </c>
      <c r="BV206" s="5">
        <v>39906</v>
      </c>
      <c r="BW206" s="5">
        <v>39906</v>
      </c>
      <c r="BX206" s="4"/>
      <c r="BY206" s="5">
        <v>39933</v>
      </c>
      <c r="BZ206" s="5">
        <v>39933</v>
      </c>
      <c r="CA206" s="4"/>
      <c r="CB206" s="4"/>
      <c r="CC206" s="4"/>
      <c r="CD206" s="4"/>
      <c r="CE206" s="4"/>
      <c r="CF206" s="4"/>
      <c r="CG206" s="4"/>
      <c r="CH206" s="4"/>
      <c r="CI206" s="5">
        <v>39951</v>
      </c>
      <c r="CJ206" s="5">
        <v>39948</v>
      </c>
      <c r="CK206" s="5">
        <v>39951</v>
      </c>
      <c r="CL206" s="4"/>
      <c r="CM206" s="4"/>
      <c r="CN206" s="4"/>
      <c r="CO206" s="4"/>
      <c r="CP206" s="4" t="s">
        <v>792</v>
      </c>
      <c r="CQ206" s="4" t="s">
        <v>205</v>
      </c>
      <c r="CR206" s="5">
        <v>39948</v>
      </c>
      <c r="CS206" s="4"/>
      <c r="CT206" s="4"/>
      <c r="CU206" s="4"/>
      <c r="CV206" s="4"/>
      <c r="CW206" s="4"/>
      <c r="CX206" s="4"/>
      <c r="CY206" s="4"/>
      <c r="CZ206" s="4"/>
      <c r="DA206" s="4"/>
      <c r="DB206" s="4"/>
      <c r="DC206" s="4"/>
      <c r="DD206" s="4"/>
      <c r="DE206" s="4"/>
      <c r="DF206" s="4"/>
      <c r="DG206" s="4"/>
      <c r="DH206" s="4"/>
      <c r="DI206" s="4"/>
      <c r="DJ206" s="4" t="b">
        <v>0</v>
      </c>
      <c r="DK206" s="4"/>
      <c r="DL206" s="4">
        <v>2662965</v>
      </c>
      <c r="DM206" s="4">
        <v>6474184</v>
      </c>
      <c r="DN206" s="4" t="s">
        <v>793</v>
      </c>
      <c r="DO206" s="4"/>
      <c r="DP206" s="4"/>
      <c r="DQ206" s="4" t="s">
        <v>148</v>
      </c>
      <c r="DR206" s="4"/>
      <c r="DS206" s="4"/>
      <c r="DT206" s="5">
        <v>41863</v>
      </c>
      <c r="DU206" s="4"/>
      <c r="DV206" s="4"/>
      <c r="DW206" s="4"/>
      <c r="DX206" s="4"/>
      <c r="DY206" s="5">
        <v>39889</v>
      </c>
      <c r="DZ206" s="5">
        <v>39884</v>
      </c>
      <c r="EA206" s="4"/>
      <c r="EB206" s="4"/>
      <c r="EC206" s="4"/>
      <c r="ED206" s="4"/>
      <c r="EE206" s="4"/>
      <c r="EF206" s="4"/>
      <c r="EG206" s="4"/>
      <c r="EH206" s="4"/>
      <c r="EI206" s="5">
        <v>39386</v>
      </c>
    </row>
    <row r="207" spans="1:139" hidden="1" x14ac:dyDescent="0.2">
      <c r="A207">
        <f>VLOOKUP(B207,Sheet1!$A$1:$B$18,2,FALSE)</f>
        <v>0</v>
      </c>
      <c r="B207" t="str">
        <f t="shared" si="3"/>
        <v>AKL</v>
      </c>
      <c r="C207" s="2">
        <v>206</v>
      </c>
      <c r="D207" s="3" t="str">
        <f>HYPERLINK("https://sitebase.nzcomms.co.nz/spm/spmnominalview/AKL-007-020/","AKL-007-020")</f>
        <v>AKL-007-020</v>
      </c>
      <c r="E207" s="4"/>
      <c r="F207" s="3" t="str">
        <f>HYPERLINK("https://sitebase.nzcomms.co.nz/spm/spmcandidateview/AKL-007-020-A/","AKL-007-020-A")</f>
        <v>AKL-007-020-A</v>
      </c>
      <c r="G207" s="4" t="s">
        <v>794</v>
      </c>
      <c r="H207" s="4" t="s">
        <v>745</v>
      </c>
      <c r="I207" s="4"/>
      <c r="J207" s="4" t="s">
        <v>139</v>
      </c>
      <c r="K207" s="4" t="s">
        <v>141</v>
      </c>
      <c r="L207" s="4" t="s">
        <v>181</v>
      </c>
      <c r="M207" s="4" t="s">
        <v>378</v>
      </c>
      <c r="N207" s="4" t="s">
        <v>364</v>
      </c>
      <c r="O207" s="4" t="s">
        <v>144</v>
      </c>
      <c r="P207" s="4"/>
      <c r="Q207" s="4"/>
      <c r="R207" s="4">
        <v>10.3</v>
      </c>
      <c r="S207" s="4">
        <v>10.3</v>
      </c>
      <c r="T207" s="4"/>
      <c r="U207" s="4">
        <v>-36.876225259999998</v>
      </c>
      <c r="V207" s="4">
        <v>174.82607329999999</v>
      </c>
      <c r="W207" s="4"/>
      <c r="X207" s="4"/>
      <c r="Y207" s="4"/>
      <c r="Z207" s="4"/>
      <c r="AA207" s="4" t="s">
        <v>171</v>
      </c>
      <c r="AB207" s="3" t="str">
        <f>HYPERLINK("https://sitebase.nzcomms.co.nz/spm/spmcandidateview/AKL-007-106-A/","AKL-007-106-A")</f>
        <v>AKL-007-106-A</v>
      </c>
      <c r="AC207" s="4"/>
      <c r="AD207" s="4"/>
      <c r="AE207" s="4"/>
      <c r="AF207" s="4"/>
      <c r="AG207" s="4"/>
      <c r="AH207" s="4" t="s">
        <v>365</v>
      </c>
      <c r="AI207" s="4"/>
      <c r="AJ207" s="4"/>
      <c r="AK207" s="4"/>
      <c r="AL207" s="4"/>
      <c r="AM207" s="4"/>
      <c r="AN207" s="5">
        <v>39527</v>
      </c>
      <c r="AO207" s="4">
        <v>10</v>
      </c>
      <c r="AP207" s="5">
        <v>39927</v>
      </c>
      <c r="AQ207" s="5">
        <v>40025</v>
      </c>
      <c r="AR207" s="4"/>
      <c r="AS207" s="4"/>
      <c r="AT207" s="5">
        <v>39496</v>
      </c>
      <c r="AU207" s="5">
        <v>39496</v>
      </c>
      <c r="AV207" s="4">
        <v>7</v>
      </c>
      <c r="AW207" s="5">
        <v>39496</v>
      </c>
      <c r="AX207" s="5">
        <v>40039</v>
      </c>
      <c r="AY207" s="4"/>
      <c r="AZ207" s="4"/>
      <c r="BA207" s="4"/>
      <c r="BB207" s="5">
        <v>39780</v>
      </c>
      <c r="BC207" s="4"/>
      <c r="BD207" s="4"/>
      <c r="BE207" s="5">
        <v>40056</v>
      </c>
      <c r="BF207" s="5">
        <v>39973</v>
      </c>
      <c r="BG207" s="5">
        <v>39798</v>
      </c>
      <c r="BH207" s="5">
        <v>39535</v>
      </c>
      <c r="BI207" s="4"/>
      <c r="BJ207" s="5">
        <v>39582</v>
      </c>
      <c r="BK207" s="4">
        <v>4</v>
      </c>
      <c r="BL207" s="4">
        <v>9</v>
      </c>
      <c r="BM207" s="5">
        <v>39829</v>
      </c>
      <c r="BN207" s="5">
        <v>40009</v>
      </c>
      <c r="BO207" s="4"/>
      <c r="BP207" s="4"/>
      <c r="BQ207" s="4"/>
      <c r="BR207" s="4"/>
      <c r="BS207" s="4"/>
      <c r="BT207" s="5">
        <v>39909</v>
      </c>
      <c r="BU207" s="5">
        <v>39909</v>
      </c>
      <c r="BV207" s="5">
        <v>39932</v>
      </c>
      <c r="BW207" s="5">
        <v>39931</v>
      </c>
      <c r="BX207" s="4"/>
      <c r="BY207" s="5">
        <v>40039</v>
      </c>
      <c r="BZ207" s="5">
        <v>40039</v>
      </c>
      <c r="CA207" s="4"/>
      <c r="CB207" s="4"/>
      <c r="CC207" s="4"/>
      <c r="CD207" s="4"/>
      <c r="CE207" s="4"/>
      <c r="CF207" s="4"/>
      <c r="CG207" s="4"/>
      <c r="CH207" s="4"/>
      <c r="CI207" s="5">
        <v>40045</v>
      </c>
      <c r="CJ207" s="5">
        <v>40044</v>
      </c>
      <c r="CK207" s="5">
        <v>40045</v>
      </c>
      <c r="CL207" s="4"/>
      <c r="CM207" s="4"/>
      <c r="CN207" s="4"/>
      <c r="CO207" s="4"/>
      <c r="CP207" s="4" t="s">
        <v>157</v>
      </c>
      <c r="CQ207" s="4"/>
      <c r="CR207" s="5">
        <v>40044</v>
      </c>
      <c r="CS207" s="4"/>
      <c r="CT207" s="4"/>
      <c r="CU207" s="4"/>
      <c r="CV207" s="4"/>
      <c r="CW207" s="4"/>
      <c r="CX207" s="4"/>
      <c r="CY207" s="4"/>
      <c r="CZ207" s="4"/>
      <c r="DA207" s="4"/>
      <c r="DB207" s="4"/>
      <c r="DC207" s="4"/>
      <c r="DD207" s="4"/>
      <c r="DE207" s="4"/>
      <c r="DF207" s="4"/>
      <c r="DG207" s="4"/>
      <c r="DH207" s="4"/>
      <c r="DI207" s="4"/>
      <c r="DJ207" s="4" t="b">
        <v>0</v>
      </c>
      <c r="DK207" s="4"/>
      <c r="DL207" s="4">
        <v>2673177</v>
      </c>
      <c r="DM207" s="4">
        <v>6478988</v>
      </c>
      <c r="DN207" s="4" t="s">
        <v>795</v>
      </c>
      <c r="DO207" s="4"/>
      <c r="DP207" s="4"/>
      <c r="DQ207" s="4" t="s">
        <v>148</v>
      </c>
      <c r="DR207" s="4"/>
      <c r="DS207" s="4"/>
      <c r="DT207" s="5">
        <v>41863</v>
      </c>
      <c r="DU207" s="4"/>
      <c r="DV207" s="4"/>
      <c r="DW207" s="4"/>
      <c r="DX207" s="4"/>
      <c r="DY207" s="5">
        <v>39909</v>
      </c>
      <c r="DZ207" s="5">
        <v>39909</v>
      </c>
      <c r="EA207" s="4"/>
      <c r="EB207" s="4"/>
      <c r="EC207" s="4"/>
      <c r="ED207" s="4"/>
      <c r="EE207" s="4"/>
      <c r="EF207" s="4"/>
      <c r="EG207" s="4"/>
      <c r="EH207" s="4"/>
      <c r="EI207" s="5">
        <v>39469</v>
      </c>
    </row>
    <row r="208" spans="1:139" hidden="1" x14ac:dyDescent="0.2">
      <c r="A208">
        <f>VLOOKUP(B208,Sheet1!$A$1:$B$18,2,FALSE)</f>
        <v>0</v>
      </c>
      <c r="B208" t="str">
        <f t="shared" si="3"/>
        <v>AKL</v>
      </c>
      <c r="C208" s="2">
        <v>207</v>
      </c>
      <c r="D208" s="3" t="str">
        <f>HYPERLINK("https://sitebase.nzcomms.co.nz/spm/spmnominalview/AKL-007-021/","AKL-007-021")</f>
        <v>AKL-007-021</v>
      </c>
      <c r="E208" s="4"/>
      <c r="F208" s="3" t="str">
        <f>HYPERLINK("https://sitebase.nzcomms.co.nz/spm/spmcandidateview/AKL-007-021-E/","AKL-007-021-E")</f>
        <v>AKL-007-021-E</v>
      </c>
      <c r="G208" s="4" t="s">
        <v>796</v>
      </c>
      <c r="H208" s="4" t="s">
        <v>745</v>
      </c>
      <c r="I208" s="4"/>
      <c r="J208" s="4" t="s">
        <v>139</v>
      </c>
      <c r="K208" s="4" t="s">
        <v>141</v>
      </c>
      <c r="L208" s="4" t="s">
        <v>150</v>
      </c>
      <c r="M208" s="4" t="s">
        <v>354</v>
      </c>
      <c r="N208" s="4" t="s">
        <v>246</v>
      </c>
      <c r="O208" s="4" t="s">
        <v>144</v>
      </c>
      <c r="P208" s="4"/>
      <c r="Q208" s="4"/>
      <c r="R208" s="4">
        <v>15</v>
      </c>
      <c r="S208" s="4">
        <v>15</v>
      </c>
      <c r="T208" s="4"/>
      <c r="U208" s="4">
        <v>-36.912991859999998</v>
      </c>
      <c r="V208" s="4">
        <v>174.84551708000001</v>
      </c>
      <c r="W208" s="4"/>
      <c r="X208" s="4"/>
      <c r="Y208" s="4"/>
      <c r="Z208" s="4"/>
      <c r="AA208" s="4" t="s">
        <v>171</v>
      </c>
      <c r="AB208" s="3" t="str">
        <f>HYPERLINK("https://sitebase.nzcomms.co.nz/spm/spmcandidateview/AKL-008-014-C/","AKL-008-014-C")</f>
        <v>AKL-008-014-C</v>
      </c>
      <c r="AC208" s="4"/>
      <c r="AD208" s="4"/>
      <c r="AE208" s="4"/>
      <c r="AF208" s="4"/>
      <c r="AG208" s="4"/>
      <c r="AH208" s="4" t="s">
        <v>505</v>
      </c>
      <c r="AI208" s="4"/>
      <c r="AJ208" s="4"/>
      <c r="AK208" s="4"/>
      <c r="AL208" s="4"/>
      <c r="AM208" s="4"/>
      <c r="AN208" s="5">
        <v>39520</v>
      </c>
      <c r="AO208" s="4">
        <v>4</v>
      </c>
      <c r="AP208" s="4"/>
      <c r="AQ208" s="5">
        <v>42339</v>
      </c>
      <c r="AR208" s="4"/>
      <c r="AS208" s="4"/>
      <c r="AT208" s="5">
        <v>39500</v>
      </c>
      <c r="AU208" s="5">
        <v>39500</v>
      </c>
      <c r="AV208" s="4">
        <v>2</v>
      </c>
      <c r="AW208" s="5">
        <v>39500</v>
      </c>
      <c r="AX208" s="5">
        <v>39500</v>
      </c>
      <c r="AY208" s="4"/>
      <c r="AZ208" s="4"/>
      <c r="BA208" s="4"/>
      <c r="BB208" s="5">
        <v>39647</v>
      </c>
      <c r="BC208" s="4"/>
      <c r="BD208" s="4"/>
      <c r="BE208" s="5">
        <v>39647</v>
      </c>
      <c r="BF208" s="5">
        <v>39647</v>
      </c>
      <c r="BG208" s="4"/>
      <c r="BH208" s="5">
        <v>39521</v>
      </c>
      <c r="BI208" s="4"/>
      <c r="BJ208" s="5">
        <v>39769</v>
      </c>
      <c r="BK208" s="4">
        <v>2</v>
      </c>
      <c r="BL208" s="4">
        <v>2</v>
      </c>
      <c r="BM208" s="5">
        <v>39832</v>
      </c>
      <c r="BN208" s="5">
        <v>39832</v>
      </c>
      <c r="BO208" s="5">
        <v>39797</v>
      </c>
      <c r="BP208" s="4"/>
      <c r="BQ208" s="4"/>
      <c r="BR208" s="4"/>
      <c r="BS208" s="4"/>
      <c r="BT208" s="4"/>
      <c r="BU208" s="5">
        <v>39797</v>
      </c>
      <c r="BV208" s="5">
        <v>39842</v>
      </c>
      <c r="BW208" s="5">
        <v>39842</v>
      </c>
      <c r="BX208" s="4"/>
      <c r="BY208" s="5">
        <v>39843</v>
      </c>
      <c r="BZ208" s="5">
        <v>39815</v>
      </c>
      <c r="CA208" s="4"/>
      <c r="CB208" s="4"/>
      <c r="CC208" s="4"/>
      <c r="CD208" s="4"/>
      <c r="CE208" s="4"/>
      <c r="CF208" s="4"/>
      <c r="CG208" s="4"/>
      <c r="CH208" s="4"/>
      <c r="CI208" s="5">
        <v>39958</v>
      </c>
      <c r="CJ208" s="5">
        <v>39959</v>
      </c>
      <c r="CK208" s="5">
        <v>39958</v>
      </c>
      <c r="CL208" s="4"/>
      <c r="CM208" s="4"/>
      <c r="CN208" s="4"/>
      <c r="CO208" s="4"/>
      <c r="CP208" s="4" t="s">
        <v>157</v>
      </c>
      <c r="CQ208" s="4"/>
      <c r="CR208" s="5">
        <v>39959</v>
      </c>
      <c r="CS208" s="4"/>
      <c r="CT208" s="4"/>
      <c r="CU208" s="4"/>
      <c r="CV208" s="4"/>
      <c r="CW208" s="4"/>
      <c r="CX208" s="5">
        <v>39797</v>
      </c>
      <c r="CY208" s="4"/>
      <c r="CZ208" s="4"/>
      <c r="DA208" s="4"/>
      <c r="DB208" s="4"/>
      <c r="DC208" s="4"/>
      <c r="DD208" s="4"/>
      <c r="DE208" s="4"/>
      <c r="DF208" s="4"/>
      <c r="DG208" s="4"/>
      <c r="DH208" s="4"/>
      <c r="DI208" s="4"/>
      <c r="DJ208" s="4" t="b">
        <v>0</v>
      </c>
      <c r="DK208" s="4"/>
      <c r="DL208" s="4">
        <v>2674823</v>
      </c>
      <c r="DM208" s="4">
        <v>6474872</v>
      </c>
      <c r="DN208" s="4" t="s">
        <v>797</v>
      </c>
      <c r="DO208" s="4"/>
      <c r="DP208" s="4"/>
      <c r="DQ208" s="4" t="s">
        <v>148</v>
      </c>
      <c r="DR208" s="4"/>
      <c r="DS208" s="4"/>
      <c r="DT208" s="5">
        <v>41863</v>
      </c>
      <c r="DU208" s="4"/>
      <c r="DV208" s="4"/>
      <c r="DW208" s="4"/>
      <c r="DX208" s="4"/>
      <c r="DY208" s="4"/>
      <c r="DZ208" s="5">
        <v>39776</v>
      </c>
      <c r="EA208" s="4"/>
      <c r="EB208" s="4"/>
      <c r="EC208" s="4"/>
      <c r="ED208" s="4"/>
      <c r="EE208" s="4"/>
      <c r="EF208" s="4"/>
      <c r="EG208" s="4"/>
      <c r="EH208" s="4"/>
      <c r="EI208" s="5">
        <v>39471</v>
      </c>
    </row>
    <row r="209" spans="1:139" hidden="1" x14ac:dyDescent="0.2">
      <c r="A209">
        <f>VLOOKUP(B209,Sheet1!$A$1:$B$18,2,FALSE)</f>
        <v>0</v>
      </c>
      <c r="B209" t="str">
        <f t="shared" si="3"/>
        <v>AKL</v>
      </c>
      <c r="C209" s="2">
        <v>208</v>
      </c>
      <c r="D209" s="3" t="str">
        <f>HYPERLINK("https://sitebase.nzcomms.co.nz/spm/spmnominalview/AKL-007-022/","AKL-007-022")</f>
        <v>AKL-007-022</v>
      </c>
      <c r="E209" s="4"/>
      <c r="F209" s="3" t="str">
        <f>HYPERLINK("https://sitebase.nzcomms.co.nz/spm/spmcandidateview/AKL-007-022-B/","AKL-007-022-B")</f>
        <v>AKL-007-022-B</v>
      </c>
      <c r="G209" s="4" t="s">
        <v>798</v>
      </c>
      <c r="H209" s="4" t="s">
        <v>745</v>
      </c>
      <c r="I209" s="4"/>
      <c r="J209" s="4" t="s">
        <v>139</v>
      </c>
      <c r="K209" s="4" t="s">
        <v>141</v>
      </c>
      <c r="L209" s="4" t="s">
        <v>181</v>
      </c>
      <c r="M209" s="4" t="s">
        <v>378</v>
      </c>
      <c r="N209" s="4" t="s">
        <v>364</v>
      </c>
      <c r="O209" s="4" t="s">
        <v>144</v>
      </c>
      <c r="P209" s="4"/>
      <c r="Q209" s="4"/>
      <c r="R209" s="4">
        <v>18.8</v>
      </c>
      <c r="S209" s="4">
        <v>18.8</v>
      </c>
      <c r="T209" s="4"/>
      <c r="U209" s="4">
        <v>-36.85228901</v>
      </c>
      <c r="V209" s="4">
        <v>174.78301521</v>
      </c>
      <c r="W209" s="4"/>
      <c r="X209" s="4"/>
      <c r="Y209" s="4"/>
      <c r="Z209" s="4"/>
      <c r="AA209" s="4" t="s">
        <v>171</v>
      </c>
      <c r="AB209" s="3" t="str">
        <f>HYPERLINK("https://sitebase.nzcomms.co.nz/spm/spmcandidateview/AKL-007-042-A/","AKL-007-042-A")</f>
        <v>AKL-007-042-A</v>
      </c>
      <c r="AC209" s="4"/>
      <c r="AD209" s="4"/>
      <c r="AE209" s="4"/>
      <c r="AF209" s="4"/>
      <c r="AG209" s="4"/>
      <c r="AH209" s="4" t="s">
        <v>360</v>
      </c>
      <c r="AI209" s="4"/>
      <c r="AJ209" s="4"/>
      <c r="AK209" s="4"/>
      <c r="AL209" s="4"/>
      <c r="AM209" s="4"/>
      <c r="AN209" s="5">
        <v>39353</v>
      </c>
      <c r="AO209" s="4">
        <v>4</v>
      </c>
      <c r="AP209" s="5">
        <v>39892</v>
      </c>
      <c r="AQ209" s="5">
        <v>39881</v>
      </c>
      <c r="AR209" s="4"/>
      <c r="AS209" s="4"/>
      <c r="AT209" s="5">
        <v>39416</v>
      </c>
      <c r="AU209" s="5">
        <v>39416</v>
      </c>
      <c r="AV209" s="4">
        <v>2</v>
      </c>
      <c r="AW209" s="5">
        <v>39899</v>
      </c>
      <c r="AX209" s="5">
        <v>39892</v>
      </c>
      <c r="AY209" s="4"/>
      <c r="AZ209" s="4"/>
      <c r="BA209" s="4"/>
      <c r="BB209" s="5">
        <v>39629</v>
      </c>
      <c r="BC209" s="4"/>
      <c r="BD209" s="4"/>
      <c r="BE209" s="5">
        <v>39903</v>
      </c>
      <c r="BF209" s="5">
        <v>39912</v>
      </c>
      <c r="BG209" s="4"/>
      <c r="BH209" s="5">
        <v>39373</v>
      </c>
      <c r="BI209" s="4"/>
      <c r="BJ209" s="5">
        <v>39414</v>
      </c>
      <c r="BK209" s="4">
        <v>6</v>
      </c>
      <c r="BL209" s="4">
        <v>4</v>
      </c>
      <c r="BM209" s="5">
        <v>39896</v>
      </c>
      <c r="BN209" s="5">
        <v>39904</v>
      </c>
      <c r="BO209" s="4"/>
      <c r="BP209" s="4"/>
      <c r="BQ209" s="4"/>
      <c r="BR209" s="4"/>
      <c r="BS209" s="4"/>
      <c r="BT209" s="4"/>
      <c r="BU209" s="5">
        <v>39652</v>
      </c>
      <c r="BV209" s="5">
        <v>39675</v>
      </c>
      <c r="BW209" s="5">
        <v>39680</v>
      </c>
      <c r="BX209" s="4"/>
      <c r="BY209" s="5">
        <v>39689</v>
      </c>
      <c r="BZ209" s="5">
        <v>39683</v>
      </c>
      <c r="CA209" s="4"/>
      <c r="CB209" s="4"/>
      <c r="CC209" s="4"/>
      <c r="CD209" s="4"/>
      <c r="CE209" s="4"/>
      <c r="CF209" s="4"/>
      <c r="CG209" s="4"/>
      <c r="CH209" s="4"/>
      <c r="CI209" s="5">
        <v>39962</v>
      </c>
      <c r="CJ209" s="5">
        <v>39961</v>
      </c>
      <c r="CK209" s="5">
        <v>39962</v>
      </c>
      <c r="CL209" s="4"/>
      <c r="CM209" s="4"/>
      <c r="CN209" s="4"/>
      <c r="CO209" s="4"/>
      <c r="CP209" s="4" t="s">
        <v>765</v>
      </c>
      <c r="CQ209" s="4"/>
      <c r="CR209" s="5">
        <v>39961</v>
      </c>
      <c r="CS209" s="4"/>
      <c r="CT209" s="4"/>
      <c r="CU209" s="4"/>
      <c r="CV209" s="4"/>
      <c r="CW209" s="4"/>
      <c r="CX209" s="4"/>
      <c r="CY209" s="4"/>
      <c r="CZ209" s="4"/>
      <c r="DA209" s="4"/>
      <c r="DB209" s="4"/>
      <c r="DC209" s="4"/>
      <c r="DD209" s="4"/>
      <c r="DE209" s="4"/>
      <c r="DF209" s="4"/>
      <c r="DG209" s="4"/>
      <c r="DH209" s="4"/>
      <c r="DI209" s="4"/>
      <c r="DJ209" s="4" t="b">
        <v>0</v>
      </c>
      <c r="DK209" s="4"/>
      <c r="DL209" s="4">
        <v>2669394</v>
      </c>
      <c r="DM209" s="4">
        <v>6481724</v>
      </c>
      <c r="DN209" s="4" t="s">
        <v>799</v>
      </c>
      <c r="DO209" s="4"/>
      <c r="DP209" s="4"/>
      <c r="DQ209" s="4" t="s">
        <v>148</v>
      </c>
      <c r="DR209" s="4"/>
      <c r="DS209" s="4"/>
      <c r="DT209" s="5">
        <v>41806</v>
      </c>
      <c r="DU209" s="4"/>
      <c r="DV209" s="4"/>
      <c r="DW209" s="4"/>
      <c r="DX209" s="4"/>
      <c r="DY209" s="4"/>
      <c r="DZ209" s="5">
        <v>39623</v>
      </c>
      <c r="EA209" s="4"/>
      <c r="EB209" s="4"/>
      <c r="EC209" s="4"/>
      <c r="ED209" s="4"/>
      <c r="EE209" s="4"/>
      <c r="EF209" s="4"/>
      <c r="EG209" s="4"/>
      <c r="EH209" s="4"/>
      <c r="EI209" s="5">
        <v>39265</v>
      </c>
    </row>
    <row r="210" spans="1:139" hidden="1" x14ac:dyDescent="0.2">
      <c r="A210">
        <f>VLOOKUP(B210,Sheet1!$A$1:$B$18,2,FALSE)</f>
        <v>0</v>
      </c>
      <c r="B210" t="str">
        <f t="shared" si="3"/>
        <v>AKL</v>
      </c>
      <c r="C210" s="2">
        <v>209</v>
      </c>
      <c r="D210" s="3" t="str">
        <f>HYPERLINK("https://sitebase.nzcomms.co.nz/spm/spmnominalview/AKL-007-023/","AKL-007-023")</f>
        <v>AKL-007-023</v>
      </c>
      <c r="E210" s="4"/>
      <c r="F210" s="3" t="str">
        <f>HYPERLINK("https://sitebase.nzcomms.co.nz/spm/spmcandidateview/AKL-007-023-C/","AKL-007-023-C")</f>
        <v>AKL-007-023-C</v>
      </c>
      <c r="G210" s="4" t="s">
        <v>800</v>
      </c>
      <c r="H210" s="4" t="s">
        <v>745</v>
      </c>
      <c r="I210" s="4"/>
      <c r="J210" s="4" t="s">
        <v>139</v>
      </c>
      <c r="K210" s="4" t="s">
        <v>141</v>
      </c>
      <c r="L210" s="4" t="s">
        <v>181</v>
      </c>
      <c r="M210" s="4" t="s">
        <v>378</v>
      </c>
      <c r="N210" s="4" t="s">
        <v>364</v>
      </c>
      <c r="O210" s="4" t="s">
        <v>144</v>
      </c>
      <c r="P210" s="4"/>
      <c r="Q210" s="4"/>
      <c r="R210" s="4">
        <v>38</v>
      </c>
      <c r="S210" s="4">
        <v>38</v>
      </c>
      <c r="T210" s="4"/>
      <c r="U210" s="4">
        <v>-36.848561590000003</v>
      </c>
      <c r="V210" s="4">
        <v>174.77408191999999</v>
      </c>
      <c r="W210" s="4"/>
      <c r="X210" s="4"/>
      <c r="Y210" s="4"/>
      <c r="Z210" s="4"/>
      <c r="AA210" s="4" t="s">
        <v>171</v>
      </c>
      <c r="AB210" s="3" t="str">
        <f>HYPERLINK("https://sitebase.nzcomms.co.nz/spm/spmcandidateview/AKL-007-085-A/","AKL-007-085-A")</f>
        <v>AKL-007-085-A</v>
      </c>
      <c r="AC210" s="4"/>
      <c r="AD210" s="4"/>
      <c r="AE210" s="4"/>
      <c r="AF210" s="4"/>
      <c r="AG210" s="4"/>
      <c r="AH210" s="4" t="s">
        <v>360</v>
      </c>
      <c r="AI210" s="4"/>
      <c r="AJ210" s="4"/>
      <c r="AK210" s="4"/>
      <c r="AL210" s="4"/>
      <c r="AM210" s="4"/>
      <c r="AN210" s="5">
        <v>39286</v>
      </c>
      <c r="AO210" s="4">
        <v>4</v>
      </c>
      <c r="AP210" s="4"/>
      <c r="AQ210" s="5">
        <v>42254</v>
      </c>
      <c r="AR210" s="4"/>
      <c r="AS210" s="4"/>
      <c r="AT210" s="5">
        <v>39352</v>
      </c>
      <c r="AU210" s="5">
        <v>39352</v>
      </c>
      <c r="AV210" s="4">
        <v>1</v>
      </c>
      <c r="AW210" s="5">
        <v>39352</v>
      </c>
      <c r="AX210" s="5">
        <v>39352</v>
      </c>
      <c r="AY210" s="4"/>
      <c r="AZ210" s="4"/>
      <c r="BA210" s="4"/>
      <c r="BB210" s="5">
        <v>39360</v>
      </c>
      <c r="BC210" s="4"/>
      <c r="BD210" s="4"/>
      <c r="BE210" s="5">
        <v>39360</v>
      </c>
      <c r="BF210" s="5">
        <v>39360</v>
      </c>
      <c r="BG210" s="4"/>
      <c r="BH210" s="5">
        <v>39468</v>
      </c>
      <c r="BI210" s="4"/>
      <c r="BJ210" s="5">
        <v>39346</v>
      </c>
      <c r="BK210" s="4">
        <v>4</v>
      </c>
      <c r="BL210" s="4"/>
      <c r="BM210" s="5">
        <v>39346</v>
      </c>
      <c r="BN210" s="5">
        <v>42319</v>
      </c>
      <c r="BO210" s="4"/>
      <c r="BP210" s="4"/>
      <c r="BQ210" s="4"/>
      <c r="BR210" s="4"/>
      <c r="BS210" s="4"/>
      <c r="BT210" s="4"/>
      <c r="BU210" s="5">
        <v>39409</v>
      </c>
      <c r="BV210" s="5">
        <v>39427</v>
      </c>
      <c r="BW210" s="5">
        <v>39427</v>
      </c>
      <c r="BX210" s="4"/>
      <c r="BY210" s="5">
        <v>39462</v>
      </c>
      <c r="BZ210" s="5">
        <v>39462</v>
      </c>
      <c r="CA210" s="4"/>
      <c r="CB210" s="4"/>
      <c r="CC210" s="4"/>
      <c r="CD210" s="4"/>
      <c r="CE210" s="4"/>
      <c r="CF210" s="4"/>
      <c r="CG210" s="4"/>
      <c r="CH210" s="4"/>
      <c r="CI210" s="5">
        <v>39482</v>
      </c>
      <c r="CJ210" s="4"/>
      <c r="CK210" s="5">
        <v>39482</v>
      </c>
      <c r="CL210" s="4"/>
      <c r="CM210" s="4"/>
      <c r="CN210" s="4"/>
      <c r="CO210" s="4"/>
      <c r="CP210" s="4" t="s">
        <v>801</v>
      </c>
      <c r="CQ210" s="4"/>
      <c r="CR210" s="5">
        <v>39482</v>
      </c>
      <c r="CS210" s="4"/>
      <c r="CT210" s="4"/>
      <c r="CU210" s="4"/>
      <c r="CV210" s="4"/>
      <c r="CW210" s="4"/>
      <c r="CX210" s="4"/>
      <c r="CY210" s="4"/>
      <c r="CZ210" s="4"/>
      <c r="DA210" s="4"/>
      <c r="DB210" s="4"/>
      <c r="DC210" s="4"/>
      <c r="DD210" s="4"/>
      <c r="DE210" s="4"/>
      <c r="DF210" s="4"/>
      <c r="DG210" s="4"/>
      <c r="DH210" s="4"/>
      <c r="DI210" s="4"/>
      <c r="DJ210" s="4" t="b">
        <v>0</v>
      </c>
      <c r="DK210" s="4"/>
      <c r="DL210" s="4">
        <v>2668606</v>
      </c>
      <c r="DM210" s="4">
        <v>6482154</v>
      </c>
      <c r="DN210" s="4" t="s">
        <v>802</v>
      </c>
      <c r="DO210" s="4"/>
      <c r="DP210" s="4"/>
      <c r="DQ210" s="4" t="s">
        <v>148</v>
      </c>
      <c r="DR210" s="4"/>
      <c r="DS210" s="4"/>
      <c r="DT210" s="5">
        <v>41806</v>
      </c>
      <c r="DU210" s="4"/>
      <c r="DV210" s="4"/>
      <c r="DW210" s="4"/>
      <c r="DX210" s="4"/>
      <c r="DY210" s="4"/>
      <c r="DZ210" s="5">
        <v>39409</v>
      </c>
      <c r="EA210" s="4"/>
      <c r="EB210" s="4"/>
      <c r="EC210" s="4"/>
      <c r="ED210" s="4"/>
      <c r="EE210" s="4"/>
      <c r="EF210" s="4"/>
      <c r="EG210" s="4"/>
      <c r="EH210" s="4"/>
      <c r="EI210" s="5">
        <v>39265</v>
      </c>
    </row>
    <row r="211" spans="1:139" hidden="1" x14ac:dyDescent="0.2">
      <c r="A211">
        <f>VLOOKUP(B211,Sheet1!$A$1:$B$18,2,FALSE)</f>
        <v>0</v>
      </c>
      <c r="B211" t="str">
        <f t="shared" si="3"/>
        <v>AKL</v>
      </c>
      <c r="C211" s="2">
        <v>210</v>
      </c>
      <c r="D211" s="3" t="str">
        <f>HYPERLINK("https://sitebase.nzcomms.co.nz/spm/spmnominalview/AKL-007-024/","AKL-007-024")</f>
        <v>AKL-007-024</v>
      </c>
      <c r="E211" s="4"/>
      <c r="F211" s="3" t="str">
        <f>HYPERLINK("https://sitebase.nzcomms.co.nz/spm/spmcandidateview/AKL-007-024-D/","AKL-007-024-D")</f>
        <v>AKL-007-024-D</v>
      </c>
      <c r="G211" s="4" t="s">
        <v>803</v>
      </c>
      <c r="H211" s="4" t="s">
        <v>745</v>
      </c>
      <c r="I211" s="4"/>
      <c r="J211" s="4" t="s">
        <v>139</v>
      </c>
      <c r="K211" s="4" t="s">
        <v>141</v>
      </c>
      <c r="L211" s="4" t="s">
        <v>181</v>
      </c>
      <c r="M211" s="4" t="s">
        <v>804</v>
      </c>
      <c r="N211" s="4" t="s">
        <v>364</v>
      </c>
      <c r="O211" s="4" t="s">
        <v>144</v>
      </c>
      <c r="P211" s="4"/>
      <c r="Q211" s="4"/>
      <c r="R211" s="4">
        <v>1</v>
      </c>
      <c r="S211" s="4">
        <v>1</v>
      </c>
      <c r="T211" s="4"/>
      <c r="U211" s="4">
        <v>-36.84526365</v>
      </c>
      <c r="V211" s="4">
        <v>174.76037198</v>
      </c>
      <c r="W211" s="4"/>
      <c r="X211" s="4"/>
      <c r="Y211" s="4"/>
      <c r="Z211" s="4"/>
      <c r="AA211" s="4"/>
      <c r="AB211" s="4"/>
      <c r="AC211" s="4"/>
      <c r="AD211" s="4"/>
      <c r="AE211" s="4"/>
      <c r="AF211" s="4"/>
      <c r="AG211" s="4"/>
      <c r="AH211" s="4"/>
      <c r="AI211" s="4"/>
      <c r="AJ211" s="4"/>
      <c r="AK211" s="4"/>
      <c r="AL211" s="4"/>
      <c r="AM211" s="4"/>
      <c r="AN211" s="5">
        <v>39337</v>
      </c>
      <c r="AO211" s="4">
        <v>7</v>
      </c>
      <c r="AP211" s="5">
        <v>39631</v>
      </c>
      <c r="AQ211" s="5">
        <v>42116</v>
      </c>
      <c r="AR211" s="4"/>
      <c r="AS211" s="4"/>
      <c r="AT211" s="5">
        <v>39609</v>
      </c>
      <c r="AU211" s="5">
        <v>39520</v>
      </c>
      <c r="AV211" s="4">
        <v>4</v>
      </c>
      <c r="AW211" s="5">
        <v>39609</v>
      </c>
      <c r="AX211" s="5">
        <v>39520</v>
      </c>
      <c r="AY211" s="4"/>
      <c r="AZ211" s="5">
        <v>39346</v>
      </c>
      <c r="BA211" s="4"/>
      <c r="BB211" s="5">
        <v>39765</v>
      </c>
      <c r="BC211" s="4"/>
      <c r="BD211" s="4"/>
      <c r="BE211" s="5">
        <v>39787</v>
      </c>
      <c r="BF211" s="5">
        <v>39792</v>
      </c>
      <c r="BG211" s="4"/>
      <c r="BH211" s="5">
        <v>39359</v>
      </c>
      <c r="BI211" s="4"/>
      <c r="BJ211" s="5">
        <v>39694</v>
      </c>
      <c r="BK211" s="4">
        <v>4</v>
      </c>
      <c r="BL211" s="4"/>
      <c r="BM211" s="5">
        <v>39694</v>
      </c>
      <c r="BN211" s="5">
        <v>42319</v>
      </c>
      <c r="BO211" s="4"/>
      <c r="BP211" s="4"/>
      <c r="BQ211" s="4"/>
      <c r="BR211" s="4"/>
      <c r="BS211" s="4"/>
      <c r="BT211" s="4"/>
      <c r="BU211" s="5">
        <v>39833</v>
      </c>
      <c r="BV211" s="5">
        <v>39862</v>
      </c>
      <c r="BW211" s="5">
        <v>39862</v>
      </c>
      <c r="BX211" s="4"/>
      <c r="BY211" s="5">
        <v>39885</v>
      </c>
      <c r="BZ211" s="5">
        <v>39885</v>
      </c>
      <c r="CA211" s="4"/>
      <c r="CB211" s="4"/>
      <c r="CC211" s="4"/>
      <c r="CD211" s="4"/>
      <c r="CE211" s="4"/>
      <c r="CF211" s="4"/>
      <c r="CG211" s="4"/>
      <c r="CH211" s="4"/>
      <c r="CI211" s="5">
        <v>39899</v>
      </c>
      <c r="CJ211" s="5">
        <v>39902</v>
      </c>
      <c r="CK211" s="5">
        <v>39899</v>
      </c>
      <c r="CL211" s="4"/>
      <c r="CM211" s="4"/>
      <c r="CN211" s="4"/>
      <c r="CO211" s="4"/>
      <c r="CP211" s="4" t="s">
        <v>805</v>
      </c>
      <c r="CQ211" s="4"/>
      <c r="CR211" s="5">
        <v>39902</v>
      </c>
      <c r="CS211" s="4"/>
      <c r="CT211" s="4"/>
      <c r="CU211" s="4"/>
      <c r="CV211" s="4"/>
      <c r="CW211" s="4"/>
      <c r="CX211" s="4"/>
      <c r="CY211" s="4"/>
      <c r="CZ211" s="4"/>
      <c r="DA211" s="4"/>
      <c r="DB211" s="4"/>
      <c r="DC211" s="4"/>
      <c r="DD211" s="4"/>
      <c r="DE211" s="4"/>
      <c r="DF211" s="4"/>
      <c r="DG211" s="4"/>
      <c r="DH211" s="4"/>
      <c r="DI211" s="4"/>
      <c r="DJ211" s="4" t="b">
        <v>0</v>
      </c>
      <c r="DK211" s="4"/>
      <c r="DL211" s="4">
        <v>2667391</v>
      </c>
      <c r="DM211" s="4">
        <v>6482545</v>
      </c>
      <c r="DN211" s="4" t="s">
        <v>806</v>
      </c>
      <c r="DO211" s="4"/>
      <c r="DP211" s="4"/>
      <c r="DQ211" s="4" t="s">
        <v>148</v>
      </c>
      <c r="DR211" s="4"/>
      <c r="DS211" s="4"/>
      <c r="DT211" s="5">
        <v>41806</v>
      </c>
      <c r="DU211" s="4"/>
      <c r="DV211" s="4"/>
      <c r="DW211" s="4"/>
      <c r="DX211" s="4"/>
      <c r="DY211" s="4"/>
      <c r="DZ211" s="5">
        <v>39799</v>
      </c>
      <c r="EA211" s="4"/>
      <c r="EB211" s="4"/>
      <c r="EC211" s="4"/>
      <c r="ED211" s="4"/>
      <c r="EE211" s="4"/>
      <c r="EF211" s="4"/>
      <c r="EG211" s="4"/>
      <c r="EH211" s="4"/>
      <c r="EI211" s="5">
        <v>39316</v>
      </c>
    </row>
    <row r="212" spans="1:139" hidden="1" x14ac:dyDescent="0.2">
      <c r="A212">
        <f>VLOOKUP(B212,Sheet1!$A$1:$B$18,2,FALSE)</f>
        <v>0</v>
      </c>
      <c r="B212" t="str">
        <f t="shared" si="3"/>
        <v>AKL</v>
      </c>
      <c r="C212" s="2">
        <v>211</v>
      </c>
      <c r="D212" s="3" t="str">
        <f>HYPERLINK("https://sitebase.nzcomms.co.nz/spm/spmnominalview/AKL-007-025/","AKL-007-025")</f>
        <v>AKL-007-025</v>
      </c>
      <c r="E212" s="4"/>
      <c r="F212" s="3" t="str">
        <f>HYPERLINK("https://sitebase.nzcomms.co.nz/spm/spmcandidateview/AKL-007-025-A/","AKL-007-025-A")</f>
        <v>AKL-007-025-A</v>
      </c>
      <c r="G212" s="4" t="s">
        <v>807</v>
      </c>
      <c r="H212" s="4" t="s">
        <v>745</v>
      </c>
      <c r="I212" s="4"/>
      <c r="J212" s="4" t="s">
        <v>139</v>
      </c>
      <c r="K212" s="4" t="s">
        <v>141</v>
      </c>
      <c r="L212" s="4" t="s">
        <v>181</v>
      </c>
      <c r="M212" s="4" t="s">
        <v>804</v>
      </c>
      <c r="N212" s="4" t="s">
        <v>364</v>
      </c>
      <c r="O212" s="4" t="s">
        <v>144</v>
      </c>
      <c r="P212" s="4"/>
      <c r="Q212" s="4"/>
      <c r="R212" s="4">
        <v>40</v>
      </c>
      <c r="S212" s="4">
        <v>40</v>
      </c>
      <c r="T212" s="4"/>
      <c r="U212" s="4">
        <v>-36.858698840000002</v>
      </c>
      <c r="V212" s="4">
        <v>174.76714092</v>
      </c>
      <c r="W212" s="4"/>
      <c r="X212" s="4"/>
      <c r="Y212" s="4"/>
      <c r="Z212" s="4"/>
      <c r="AA212" s="4" t="s">
        <v>171</v>
      </c>
      <c r="AB212" s="3" t="str">
        <f>HYPERLINK("https://sitebase.nzcomms.co.nz/spm/spmcandidateview/AKL-007-106-A/","AKL-007-106-A")</f>
        <v>AKL-007-106-A</v>
      </c>
      <c r="AC212" s="4"/>
      <c r="AD212" s="4"/>
      <c r="AE212" s="4"/>
      <c r="AF212" s="4"/>
      <c r="AG212" s="4"/>
      <c r="AH212" s="4" t="s">
        <v>408</v>
      </c>
      <c r="AI212" s="4"/>
      <c r="AJ212" s="4"/>
      <c r="AK212" s="4"/>
      <c r="AL212" s="4"/>
      <c r="AM212" s="4"/>
      <c r="AN212" s="5">
        <v>39325</v>
      </c>
      <c r="AO212" s="4">
        <v>4</v>
      </c>
      <c r="AP212" s="4"/>
      <c r="AQ212" s="5">
        <v>42153</v>
      </c>
      <c r="AR212" s="4"/>
      <c r="AS212" s="4"/>
      <c r="AT212" s="5">
        <v>39629</v>
      </c>
      <c r="AU212" s="5">
        <v>39622</v>
      </c>
      <c r="AV212" s="4">
        <v>3</v>
      </c>
      <c r="AW212" s="5">
        <v>39629</v>
      </c>
      <c r="AX212" s="5">
        <v>39622</v>
      </c>
      <c r="AY212" s="4"/>
      <c r="AZ212" s="4"/>
      <c r="BA212" s="4"/>
      <c r="BB212" s="5">
        <v>39599</v>
      </c>
      <c r="BC212" s="4"/>
      <c r="BD212" s="4"/>
      <c r="BE212" s="5">
        <v>39599</v>
      </c>
      <c r="BF212" s="5">
        <v>39617</v>
      </c>
      <c r="BG212" s="4"/>
      <c r="BH212" s="5">
        <v>39391</v>
      </c>
      <c r="BI212" s="4"/>
      <c r="BJ212" s="5">
        <v>39588</v>
      </c>
      <c r="BK212" s="4">
        <v>5</v>
      </c>
      <c r="BL212" s="4"/>
      <c r="BM212" s="5">
        <v>39588</v>
      </c>
      <c r="BN212" s="5">
        <v>42410</v>
      </c>
      <c r="BO212" s="4"/>
      <c r="BP212" s="4"/>
      <c r="BQ212" s="4"/>
      <c r="BR212" s="4"/>
      <c r="BS212" s="4"/>
      <c r="BT212" s="4"/>
      <c r="BU212" s="5">
        <v>39645</v>
      </c>
      <c r="BV212" s="5">
        <v>39657</v>
      </c>
      <c r="BW212" s="5">
        <v>39658</v>
      </c>
      <c r="BX212" s="4"/>
      <c r="BY212" s="5">
        <v>39672</v>
      </c>
      <c r="BZ212" s="5">
        <v>39668</v>
      </c>
      <c r="CA212" s="4"/>
      <c r="CB212" s="4"/>
      <c r="CC212" s="4"/>
      <c r="CD212" s="4"/>
      <c r="CE212" s="4"/>
      <c r="CF212" s="4"/>
      <c r="CG212" s="4"/>
      <c r="CH212" s="4"/>
      <c r="CI212" s="5">
        <v>39686</v>
      </c>
      <c r="CJ212" s="4"/>
      <c r="CK212" s="5">
        <v>39686</v>
      </c>
      <c r="CL212" s="4"/>
      <c r="CM212" s="4"/>
      <c r="CN212" s="4"/>
      <c r="CO212" s="4"/>
      <c r="CP212" s="4" t="s">
        <v>157</v>
      </c>
      <c r="CQ212" s="4"/>
      <c r="CR212" s="4"/>
      <c r="CS212" s="4"/>
      <c r="CT212" s="4"/>
      <c r="CU212" s="4"/>
      <c r="CV212" s="4"/>
      <c r="CW212" s="4"/>
      <c r="CX212" s="4"/>
      <c r="CY212" s="4"/>
      <c r="CZ212" s="4"/>
      <c r="DA212" s="4"/>
      <c r="DB212" s="4"/>
      <c r="DC212" s="4"/>
      <c r="DD212" s="4"/>
      <c r="DE212" s="4"/>
      <c r="DF212" s="4"/>
      <c r="DG212" s="4"/>
      <c r="DH212" s="4"/>
      <c r="DI212" s="4"/>
      <c r="DJ212" s="4" t="b">
        <v>0</v>
      </c>
      <c r="DK212" s="4"/>
      <c r="DL212" s="4">
        <v>2667964</v>
      </c>
      <c r="DM212" s="4">
        <v>6481042</v>
      </c>
      <c r="DN212" s="4" t="s">
        <v>808</v>
      </c>
      <c r="DO212" s="4"/>
      <c r="DP212" s="4"/>
      <c r="DQ212" s="4" t="s">
        <v>148</v>
      </c>
      <c r="DR212" s="4"/>
      <c r="DS212" s="4"/>
      <c r="DT212" s="5">
        <v>41806</v>
      </c>
      <c r="DU212" s="4"/>
      <c r="DV212" s="4"/>
      <c r="DW212" s="4"/>
      <c r="DX212" s="4"/>
      <c r="DY212" s="4"/>
      <c r="DZ212" s="5">
        <v>39623</v>
      </c>
      <c r="EA212" s="4"/>
      <c r="EB212" s="4"/>
      <c r="EC212" s="4"/>
      <c r="ED212" s="4"/>
      <c r="EE212" s="4"/>
      <c r="EF212" s="4"/>
      <c r="EG212" s="4"/>
      <c r="EH212" s="4"/>
      <c r="EI212" s="5">
        <v>39314</v>
      </c>
    </row>
    <row r="213" spans="1:139" hidden="1" x14ac:dyDescent="0.2">
      <c r="A213">
        <f>VLOOKUP(B213,Sheet1!$A$1:$B$18,2,FALSE)</f>
        <v>0</v>
      </c>
      <c r="B213" t="str">
        <f t="shared" si="3"/>
        <v>AKL</v>
      </c>
      <c r="C213" s="2">
        <v>212</v>
      </c>
      <c r="D213" s="3" t="str">
        <f>HYPERLINK("https://sitebase.nzcomms.co.nz/spm/spmnominalview/AKL-007-026/","AKL-007-026")</f>
        <v>AKL-007-026</v>
      </c>
      <c r="E213" s="4"/>
      <c r="F213" s="3" t="str">
        <f>HYPERLINK("https://sitebase.nzcomms.co.nz/spm/spmcandidateview/AKL-007-026-B/","AKL-007-026-B")</f>
        <v>AKL-007-026-B</v>
      </c>
      <c r="G213" s="4" t="s">
        <v>809</v>
      </c>
      <c r="H213" s="4" t="s">
        <v>745</v>
      </c>
      <c r="I213" s="4"/>
      <c r="J213" s="4" t="s">
        <v>139</v>
      </c>
      <c r="K213" s="4" t="s">
        <v>141</v>
      </c>
      <c r="L213" s="4" t="s">
        <v>181</v>
      </c>
      <c r="M213" s="4" t="s">
        <v>804</v>
      </c>
      <c r="N213" s="4" t="s">
        <v>364</v>
      </c>
      <c r="O213" s="4" t="s">
        <v>144</v>
      </c>
      <c r="P213" s="4"/>
      <c r="Q213" s="4"/>
      <c r="R213" s="4">
        <v>28</v>
      </c>
      <c r="S213" s="4">
        <v>28</v>
      </c>
      <c r="T213" s="4"/>
      <c r="U213" s="4">
        <v>-36.854503049999998</v>
      </c>
      <c r="V213" s="4">
        <v>174.76250261000001</v>
      </c>
      <c r="W213" s="4"/>
      <c r="X213" s="4"/>
      <c r="Y213" s="4"/>
      <c r="Z213" s="4"/>
      <c r="AA213" s="4" t="s">
        <v>171</v>
      </c>
      <c r="AB213" s="3" t="str">
        <f>HYPERLINK("https://sitebase.nzcomms.co.nz/spm/spmcandidateview/AKL-007-087-A/","AKL-007-087-A")</f>
        <v>AKL-007-087-A</v>
      </c>
      <c r="AC213" s="4"/>
      <c r="AD213" s="4"/>
      <c r="AE213" s="4"/>
      <c r="AF213" s="4"/>
      <c r="AG213" s="4"/>
      <c r="AH213" s="4" t="s">
        <v>395</v>
      </c>
      <c r="AI213" s="4"/>
      <c r="AJ213" s="4"/>
      <c r="AK213" s="4"/>
      <c r="AL213" s="4"/>
      <c r="AM213" s="4"/>
      <c r="AN213" s="5">
        <v>39681</v>
      </c>
      <c r="AO213" s="4">
        <v>6</v>
      </c>
      <c r="AP213" s="5">
        <v>39885</v>
      </c>
      <c r="AQ213" s="5">
        <v>42355</v>
      </c>
      <c r="AR213" s="4"/>
      <c r="AS213" s="4"/>
      <c r="AT213" s="5">
        <v>39690</v>
      </c>
      <c r="AU213" s="5">
        <v>39770</v>
      </c>
      <c r="AV213" s="4">
        <v>1</v>
      </c>
      <c r="AW213" s="5">
        <v>39690</v>
      </c>
      <c r="AX213" s="5">
        <v>39770</v>
      </c>
      <c r="AY213" s="4"/>
      <c r="AZ213" s="4"/>
      <c r="BA213" s="4"/>
      <c r="BB213" s="5">
        <v>39906</v>
      </c>
      <c r="BC213" s="4"/>
      <c r="BD213" s="4"/>
      <c r="BE213" s="5">
        <v>39906</v>
      </c>
      <c r="BF213" s="5">
        <v>39910</v>
      </c>
      <c r="BG213" s="5">
        <v>42398</v>
      </c>
      <c r="BH213" s="5">
        <v>39699</v>
      </c>
      <c r="BI213" s="4"/>
      <c r="BJ213" s="5">
        <v>39735</v>
      </c>
      <c r="BK213" s="4">
        <v>3</v>
      </c>
      <c r="BL213" s="4">
        <v>3</v>
      </c>
      <c r="BM213" s="5">
        <v>39899</v>
      </c>
      <c r="BN213" s="5">
        <v>39895</v>
      </c>
      <c r="BO213" s="4"/>
      <c r="BP213" s="4"/>
      <c r="BQ213" s="4"/>
      <c r="BR213" s="4"/>
      <c r="BS213" s="4"/>
      <c r="BT213" s="4"/>
      <c r="BU213" s="5">
        <v>39909</v>
      </c>
      <c r="BV213" s="5">
        <v>39941</v>
      </c>
      <c r="BW213" s="5">
        <v>39941</v>
      </c>
      <c r="BX213" s="4"/>
      <c r="BY213" s="5">
        <v>39948</v>
      </c>
      <c r="BZ213" s="5">
        <v>39948</v>
      </c>
      <c r="CA213" s="4"/>
      <c r="CB213" s="4"/>
      <c r="CC213" s="4"/>
      <c r="CD213" s="4"/>
      <c r="CE213" s="4"/>
      <c r="CF213" s="4"/>
      <c r="CG213" s="4"/>
      <c r="CH213" s="4"/>
      <c r="CI213" s="5">
        <v>39967</v>
      </c>
      <c r="CJ213" s="5">
        <v>39962</v>
      </c>
      <c r="CK213" s="5">
        <v>39967</v>
      </c>
      <c r="CL213" s="4"/>
      <c r="CM213" s="4"/>
      <c r="CN213" s="4"/>
      <c r="CO213" s="4"/>
      <c r="CP213" s="4" t="s">
        <v>810</v>
      </c>
      <c r="CQ213" s="4"/>
      <c r="CR213" s="5">
        <v>39962</v>
      </c>
      <c r="CS213" s="4"/>
      <c r="CT213" s="4"/>
      <c r="CU213" s="4"/>
      <c r="CV213" s="4"/>
      <c r="CW213" s="4"/>
      <c r="CX213" s="4"/>
      <c r="CY213" s="4"/>
      <c r="CZ213" s="4"/>
      <c r="DA213" s="4"/>
      <c r="DB213" s="4"/>
      <c r="DC213" s="4"/>
      <c r="DD213" s="4"/>
      <c r="DE213" s="4"/>
      <c r="DF213" s="4"/>
      <c r="DG213" s="4"/>
      <c r="DH213" s="4"/>
      <c r="DI213" s="4"/>
      <c r="DJ213" s="4" t="b">
        <v>0</v>
      </c>
      <c r="DK213" s="4"/>
      <c r="DL213" s="4">
        <v>2667560</v>
      </c>
      <c r="DM213" s="4">
        <v>6481516</v>
      </c>
      <c r="DN213" s="4" t="s">
        <v>811</v>
      </c>
      <c r="DO213" s="4"/>
      <c r="DP213" s="4"/>
      <c r="DQ213" s="4" t="s">
        <v>148</v>
      </c>
      <c r="DR213" s="4"/>
      <c r="DS213" s="4"/>
      <c r="DT213" s="5">
        <v>41806</v>
      </c>
      <c r="DU213" s="4"/>
      <c r="DV213" s="4"/>
      <c r="DW213" s="4"/>
      <c r="DX213" s="4"/>
      <c r="DY213" s="5">
        <v>39909</v>
      </c>
      <c r="DZ213" s="5">
        <v>39909</v>
      </c>
      <c r="EA213" s="4"/>
      <c r="EB213" s="4"/>
      <c r="EC213" s="4"/>
      <c r="ED213" s="4"/>
      <c r="EE213" s="4"/>
      <c r="EF213" s="4"/>
      <c r="EG213" s="4"/>
      <c r="EH213" s="4"/>
      <c r="EI213" s="5">
        <v>39619</v>
      </c>
    </row>
    <row r="214" spans="1:139" hidden="1" x14ac:dyDescent="0.2">
      <c r="A214">
        <f>VLOOKUP(B214,Sheet1!$A$1:$B$18,2,FALSE)</f>
        <v>0</v>
      </c>
      <c r="B214" t="str">
        <f t="shared" si="3"/>
        <v>AKL</v>
      </c>
      <c r="C214" s="2">
        <v>213</v>
      </c>
      <c r="D214" s="3" t="str">
        <f>HYPERLINK("https://sitebase.nzcomms.co.nz/spm/spmnominalview/AKL-007-027/","AKL-007-027")</f>
        <v>AKL-007-027</v>
      </c>
      <c r="E214" s="4"/>
      <c r="F214" s="3" t="str">
        <f>HYPERLINK("https://sitebase.nzcomms.co.nz/spm/spmcandidateview/AKL-007-027-D/","AKL-007-027-D")</f>
        <v>AKL-007-027-D</v>
      </c>
      <c r="G214" s="4" t="s">
        <v>812</v>
      </c>
      <c r="H214" s="4" t="s">
        <v>745</v>
      </c>
      <c r="I214" s="4"/>
      <c r="J214" s="4" t="s">
        <v>139</v>
      </c>
      <c r="K214" s="4" t="s">
        <v>141</v>
      </c>
      <c r="L214" s="4" t="s">
        <v>189</v>
      </c>
      <c r="M214" s="4" t="s">
        <v>463</v>
      </c>
      <c r="N214" s="4" t="s">
        <v>191</v>
      </c>
      <c r="O214" s="4" t="s">
        <v>356</v>
      </c>
      <c r="P214" s="4"/>
      <c r="Q214" s="4"/>
      <c r="R214" s="4">
        <v>14.2</v>
      </c>
      <c r="S214" s="4">
        <v>14.2</v>
      </c>
      <c r="T214" s="4"/>
      <c r="U214" s="4">
        <v>-36.930072629999998</v>
      </c>
      <c r="V214" s="4">
        <v>174.74072992000001</v>
      </c>
      <c r="W214" s="4"/>
      <c r="X214" s="4"/>
      <c r="Y214" s="4"/>
      <c r="Z214" s="4"/>
      <c r="AA214" s="4" t="s">
        <v>152</v>
      </c>
      <c r="AB214" s="3" t="str">
        <f>HYPERLINK("https://sitebase.nzcomms.co.nz/spm/spmcandidateview/AKL-007-106-A/","AKL-007-106-A")</f>
        <v>AKL-007-106-A</v>
      </c>
      <c r="AC214" s="4"/>
      <c r="AD214" s="4"/>
      <c r="AE214" s="4"/>
      <c r="AF214" s="4"/>
      <c r="AG214" s="4"/>
      <c r="AH214" s="4"/>
      <c r="AI214" s="4"/>
      <c r="AJ214" s="4"/>
      <c r="AK214" s="4"/>
      <c r="AL214" s="4"/>
      <c r="AM214" s="4"/>
      <c r="AN214" s="5">
        <v>39500</v>
      </c>
      <c r="AO214" s="4">
        <v>5</v>
      </c>
      <c r="AP214" s="5">
        <v>39856</v>
      </c>
      <c r="AQ214" s="5">
        <v>39856</v>
      </c>
      <c r="AR214" s="4"/>
      <c r="AS214" s="4"/>
      <c r="AT214" s="5">
        <v>39518</v>
      </c>
      <c r="AU214" s="5">
        <v>39518</v>
      </c>
      <c r="AV214" s="4">
        <v>2</v>
      </c>
      <c r="AW214" s="5">
        <v>39518</v>
      </c>
      <c r="AX214" s="5">
        <v>39518</v>
      </c>
      <c r="AY214" s="4"/>
      <c r="AZ214" s="5">
        <v>39857</v>
      </c>
      <c r="BA214" s="4"/>
      <c r="BB214" s="5">
        <v>39948</v>
      </c>
      <c r="BC214" s="4"/>
      <c r="BD214" s="4"/>
      <c r="BE214" s="5">
        <v>39948</v>
      </c>
      <c r="BF214" s="5">
        <v>39954</v>
      </c>
      <c r="BG214" s="4"/>
      <c r="BH214" s="5">
        <v>39786</v>
      </c>
      <c r="BI214" s="4"/>
      <c r="BJ214" s="5">
        <v>39535</v>
      </c>
      <c r="BK214" s="4">
        <v>3</v>
      </c>
      <c r="BL214" s="4">
        <v>4</v>
      </c>
      <c r="BM214" s="5">
        <v>39848</v>
      </c>
      <c r="BN214" s="5">
        <v>39848</v>
      </c>
      <c r="BO214" s="5">
        <v>39923</v>
      </c>
      <c r="BP214" s="4"/>
      <c r="BQ214" s="4"/>
      <c r="BR214" s="4"/>
      <c r="BS214" s="4"/>
      <c r="BT214" s="5">
        <v>39951</v>
      </c>
      <c r="BU214" s="5">
        <v>39951</v>
      </c>
      <c r="BV214" s="5">
        <v>39976</v>
      </c>
      <c r="BW214" s="5">
        <v>39974</v>
      </c>
      <c r="BX214" s="4"/>
      <c r="BY214" s="5">
        <v>39976</v>
      </c>
      <c r="BZ214" s="5">
        <v>39975</v>
      </c>
      <c r="CA214" s="4"/>
      <c r="CB214" s="4"/>
      <c r="CC214" s="4"/>
      <c r="CD214" s="4"/>
      <c r="CE214" s="4"/>
      <c r="CF214" s="4"/>
      <c r="CG214" s="4"/>
      <c r="CH214" s="4"/>
      <c r="CI214" s="5">
        <v>39984</v>
      </c>
      <c r="CJ214" s="5">
        <v>39988</v>
      </c>
      <c r="CK214" s="5">
        <v>39984</v>
      </c>
      <c r="CL214" s="4"/>
      <c r="CM214" s="4"/>
      <c r="CN214" s="4"/>
      <c r="CO214" s="4"/>
      <c r="CP214" s="4" t="s">
        <v>813</v>
      </c>
      <c r="CQ214" s="4"/>
      <c r="CR214" s="5">
        <v>39988</v>
      </c>
      <c r="CS214" s="4"/>
      <c r="CT214" s="4"/>
      <c r="CU214" s="4"/>
      <c r="CV214" s="4"/>
      <c r="CW214" s="5">
        <v>39923</v>
      </c>
      <c r="CX214" s="5">
        <v>39923</v>
      </c>
      <c r="CY214" s="4"/>
      <c r="CZ214" s="4"/>
      <c r="DA214" s="4"/>
      <c r="DB214" s="4"/>
      <c r="DC214" s="4"/>
      <c r="DD214" s="4"/>
      <c r="DE214" s="4"/>
      <c r="DF214" s="4"/>
      <c r="DG214" s="4"/>
      <c r="DH214" s="4"/>
      <c r="DI214" s="4"/>
      <c r="DJ214" s="4" t="b">
        <v>0</v>
      </c>
      <c r="DK214" s="4"/>
      <c r="DL214" s="4">
        <v>2665449</v>
      </c>
      <c r="DM214" s="4">
        <v>6473171</v>
      </c>
      <c r="DN214" s="4" t="s">
        <v>814</v>
      </c>
      <c r="DO214" s="4"/>
      <c r="DP214" s="4"/>
      <c r="DQ214" s="4" t="s">
        <v>148</v>
      </c>
      <c r="DR214" s="4"/>
      <c r="DS214" s="4"/>
      <c r="DT214" s="5">
        <v>41863</v>
      </c>
      <c r="DU214" s="4"/>
      <c r="DV214" s="4"/>
      <c r="DW214" s="4"/>
      <c r="DX214" s="4"/>
      <c r="DY214" s="5">
        <v>39951</v>
      </c>
      <c r="DZ214" s="5">
        <v>39951</v>
      </c>
      <c r="EA214" s="4"/>
      <c r="EB214" s="4"/>
      <c r="EC214" s="4"/>
      <c r="ED214" s="4"/>
      <c r="EE214" s="4"/>
      <c r="EF214" s="4"/>
      <c r="EG214" s="4"/>
      <c r="EH214" s="4"/>
      <c r="EI214" s="5">
        <v>39463</v>
      </c>
    </row>
    <row r="215" spans="1:139" hidden="1" x14ac:dyDescent="0.2">
      <c r="A215">
        <f>VLOOKUP(B215,Sheet1!$A$1:$B$18,2,FALSE)</f>
        <v>0</v>
      </c>
      <c r="B215" t="str">
        <f t="shared" si="3"/>
        <v>AKL</v>
      </c>
      <c r="C215" s="2">
        <v>214</v>
      </c>
      <c r="D215" s="3" t="str">
        <f>HYPERLINK("https://sitebase.nzcomms.co.nz/spm/spmnominalview/AKL-007-028/","AKL-007-028")</f>
        <v>AKL-007-028</v>
      </c>
      <c r="E215" s="4"/>
      <c r="F215" s="4"/>
      <c r="G215" s="4"/>
      <c r="H215" s="4" t="s">
        <v>745</v>
      </c>
      <c r="I215" s="4"/>
      <c r="J215" s="4" t="s">
        <v>139</v>
      </c>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row>
    <row r="216" spans="1:139" hidden="1" x14ac:dyDescent="0.2">
      <c r="A216">
        <f>VLOOKUP(B216,Sheet1!$A$1:$B$18,2,FALSE)</f>
        <v>0</v>
      </c>
      <c r="B216" t="str">
        <f t="shared" si="3"/>
        <v>AKL</v>
      </c>
      <c r="C216" s="2">
        <v>215</v>
      </c>
      <c r="D216" s="3" t="str">
        <f>HYPERLINK("https://sitebase.nzcomms.co.nz/spm/spmnominalview/AKL-007-029/","AKL-007-029")</f>
        <v>AKL-007-029</v>
      </c>
      <c r="E216" s="4"/>
      <c r="F216" s="3" t="str">
        <f>HYPERLINK("https://sitebase.nzcomms.co.nz/spm/spmcandidateview/AKL-007-029-A/","AKL-007-029-A")</f>
        <v>AKL-007-029-A</v>
      </c>
      <c r="G216" s="4" t="s">
        <v>815</v>
      </c>
      <c r="H216" s="4" t="s">
        <v>745</v>
      </c>
      <c r="I216" s="4"/>
      <c r="J216" s="4" t="s">
        <v>139</v>
      </c>
      <c r="K216" s="4" t="s">
        <v>141</v>
      </c>
      <c r="L216" s="4" t="s">
        <v>150</v>
      </c>
      <c r="M216" s="4" t="s">
        <v>354</v>
      </c>
      <c r="N216" s="4" t="s">
        <v>156</v>
      </c>
      <c r="O216" s="4" t="s">
        <v>144</v>
      </c>
      <c r="P216" s="4"/>
      <c r="Q216" s="4" t="s">
        <v>142</v>
      </c>
      <c r="R216" s="4">
        <v>25</v>
      </c>
      <c r="S216" s="4">
        <v>25</v>
      </c>
      <c r="T216" s="4"/>
      <c r="U216" s="4">
        <v>-36.888293580000003</v>
      </c>
      <c r="V216" s="4">
        <v>174.71080678000001</v>
      </c>
      <c r="W216" s="4"/>
      <c r="X216" s="4"/>
      <c r="Y216" s="4"/>
      <c r="Z216" s="4"/>
      <c r="AA216" s="4"/>
      <c r="AB216" s="4"/>
      <c r="AC216" s="4"/>
      <c r="AD216" s="4"/>
      <c r="AE216" s="4"/>
      <c r="AF216" s="4"/>
      <c r="AG216" s="4"/>
      <c r="AH216" s="4"/>
      <c r="AI216" s="4"/>
      <c r="AJ216" s="4"/>
      <c r="AK216" s="4"/>
      <c r="AL216" s="4"/>
      <c r="AM216" s="4"/>
      <c r="AN216" s="5">
        <v>39169</v>
      </c>
      <c r="AO216" s="4">
        <v>6</v>
      </c>
      <c r="AP216" s="4"/>
      <c r="AQ216" s="5">
        <v>39952</v>
      </c>
      <c r="AR216" s="4"/>
      <c r="AS216" s="4"/>
      <c r="AT216" s="5">
        <v>39171</v>
      </c>
      <c r="AU216" s="5">
        <v>39171</v>
      </c>
      <c r="AV216" s="4">
        <v>4</v>
      </c>
      <c r="AW216" s="5">
        <v>39171</v>
      </c>
      <c r="AX216" s="5">
        <v>39171</v>
      </c>
      <c r="AY216" s="4"/>
      <c r="AZ216" s="4"/>
      <c r="BA216" s="4"/>
      <c r="BB216" s="5">
        <v>39422</v>
      </c>
      <c r="BC216" s="4"/>
      <c r="BD216" s="4"/>
      <c r="BE216" s="5">
        <v>39422</v>
      </c>
      <c r="BF216" s="5">
        <v>39973</v>
      </c>
      <c r="BG216" s="4"/>
      <c r="BH216" s="5">
        <v>39468</v>
      </c>
      <c r="BI216" s="4"/>
      <c r="BJ216" s="5">
        <v>39559</v>
      </c>
      <c r="BK216" s="4">
        <v>3</v>
      </c>
      <c r="BL216" s="4">
        <v>5</v>
      </c>
      <c r="BM216" s="5">
        <v>39562</v>
      </c>
      <c r="BN216" s="5">
        <v>39895</v>
      </c>
      <c r="BO216" s="4"/>
      <c r="BP216" s="4"/>
      <c r="BQ216" s="4"/>
      <c r="BR216" s="4"/>
      <c r="BS216" s="4"/>
      <c r="BT216" s="4"/>
      <c r="BU216" s="5">
        <v>39559</v>
      </c>
      <c r="BV216" s="5">
        <v>39598</v>
      </c>
      <c r="BW216" s="5">
        <v>39598</v>
      </c>
      <c r="BX216" s="4"/>
      <c r="BY216" s="5">
        <v>39692</v>
      </c>
      <c r="BZ216" s="5">
        <v>39692</v>
      </c>
      <c r="CA216" s="4"/>
      <c r="CB216" s="4"/>
      <c r="CC216" s="4"/>
      <c r="CD216" s="4"/>
      <c r="CE216" s="4"/>
      <c r="CF216" s="4"/>
      <c r="CG216" s="4"/>
      <c r="CH216" s="4"/>
      <c r="CI216" s="5">
        <v>39778</v>
      </c>
      <c r="CJ216" s="5">
        <v>39786</v>
      </c>
      <c r="CK216" s="5">
        <v>39778</v>
      </c>
      <c r="CL216" s="4"/>
      <c r="CM216" s="4"/>
      <c r="CN216" s="4"/>
      <c r="CO216" s="4"/>
      <c r="CP216" s="4" t="s">
        <v>157</v>
      </c>
      <c r="CQ216" s="4" t="s">
        <v>816</v>
      </c>
      <c r="CR216" s="5">
        <v>39772</v>
      </c>
      <c r="CS216" s="4"/>
      <c r="CT216" s="4"/>
      <c r="CU216" s="4"/>
      <c r="CV216" s="4"/>
      <c r="CW216" s="4"/>
      <c r="CX216" s="4"/>
      <c r="CY216" s="4"/>
      <c r="CZ216" s="4"/>
      <c r="DA216" s="4"/>
      <c r="DB216" s="4"/>
      <c r="DC216" s="4"/>
      <c r="DD216" s="4"/>
      <c r="DE216" s="4"/>
      <c r="DF216" s="4"/>
      <c r="DG216" s="4"/>
      <c r="DH216" s="4"/>
      <c r="DI216" s="4"/>
      <c r="DJ216" s="4" t="b">
        <v>0</v>
      </c>
      <c r="DK216" s="4"/>
      <c r="DL216" s="4">
        <v>2662876</v>
      </c>
      <c r="DM216" s="4">
        <v>6477860</v>
      </c>
      <c r="DN216" s="4" t="s">
        <v>817</v>
      </c>
      <c r="DO216" s="4"/>
      <c r="DP216" s="4"/>
      <c r="DQ216" s="4" t="s">
        <v>148</v>
      </c>
      <c r="DR216" s="4"/>
      <c r="DS216" s="4"/>
      <c r="DT216" s="5">
        <v>41806</v>
      </c>
      <c r="DU216" s="4"/>
      <c r="DV216" s="4"/>
      <c r="DW216" s="4"/>
      <c r="DX216" s="4"/>
      <c r="DY216" s="4"/>
      <c r="DZ216" s="5">
        <v>39560</v>
      </c>
      <c r="EA216" s="4"/>
      <c r="EB216" s="4"/>
      <c r="EC216" s="4"/>
      <c r="ED216" s="4"/>
      <c r="EE216" s="4"/>
      <c r="EF216" s="4"/>
      <c r="EG216" s="4"/>
      <c r="EH216" s="4"/>
      <c r="EI216" s="5">
        <v>39173</v>
      </c>
    </row>
    <row r="217" spans="1:139" hidden="1" x14ac:dyDescent="0.2">
      <c r="A217">
        <f>VLOOKUP(B217,Sheet1!$A$1:$B$18,2,FALSE)</f>
        <v>0</v>
      </c>
      <c r="B217" t="str">
        <f t="shared" si="3"/>
        <v>AKL</v>
      </c>
      <c r="C217" s="2">
        <v>216</v>
      </c>
      <c r="D217" s="3" t="str">
        <f>HYPERLINK("https://sitebase.nzcomms.co.nz/spm/spmnominalview/AKL-007-030/","AKL-007-030")</f>
        <v>AKL-007-030</v>
      </c>
      <c r="E217" s="4"/>
      <c r="F217" s="3" t="str">
        <f>HYPERLINK("https://sitebase.nzcomms.co.nz/spm/spmcandidateview/AKL-007-030-G/","AKL-007-030-G")</f>
        <v>AKL-007-030-G</v>
      </c>
      <c r="G217" s="4" t="s">
        <v>818</v>
      </c>
      <c r="H217" s="4" t="s">
        <v>745</v>
      </c>
      <c r="I217" s="4"/>
      <c r="J217" s="4" t="s">
        <v>139</v>
      </c>
      <c r="K217" s="4" t="s">
        <v>141</v>
      </c>
      <c r="L217" s="4" t="s">
        <v>189</v>
      </c>
      <c r="M217" s="4" t="s">
        <v>463</v>
      </c>
      <c r="N217" s="4" t="s">
        <v>191</v>
      </c>
      <c r="O217" s="4" t="s">
        <v>819</v>
      </c>
      <c r="P217" s="4"/>
      <c r="Q217" s="4"/>
      <c r="R217" s="4">
        <v>9.4</v>
      </c>
      <c r="S217" s="4">
        <v>9.4</v>
      </c>
      <c r="T217" s="4"/>
      <c r="U217" s="4">
        <v>-36.880801750000003</v>
      </c>
      <c r="V217" s="4">
        <v>174.76203977</v>
      </c>
      <c r="W217" s="4"/>
      <c r="X217" s="4"/>
      <c r="Y217" s="4"/>
      <c r="Z217" s="4"/>
      <c r="AA217" s="4" t="s">
        <v>152</v>
      </c>
      <c r="AB217" s="3" t="str">
        <f>HYPERLINK("https://sitebase.nzcomms.co.nz/spm/spmcandidateview/AKL-007-106-A/","AKL-007-106-A")</f>
        <v>AKL-007-106-A</v>
      </c>
      <c r="AC217" s="4"/>
      <c r="AD217" s="4"/>
      <c r="AE217" s="4"/>
      <c r="AF217" s="4"/>
      <c r="AG217" s="4"/>
      <c r="AH217" s="4"/>
      <c r="AI217" s="4"/>
      <c r="AJ217" s="4"/>
      <c r="AK217" s="4"/>
      <c r="AL217" s="4"/>
      <c r="AM217" s="4"/>
      <c r="AN217" s="5">
        <v>39924</v>
      </c>
      <c r="AO217" s="4">
        <v>2</v>
      </c>
      <c r="AP217" s="5">
        <v>39918</v>
      </c>
      <c r="AQ217" s="5">
        <v>39969</v>
      </c>
      <c r="AR217" s="4"/>
      <c r="AS217" s="4"/>
      <c r="AT217" s="5">
        <v>39969</v>
      </c>
      <c r="AU217" s="5">
        <v>39962</v>
      </c>
      <c r="AV217" s="4"/>
      <c r="AW217" s="5">
        <v>39969</v>
      </c>
      <c r="AX217" s="5">
        <v>39972</v>
      </c>
      <c r="AY217" s="4"/>
      <c r="AZ217" s="5">
        <v>39923</v>
      </c>
      <c r="BA217" s="4"/>
      <c r="BB217" s="5">
        <v>39994</v>
      </c>
      <c r="BC217" s="4"/>
      <c r="BD217" s="4"/>
      <c r="BE217" s="5">
        <v>39994</v>
      </c>
      <c r="BF217" s="5">
        <v>39988</v>
      </c>
      <c r="BG217" s="4"/>
      <c r="BH217" s="5">
        <v>39937</v>
      </c>
      <c r="BI217" s="4"/>
      <c r="BJ217" s="5">
        <v>39937</v>
      </c>
      <c r="BK217" s="4">
        <v>2</v>
      </c>
      <c r="BL217" s="4">
        <v>2</v>
      </c>
      <c r="BM217" s="5">
        <v>39939</v>
      </c>
      <c r="BN217" s="5">
        <v>40015</v>
      </c>
      <c r="BO217" s="5">
        <v>40003</v>
      </c>
      <c r="BP217" s="4"/>
      <c r="BQ217" s="4"/>
      <c r="BR217" s="4"/>
      <c r="BS217" s="4"/>
      <c r="BT217" s="5">
        <v>39995</v>
      </c>
      <c r="BU217" s="5">
        <v>39997</v>
      </c>
      <c r="BV217" s="5">
        <v>40011</v>
      </c>
      <c r="BW217" s="5">
        <v>40011</v>
      </c>
      <c r="BX217" s="4"/>
      <c r="BY217" s="5">
        <v>40018</v>
      </c>
      <c r="BZ217" s="5">
        <v>40015</v>
      </c>
      <c r="CA217" s="4"/>
      <c r="CB217" s="4"/>
      <c r="CC217" s="4"/>
      <c r="CD217" s="4"/>
      <c r="CE217" s="4"/>
      <c r="CF217" s="4"/>
      <c r="CG217" s="4"/>
      <c r="CH217" s="4"/>
      <c r="CI217" s="5">
        <v>40023</v>
      </c>
      <c r="CJ217" s="5">
        <v>40023</v>
      </c>
      <c r="CK217" s="5">
        <v>40023</v>
      </c>
      <c r="CL217" s="4"/>
      <c r="CM217" s="4"/>
      <c r="CN217" s="4"/>
      <c r="CO217" s="4"/>
      <c r="CP217" s="4" t="s">
        <v>820</v>
      </c>
      <c r="CQ217" s="4"/>
      <c r="CR217" s="5">
        <v>40023</v>
      </c>
      <c r="CS217" s="4"/>
      <c r="CT217" s="4"/>
      <c r="CU217" s="4"/>
      <c r="CV217" s="4"/>
      <c r="CW217" s="5">
        <v>40002</v>
      </c>
      <c r="CX217" s="5">
        <v>40003</v>
      </c>
      <c r="CY217" s="4"/>
      <c r="CZ217" s="4"/>
      <c r="DA217" s="4"/>
      <c r="DB217" s="4"/>
      <c r="DC217" s="4"/>
      <c r="DD217" s="4"/>
      <c r="DE217" s="4"/>
      <c r="DF217" s="4"/>
      <c r="DG217" s="4"/>
      <c r="DH217" s="4"/>
      <c r="DI217" s="4"/>
      <c r="DJ217" s="4" t="b">
        <v>0</v>
      </c>
      <c r="DK217" s="4"/>
      <c r="DL217" s="4">
        <v>2667459</v>
      </c>
      <c r="DM217" s="4">
        <v>6478599</v>
      </c>
      <c r="DN217" s="4" t="s">
        <v>821</v>
      </c>
      <c r="DO217" s="4"/>
      <c r="DP217" s="4"/>
      <c r="DQ217" s="4" t="s">
        <v>148</v>
      </c>
      <c r="DR217" s="4"/>
      <c r="DS217" s="4"/>
      <c r="DT217" s="5">
        <v>41806</v>
      </c>
      <c r="DU217" s="4"/>
      <c r="DV217" s="4"/>
      <c r="DW217" s="4"/>
      <c r="DX217" s="4"/>
      <c r="DY217" s="5">
        <v>39995</v>
      </c>
      <c r="DZ217" s="5">
        <v>39997</v>
      </c>
      <c r="EA217" s="4"/>
      <c r="EB217" s="4"/>
      <c r="EC217" s="4"/>
      <c r="ED217" s="4"/>
      <c r="EE217" s="4"/>
      <c r="EF217" s="4"/>
      <c r="EG217" s="4"/>
      <c r="EH217" s="4"/>
      <c r="EI217" s="5">
        <v>39910</v>
      </c>
    </row>
    <row r="218" spans="1:139" hidden="1" x14ac:dyDescent="0.2">
      <c r="A218">
        <f>VLOOKUP(B218,Sheet1!$A$1:$B$18,2,FALSE)</f>
        <v>0</v>
      </c>
      <c r="B218" t="str">
        <f t="shared" si="3"/>
        <v>AKL</v>
      </c>
      <c r="C218" s="2">
        <v>217</v>
      </c>
      <c r="D218" s="3" t="str">
        <f>HYPERLINK("https://sitebase.nzcomms.co.nz/spm/spmnominalview/AKL-007-032/","AKL-007-032")</f>
        <v>AKL-007-032</v>
      </c>
      <c r="E218" s="4"/>
      <c r="F218" s="3" t="str">
        <f>HYPERLINK("https://sitebase.nzcomms.co.nz/spm/spmcandidateview/AKL-007-032-A/","AKL-007-032-A")</f>
        <v>AKL-007-032-A</v>
      </c>
      <c r="G218" s="4" t="s">
        <v>822</v>
      </c>
      <c r="H218" s="4" t="s">
        <v>745</v>
      </c>
      <c r="I218" s="4"/>
      <c r="J218" s="4" t="s">
        <v>139</v>
      </c>
      <c r="K218" s="4" t="s">
        <v>141</v>
      </c>
      <c r="L218" s="4" t="s">
        <v>181</v>
      </c>
      <c r="M218" s="4" t="s">
        <v>804</v>
      </c>
      <c r="N218" s="4" t="s">
        <v>364</v>
      </c>
      <c r="O218" s="4" t="s">
        <v>144</v>
      </c>
      <c r="P218" s="4"/>
      <c r="Q218" s="4"/>
      <c r="R218" s="4">
        <v>1</v>
      </c>
      <c r="S218" s="4">
        <v>1</v>
      </c>
      <c r="T218" s="4"/>
      <c r="U218" s="4">
        <v>-36.846398399999998</v>
      </c>
      <c r="V218" s="4">
        <v>174.76699497999999</v>
      </c>
      <c r="W218" s="4"/>
      <c r="X218" s="4"/>
      <c r="Y218" s="4"/>
      <c r="Z218" s="4"/>
      <c r="AA218" s="4" t="s">
        <v>171</v>
      </c>
      <c r="AB218" s="3" t="str">
        <f>HYPERLINK("https://sitebase.nzcomms.co.nz/spm/spmcandidateview/AKL-007-105-A/","AKL-007-105-A")</f>
        <v>AKL-007-105-A</v>
      </c>
      <c r="AC218" s="4"/>
      <c r="AD218" s="4"/>
      <c r="AE218" s="4"/>
      <c r="AF218" s="4"/>
      <c r="AG218" s="4"/>
      <c r="AH218" s="4" t="s">
        <v>360</v>
      </c>
      <c r="AI218" s="4"/>
      <c r="AJ218" s="4"/>
      <c r="AK218" s="4"/>
      <c r="AL218" s="4"/>
      <c r="AM218" s="4"/>
      <c r="AN218" s="5">
        <v>39172</v>
      </c>
      <c r="AO218" s="4">
        <v>4</v>
      </c>
      <c r="AP218" s="4"/>
      <c r="AQ218" s="5">
        <v>42355</v>
      </c>
      <c r="AR218" s="4"/>
      <c r="AS218" s="4"/>
      <c r="AT218" s="5">
        <v>39370</v>
      </c>
      <c r="AU218" s="5">
        <v>39370</v>
      </c>
      <c r="AV218" s="4">
        <v>1</v>
      </c>
      <c r="AW218" s="5">
        <v>39370</v>
      </c>
      <c r="AX218" s="5">
        <v>39370</v>
      </c>
      <c r="AY218" s="4"/>
      <c r="AZ218" s="4"/>
      <c r="BA218" s="4"/>
      <c r="BB218" s="5">
        <v>39173</v>
      </c>
      <c r="BC218" s="4"/>
      <c r="BD218" s="4"/>
      <c r="BE218" s="5">
        <v>39173</v>
      </c>
      <c r="BF218" s="5">
        <v>39173</v>
      </c>
      <c r="BG218" s="5">
        <v>42398</v>
      </c>
      <c r="BH218" s="4"/>
      <c r="BI218" s="4"/>
      <c r="BJ218" s="5">
        <v>39346</v>
      </c>
      <c r="BK218" s="4">
        <v>1</v>
      </c>
      <c r="BL218" s="4">
        <v>1</v>
      </c>
      <c r="BM218" s="4"/>
      <c r="BN218" s="5">
        <v>39346</v>
      </c>
      <c r="BO218" s="4"/>
      <c r="BP218" s="4"/>
      <c r="BQ218" s="4"/>
      <c r="BR218" s="4"/>
      <c r="BS218" s="4"/>
      <c r="BT218" s="4"/>
      <c r="BU218" s="5">
        <v>39391</v>
      </c>
      <c r="BV218" s="5">
        <v>39406</v>
      </c>
      <c r="BW218" s="5">
        <v>39406</v>
      </c>
      <c r="BX218" s="4"/>
      <c r="BY218" s="5">
        <v>39420</v>
      </c>
      <c r="BZ218" s="5">
        <v>39420</v>
      </c>
      <c r="CA218" s="4"/>
      <c r="CB218" s="4"/>
      <c r="CC218" s="4"/>
      <c r="CD218" s="4"/>
      <c r="CE218" s="4"/>
      <c r="CF218" s="4"/>
      <c r="CG218" s="4"/>
      <c r="CH218" s="4"/>
      <c r="CI218" s="5">
        <v>39549</v>
      </c>
      <c r="CJ218" s="4"/>
      <c r="CK218" s="5">
        <v>39549</v>
      </c>
      <c r="CL218" s="4"/>
      <c r="CM218" s="4"/>
      <c r="CN218" s="4"/>
      <c r="CO218" s="4"/>
      <c r="CP218" s="4" t="s">
        <v>823</v>
      </c>
      <c r="CQ218" s="4"/>
      <c r="CR218" s="5">
        <v>39549</v>
      </c>
      <c r="CS218" s="4"/>
      <c r="CT218" s="4"/>
      <c r="CU218" s="4"/>
      <c r="CV218" s="4"/>
      <c r="CW218" s="4"/>
      <c r="CX218" s="4"/>
      <c r="CY218" s="4"/>
      <c r="CZ218" s="4"/>
      <c r="DA218" s="4"/>
      <c r="DB218" s="4"/>
      <c r="DC218" s="4"/>
      <c r="DD218" s="4"/>
      <c r="DE218" s="4"/>
      <c r="DF218" s="4"/>
      <c r="DG218" s="4"/>
      <c r="DH218" s="4"/>
      <c r="DI218" s="4"/>
      <c r="DJ218" s="4" t="b">
        <v>0</v>
      </c>
      <c r="DK218" s="4"/>
      <c r="DL218" s="4">
        <v>2667979</v>
      </c>
      <c r="DM218" s="4">
        <v>6482407</v>
      </c>
      <c r="DN218" s="4" t="s">
        <v>824</v>
      </c>
      <c r="DO218" s="4"/>
      <c r="DP218" s="4"/>
      <c r="DQ218" s="4" t="s">
        <v>148</v>
      </c>
      <c r="DR218" s="4"/>
      <c r="DS218" s="4"/>
      <c r="DT218" s="5">
        <v>41806</v>
      </c>
      <c r="DU218" s="4"/>
      <c r="DV218" s="4"/>
      <c r="DW218" s="4"/>
      <c r="DX218" s="4"/>
      <c r="DY218" s="4"/>
      <c r="DZ218" s="5">
        <v>39391</v>
      </c>
      <c r="EA218" s="4"/>
      <c r="EB218" s="4"/>
      <c r="EC218" s="4"/>
      <c r="ED218" s="4"/>
      <c r="EE218" s="4"/>
      <c r="EF218" s="4"/>
      <c r="EG218" s="4"/>
      <c r="EH218" s="4"/>
      <c r="EI218" s="5">
        <v>39173</v>
      </c>
    </row>
    <row r="219" spans="1:139" hidden="1" x14ac:dyDescent="0.2">
      <c r="A219">
        <f>VLOOKUP(B219,Sheet1!$A$1:$B$18,2,FALSE)</f>
        <v>0</v>
      </c>
      <c r="B219" t="str">
        <f t="shared" si="3"/>
        <v>AKL</v>
      </c>
      <c r="C219" s="2">
        <v>218</v>
      </c>
      <c r="D219" s="3" t="str">
        <f>HYPERLINK("https://sitebase.nzcomms.co.nz/spm/spmnominalview/AKL-007-033/","AKL-007-033")</f>
        <v>AKL-007-033</v>
      </c>
      <c r="E219" s="4"/>
      <c r="F219" s="3" t="str">
        <f>HYPERLINK("https://sitebase.nzcomms.co.nz/spm/spmcandidateview/AKL-007-033-B/","AKL-007-033-B")</f>
        <v>AKL-007-033-B</v>
      </c>
      <c r="G219" s="4" t="s">
        <v>825</v>
      </c>
      <c r="H219" s="4" t="s">
        <v>745</v>
      </c>
      <c r="I219" s="4"/>
      <c r="J219" s="4" t="s">
        <v>139</v>
      </c>
      <c r="K219" s="4" t="s">
        <v>141</v>
      </c>
      <c r="L219" s="4" t="s">
        <v>150</v>
      </c>
      <c r="M219" s="4" t="s">
        <v>354</v>
      </c>
      <c r="N219" s="4" t="s">
        <v>291</v>
      </c>
      <c r="O219" s="4" t="s">
        <v>356</v>
      </c>
      <c r="P219" s="4"/>
      <c r="Q219" s="4"/>
      <c r="R219" s="4">
        <v>20</v>
      </c>
      <c r="S219" s="4">
        <v>20</v>
      </c>
      <c r="T219" s="4"/>
      <c r="U219" s="4">
        <v>-36.848002209999997</v>
      </c>
      <c r="V219" s="4">
        <v>174.78389172000001</v>
      </c>
      <c r="W219" s="4"/>
      <c r="X219" s="4"/>
      <c r="Y219" s="4"/>
      <c r="Z219" s="4"/>
      <c r="AA219" s="4" t="s">
        <v>171</v>
      </c>
      <c r="AB219" s="3" t="str">
        <f>HYPERLINK("https://sitebase.nzcomms.co.nz/spm/spmcandidateview/AKL-007-023-C/","AKL-007-023-C")</f>
        <v>AKL-007-023-C</v>
      </c>
      <c r="AC219" s="4"/>
      <c r="AD219" s="4"/>
      <c r="AE219" s="4"/>
      <c r="AF219" s="4"/>
      <c r="AG219" s="4"/>
      <c r="AH219" s="4" t="s">
        <v>360</v>
      </c>
      <c r="AI219" s="4"/>
      <c r="AJ219" s="4"/>
      <c r="AK219" s="4"/>
      <c r="AL219" s="4"/>
      <c r="AM219" s="4"/>
      <c r="AN219" s="5">
        <v>39511</v>
      </c>
      <c r="AO219" s="4">
        <v>4</v>
      </c>
      <c r="AP219" s="5">
        <v>39877</v>
      </c>
      <c r="AQ219" s="5">
        <v>42131</v>
      </c>
      <c r="AR219" s="4"/>
      <c r="AS219" s="4"/>
      <c r="AT219" s="5">
        <v>39629</v>
      </c>
      <c r="AU219" s="5">
        <v>39745</v>
      </c>
      <c r="AV219" s="4">
        <v>2</v>
      </c>
      <c r="AW219" s="5">
        <v>39933</v>
      </c>
      <c r="AX219" s="5">
        <v>40071</v>
      </c>
      <c r="AY219" s="4"/>
      <c r="AZ219" s="4"/>
      <c r="BA219" s="4"/>
      <c r="BB219" s="5">
        <v>39736</v>
      </c>
      <c r="BC219" s="4"/>
      <c r="BD219" s="4"/>
      <c r="BE219" s="5">
        <v>39669</v>
      </c>
      <c r="BF219" s="5">
        <v>39736</v>
      </c>
      <c r="BG219" s="4"/>
      <c r="BH219" s="5">
        <v>39728</v>
      </c>
      <c r="BI219" s="4"/>
      <c r="BJ219" s="5">
        <v>39804</v>
      </c>
      <c r="BK219" s="4">
        <v>3</v>
      </c>
      <c r="BL219" s="4"/>
      <c r="BM219" s="5">
        <v>39804</v>
      </c>
      <c r="BN219" s="5">
        <v>42304</v>
      </c>
      <c r="BO219" s="5">
        <v>39801</v>
      </c>
      <c r="BP219" s="4"/>
      <c r="BQ219" s="4"/>
      <c r="BR219" s="4"/>
      <c r="BS219" s="4"/>
      <c r="BT219" s="4"/>
      <c r="BU219" s="5">
        <v>39856</v>
      </c>
      <c r="BV219" s="5">
        <v>39885</v>
      </c>
      <c r="BW219" s="5">
        <v>39885</v>
      </c>
      <c r="BX219" s="4"/>
      <c r="BY219" s="5">
        <v>39892</v>
      </c>
      <c r="BZ219" s="5">
        <v>39885</v>
      </c>
      <c r="CA219" s="4"/>
      <c r="CB219" s="4"/>
      <c r="CC219" s="4"/>
      <c r="CD219" s="4"/>
      <c r="CE219" s="4"/>
      <c r="CF219" s="4"/>
      <c r="CG219" s="4"/>
      <c r="CH219" s="4"/>
      <c r="CI219" s="5">
        <v>39892</v>
      </c>
      <c r="CJ219" s="5">
        <v>39892</v>
      </c>
      <c r="CK219" s="5">
        <v>39892</v>
      </c>
      <c r="CL219" s="4"/>
      <c r="CM219" s="4"/>
      <c r="CN219" s="4"/>
      <c r="CO219" s="4"/>
      <c r="CP219" s="4" t="s">
        <v>826</v>
      </c>
      <c r="CQ219" s="4"/>
      <c r="CR219" s="5">
        <v>39892</v>
      </c>
      <c r="CS219" s="4"/>
      <c r="CT219" s="4"/>
      <c r="CU219" s="4"/>
      <c r="CV219" s="4"/>
      <c r="CW219" s="5">
        <v>39804</v>
      </c>
      <c r="CX219" s="5">
        <v>39801</v>
      </c>
      <c r="CY219" s="4"/>
      <c r="CZ219" s="4"/>
      <c r="DA219" s="4"/>
      <c r="DB219" s="4"/>
      <c r="DC219" s="4"/>
      <c r="DD219" s="4"/>
      <c r="DE219" s="4"/>
      <c r="DF219" s="4"/>
      <c r="DG219" s="4"/>
      <c r="DH219" s="4"/>
      <c r="DI219" s="4"/>
      <c r="DJ219" s="4" t="b">
        <v>0</v>
      </c>
      <c r="DK219" s="4"/>
      <c r="DL219" s="4">
        <v>2669482</v>
      </c>
      <c r="DM219" s="4">
        <v>6482198</v>
      </c>
      <c r="DN219" s="4" t="s">
        <v>827</v>
      </c>
      <c r="DO219" s="4"/>
      <c r="DP219" s="4"/>
      <c r="DQ219" s="4" t="s">
        <v>148</v>
      </c>
      <c r="DR219" s="4"/>
      <c r="DS219" s="4"/>
      <c r="DT219" s="5">
        <v>41806</v>
      </c>
      <c r="DU219" s="4"/>
      <c r="DV219" s="4"/>
      <c r="DW219" s="4"/>
      <c r="DX219" s="4"/>
      <c r="DY219" s="5">
        <v>39860</v>
      </c>
      <c r="DZ219" s="5">
        <v>39856</v>
      </c>
      <c r="EA219" s="4"/>
      <c r="EB219" s="4"/>
      <c r="EC219" s="4"/>
      <c r="ED219" s="4"/>
      <c r="EE219" s="4"/>
      <c r="EF219" s="4"/>
      <c r="EG219" s="4"/>
      <c r="EH219" s="4"/>
      <c r="EI219" s="5">
        <v>39464</v>
      </c>
    </row>
    <row r="220" spans="1:139" hidden="1" x14ac:dyDescent="0.2">
      <c r="A220">
        <f>VLOOKUP(B220,Sheet1!$A$1:$B$18,2,FALSE)</f>
        <v>0</v>
      </c>
      <c r="B220" t="str">
        <f t="shared" si="3"/>
        <v>AKL</v>
      </c>
      <c r="C220" s="2">
        <v>219</v>
      </c>
      <c r="D220" s="3" t="str">
        <f>HYPERLINK("https://sitebase.nzcomms.co.nz/spm/spmnominalview/AKL-007-034/","AKL-007-034")</f>
        <v>AKL-007-034</v>
      </c>
      <c r="E220" s="4"/>
      <c r="F220" s="3" t="str">
        <f>HYPERLINK("https://sitebase.nzcomms.co.nz/spm/spmcandidateview/AKL-007-034-E/","AKL-007-034-E")</f>
        <v>AKL-007-034-E</v>
      </c>
      <c r="G220" s="4" t="s">
        <v>828</v>
      </c>
      <c r="H220" s="4" t="s">
        <v>745</v>
      </c>
      <c r="I220" s="4"/>
      <c r="J220" s="4" t="s">
        <v>139</v>
      </c>
      <c r="K220" s="4" t="s">
        <v>141</v>
      </c>
      <c r="L220" s="4" t="s">
        <v>181</v>
      </c>
      <c r="M220" s="4" t="s">
        <v>378</v>
      </c>
      <c r="N220" s="4" t="s">
        <v>364</v>
      </c>
      <c r="O220" s="4" t="s">
        <v>144</v>
      </c>
      <c r="P220" s="4"/>
      <c r="Q220" s="4"/>
      <c r="R220" s="4">
        <v>20.9</v>
      </c>
      <c r="S220" s="4">
        <v>20.9</v>
      </c>
      <c r="T220" s="4"/>
      <c r="U220" s="4">
        <v>-36.842719219999999</v>
      </c>
      <c r="V220" s="4">
        <v>174.75339944999999</v>
      </c>
      <c r="W220" s="4"/>
      <c r="X220" s="4"/>
      <c r="Y220" s="4"/>
      <c r="Z220" s="4"/>
      <c r="AA220" s="4"/>
      <c r="AB220" s="4"/>
      <c r="AC220" s="4"/>
      <c r="AD220" s="4"/>
      <c r="AE220" s="4"/>
      <c r="AF220" s="4"/>
      <c r="AG220" s="4"/>
      <c r="AH220" s="4"/>
      <c r="AI220" s="4"/>
      <c r="AJ220" s="4"/>
      <c r="AK220" s="4"/>
      <c r="AL220" s="4"/>
      <c r="AM220" s="4"/>
      <c r="AN220" s="5">
        <v>39764</v>
      </c>
      <c r="AO220" s="4">
        <v>7</v>
      </c>
      <c r="AP220" s="5">
        <v>39904</v>
      </c>
      <c r="AQ220" s="5">
        <v>42138</v>
      </c>
      <c r="AR220" s="4"/>
      <c r="AS220" s="4"/>
      <c r="AT220" s="5">
        <v>39878</v>
      </c>
      <c r="AU220" s="5">
        <v>39877</v>
      </c>
      <c r="AV220" s="4">
        <v>3</v>
      </c>
      <c r="AW220" s="5">
        <v>39899</v>
      </c>
      <c r="AX220" s="5">
        <v>39895</v>
      </c>
      <c r="AY220" s="4"/>
      <c r="AZ220" s="5">
        <v>39787</v>
      </c>
      <c r="BA220" s="4"/>
      <c r="BB220" s="5">
        <v>39892</v>
      </c>
      <c r="BC220" s="4"/>
      <c r="BD220" s="4"/>
      <c r="BE220" s="5">
        <v>39948</v>
      </c>
      <c r="BF220" s="5">
        <v>39925</v>
      </c>
      <c r="BG220" s="5">
        <v>39801</v>
      </c>
      <c r="BH220" s="5">
        <v>39798</v>
      </c>
      <c r="BI220" s="4"/>
      <c r="BJ220" s="5">
        <v>39853</v>
      </c>
      <c r="BK220" s="4">
        <v>4</v>
      </c>
      <c r="BL220" s="4"/>
      <c r="BM220" s="5">
        <v>39860</v>
      </c>
      <c r="BN220" s="5">
        <v>42319</v>
      </c>
      <c r="BO220" s="4"/>
      <c r="BP220" s="4"/>
      <c r="BQ220" s="4"/>
      <c r="BR220" s="4"/>
      <c r="BS220" s="4"/>
      <c r="BT220" s="4"/>
      <c r="BU220" s="5">
        <v>39890</v>
      </c>
      <c r="BV220" s="5">
        <v>39913</v>
      </c>
      <c r="BW220" s="5">
        <v>39903</v>
      </c>
      <c r="BX220" s="4"/>
      <c r="BY220" s="5">
        <v>39923</v>
      </c>
      <c r="BZ220" s="5">
        <v>39926</v>
      </c>
      <c r="CA220" s="4"/>
      <c r="CB220" s="4"/>
      <c r="CC220" s="4"/>
      <c r="CD220" s="4"/>
      <c r="CE220" s="4"/>
      <c r="CF220" s="4"/>
      <c r="CG220" s="4"/>
      <c r="CH220" s="4"/>
      <c r="CI220" s="5">
        <v>39926</v>
      </c>
      <c r="CJ220" s="5">
        <v>39933</v>
      </c>
      <c r="CK220" s="5">
        <v>39926</v>
      </c>
      <c r="CL220" s="4"/>
      <c r="CM220" s="4"/>
      <c r="CN220" s="4"/>
      <c r="CO220" s="4"/>
      <c r="CP220" s="4" t="s">
        <v>829</v>
      </c>
      <c r="CQ220" s="4"/>
      <c r="CR220" s="5">
        <v>39933</v>
      </c>
      <c r="CS220" s="4"/>
      <c r="CT220" s="4"/>
      <c r="CU220" s="4"/>
      <c r="CV220" s="4"/>
      <c r="CW220" s="4"/>
      <c r="CX220" s="4"/>
      <c r="CY220" s="4"/>
      <c r="CZ220" s="4"/>
      <c r="DA220" s="4"/>
      <c r="DB220" s="4"/>
      <c r="DC220" s="4"/>
      <c r="DD220" s="4"/>
      <c r="DE220" s="4"/>
      <c r="DF220" s="4"/>
      <c r="DG220" s="4"/>
      <c r="DH220" s="4"/>
      <c r="DI220" s="4"/>
      <c r="DJ220" s="4" t="b">
        <v>0</v>
      </c>
      <c r="DK220" s="4"/>
      <c r="DL220" s="4">
        <v>2666775</v>
      </c>
      <c r="DM220" s="4">
        <v>6482840</v>
      </c>
      <c r="DN220" s="4" t="s">
        <v>830</v>
      </c>
      <c r="DO220" s="4"/>
      <c r="DP220" s="4"/>
      <c r="DQ220" s="4" t="s">
        <v>148</v>
      </c>
      <c r="DR220" s="4"/>
      <c r="DS220" s="4"/>
      <c r="DT220" s="5">
        <v>41806</v>
      </c>
      <c r="DU220" s="4"/>
      <c r="DV220" s="4"/>
      <c r="DW220" s="4"/>
      <c r="DX220" s="4"/>
      <c r="DY220" s="5">
        <v>39888</v>
      </c>
      <c r="DZ220" s="5">
        <v>39890</v>
      </c>
      <c r="EA220" s="4"/>
      <c r="EB220" s="4"/>
      <c r="EC220" s="4"/>
      <c r="ED220" s="4"/>
      <c r="EE220" s="4"/>
      <c r="EF220" s="4"/>
      <c r="EG220" s="4"/>
      <c r="EH220" s="4"/>
      <c r="EI220" s="5">
        <v>39730</v>
      </c>
    </row>
    <row r="221" spans="1:139" hidden="1" x14ac:dyDescent="0.2">
      <c r="A221">
        <f>VLOOKUP(B221,Sheet1!$A$1:$B$18,2,FALSE)</f>
        <v>0</v>
      </c>
      <c r="B221" t="str">
        <f t="shared" si="3"/>
        <v>AKL</v>
      </c>
      <c r="C221" s="2">
        <v>220</v>
      </c>
      <c r="D221" s="3" t="str">
        <f>HYPERLINK("https://sitebase.nzcomms.co.nz/spm/spmnominalview/AKL-007-035/","AKL-007-035")</f>
        <v>AKL-007-035</v>
      </c>
      <c r="E221" s="4"/>
      <c r="F221" s="3" t="str">
        <f>HYPERLINK("https://sitebase.nzcomms.co.nz/spm/spmcandidateview/AKL-007-035-A/","AKL-007-035-A")</f>
        <v>AKL-007-035-A</v>
      </c>
      <c r="G221" s="4" t="s">
        <v>831</v>
      </c>
      <c r="H221" s="4" t="s">
        <v>745</v>
      </c>
      <c r="I221" s="4"/>
      <c r="J221" s="4" t="s">
        <v>139</v>
      </c>
      <c r="K221" s="4" t="s">
        <v>141</v>
      </c>
      <c r="L221" s="4" t="s">
        <v>181</v>
      </c>
      <c r="M221" s="4" t="s">
        <v>354</v>
      </c>
      <c r="N221" s="4" t="s">
        <v>364</v>
      </c>
      <c r="O221" s="4" t="s">
        <v>144</v>
      </c>
      <c r="P221" s="4"/>
      <c r="Q221" s="4"/>
      <c r="R221" s="4">
        <v>14</v>
      </c>
      <c r="S221" s="4">
        <v>14</v>
      </c>
      <c r="T221" s="4"/>
      <c r="U221" s="4">
        <v>-36.859378970000002</v>
      </c>
      <c r="V221" s="4">
        <v>174.73270166</v>
      </c>
      <c r="W221" s="4"/>
      <c r="X221" s="4"/>
      <c r="Y221" s="4"/>
      <c r="Z221" s="4"/>
      <c r="AA221" s="4" t="s">
        <v>152</v>
      </c>
      <c r="AB221" s="3" t="str">
        <f>HYPERLINK("https://sitebase.nzcomms.co.nz/spm/spmcandidateview/AKL-007-106-A/","AKL-007-106-A")</f>
        <v>AKL-007-106-A</v>
      </c>
      <c r="AC221" s="4"/>
      <c r="AD221" s="4"/>
      <c r="AE221" s="4"/>
      <c r="AF221" s="4"/>
      <c r="AG221" s="4"/>
      <c r="AH221" s="4"/>
      <c r="AI221" s="4"/>
      <c r="AJ221" s="4"/>
      <c r="AK221" s="4"/>
      <c r="AL221" s="4"/>
      <c r="AM221" s="4"/>
      <c r="AN221" s="5">
        <v>39268</v>
      </c>
      <c r="AO221" s="4">
        <v>2</v>
      </c>
      <c r="AP221" s="5">
        <v>39263</v>
      </c>
      <c r="AQ221" s="5">
        <v>39263</v>
      </c>
      <c r="AR221" s="4"/>
      <c r="AS221" s="4"/>
      <c r="AT221" s="5">
        <v>39253</v>
      </c>
      <c r="AU221" s="5">
        <v>39253</v>
      </c>
      <c r="AV221" s="4">
        <v>2</v>
      </c>
      <c r="AW221" s="5">
        <v>39253</v>
      </c>
      <c r="AX221" s="5">
        <v>39253</v>
      </c>
      <c r="AY221" s="4"/>
      <c r="AZ221" s="4"/>
      <c r="BA221" s="4"/>
      <c r="BB221" s="5">
        <v>39349</v>
      </c>
      <c r="BC221" s="4"/>
      <c r="BD221" s="4"/>
      <c r="BE221" s="5">
        <v>39349</v>
      </c>
      <c r="BF221" s="5">
        <v>39349</v>
      </c>
      <c r="BG221" s="4"/>
      <c r="BH221" s="5">
        <v>39468</v>
      </c>
      <c r="BI221" s="4"/>
      <c r="BJ221" s="5">
        <v>39456</v>
      </c>
      <c r="BK221" s="4">
        <v>1</v>
      </c>
      <c r="BL221" s="4">
        <v>2</v>
      </c>
      <c r="BM221" s="5">
        <v>39456</v>
      </c>
      <c r="BN221" s="5">
        <v>39456</v>
      </c>
      <c r="BO221" s="4"/>
      <c r="BP221" s="4"/>
      <c r="BQ221" s="4"/>
      <c r="BR221" s="4"/>
      <c r="BS221" s="4"/>
      <c r="BT221" s="4"/>
      <c r="BU221" s="5">
        <v>39539</v>
      </c>
      <c r="BV221" s="5">
        <v>39622</v>
      </c>
      <c r="BW221" s="5">
        <v>39619</v>
      </c>
      <c r="BX221" s="4"/>
      <c r="BY221" s="5">
        <v>39653</v>
      </c>
      <c r="BZ221" s="5">
        <v>39653</v>
      </c>
      <c r="CA221" s="4"/>
      <c r="CB221" s="4"/>
      <c r="CC221" s="4"/>
      <c r="CD221" s="4"/>
      <c r="CE221" s="4"/>
      <c r="CF221" s="4"/>
      <c r="CG221" s="4"/>
      <c r="CH221" s="4"/>
      <c r="CI221" s="5">
        <v>40028</v>
      </c>
      <c r="CJ221" s="5">
        <v>40033</v>
      </c>
      <c r="CK221" s="5">
        <v>40028</v>
      </c>
      <c r="CL221" s="4"/>
      <c r="CM221" s="4"/>
      <c r="CN221" s="4"/>
      <c r="CO221" s="4"/>
      <c r="CP221" s="4" t="s">
        <v>832</v>
      </c>
      <c r="CQ221" s="4"/>
      <c r="CR221" s="5">
        <v>40033</v>
      </c>
      <c r="CS221" s="4"/>
      <c r="CT221" s="4"/>
      <c r="CU221" s="4"/>
      <c r="CV221" s="4"/>
      <c r="CW221" s="4"/>
      <c r="CX221" s="4"/>
      <c r="CY221" s="4"/>
      <c r="CZ221" s="4"/>
      <c r="DA221" s="4"/>
      <c r="DB221" s="4"/>
      <c r="DC221" s="4"/>
      <c r="DD221" s="4"/>
      <c r="DE221" s="4"/>
      <c r="DF221" s="4"/>
      <c r="DG221" s="4"/>
      <c r="DH221" s="4"/>
      <c r="DI221" s="4"/>
      <c r="DJ221" s="4" t="b">
        <v>0</v>
      </c>
      <c r="DK221" s="4"/>
      <c r="DL221" s="4">
        <v>2664892</v>
      </c>
      <c r="DM221" s="4">
        <v>6481029</v>
      </c>
      <c r="DN221" s="4" t="s">
        <v>833</v>
      </c>
      <c r="DO221" s="4"/>
      <c r="DP221" s="4"/>
      <c r="DQ221" s="4" t="s">
        <v>148</v>
      </c>
      <c r="DR221" s="4"/>
      <c r="DS221" s="4"/>
      <c r="DT221" s="5">
        <v>41806</v>
      </c>
      <c r="DU221" s="4"/>
      <c r="DV221" s="4"/>
      <c r="DW221" s="4"/>
      <c r="DX221" s="4"/>
      <c r="DY221" s="4"/>
      <c r="DZ221" s="5">
        <v>39519</v>
      </c>
      <c r="EA221" s="4"/>
      <c r="EB221" s="4"/>
      <c r="EC221" s="4"/>
      <c r="ED221" s="4"/>
      <c r="EE221" s="4"/>
      <c r="EF221" s="4"/>
      <c r="EG221" s="4"/>
      <c r="EH221" s="4"/>
      <c r="EI221" s="5">
        <v>39232</v>
      </c>
    </row>
    <row r="222" spans="1:139" hidden="1" x14ac:dyDescent="0.2">
      <c r="A222">
        <f>VLOOKUP(B222,Sheet1!$A$1:$B$18,2,FALSE)</f>
        <v>0</v>
      </c>
      <c r="B222" t="str">
        <f t="shared" si="3"/>
        <v>AKL</v>
      </c>
      <c r="C222" s="2">
        <v>221</v>
      </c>
      <c r="D222" s="3" t="str">
        <f>HYPERLINK("https://sitebase.nzcomms.co.nz/spm/spmnominalview/AKL-007-036/","AKL-007-036")</f>
        <v>AKL-007-036</v>
      </c>
      <c r="E222" s="4"/>
      <c r="F222" s="3" t="str">
        <f>HYPERLINK("https://sitebase.nzcomms.co.nz/spm/spmcandidateview/AKL-007-036-A/","AKL-007-036-A")</f>
        <v>AKL-007-036-A</v>
      </c>
      <c r="G222" s="4" t="s">
        <v>834</v>
      </c>
      <c r="H222" s="4" t="s">
        <v>745</v>
      </c>
      <c r="I222" s="4"/>
      <c r="J222" s="4" t="s">
        <v>139</v>
      </c>
      <c r="K222" s="4" t="s">
        <v>141</v>
      </c>
      <c r="L222" s="4" t="s">
        <v>181</v>
      </c>
      <c r="M222" s="4" t="s">
        <v>442</v>
      </c>
      <c r="N222" s="4" t="s">
        <v>364</v>
      </c>
      <c r="O222" s="4" t="s">
        <v>144</v>
      </c>
      <c r="P222" s="4"/>
      <c r="Q222" s="4"/>
      <c r="R222" s="4">
        <v>8</v>
      </c>
      <c r="S222" s="4">
        <v>8</v>
      </c>
      <c r="T222" s="4"/>
      <c r="U222" s="4">
        <v>-36.85328037</v>
      </c>
      <c r="V222" s="4">
        <v>174.84386326000001</v>
      </c>
      <c r="W222" s="4"/>
      <c r="X222" s="4"/>
      <c r="Y222" s="4"/>
      <c r="Z222" s="4"/>
      <c r="AA222" s="4" t="s">
        <v>152</v>
      </c>
      <c r="AB222" s="3" t="str">
        <f>HYPERLINK("https://sitebase.nzcomms.co.nz/spm/spmcandidateview/AKL-007-106-A/","AKL-007-106-A")</f>
        <v>AKL-007-106-A</v>
      </c>
      <c r="AC222" s="4"/>
      <c r="AD222" s="4"/>
      <c r="AE222" s="4"/>
      <c r="AF222" s="4"/>
      <c r="AG222" s="4"/>
      <c r="AH222" s="4"/>
      <c r="AI222" s="4"/>
      <c r="AJ222" s="4"/>
      <c r="AK222" s="4"/>
      <c r="AL222" s="4"/>
      <c r="AM222" s="4"/>
      <c r="AN222" s="5">
        <v>39273</v>
      </c>
      <c r="AO222" s="4">
        <v>1</v>
      </c>
      <c r="AP222" s="4"/>
      <c r="AQ222" s="5">
        <v>39273</v>
      </c>
      <c r="AR222" s="4"/>
      <c r="AS222" s="4"/>
      <c r="AT222" s="5">
        <v>39349</v>
      </c>
      <c r="AU222" s="5">
        <v>39349</v>
      </c>
      <c r="AV222" s="4">
        <v>1</v>
      </c>
      <c r="AW222" s="5">
        <v>39349</v>
      </c>
      <c r="AX222" s="5">
        <v>39349</v>
      </c>
      <c r="AY222" s="4"/>
      <c r="AZ222" s="4"/>
      <c r="BA222" s="4"/>
      <c r="BB222" s="5">
        <v>39342</v>
      </c>
      <c r="BC222" s="4"/>
      <c r="BD222" s="4"/>
      <c r="BE222" s="5">
        <v>39342</v>
      </c>
      <c r="BF222" s="5">
        <v>39342</v>
      </c>
      <c r="BG222" s="4"/>
      <c r="BH222" s="5">
        <v>39468</v>
      </c>
      <c r="BI222" s="4"/>
      <c r="BJ222" s="5">
        <v>39346</v>
      </c>
      <c r="BK222" s="4">
        <v>1</v>
      </c>
      <c r="BL222" s="4">
        <v>1</v>
      </c>
      <c r="BM222" s="5">
        <v>39346</v>
      </c>
      <c r="BN222" s="5">
        <v>39346</v>
      </c>
      <c r="BO222" s="4"/>
      <c r="BP222" s="4"/>
      <c r="BQ222" s="4"/>
      <c r="BR222" s="4"/>
      <c r="BS222" s="4"/>
      <c r="BT222" s="4"/>
      <c r="BU222" s="5">
        <v>39398</v>
      </c>
      <c r="BV222" s="5">
        <v>39430</v>
      </c>
      <c r="BW222" s="5">
        <v>39430</v>
      </c>
      <c r="BX222" s="4"/>
      <c r="BY222" s="5">
        <v>39477</v>
      </c>
      <c r="BZ222" s="5">
        <v>39477</v>
      </c>
      <c r="CA222" s="4"/>
      <c r="CB222" s="4"/>
      <c r="CC222" s="4"/>
      <c r="CD222" s="4"/>
      <c r="CE222" s="4"/>
      <c r="CF222" s="4"/>
      <c r="CG222" s="4"/>
      <c r="CH222" s="4"/>
      <c r="CI222" s="5">
        <v>39786</v>
      </c>
      <c r="CJ222" s="5">
        <v>39871</v>
      </c>
      <c r="CK222" s="5">
        <v>39786</v>
      </c>
      <c r="CL222" s="4"/>
      <c r="CM222" s="4"/>
      <c r="CN222" s="4"/>
      <c r="CO222" s="4"/>
      <c r="CP222" s="4" t="s">
        <v>405</v>
      </c>
      <c r="CQ222" s="4"/>
      <c r="CR222" s="5">
        <v>39871</v>
      </c>
      <c r="CS222" s="4"/>
      <c r="CT222" s="4"/>
      <c r="CU222" s="4"/>
      <c r="CV222" s="4"/>
      <c r="CW222" s="4"/>
      <c r="CX222" s="4"/>
      <c r="CY222" s="4"/>
      <c r="CZ222" s="4"/>
      <c r="DA222" s="4"/>
      <c r="DB222" s="4"/>
      <c r="DC222" s="4"/>
      <c r="DD222" s="4"/>
      <c r="DE222" s="4"/>
      <c r="DF222" s="4"/>
      <c r="DG222" s="4"/>
      <c r="DH222" s="4"/>
      <c r="DI222" s="4"/>
      <c r="DJ222" s="4" t="b">
        <v>0</v>
      </c>
      <c r="DK222" s="4"/>
      <c r="DL222" s="4">
        <v>2674817</v>
      </c>
      <c r="DM222" s="4">
        <v>6481500</v>
      </c>
      <c r="DN222" s="4" t="s">
        <v>835</v>
      </c>
      <c r="DO222" s="4"/>
      <c r="DP222" s="4"/>
      <c r="DQ222" s="4" t="s">
        <v>148</v>
      </c>
      <c r="DR222" s="4"/>
      <c r="DS222" s="4"/>
      <c r="DT222" s="5">
        <v>42332</v>
      </c>
      <c r="DU222" s="4"/>
      <c r="DV222" s="4"/>
      <c r="DW222" s="4"/>
      <c r="DX222" s="4"/>
      <c r="DY222" s="4"/>
      <c r="DZ222" s="5">
        <v>39398</v>
      </c>
      <c r="EA222" s="4"/>
      <c r="EB222" s="4"/>
      <c r="EC222" s="4"/>
      <c r="ED222" s="4"/>
      <c r="EE222" s="4"/>
      <c r="EF222" s="4"/>
      <c r="EG222" s="4"/>
      <c r="EH222" s="4"/>
      <c r="EI222" s="5">
        <v>39234</v>
      </c>
    </row>
    <row r="223" spans="1:139" hidden="1" x14ac:dyDescent="0.2">
      <c r="A223">
        <f>VLOOKUP(B223,Sheet1!$A$1:$B$18,2,FALSE)</f>
        <v>0</v>
      </c>
      <c r="B223" t="str">
        <f t="shared" si="3"/>
        <v>AKL</v>
      </c>
      <c r="C223" s="2">
        <v>222</v>
      </c>
      <c r="D223" s="3" t="str">
        <f>HYPERLINK("https://sitebase.nzcomms.co.nz/spm/spmnominalview/AKL-007-037/","AKL-007-037")</f>
        <v>AKL-007-037</v>
      </c>
      <c r="E223" s="4"/>
      <c r="F223" s="3" t="str">
        <f>HYPERLINK("https://sitebase.nzcomms.co.nz/spm/spmcandidateview/AKL-007-037-A/","AKL-007-037-A")</f>
        <v>AKL-007-037-A</v>
      </c>
      <c r="G223" s="4" t="s">
        <v>836</v>
      </c>
      <c r="H223" s="4" t="s">
        <v>745</v>
      </c>
      <c r="I223" s="4"/>
      <c r="J223" s="4" t="s">
        <v>139</v>
      </c>
      <c r="K223" s="4" t="s">
        <v>141</v>
      </c>
      <c r="L223" s="4" t="s">
        <v>181</v>
      </c>
      <c r="M223" s="4" t="s">
        <v>378</v>
      </c>
      <c r="N223" s="4" t="s">
        <v>364</v>
      </c>
      <c r="O223" s="4" t="s">
        <v>144</v>
      </c>
      <c r="P223" s="4"/>
      <c r="Q223" s="4"/>
      <c r="R223" s="4">
        <v>16.5</v>
      </c>
      <c r="S223" s="4">
        <v>16.5</v>
      </c>
      <c r="T223" s="4"/>
      <c r="U223" s="4">
        <v>-36.847920879999997</v>
      </c>
      <c r="V223" s="4">
        <v>174.75937422000001</v>
      </c>
      <c r="W223" s="4"/>
      <c r="X223" s="4"/>
      <c r="Y223" s="4"/>
      <c r="Z223" s="4"/>
      <c r="AA223" s="4" t="s">
        <v>152</v>
      </c>
      <c r="AB223" s="3" t="str">
        <f>HYPERLINK("https://sitebase.nzcomms.co.nz/spm/spmcandidateview/AKL-007-106-A/","AKL-007-106-A")</f>
        <v>AKL-007-106-A</v>
      </c>
      <c r="AC223" s="4"/>
      <c r="AD223" s="4"/>
      <c r="AE223" s="4"/>
      <c r="AF223" s="4"/>
      <c r="AG223" s="4"/>
      <c r="AH223" s="4"/>
      <c r="AI223" s="4"/>
      <c r="AJ223" s="4"/>
      <c r="AK223" s="4"/>
      <c r="AL223" s="4"/>
      <c r="AM223" s="4"/>
      <c r="AN223" s="5">
        <v>39278</v>
      </c>
      <c r="AO223" s="4">
        <v>3</v>
      </c>
      <c r="AP223" s="4"/>
      <c r="AQ223" s="5">
        <v>42354</v>
      </c>
      <c r="AR223" s="4"/>
      <c r="AS223" s="4"/>
      <c r="AT223" s="5">
        <v>39316</v>
      </c>
      <c r="AU223" s="5">
        <v>39316</v>
      </c>
      <c r="AV223" s="4">
        <v>1</v>
      </c>
      <c r="AW223" s="5">
        <v>39316</v>
      </c>
      <c r="AX223" s="5">
        <v>39316</v>
      </c>
      <c r="AY223" s="4"/>
      <c r="AZ223" s="4"/>
      <c r="BA223" s="4"/>
      <c r="BB223" s="5">
        <v>39363</v>
      </c>
      <c r="BC223" s="4"/>
      <c r="BD223" s="4"/>
      <c r="BE223" s="5">
        <v>39363</v>
      </c>
      <c r="BF223" s="5">
        <v>39363</v>
      </c>
      <c r="BG223" s="5">
        <v>42398</v>
      </c>
      <c r="BH223" s="5">
        <v>39468</v>
      </c>
      <c r="BI223" s="4"/>
      <c r="BJ223" s="5">
        <v>39352</v>
      </c>
      <c r="BK223" s="4">
        <v>1</v>
      </c>
      <c r="BL223" s="4">
        <v>1</v>
      </c>
      <c r="BM223" s="5">
        <v>39352</v>
      </c>
      <c r="BN223" s="5">
        <v>39352</v>
      </c>
      <c r="BO223" s="4"/>
      <c r="BP223" s="4"/>
      <c r="BQ223" s="4"/>
      <c r="BR223" s="4"/>
      <c r="BS223" s="4"/>
      <c r="BT223" s="4"/>
      <c r="BU223" s="5">
        <v>39391</v>
      </c>
      <c r="BV223" s="5">
        <v>39409</v>
      </c>
      <c r="BW223" s="5">
        <v>39409</v>
      </c>
      <c r="BX223" s="4"/>
      <c r="BY223" s="5">
        <v>39419</v>
      </c>
      <c r="BZ223" s="5">
        <v>39419</v>
      </c>
      <c r="CA223" s="4"/>
      <c r="CB223" s="4"/>
      <c r="CC223" s="4"/>
      <c r="CD223" s="4"/>
      <c r="CE223" s="4"/>
      <c r="CF223" s="4"/>
      <c r="CG223" s="4"/>
      <c r="CH223" s="4"/>
      <c r="CI223" s="5">
        <v>39524</v>
      </c>
      <c r="CJ223" s="4"/>
      <c r="CK223" s="5">
        <v>39524</v>
      </c>
      <c r="CL223" s="4"/>
      <c r="CM223" s="4"/>
      <c r="CN223" s="4"/>
      <c r="CO223" s="4"/>
      <c r="CP223" s="4" t="s">
        <v>157</v>
      </c>
      <c r="CQ223" s="4"/>
      <c r="CR223" s="5">
        <v>39524</v>
      </c>
      <c r="CS223" s="4"/>
      <c r="CT223" s="4"/>
      <c r="CU223" s="4"/>
      <c r="CV223" s="4"/>
      <c r="CW223" s="4"/>
      <c r="CX223" s="4"/>
      <c r="CY223" s="4"/>
      <c r="CZ223" s="4"/>
      <c r="DA223" s="4"/>
      <c r="DB223" s="4"/>
      <c r="DC223" s="4"/>
      <c r="DD223" s="4"/>
      <c r="DE223" s="4"/>
      <c r="DF223" s="4"/>
      <c r="DG223" s="4"/>
      <c r="DH223" s="4"/>
      <c r="DI223" s="4"/>
      <c r="DJ223" s="4" t="b">
        <v>0</v>
      </c>
      <c r="DK223" s="4"/>
      <c r="DL223" s="4">
        <v>2667296</v>
      </c>
      <c r="DM223" s="4">
        <v>6482252</v>
      </c>
      <c r="DN223" s="4" t="s">
        <v>837</v>
      </c>
      <c r="DO223" s="4"/>
      <c r="DP223" s="4"/>
      <c r="DQ223" s="4" t="s">
        <v>148</v>
      </c>
      <c r="DR223" s="4"/>
      <c r="DS223" s="4"/>
      <c r="DT223" s="5">
        <v>41806</v>
      </c>
      <c r="DU223" s="4"/>
      <c r="DV223" s="4"/>
      <c r="DW223" s="4"/>
      <c r="DX223" s="4"/>
      <c r="DY223" s="4"/>
      <c r="DZ223" s="5">
        <v>39391</v>
      </c>
      <c r="EA223" s="4"/>
      <c r="EB223" s="4"/>
      <c r="EC223" s="4"/>
      <c r="ED223" s="4"/>
      <c r="EE223" s="4"/>
      <c r="EF223" s="4"/>
      <c r="EG223" s="4"/>
      <c r="EH223" s="4"/>
      <c r="EI223" s="5">
        <v>39234</v>
      </c>
    </row>
    <row r="224" spans="1:139" hidden="1" x14ac:dyDescent="0.2">
      <c r="A224">
        <f>VLOOKUP(B224,Sheet1!$A$1:$B$18,2,FALSE)</f>
        <v>0</v>
      </c>
      <c r="B224" t="str">
        <f t="shared" si="3"/>
        <v>AKL</v>
      </c>
      <c r="C224" s="2">
        <v>223</v>
      </c>
      <c r="D224" s="3" t="str">
        <f>HYPERLINK("https://sitebase.nzcomms.co.nz/spm/spmnominalview/AKL-007-038/","AKL-007-038")</f>
        <v>AKL-007-038</v>
      </c>
      <c r="E224" s="4"/>
      <c r="F224" s="3" t="str">
        <f>HYPERLINK("https://sitebase.nzcomms.co.nz/spm/spmcandidateview/AKL-007-038-E/","AKL-007-038-E")</f>
        <v>AKL-007-038-E</v>
      </c>
      <c r="G224" s="4" t="s">
        <v>838</v>
      </c>
      <c r="H224" s="4" t="s">
        <v>745</v>
      </c>
      <c r="I224" s="4"/>
      <c r="J224" s="4" t="s">
        <v>139</v>
      </c>
      <c r="K224" s="4" t="s">
        <v>141</v>
      </c>
      <c r="L224" s="4" t="s">
        <v>181</v>
      </c>
      <c r="M224" s="4" t="s">
        <v>378</v>
      </c>
      <c r="N224" s="4" t="s">
        <v>364</v>
      </c>
      <c r="O224" s="4" t="s">
        <v>144</v>
      </c>
      <c r="P224" s="4"/>
      <c r="Q224" s="4"/>
      <c r="R224" s="4"/>
      <c r="S224" s="4"/>
      <c r="T224" s="4"/>
      <c r="U224" s="4">
        <v>-36.859291800000001</v>
      </c>
      <c r="V224" s="4">
        <v>174.86116196</v>
      </c>
      <c r="W224" s="4"/>
      <c r="X224" s="4"/>
      <c r="Y224" s="4"/>
      <c r="Z224" s="4"/>
      <c r="AA224" s="4" t="s">
        <v>152</v>
      </c>
      <c r="AB224" s="3" t="str">
        <f>HYPERLINK("https://sitebase.nzcomms.co.nz/spm/spmcandidateview/AKL-007-106-A/","AKL-007-106-A")</f>
        <v>AKL-007-106-A</v>
      </c>
      <c r="AC224" s="4"/>
      <c r="AD224" s="4"/>
      <c r="AE224" s="4"/>
      <c r="AF224" s="4"/>
      <c r="AG224" s="4"/>
      <c r="AH224" s="4"/>
      <c r="AI224" s="4"/>
      <c r="AJ224" s="4"/>
      <c r="AK224" s="4"/>
      <c r="AL224" s="4"/>
      <c r="AM224" s="4"/>
      <c r="AN224" s="5">
        <v>39493</v>
      </c>
      <c r="AO224" s="4">
        <v>2</v>
      </c>
      <c r="AP224" s="4"/>
      <c r="AQ224" s="5">
        <v>39511</v>
      </c>
      <c r="AR224" s="4"/>
      <c r="AS224" s="4"/>
      <c r="AT224" s="5">
        <v>39497</v>
      </c>
      <c r="AU224" s="5">
        <v>39497</v>
      </c>
      <c r="AV224" s="4">
        <v>2</v>
      </c>
      <c r="AW224" s="5">
        <v>39497</v>
      </c>
      <c r="AX224" s="5">
        <v>39497</v>
      </c>
      <c r="AY224" s="4"/>
      <c r="AZ224" s="4"/>
      <c r="BA224" s="4"/>
      <c r="BB224" s="5">
        <v>39629</v>
      </c>
      <c r="BC224" s="4"/>
      <c r="BD224" s="4"/>
      <c r="BE224" s="5">
        <v>39629</v>
      </c>
      <c r="BF224" s="5">
        <v>39595</v>
      </c>
      <c r="BG224" s="4"/>
      <c r="BH224" s="5">
        <v>39505</v>
      </c>
      <c r="BI224" s="4"/>
      <c r="BJ224" s="5">
        <v>39534</v>
      </c>
      <c r="BK224" s="4">
        <v>1</v>
      </c>
      <c r="BL224" s="4">
        <v>2</v>
      </c>
      <c r="BM224" s="5">
        <v>39534</v>
      </c>
      <c r="BN224" s="5">
        <v>39534</v>
      </c>
      <c r="BO224" s="4"/>
      <c r="BP224" s="4"/>
      <c r="BQ224" s="4"/>
      <c r="BR224" s="4"/>
      <c r="BS224" s="4"/>
      <c r="BT224" s="4"/>
      <c r="BU224" s="5">
        <v>39608</v>
      </c>
      <c r="BV224" s="5">
        <v>39625</v>
      </c>
      <c r="BW224" s="5">
        <v>39636</v>
      </c>
      <c r="BX224" s="4"/>
      <c r="BY224" s="5">
        <v>39629</v>
      </c>
      <c r="BZ224" s="5">
        <v>39640</v>
      </c>
      <c r="CA224" s="4"/>
      <c r="CB224" s="4"/>
      <c r="CC224" s="4"/>
      <c r="CD224" s="4"/>
      <c r="CE224" s="4"/>
      <c r="CF224" s="4"/>
      <c r="CG224" s="4"/>
      <c r="CH224" s="4"/>
      <c r="CI224" s="5">
        <v>39892</v>
      </c>
      <c r="CJ224" s="5">
        <v>39909</v>
      </c>
      <c r="CK224" s="5">
        <v>39892</v>
      </c>
      <c r="CL224" s="4"/>
      <c r="CM224" s="4"/>
      <c r="CN224" s="4"/>
      <c r="CO224" s="4"/>
      <c r="CP224" s="4" t="s">
        <v>157</v>
      </c>
      <c r="CQ224" s="4"/>
      <c r="CR224" s="5">
        <v>39909</v>
      </c>
      <c r="CS224" s="4"/>
      <c r="CT224" s="4"/>
      <c r="CU224" s="4"/>
      <c r="CV224" s="4"/>
      <c r="CW224" s="4"/>
      <c r="CX224" s="4"/>
      <c r="CY224" s="4"/>
      <c r="CZ224" s="4"/>
      <c r="DA224" s="4"/>
      <c r="DB224" s="4"/>
      <c r="DC224" s="4"/>
      <c r="DD224" s="4"/>
      <c r="DE224" s="4"/>
      <c r="DF224" s="4"/>
      <c r="DG224" s="4"/>
      <c r="DH224" s="4"/>
      <c r="DI224" s="4"/>
      <c r="DJ224" s="4" t="b">
        <v>0</v>
      </c>
      <c r="DK224" s="4"/>
      <c r="DL224" s="4">
        <v>2676345</v>
      </c>
      <c r="DM224" s="4">
        <v>6480800</v>
      </c>
      <c r="DN224" s="4" t="s">
        <v>839</v>
      </c>
      <c r="DO224" s="4"/>
      <c r="DP224" s="4"/>
      <c r="DQ224" s="4" t="s">
        <v>148</v>
      </c>
      <c r="DR224" s="4"/>
      <c r="DS224" s="4"/>
      <c r="DT224" s="5">
        <v>41806</v>
      </c>
      <c r="DU224" s="4"/>
      <c r="DV224" s="4"/>
      <c r="DW224" s="4"/>
      <c r="DX224" s="4"/>
      <c r="DY224" s="4"/>
      <c r="DZ224" s="5">
        <v>39596</v>
      </c>
      <c r="EA224" s="4"/>
      <c r="EB224" s="4"/>
      <c r="EC224" s="4"/>
      <c r="ED224" s="4"/>
      <c r="EE224" s="4"/>
      <c r="EF224" s="4"/>
      <c r="EG224" s="4"/>
      <c r="EH224" s="4"/>
      <c r="EI224" s="5">
        <v>39469</v>
      </c>
    </row>
    <row r="225" spans="1:139" hidden="1" x14ac:dyDescent="0.2">
      <c r="A225">
        <f>VLOOKUP(B225,Sheet1!$A$1:$B$18,2,FALSE)</f>
        <v>0</v>
      </c>
      <c r="B225" t="str">
        <f t="shared" si="3"/>
        <v>AKL</v>
      </c>
      <c r="C225" s="2">
        <v>224</v>
      </c>
      <c r="D225" s="3" t="str">
        <f>HYPERLINK("https://sitebase.nzcomms.co.nz/spm/spmnominalview/AKL-007-039/","AKL-007-039")</f>
        <v>AKL-007-039</v>
      </c>
      <c r="E225" s="4"/>
      <c r="F225" s="3" t="str">
        <f>HYPERLINK("https://sitebase.nzcomms.co.nz/spm/spmcandidateview/AKL-007-039-A/","AKL-007-039-A")</f>
        <v>AKL-007-039-A</v>
      </c>
      <c r="G225" s="4" t="s">
        <v>840</v>
      </c>
      <c r="H225" s="4" t="s">
        <v>745</v>
      </c>
      <c r="I225" s="4"/>
      <c r="J225" s="4" t="s">
        <v>139</v>
      </c>
      <c r="K225" s="4" t="s">
        <v>141</v>
      </c>
      <c r="L225" s="4" t="s">
        <v>181</v>
      </c>
      <c r="M225" s="4" t="s">
        <v>378</v>
      </c>
      <c r="N225" s="4" t="s">
        <v>364</v>
      </c>
      <c r="O225" s="4" t="s">
        <v>144</v>
      </c>
      <c r="P225" s="4"/>
      <c r="Q225" s="4"/>
      <c r="R225" s="4">
        <v>10</v>
      </c>
      <c r="S225" s="4">
        <v>10</v>
      </c>
      <c r="T225" s="4"/>
      <c r="U225" s="4">
        <v>-36.897907609999997</v>
      </c>
      <c r="V225" s="4">
        <v>174.85263513000001</v>
      </c>
      <c r="W225" s="4"/>
      <c r="X225" s="4"/>
      <c r="Y225" s="4"/>
      <c r="Z225" s="4"/>
      <c r="AA225" s="4" t="s">
        <v>382</v>
      </c>
      <c r="AB225" s="4" t="s">
        <v>841</v>
      </c>
      <c r="AC225" s="4"/>
      <c r="AD225" s="4"/>
      <c r="AE225" s="4"/>
      <c r="AF225" s="4"/>
      <c r="AG225" s="4"/>
      <c r="AH225" s="4"/>
      <c r="AI225" s="4"/>
      <c r="AJ225" s="4"/>
      <c r="AK225" s="4"/>
      <c r="AL225" s="4"/>
      <c r="AM225" s="4"/>
      <c r="AN225" s="5">
        <v>39310</v>
      </c>
      <c r="AO225" s="4">
        <v>1</v>
      </c>
      <c r="AP225" s="5">
        <v>39310</v>
      </c>
      <c r="AQ225" s="5">
        <v>39310</v>
      </c>
      <c r="AR225" s="4"/>
      <c r="AS225" s="4"/>
      <c r="AT225" s="5">
        <v>39294</v>
      </c>
      <c r="AU225" s="5">
        <v>39294</v>
      </c>
      <c r="AV225" s="4">
        <v>1</v>
      </c>
      <c r="AW225" s="5">
        <v>39294</v>
      </c>
      <c r="AX225" s="5">
        <v>39294</v>
      </c>
      <c r="AY225" s="4"/>
      <c r="AZ225" s="4"/>
      <c r="BA225" s="4"/>
      <c r="BB225" s="5">
        <v>39372</v>
      </c>
      <c r="BC225" s="4"/>
      <c r="BD225" s="4"/>
      <c r="BE225" s="5">
        <v>39372</v>
      </c>
      <c r="BF225" s="5">
        <v>39372</v>
      </c>
      <c r="BG225" s="4"/>
      <c r="BH225" s="5">
        <v>39346</v>
      </c>
      <c r="BI225" s="4"/>
      <c r="BJ225" s="5">
        <v>39353</v>
      </c>
      <c r="BK225" s="4">
        <v>2</v>
      </c>
      <c r="BL225" s="4">
        <v>1</v>
      </c>
      <c r="BM225" s="5">
        <v>39408</v>
      </c>
      <c r="BN225" s="5">
        <v>39408</v>
      </c>
      <c r="BO225" s="4"/>
      <c r="BP225" s="4"/>
      <c r="BQ225" s="4"/>
      <c r="BR225" s="4"/>
      <c r="BS225" s="4"/>
      <c r="BT225" s="4"/>
      <c r="BU225" s="5">
        <v>39412</v>
      </c>
      <c r="BV225" s="5">
        <v>39427</v>
      </c>
      <c r="BW225" s="5">
        <v>39427</v>
      </c>
      <c r="BX225" s="4"/>
      <c r="BY225" s="5">
        <v>39436</v>
      </c>
      <c r="BZ225" s="5">
        <v>39436</v>
      </c>
      <c r="CA225" s="4"/>
      <c r="CB225" s="4"/>
      <c r="CC225" s="4"/>
      <c r="CD225" s="4"/>
      <c r="CE225" s="4"/>
      <c r="CF225" s="4"/>
      <c r="CG225" s="4"/>
      <c r="CH225" s="4"/>
      <c r="CI225" s="5">
        <v>39897</v>
      </c>
      <c r="CJ225" s="5">
        <v>39933</v>
      </c>
      <c r="CK225" s="5">
        <v>39897</v>
      </c>
      <c r="CL225" s="4"/>
      <c r="CM225" s="4"/>
      <c r="CN225" s="4"/>
      <c r="CO225" s="4"/>
      <c r="CP225" s="4" t="s">
        <v>842</v>
      </c>
      <c r="CQ225" s="4"/>
      <c r="CR225" s="5">
        <v>39933</v>
      </c>
      <c r="CS225" s="4"/>
      <c r="CT225" s="4"/>
      <c r="CU225" s="4"/>
      <c r="CV225" s="4"/>
      <c r="CW225" s="4"/>
      <c r="CX225" s="4"/>
      <c r="CY225" s="4"/>
      <c r="CZ225" s="4"/>
      <c r="DA225" s="4"/>
      <c r="DB225" s="4"/>
      <c r="DC225" s="4"/>
      <c r="DD225" s="4"/>
      <c r="DE225" s="4"/>
      <c r="DF225" s="4"/>
      <c r="DG225" s="4"/>
      <c r="DH225" s="4"/>
      <c r="DI225" s="4"/>
      <c r="DJ225" s="4" t="b">
        <v>0</v>
      </c>
      <c r="DK225" s="4"/>
      <c r="DL225" s="4">
        <v>2675493</v>
      </c>
      <c r="DM225" s="4">
        <v>6476532</v>
      </c>
      <c r="DN225" s="4" t="s">
        <v>843</v>
      </c>
      <c r="DO225" s="4"/>
      <c r="DP225" s="4"/>
      <c r="DQ225" s="4" t="s">
        <v>148</v>
      </c>
      <c r="DR225" s="4"/>
      <c r="DS225" s="4"/>
      <c r="DT225" s="5">
        <v>41863</v>
      </c>
      <c r="DU225" s="4"/>
      <c r="DV225" s="4"/>
      <c r="DW225" s="4"/>
      <c r="DX225" s="4"/>
      <c r="DY225" s="4"/>
      <c r="DZ225" s="5">
        <v>39412</v>
      </c>
      <c r="EA225" s="4"/>
      <c r="EB225" s="4"/>
      <c r="EC225" s="4"/>
      <c r="ED225" s="4"/>
      <c r="EE225" s="4"/>
      <c r="EF225" s="4"/>
      <c r="EG225" s="4"/>
      <c r="EH225" s="4"/>
      <c r="EI225" s="5">
        <v>39254</v>
      </c>
    </row>
    <row r="226" spans="1:139" hidden="1" x14ac:dyDescent="0.2">
      <c r="A226">
        <f>VLOOKUP(B226,Sheet1!$A$1:$B$18,2,FALSE)</f>
        <v>0</v>
      </c>
      <c r="B226" t="str">
        <f t="shared" si="3"/>
        <v>AKL</v>
      </c>
      <c r="C226" s="2">
        <v>225</v>
      </c>
      <c r="D226" s="3" t="str">
        <f>HYPERLINK("https://sitebase.nzcomms.co.nz/spm/spmnominalview/AKL-007-040/","AKL-007-040")</f>
        <v>AKL-007-040</v>
      </c>
      <c r="E226" s="4"/>
      <c r="F226" s="3" t="str">
        <f>HYPERLINK("https://sitebase.nzcomms.co.nz/spm/spmcandidateview/AKL-007-040-A/","AKL-007-040-A")</f>
        <v>AKL-007-040-A</v>
      </c>
      <c r="G226" s="4" t="s">
        <v>844</v>
      </c>
      <c r="H226" s="4" t="s">
        <v>745</v>
      </c>
      <c r="I226" s="4"/>
      <c r="J226" s="4" t="s">
        <v>139</v>
      </c>
      <c r="K226" s="4" t="s">
        <v>141</v>
      </c>
      <c r="L226" s="4" t="s">
        <v>181</v>
      </c>
      <c r="M226" s="4" t="s">
        <v>378</v>
      </c>
      <c r="N226" s="4" t="s">
        <v>364</v>
      </c>
      <c r="O226" s="4" t="s">
        <v>144</v>
      </c>
      <c r="P226" s="4"/>
      <c r="Q226" s="4"/>
      <c r="R226" s="4">
        <v>14.45</v>
      </c>
      <c r="S226" s="4">
        <v>14.45</v>
      </c>
      <c r="T226" s="4"/>
      <c r="U226" s="4">
        <v>-36.864539090000001</v>
      </c>
      <c r="V226" s="4">
        <v>174.73796855000001</v>
      </c>
      <c r="W226" s="4"/>
      <c r="X226" s="4"/>
      <c r="Y226" s="4"/>
      <c r="Z226" s="4"/>
      <c r="AA226" s="4" t="s">
        <v>171</v>
      </c>
      <c r="AB226" s="3" t="str">
        <f>HYPERLINK("https://sitebase.nzcomms.co.nz/spm/spmcandidateview/AKL-007-144-A/","AKL-007-144-A")</f>
        <v>AKL-007-144-A</v>
      </c>
      <c r="AC226" s="4"/>
      <c r="AD226" s="4"/>
      <c r="AE226" s="4"/>
      <c r="AF226" s="4"/>
      <c r="AG226" s="4"/>
      <c r="AH226" s="4"/>
      <c r="AI226" s="4"/>
      <c r="AJ226" s="4"/>
      <c r="AK226" s="4"/>
      <c r="AL226" s="4"/>
      <c r="AM226" s="4"/>
      <c r="AN226" s="5">
        <v>39325</v>
      </c>
      <c r="AO226" s="4">
        <v>3</v>
      </c>
      <c r="AP226" s="5">
        <v>39800</v>
      </c>
      <c r="AQ226" s="5">
        <v>39800</v>
      </c>
      <c r="AR226" s="4"/>
      <c r="AS226" s="4"/>
      <c r="AT226" s="5">
        <v>39428</v>
      </c>
      <c r="AU226" s="5">
        <v>39428</v>
      </c>
      <c r="AV226" s="4">
        <v>1</v>
      </c>
      <c r="AW226" s="5">
        <v>39428</v>
      </c>
      <c r="AX226" s="5">
        <v>39428</v>
      </c>
      <c r="AY226" s="4"/>
      <c r="AZ226" s="4"/>
      <c r="BA226" s="4"/>
      <c r="BB226" s="5">
        <v>39843</v>
      </c>
      <c r="BC226" s="4"/>
      <c r="BD226" s="4"/>
      <c r="BE226" s="5">
        <v>39843</v>
      </c>
      <c r="BF226" s="5">
        <v>39840</v>
      </c>
      <c r="BG226" s="4"/>
      <c r="BH226" s="5">
        <v>39373</v>
      </c>
      <c r="BI226" s="4"/>
      <c r="BJ226" s="5">
        <v>39800</v>
      </c>
      <c r="BK226" s="4">
        <v>1</v>
      </c>
      <c r="BL226" s="4">
        <v>3</v>
      </c>
      <c r="BM226" s="5">
        <v>39463</v>
      </c>
      <c r="BN226" s="5">
        <v>39800</v>
      </c>
      <c r="BO226" s="4"/>
      <c r="BP226" s="4"/>
      <c r="BQ226" s="4"/>
      <c r="BR226" s="4"/>
      <c r="BS226" s="4"/>
      <c r="BT226" s="4"/>
      <c r="BU226" s="5">
        <v>39853</v>
      </c>
      <c r="BV226" s="5">
        <v>39870</v>
      </c>
      <c r="BW226" s="5">
        <v>39869</v>
      </c>
      <c r="BX226" s="4"/>
      <c r="BY226" s="5">
        <v>39889</v>
      </c>
      <c r="BZ226" s="5">
        <v>39885</v>
      </c>
      <c r="CA226" s="4"/>
      <c r="CB226" s="4"/>
      <c r="CC226" s="4"/>
      <c r="CD226" s="4"/>
      <c r="CE226" s="4"/>
      <c r="CF226" s="4"/>
      <c r="CG226" s="4"/>
      <c r="CH226" s="4"/>
      <c r="CI226" s="5">
        <v>39951</v>
      </c>
      <c r="CJ226" s="5">
        <v>39962</v>
      </c>
      <c r="CK226" s="5">
        <v>39951</v>
      </c>
      <c r="CL226" s="4"/>
      <c r="CM226" s="4"/>
      <c r="CN226" s="4"/>
      <c r="CO226" s="4"/>
      <c r="CP226" s="4" t="s">
        <v>845</v>
      </c>
      <c r="CQ226" s="4"/>
      <c r="CR226" s="5">
        <v>39962</v>
      </c>
      <c r="CS226" s="4"/>
      <c r="CT226" s="4"/>
      <c r="CU226" s="4"/>
      <c r="CV226" s="4"/>
      <c r="CW226" s="4"/>
      <c r="CX226" s="4"/>
      <c r="CY226" s="4"/>
      <c r="CZ226" s="4"/>
      <c r="DA226" s="4"/>
      <c r="DB226" s="4"/>
      <c r="DC226" s="4"/>
      <c r="DD226" s="4"/>
      <c r="DE226" s="4"/>
      <c r="DF226" s="4"/>
      <c r="DG226" s="4"/>
      <c r="DH226" s="4"/>
      <c r="DI226" s="4"/>
      <c r="DJ226" s="4" t="b">
        <v>0</v>
      </c>
      <c r="DK226" s="4"/>
      <c r="DL226" s="4">
        <v>2665350</v>
      </c>
      <c r="DM226" s="4">
        <v>6480447</v>
      </c>
      <c r="DN226" s="4" t="s">
        <v>846</v>
      </c>
      <c r="DO226" s="4"/>
      <c r="DP226" s="4"/>
      <c r="DQ226" s="4" t="s">
        <v>148</v>
      </c>
      <c r="DR226" s="4"/>
      <c r="DS226" s="4"/>
      <c r="DT226" s="5">
        <v>41806</v>
      </c>
      <c r="DU226" s="4"/>
      <c r="DV226" s="4"/>
      <c r="DW226" s="4"/>
      <c r="DX226" s="4"/>
      <c r="DY226" s="5">
        <v>39853</v>
      </c>
      <c r="DZ226" s="5">
        <v>39853</v>
      </c>
      <c r="EA226" s="4"/>
      <c r="EB226" s="4"/>
      <c r="EC226" s="4"/>
      <c r="ED226" s="4"/>
      <c r="EE226" s="4"/>
      <c r="EF226" s="4"/>
      <c r="EG226" s="4"/>
      <c r="EH226" s="4"/>
      <c r="EI226" s="5">
        <v>39274</v>
      </c>
    </row>
    <row r="227" spans="1:139" hidden="1" x14ac:dyDescent="0.2">
      <c r="A227">
        <f>VLOOKUP(B227,Sheet1!$A$1:$B$18,2,FALSE)</f>
        <v>0</v>
      </c>
      <c r="B227" t="str">
        <f t="shared" si="3"/>
        <v>AKL</v>
      </c>
      <c r="C227" s="2">
        <v>226</v>
      </c>
      <c r="D227" s="3" t="str">
        <f>HYPERLINK("https://sitebase.nzcomms.co.nz/spm/spmnominalview/AKL-007-041/","AKL-007-041")</f>
        <v>AKL-007-041</v>
      </c>
      <c r="E227" s="4"/>
      <c r="F227" s="3" t="str">
        <f>HYPERLINK("https://sitebase.nzcomms.co.nz/spm/spmcandidateview/AKL-007-041-B/","AKL-007-041-B")</f>
        <v>AKL-007-041-B</v>
      </c>
      <c r="G227" s="4" t="s">
        <v>847</v>
      </c>
      <c r="H227" s="4" t="s">
        <v>745</v>
      </c>
      <c r="I227" s="4"/>
      <c r="J227" s="4" t="s">
        <v>139</v>
      </c>
      <c r="K227" s="4" t="s">
        <v>141</v>
      </c>
      <c r="L227" s="4" t="s">
        <v>181</v>
      </c>
      <c r="M227" s="4" t="s">
        <v>324</v>
      </c>
      <c r="N227" s="4" t="s">
        <v>364</v>
      </c>
      <c r="O227" s="4" t="s">
        <v>144</v>
      </c>
      <c r="P227" s="4"/>
      <c r="Q227" s="4"/>
      <c r="R227" s="4"/>
      <c r="S227" s="4"/>
      <c r="T227" s="4"/>
      <c r="U227" s="4">
        <v>-36.863673429999999</v>
      </c>
      <c r="V227" s="4">
        <v>174.76225398</v>
      </c>
      <c r="W227" s="4"/>
      <c r="X227" s="4"/>
      <c r="Y227" s="4"/>
      <c r="Z227" s="4"/>
      <c r="AA227" s="4" t="s">
        <v>171</v>
      </c>
      <c r="AB227" s="3" t="str">
        <f>HYPERLINK("https://sitebase.nzcomms.co.nz/spm/spmcandidateview/AKL-007-106-A/","AKL-007-106-A")</f>
        <v>AKL-007-106-A</v>
      </c>
      <c r="AC227" s="4"/>
      <c r="AD227" s="4"/>
      <c r="AE227" s="4"/>
      <c r="AF227" s="4"/>
      <c r="AG227" s="4"/>
      <c r="AH227" s="4"/>
      <c r="AI227" s="4"/>
      <c r="AJ227" s="4"/>
      <c r="AK227" s="4"/>
      <c r="AL227" s="4"/>
      <c r="AM227" s="4"/>
      <c r="AN227" s="5">
        <v>39794</v>
      </c>
      <c r="AO227" s="4">
        <v>1</v>
      </c>
      <c r="AP227" s="5">
        <v>39794</v>
      </c>
      <c r="AQ227" s="5">
        <v>39794</v>
      </c>
      <c r="AR227" s="4"/>
      <c r="AS227" s="4"/>
      <c r="AT227" s="5">
        <v>39843</v>
      </c>
      <c r="AU227" s="5">
        <v>39843</v>
      </c>
      <c r="AV227" s="4">
        <v>1</v>
      </c>
      <c r="AW227" s="5">
        <v>39911</v>
      </c>
      <c r="AX227" s="5">
        <v>39911</v>
      </c>
      <c r="AY227" s="4"/>
      <c r="AZ227" s="5">
        <v>39801</v>
      </c>
      <c r="BA227" s="4"/>
      <c r="BB227" s="5">
        <v>39920</v>
      </c>
      <c r="BC227" s="4"/>
      <c r="BD227" s="4"/>
      <c r="BE227" s="5">
        <v>39920</v>
      </c>
      <c r="BF227" s="5">
        <v>39918</v>
      </c>
      <c r="BG227" s="5">
        <v>39819</v>
      </c>
      <c r="BH227" s="5">
        <v>39821</v>
      </c>
      <c r="BI227" s="4"/>
      <c r="BJ227" s="5">
        <v>39864</v>
      </c>
      <c r="BK227" s="4">
        <v>1</v>
      </c>
      <c r="BL227" s="4">
        <v>1</v>
      </c>
      <c r="BM227" s="5">
        <v>39864</v>
      </c>
      <c r="BN227" s="5">
        <v>39864</v>
      </c>
      <c r="BO227" s="4"/>
      <c r="BP227" s="4"/>
      <c r="BQ227" s="4"/>
      <c r="BR227" s="4"/>
      <c r="BS227" s="4"/>
      <c r="BT227" s="4"/>
      <c r="BU227" s="5">
        <v>39925</v>
      </c>
      <c r="BV227" s="5">
        <v>39976</v>
      </c>
      <c r="BW227" s="5">
        <v>39976</v>
      </c>
      <c r="BX227" s="4"/>
      <c r="BY227" s="5">
        <v>39979</v>
      </c>
      <c r="BZ227" s="5">
        <v>39980</v>
      </c>
      <c r="CA227" s="4"/>
      <c r="CB227" s="4"/>
      <c r="CC227" s="4"/>
      <c r="CD227" s="4"/>
      <c r="CE227" s="4"/>
      <c r="CF227" s="4"/>
      <c r="CG227" s="4"/>
      <c r="CH227" s="4"/>
      <c r="CI227" s="5">
        <v>39981</v>
      </c>
      <c r="CJ227" s="5">
        <v>39980</v>
      </c>
      <c r="CK227" s="5">
        <v>39981</v>
      </c>
      <c r="CL227" s="4"/>
      <c r="CM227" s="4"/>
      <c r="CN227" s="4"/>
      <c r="CO227" s="4"/>
      <c r="CP227" s="4" t="s">
        <v>765</v>
      </c>
      <c r="CQ227" s="4"/>
      <c r="CR227" s="5">
        <v>39980</v>
      </c>
      <c r="CS227" s="4"/>
      <c r="CT227" s="4"/>
      <c r="CU227" s="4"/>
      <c r="CV227" s="4"/>
      <c r="CW227" s="4"/>
      <c r="CX227" s="4"/>
      <c r="CY227" s="4"/>
      <c r="CZ227" s="4"/>
      <c r="DA227" s="4"/>
      <c r="DB227" s="4"/>
      <c r="DC227" s="4"/>
      <c r="DD227" s="4"/>
      <c r="DE227" s="4"/>
      <c r="DF227" s="4"/>
      <c r="DG227" s="4"/>
      <c r="DH227" s="4"/>
      <c r="DI227" s="4"/>
      <c r="DJ227" s="4" t="b">
        <v>0</v>
      </c>
      <c r="DK227" s="4"/>
      <c r="DL227" s="4">
        <v>2667517</v>
      </c>
      <c r="DM227" s="4">
        <v>6480499</v>
      </c>
      <c r="DN227" s="4" t="s">
        <v>848</v>
      </c>
      <c r="DO227" s="4"/>
      <c r="DP227" s="4"/>
      <c r="DQ227" s="4" t="s">
        <v>328</v>
      </c>
      <c r="DR227" s="4"/>
      <c r="DS227" s="4"/>
      <c r="DT227" s="4"/>
      <c r="DU227" s="4"/>
      <c r="DV227" s="4"/>
      <c r="DW227" s="4"/>
      <c r="DX227" s="4"/>
      <c r="DY227" s="5">
        <v>39923</v>
      </c>
      <c r="DZ227" s="5">
        <v>39925</v>
      </c>
      <c r="EA227" s="4"/>
      <c r="EB227" s="4"/>
      <c r="EC227" s="4"/>
      <c r="ED227" s="4"/>
      <c r="EE227" s="4"/>
      <c r="EF227" s="4"/>
      <c r="EG227" s="4"/>
      <c r="EH227" s="4"/>
      <c r="EI227" s="5">
        <v>39780</v>
      </c>
    </row>
    <row r="228" spans="1:139" hidden="1" x14ac:dyDescent="0.2">
      <c r="A228">
        <f>VLOOKUP(B228,Sheet1!$A$1:$B$18,2,FALSE)</f>
        <v>0</v>
      </c>
      <c r="B228" t="str">
        <f t="shared" si="3"/>
        <v>AKL</v>
      </c>
      <c r="C228" s="2">
        <v>227</v>
      </c>
      <c r="D228" s="3" t="str">
        <f>HYPERLINK("https://sitebase.nzcomms.co.nz/spm/spmnominalview/AKL-007-042/","AKL-007-042")</f>
        <v>AKL-007-042</v>
      </c>
      <c r="E228" s="4"/>
      <c r="F228" s="3" t="str">
        <f>HYPERLINK("https://sitebase.nzcomms.co.nz/spm/spmcandidateview/AKL-007-042-A/","AKL-007-042-A")</f>
        <v>AKL-007-042-A</v>
      </c>
      <c r="G228" s="4" t="s">
        <v>849</v>
      </c>
      <c r="H228" s="4" t="s">
        <v>745</v>
      </c>
      <c r="I228" s="4"/>
      <c r="J228" s="4" t="s">
        <v>139</v>
      </c>
      <c r="K228" s="4" t="s">
        <v>141</v>
      </c>
      <c r="L228" s="4" t="s">
        <v>181</v>
      </c>
      <c r="M228" s="4" t="s">
        <v>378</v>
      </c>
      <c r="N228" s="4" t="s">
        <v>364</v>
      </c>
      <c r="O228" s="4" t="s">
        <v>144</v>
      </c>
      <c r="P228" s="4"/>
      <c r="Q228" s="4"/>
      <c r="R228" s="4">
        <v>20</v>
      </c>
      <c r="S228" s="4">
        <v>20</v>
      </c>
      <c r="T228" s="4"/>
      <c r="U228" s="4">
        <v>-36.856177019999997</v>
      </c>
      <c r="V228" s="4">
        <v>174.78118617999999</v>
      </c>
      <c r="W228" s="4"/>
      <c r="X228" s="4"/>
      <c r="Y228" s="4"/>
      <c r="Z228" s="4"/>
      <c r="AA228" s="4" t="s">
        <v>171</v>
      </c>
      <c r="AB228" s="3" t="str">
        <f>HYPERLINK("https://sitebase.nzcomms.co.nz/spm/spmcandidateview/AKL-007-025-A/","AKL-007-025-A")</f>
        <v>AKL-007-025-A</v>
      </c>
      <c r="AC228" s="4"/>
      <c r="AD228" s="4"/>
      <c r="AE228" s="4"/>
      <c r="AF228" s="4"/>
      <c r="AG228" s="4"/>
      <c r="AH228" s="4" t="s">
        <v>360</v>
      </c>
      <c r="AI228" s="4"/>
      <c r="AJ228" s="4"/>
      <c r="AK228" s="4"/>
      <c r="AL228" s="4"/>
      <c r="AM228" s="4"/>
      <c r="AN228" s="5">
        <v>39331</v>
      </c>
      <c r="AO228" s="4">
        <v>5</v>
      </c>
      <c r="AP228" s="4"/>
      <c r="AQ228" s="5">
        <v>42354</v>
      </c>
      <c r="AR228" s="4"/>
      <c r="AS228" s="4"/>
      <c r="AT228" s="5">
        <v>39322</v>
      </c>
      <c r="AU228" s="5">
        <v>39322</v>
      </c>
      <c r="AV228" s="4">
        <v>1</v>
      </c>
      <c r="AW228" s="5">
        <v>39322</v>
      </c>
      <c r="AX228" s="5">
        <v>39322</v>
      </c>
      <c r="AY228" s="4"/>
      <c r="AZ228" s="4"/>
      <c r="BA228" s="4"/>
      <c r="BB228" s="5">
        <v>39691</v>
      </c>
      <c r="BC228" s="4"/>
      <c r="BD228" s="4"/>
      <c r="BE228" s="5">
        <v>39691</v>
      </c>
      <c r="BF228" s="5">
        <v>39736</v>
      </c>
      <c r="BG228" s="5">
        <v>42398</v>
      </c>
      <c r="BH228" s="5">
        <v>39468</v>
      </c>
      <c r="BI228" s="4"/>
      <c r="BJ228" s="5">
        <v>39352</v>
      </c>
      <c r="BK228" s="4">
        <v>3</v>
      </c>
      <c r="BL228" s="4">
        <v>2</v>
      </c>
      <c r="BM228" s="5">
        <v>39832</v>
      </c>
      <c r="BN228" s="5">
        <v>39832</v>
      </c>
      <c r="BO228" s="4"/>
      <c r="BP228" s="4"/>
      <c r="BQ228" s="4"/>
      <c r="BR228" s="4"/>
      <c r="BS228" s="4"/>
      <c r="BT228" s="4"/>
      <c r="BU228" s="5">
        <v>39767</v>
      </c>
      <c r="BV228" s="5">
        <v>39776</v>
      </c>
      <c r="BW228" s="5">
        <v>39773</v>
      </c>
      <c r="BX228" s="4"/>
      <c r="BY228" s="5">
        <v>39794</v>
      </c>
      <c r="BZ228" s="5">
        <v>39790</v>
      </c>
      <c r="CA228" s="4"/>
      <c r="CB228" s="4"/>
      <c r="CC228" s="4"/>
      <c r="CD228" s="4"/>
      <c r="CE228" s="4"/>
      <c r="CF228" s="4"/>
      <c r="CG228" s="4"/>
      <c r="CH228" s="4"/>
      <c r="CI228" s="5">
        <v>39791</v>
      </c>
      <c r="CJ228" s="5">
        <v>39813</v>
      </c>
      <c r="CK228" s="5">
        <v>39791</v>
      </c>
      <c r="CL228" s="4"/>
      <c r="CM228" s="4"/>
      <c r="CN228" s="4"/>
      <c r="CO228" s="4"/>
      <c r="CP228" s="4" t="s">
        <v>850</v>
      </c>
      <c r="CQ228" s="4"/>
      <c r="CR228" s="5">
        <v>39813</v>
      </c>
      <c r="CS228" s="4"/>
      <c r="CT228" s="4"/>
      <c r="CU228" s="4"/>
      <c r="CV228" s="4"/>
      <c r="CW228" s="4"/>
      <c r="CX228" s="4"/>
      <c r="CY228" s="4"/>
      <c r="CZ228" s="4"/>
      <c r="DA228" s="4"/>
      <c r="DB228" s="4"/>
      <c r="DC228" s="4"/>
      <c r="DD228" s="4"/>
      <c r="DE228" s="4"/>
      <c r="DF228" s="4"/>
      <c r="DG228" s="4"/>
      <c r="DH228" s="4"/>
      <c r="DI228" s="4"/>
      <c r="DJ228" s="4" t="b">
        <v>0</v>
      </c>
      <c r="DK228" s="4"/>
      <c r="DL228" s="4">
        <v>2669222</v>
      </c>
      <c r="DM228" s="4">
        <v>6481296</v>
      </c>
      <c r="DN228" s="4" t="s">
        <v>851</v>
      </c>
      <c r="DO228" s="4"/>
      <c r="DP228" s="4"/>
      <c r="DQ228" s="4" t="s">
        <v>148</v>
      </c>
      <c r="DR228" s="4"/>
      <c r="DS228" s="4"/>
      <c r="DT228" s="5">
        <v>41806</v>
      </c>
      <c r="DU228" s="4"/>
      <c r="DV228" s="4"/>
      <c r="DW228" s="4"/>
      <c r="DX228" s="4"/>
      <c r="DY228" s="4"/>
      <c r="DZ228" s="5">
        <v>39751</v>
      </c>
      <c r="EA228" s="4"/>
      <c r="EB228" s="4"/>
      <c r="EC228" s="4"/>
      <c r="ED228" s="4"/>
      <c r="EE228" s="4"/>
      <c r="EF228" s="4"/>
      <c r="EG228" s="4"/>
      <c r="EH228" s="4"/>
      <c r="EI228" s="5">
        <v>39307</v>
      </c>
    </row>
    <row r="229" spans="1:139" hidden="1" x14ac:dyDescent="0.2">
      <c r="A229">
        <f>VLOOKUP(B229,Sheet1!$A$1:$B$18,2,FALSE)</f>
        <v>0</v>
      </c>
      <c r="B229" t="str">
        <f t="shared" si="3"/>
        <v>AKL</v>
      </c>
      <c r="C229" s="2">
        <v>228</v>
      </c>
      <c r="D229" s="3" t="str">
        <f>HYPERLINK("https://sitebase.nzcomms.co.nz/spm/spmnominalview/AKL-007-043/","AKL-007-043")</f>
        <v>AKL-007-043</v>
      </c>
      <c r="E229" s="4"/>
      <c r="F229" s="3" t="str">
        <f>HYPERLINK("https://sitebase.nzcomms.co.nz/spm/spmcandidateview/AKL-007-043-A/","AKL-007-043-A")</f>
        <v>AKL-007-043-A</v>
      </c>
      <c r="G229" s="4" t="s">
        <v>852</v>
      </c>
      <c r="H229" s="4" t="s">
        <v>745</v>
      </c>
      <c r="I229" s="4"/>
      <c r="J229" s="4" t="s">
        <v>139</v>
      </c>
      <c r="K229" s="4" t="s">
        <v>141</v>
      </c>
      <c r="L229" s="4" t="s">
        <v>181</v>
      </c>
      <c r="M229" s="4" t="s">
        <v>354</v>
      </c>
      <c r="N229" s="4" t="s">
        <v>364</v>
      </c>
      <c r="O229" s="4" t="s">
        <v>144</v>
      </c>
      <c r="P229" s="4"/>
      <c r="Q229" s="4"/>
      <c r="R229" s="4">
        <v>9.8000000000000007</v>
      </c>
      <c r="S229" s="4">
        <v>9.8000000000000007</v>
      </c>
      <c r="T229" s="4"/>
      <c r="U229" s="4">
        <v>-36.852803899999998</v>
      </c>
      <c r="V229" s="4">
        <v>174.81999492</v>
      </c>
      <c r="W229" s="4"/>
      <c r="X229" s="4"/>
      <c r="Y229" s="4"/>
      <c r="Z229" s="4"/>
      <c r="AA229" s="4" t="s">
        <v>152</v>
      </c>
      <c r="AB229" s="3" t="str">
        <f>HYPERLINK("https://sitebase.nzcomms.co.nz/spm/spmcandidateview/AKL-007-106-A/","AKL-007-106-A")</f>
        <v>AKL-007-106-A</v>
      </c>
      <c r="AC229" s="4"/>
      <c r="AD229" s="4"/>
      <c r="AE229" s="4"/>
      <c r="AF229" s="4"/>
      <c r="AG229" s="4"/>
      <c r="AH229" s="4"/>
      <c r="AI229" s="4"/>
      <c r="AJ229" s="4"/>
      <c r="AK229" s="4"/>
      <c r="AL229" s="4"/>
      <c r="AM229" s="4"/>
      <c r="AN229" s="5">
        <v>39325</v>
      </c>
      <c r="AO229" s="4">
        <v>4</v>
      </c>
      <c r="AP229" s="5">
        <v>39937</v>
      </c>
      <c r="AQ229" s="5">
        <v>39938</v>
      </c>
      <c r="AR229" s="4"/>
      <c r="AS229" s="4"/>
      <c r="AT229" s="5">
        <v>39421</v>
      </c>
      <c r="AU229" s="5">
        <v>39421</v>
      </c>
      <c r="AV229" s="4">
        <v>1</v>
      </c>
      <c r="AW229" s="5">
        <v>39505</v>
      </c>
      <c r="AX229" s="5">
        <v>39871</v>
      </c>
      <c r="AY229" s="4"/>
      <c r="AZ229" s="4"/>
      <c r="BA229" s="4"/>
      <c r="BB229" s="5">
        <v>39691</v>
      </c>
      <c r="BC229" s="4"/>
      <c r="BD229" s="4"/>
      <c r="BE229" s="5">
        <v>39941</v>
      </c>
      <c r="BF229" s="5">
        <v>39940</v>
      </c>
      <c r="BG229" s="5">
        <v>39910</v>
      </c>
      <c r="BH229" s="5">
        <v>39373</v>
      </c>
      <c r="BI229" s="4"/>
      <c r="BJ229" s="5">
        <v>39416</v>
      </c>
      <c r="BK229" s="4">
        <v>3</v>
      </c>
      <c r="BL229" s="4">
        <v>4</v>
      </c>
      <c r="BM229" s="5">
        <v>39890</v>
      </c>
      <c r="BN229" s="5">
        <v>39940</v>
      </c>
      <c r="BO229" s="4"/>
      <c r="BP229" s="4"/>
      <c r="BQ229" s="4"/>
      <c r="BR229" s="4"/>
      <c r="BS229" s="4"/>
      <c r="BT229" s="4"/>
      <c r="BU229" s="5">
        <v>39703</v>
      </c>
      <c r="BV229" s="5">
        <v>39721</v>
      </c>
      <c r="BW229" s="5">
        <v>39717</v>
      </c>
      <c r="BX229" s="4"/>
      <c r="BY229" s="5">
        <v>39981</v>
      </c>
      <c r="BZ229" s="5">
        <v>39981</v>
      </c>
      <c r="CA229" s="4"/>
      <c r="CB229" s="4"/>
      <c r="CC229" s="4"/>
      <c r="CD229" s="4"/>
      <c r="CE229" s="4"/>
      <c r="CF229" s="4"/>
      <c r="CG229" s="4"/>
      <c r="CH229" s="4"/>
      <c r="CI229" s="5">
        <v>39986</v>
      </c>
      <c r="CJ229" s="5">
        <v>39983</v>
      </c>
      <c r="CK229" s="5">
        <v>39986</v>
      </c>
      <c r="CL229" s="4"/>
      <c r="CM229" s="4"/>
      <c r="CN229" s="4"/>
      <c r="CO229" s="4"/>
      <c r="CP229" s="4" t="s">
        <v>853</v>
      </c>
      <c r="CQ229" s="4"/>
      <c r="CR229" s="5">
        <v>39983</v>
      </c>
      <c r="CS229" s="4"/>
      <c r="CT229" s="4"/>
      <c r="CU229" s="4"/>
      <c r="CV229" s="4"/>
      <c r="CW229" s="4"/>
      <c r="CX229" s="4"/>
      <c r="CY229" s="4"/>
      <c r="CZ229" s="4"/>
      <c r="DA229" s="4"/>
      <c r="DB229" s="4"/>
      <c r="DC229" s="4"/>
      <c r="DD229" s="4"/>
      <c r="DE229" s="4"/>
      <c r="DF229" s="4"/>
      <c r="DG229" s="4"/>
      <c r="DH229" s="4"/>
      <c r="DI229" s="4"/>
      <c r="DJ229" s="4" t="b">
        <v>0</v>
      </c>
      <c r="DK229" s="4"/>
      <c r="DL229" s="4">
        <v>2672690</v>
      </c>
      <c r="DM229" s="4">
        <v>6481598</v>
      </c>
      <c r="DN229" s="4" t="s">
        <v>854</v>
      </c>
      <c r="DO229" s="4"/>
      <c r="DP229" s="4"/>
      <c r="DQ229" s="4" t="s">
        <v>148</v>
      </c>
      <c r="DR229" s="4"/>
      <c r="DS229" s="4"/>
      <c r="DT229" s="5">
        <v>41863</v>
      </c>
      <c r="DU229" s="4"/>
      <c r="DV229" s="4"/>
      <c r="DW229" s="4"/>
      <c r="DX229" s="4"/>
      <c r="DY229" s="4"/>
      <c r="DZ229" s="5">
        <v>39692</v>
      </c>
      <c r="EA229" s="4"/>
      <c r="EB229" s="4"/>
      <c r="EC229" s="4"/>
      <c r="ED229" s="4"/>
      <c r="EE229" s="4"/>
      <c r="EF229" s="4"/>
      <c r="EG229" s="4"/>
      <c r="EH229" s="4"/>
      <c r="EI229" s="5">
        <v>39314</v>
      </c>
    </row>
    <row r="230" spans="1:139" hidden="1" x14ac:dyDescent="0.2">
      <c r="A230">
        <f>VLOOKUP(B230,Sheet1!$A$1:$B$18,2,FALSE)</f>
        <v>0</v>
      </c>
      <c r="B230" t="str">
        <f t="shared" si="3"/>
        <v>AKL</v>
      </c>
      <c r="C230" s="2">
        <v>229</v>
      </c>
      <c r="D230" s="3" t="str">
        <f>HYPERLINK("https://sitebase.nzcomms.co.nz/spm/spmnominalview/AKL-007-044/","AKL-007-044")</f>
        <v>AKL-007-044</v>
      </c>
      <c r="E230" s="4"/>
      <c r="F230" s="3" t="str">
        <f>HYPERLINK("https://sitebase.nzcomms.co.nz/spm/spmcandidateview/AKL-007-044-F/","AKL-007-044-F")</f>
        <v>AKL-007-044-F</v>
      </c>
      <c r="G230" s="4" t="s">
        <v>855</v>
      </c>
      <c r="H230" s="4" t="s">
        <v>745</v>
      </c>
      <c r="I230" s="4"/>
      <c r="J230" s="4" t="s">
        <v>139</v>
      </c>
      <c r="K230" s="4" t="s">
        <v>141</v>
      </c>
      <c r="L230" s="4" t="s">
        <v>150</v>
      </c>
      <c r="M230" s="4" t="s">
        <v>354</v>
      </c>
      <c r="N230" s="4" t="s">
        <v>291</v>
      </c>
      <c r="O230" s="4" t="s">
        <v>144</v>
      </c>
      <c r="P230" s="4"/>
      <c r="Q230" s="4"/>
      <c r="R230" s="4">
        <v>20</v>
      </c>
      <c r="S230" s="4">
        <v>20</v>
      </c>
      <c r="T230" s="4"/>
      <c r="U230" s="4">
        <v>-36.878768469999997</v>
      </c>
      <c r="V230" s="4">
        <v>174.85286511999999</v>
      </c>
      <c r="W230" s="4"/>
      <c r="X230" s="4"/>
      <c r="Y230" s="4"/>
      <c r="Z230" s="4"/>
      <c r="AA230" s="4" t="s">
        <v>152</v>
      </c>
      <c r="AB230" s="3" t="str">
        <f>HYPERLINK("https://sitebase.nzcomms.co.nz/spm/spmcandidateview/AKL-007-106-A/","AKL-007-106-A")</f>
        <v>AKL-007-106-A</v>
      </c>
      <c r="AC230" s="4"/>
      <c r="AD230" s="4"/>
      <c r="AE230" s="4"/>
      <c r="AF230" s="4"/>
      <c r="AG230" s="4"/>
      <c r="AH230" s="4"/>
      <c r="AI230" s="4"/>
      <c r="AJ230" s="4"/>
      <c r="AK230" s="4"/>
      <c r="AL230" s="4"/>
      <c r="AM230" s="4"/>
      <c r="AN230" s="5">
        <v>39773</v>
      </c>
      <c r="AO230" s="4">
        <v>2</v>
      </c>
      <c r="AP230" s="5">
        <v>39801</v>
      </c>
      <c r="AQ230" s="5">
        <v>39801</v>
      </c>
      <c r="AR230" s="4"/>
      <c r="AS230" s="4"/>
      <c r="AT230" s="5">
        <v>39825</v>
      </c>
      <c r="AU230" s="5">
        <v>39829</v>
      </c>
      <c r="AV230" s="4">
        <v>1</v>
      </c>
      <c r="AW230" s="5">
        <v>39806</v>
      </c>
      <c r="AX230" s="5">
        <v>39825</v>
      </c>
      <c r="AY230" s="4"/>
      <c r="AZ230" s="4"/>
      <c r="BA230" s="4"/>
      <c r="BB230" s="5">
        <v>39885</v>
      </c>
      <c r="BC230" s="4"/>
      <c r="BD230" s="4"/>
      <c r="BE230" s="5">
        <v>39885</v>
      </c>
      <c r="BF230" s="5">
        <v>39884</v>
      </c>
      <c r="BG230" s="5">
        <v>39804</v>
      </c>
      <c r="BH230" s="5">
        <v>39818</v>
      </c>
      <c r="BI230" s="4"/>
      <c r="BJ230" s="5">
        <v>39848</v>
      </c>
      <c r="BK230" s="4">
        <v>1</v>
      </c>
      <c r="BL230" s="4">
        <v>2</v>
      </c>
      <c r="BM230" s="5">
        <v>39848</v>
      </c>
      <c r="BN230" s="5">
        <v>39848</v>
      </c>
      <c r="BO230" s="5">
        <v>39892</v>
      </c>
      <c r="BP230" s="4"/>
      <c r="BQ230" s="4"/>
      <c r="BR230" s="4"/>
      <c r="BS230" s="4"/>
      <c r="BT230" s="5">
        <v>39892</v>
      </c>
      <c r="BU230" s="5">
        <v>39895</v>
      </c>
      <c r="BV230" s="5">
        <v>39917</v>
      </c>
      <c r="BW230" s="5">
        <v>39911</v>
      </c>
      <c r="BX230" s="4"/>
      <c r="BY230" s="5">
        <v>39917</v>
      </c>
      <c r="BZ230" s="5">
        <v>39911</v>
      </c>
      <c r="CA230" s="4"/>
      <c r="CB230" s="4"/>
      <c r="CC230" s="4"/>
      <c r="CD230" s="4"/>
      <c r="CE230" s="4"/>
      <c r="CF230" s="4"/>
      <c r="CG230" s="4"/>
      <c r="CH230" s="4"/>
      <c r="CI230" s="5">
        <v>39948</v>
      </c>
      <c r="CJ230" s="5">
        <v>39955</v>
      </c>
      <c r="CK230" s="5">
        <v>39948</v>
      </c>
      <c r="CL230" s="4"/>
      <c r="CM230" s="4"/>
      <c r="CN230" s="4"/>
      <c r="CO230" s="4"/>
      <c r="CP230" s="4" t="s">
        <v>856</v>
      </c>
      <c r="CQ230" s="4"/>
      <c r="CR230" s="5">
        <v>39948</v>
      </c>
      <c r="CS230" s="4"/>
      <c r="CT230" s="4"/>
      <c r="CU230" s="4"/>
      <c r="CV230" s="4"/>
      <c r="CW230" s="5">
        <v>39892</v>
      </c>
      <c r="CX230" s="5">
        <v>39892</v>
      </c>
      <c r="CY230" s="4"/>
      <c r="CZ230" s="4"/>
      <c r="DA230" s="4"/>
      <c r="DB230" s="4"/>
      <c r="DC230" s="4"/>
      <c r="DD230" s="4"/>
      <c r="DE230" s="4"/>
      <c r="DF230" s="4"/>
      <c r="DG230" s="4"/>
      <c r="DH230" s="4"/>
      <c r="DI230" s="4"/>
      <c r="DJ230" s="4" t="b">
        <v>0</v>
      </c>
      <c r="DK230" s="4"/>
      <c r="DL230" s="4">
        <v>2675559</v>
      </c>
      <c r="DM230" s="4">
        <v>6478655</v>
      </c>
      <c r="DN230" s="4" t="s">
        <v>857</v>
      </c>
      <c r="DO230" s="4"/>
      <c r="DP230" s="4"/>
      <c r="DQ230" s="4" t="s">
        <v>148</v>
      </c>
      <c r="DR230" s="4"/>
      <c r="DS230" s="4"/>
      <c r="DT230" s="5">
        <v>41863</v>
      </c>
      <c r="DU230" s="4"/>
      <c r="DV230" s="4"/>
      <c r="DW230" s="4"/>
      <c r="DX230" s="4"/>
      <c r="DY230" s="5">
        <v>39888</v>
      </c>
      <c r="DZ230" s="5">
        <v>39888</v>
      </c>
      <c r="EA230" s="4"/>
      <c r="EB230" s="4"/>
      <c r="EC230" s="4"/>
      <c r="ED230" s="4"/>
      <c r="EE230" s="4"/>
      <c r="EF230" s="4"/>
      <c r="EG230" s="4"/>
      <c r="EH230" s="4"/>
      <c r="EI230" s="5">
        <v>39763</v>
      </c>
    </row>
    <row r="231" spans="1:139" hidden="1" x14ac:dyDescent="0.2">
      <c r="A231">
        <f>VLOOKUP(B231,Sheet1!$A$1:$B$18,2,FALSE)</f>
        <v>0</v>
      </c>
      <c r="B231" t="str">
        <f t="shared" si="3"/>
        <v>AKL</v>
      </c>
      <c r="C231" s="2">
        <v>230</v>
      </c>
      <c r="D231" s="3" t="str">
        <f>HYPERLINK("https://sitebase.nzcomms.co.nz/spm/spmnominalview/AKL-007-045/","AKL-007-045")</f>
        <v>AKL-007-045</v>
      </c>
      <c r="E231" s="4"/>
      <c r="F231" s="3" t="str">
        <f>HYPERLINK("https://sitebase.nzcomms.co.nz/spm/spmcandidateview/AKL-007-045-J/","AKL-007-045-J")</f>
        <v>AKL-007-045-J</v>
      </c>
      <c r="G231" s="4" t="s">
        <v>858</v>
      </c>
      <c r="H231" s="4" t="s">
        <v>745</v>
      </c>
      <c r="I231" s="4"/>
      <c r="J231" s="4" t="s">
        <v>139</v>
      </c>
      <c r="K231" s="4" t="s">
        <v>141</v>
      </c>
      <c r="L231" s="4" t="s">
        <v>150</v>
      </c>
      <c r="M231" s="4" t="s">
        <v>354</v>
      </c>
      <c r="N231" s="4" t="s">
        <v>291</v>
      </c>
      <c r="O231" s="4" t="s">
        <v>144</v>
      </c>
      <c r="P231" s="4"/>
      <c r="Q231" s="4"/>
      <c r="R231" s="4">
        <v>18.8</v>
      </c>
      <c r="S231" s="4">
        <v>18.8</v>
      </c>
      <c r="T231" s="4"/>
      <c r="U231" s="4">
        <v>-36.939697619999997</v>
      </c>
      <c r="V231" s="4">
        <v>174.83869290999999</v>
      </c>
      <c r="W231" s="4"/>
      <c r="X231" s="4"/>
      <c r="Y231" s="4"/>
      <c r="Z231" s="4"/>
      <c r="AA231" s="4" t="s">
        <v>171</v>
      </c>
      <c r="AB231" s="3" t="str">
        <f>HYPERLINK("https://sitebase.nzcomms.co.nz/spm/spmcandidateview/AKL-008-003-A/","AKL-008-003-A")</f>
        <v>AKL-008-003-A</v>
      </c>
      <c r="AC231" s="4"/>
      <c r="AD231" s="4"/>
      <c r="AE231" s="4"/>
      <c r="AF231" s="4"/>
      <c r="AG231" s="4"/>
      <c r="AH231" s="4"/>
      <c r="AI231" s="4"/>
      <c r="AJ231" s="4"/>
      <c r="AK231" s="4"/>
      <c r="AL231" s="4"/>
      <c r="AM231" s="4"/>
      <c r="AN231" s="5">
        <v>39877</v>
      </c>
      <c r="AO231" s="4">
        <v>3</v>
      </c>
      <c r="AP231" s="5">
        <v>39870</v>
      </c>
      <c r="AQ231" s="5">
        <v>42264</v>
      </c>
      <c r="AR231" s="4"/>
      <c r="AS231" s="4"/>
      <c r="AT231" s="5">
        <v>39884</v>
      </c>
      <c r="AU231" s="5">
        <v>39899</v>
      </c>
      <c r="AV231" s="4"/>
      <c r="AW231" s="5">
        <v>39917</v>
      </c>
      <c r="AX231" s="5">
        <v>39905</v>
      </c>
      <c r="AY231" s="4"/>
      <c r="AZ231" s="5">
        <v>39930</v>
      </c>
      <c r="BA231" s="4"/>
      <c r="BB231" s="5">
        <v>39979</v>
      </c>
      <c r="BC231" s="4"/>
      <c r="BD231" s="4"/>
      <c r="BE231" s="5">
        <v>39979</v>
      </c>
      <c r="BF231" s="5">
        <v>39968</v>
      </c>
      <c r="BG231" s="5">
        <v>39909</v>
      </c>
      <c r="BH231" s="5">
        <v>39911</v>
      </c>
      <c r="BI231" s="4"/>
      <c r="BJ231" s="5">
        <v>39944</v>
      </c>
      <c r="BK231" s="4">
        <v>1</v>
      </c>
      <c r="BL231" s="4">
        <v>1</v>
      </c>
      <c r="BM231" s="5">
        <v>39941</v>
      </c>
      <c r="BN231" s="5">
        <v>39944</v>
      </c>
      <c r="BO231" s="5">
        <v>39920</v>
      </c>
      <c r="BP231" s="4"/>
      <c r="BQ231" s="4"/>
      <c r="BR231" s="4"/>
      <c r="BS231" s="4"/>
      <c r="BT231" s="5">
        <v>39981</v>
      </c>
      <c r="BU231" s="5">
        <v>39973</v>
      </c>
      <c r="BV231" s="5">
        <v>39997</v>
      </c>
      <c r="BW231" s="5">
        <v>39996</v>
      </c>
      <c r="BX231" s="4"/>
      <c r="BY231" s="5">
        <v>40011</v>
      </c>
      <c r="BZ231" s="5">
        <v>40008</v>
      </c>
      <c r="CA231" s="4"/>
      <c r="CB231" s="4"/>
      <c r="CC231" s="4"/>
      <c r="CD231" s="4"/>
      <c r="CE231" s="4"/>
      <c r="CF231" s="4"/>
      <c r="CG231" s="4"/>
      <c r="CH231" s="4"/>
      <c r="CI231" s="5">
        <v>40014</v>
      </c>
      <c r="CJ231" s="5">
        <v>40015</v>
      </c>
      <c r="CK231" s="5">
        <v>40014</v>
      </c>
      <c r="CL231" s="4"/>
      <c r="CM231" s="4"/>
      <c r="CN231" s="4"/>
      <c r="CO231" s="4"/>
      <c r="CP231" s="4" t="s">
        <v>157</v>
      </c>
      <c r="CQ231" s="4"/>
      <c r="CR231" s="5">
        <v>40015</v>
      </c>
      <c r="CS231" s="4"/>
      <c r="CT231" s="4"/>
      <c r="CU231" s="4"/>
      <c r="CV231" s="4"/>
      <c r="CW231" s="5">
        <v>39920</v>
      </c>
      <c r="CX231" s="5">
        <v>39920</v>
      </c>
      <c r="CY231" s="4"/>
      <c r="CZ231" s="4"/>
      <c r="DA231" s="4"/>
      <c r="DB231" s="4"/>
      <c r="DC231" s="4"/>
      <c r="DD231" s="4"/>
      <c r="DE231" s="4"/>
      <c r="DF231" s="4"/>
      <c r="DG231" s="4"/>
      <c r="DH231" s="4"/>
      <c r="DI231" s="4"/>
      <c r="DJ231" s="4" t="b">
        <v>0</v>
      </c>
      <c r="DK231" s="4"/>
      <c r="DL231" s="4">
        <v>2674152</v>
      </c>
      <c r="DM231" s="4">
        <v>6471922</v>
      </c>
      <c r="DN231" s="4" t="s">
        <v>859</v>
      </c>
      <c r="DO231" s="4"/>
      <c r="DP231" s="4"/>
      <c r="DQ231" s="4" t="s">
        <v>148</v>
      </c>
      <c r="DR231" s="4"/>
      <c r="DS231" s="4"/>
      <c r="DT231" s="5">
        <v>41863</v>
      </c>
      <c r="DU231" s="4"/>
      <c r="DV231" s="4"/>
      <c r="DW231" s="4"/>
      <c r="DX231" s="4"/>
      <c r="DY231" s="5">
        <v>39981</v>
      </c>
      <c r="DZ231" s="5">
        <v>39973</v>
      </c>
      <c r="EA231" s="4"/>
      <c r="EB231" s="4"/>
      <c r="EC231" s="4"/>
      <c r="ED231" s="4"/>
      <c r="EE231" s="4"/>
      <c r="EF231" s="4"/>
      <c r="EG231" s="4"/>
      <c r="EH231" s="4"/>
      <c r="EI231" s="5">
        <v>39855</v>
      </c>
    </row>
    <row r="232" spans="1:139" hidden="1" x14ac:dyDescent="0.2">
      <c r="A232">
        <f>VLOOKUP(B232,Sheet1!$A$1:$B$18,2,FALSE)</f>
        <v>0</v>
      </c>
      <c r="B232" t="str">
        <f t="shared" si="3"/>
        <v>AKL</v>
      </c>
      <c r="C232" s="2">
        <v>231</v>
      </c>
      <c r="D232" s="3" t="str">
        <f>HYPERLINK("https://sitebase.nzcomms.co.nz/spm/spmnominalview/AKL-007-046/","AKL-007-046")</f>
        <v>AKL-007-046</v>
      </c>
      <c r="E232" s="4"/>
      <c r="F232" s="3" t="str">
        <f>HYPERLINK("https://sitebase.nzcomms.co.nz/spm/spmcandidateview/AKL-007-046-F/","AKL-007-046-F")</f>
        <v>AKL-007-046-F</v>
      </c>
      <c r="G232" s="4" t="s">
        <v>860</v>
      </c>
      <c r="H232" s="4" t="s">
        <v>745</v>
      </c>
      <c r="I232" s="4"/>
      <c r="J232" s="4" t="s">
        <v>139</v>
      </c>
      <c r="K232" s="4" t="s">
        <v>141</v>
      </c>
      <c r="L232" s="4" t="s">
        <v>150</v>
      </c>
      <c r="M232" s="4" t="s">
        <v>354</v>
      </c>
      <c r="N232" s="4" t="s">
        <v>246</v>
      </c>
      <c r="O232" s="4" t="s">
        <v>144</v>
      </c>
      <c r="P232" s="4"/>
      <c r="Q232" s="4"/>
      <c r="R232" s="4">
        <v>9</v>
      </c>
      <c r="S232" s="4">
        <v>9</v>
      </c>
      <c r="T232" s="4"/>
      <c r="U232" s="4">
        <v>-36.9064263</v>
      </c>
      <c r="V232" s="4">
        <v>174.79247975000001</v>
      </c>
      <c r="W232" s="4"/>
      <c r="X232" s="4"/>
      <c r="Y232" s="4"/>
      <c r="Z232" s="4"/>
      <c r="AA232" s="4" t="s">
        <v>152</v>
      </c>
      <c r="AB232" s="3" t="str">
        <f>HYPERLINK("https://sitebase.nzcomms.co.nz/spm/spmcandidateview/AKL-007-106-A/","AKL-007-106-A")</f>
        <v>AKL-007-106-A</v>
      </c>
      <c r="AC232" s="4"/>
      <c r="AD232" s="4"/>
      <c r="AE232" s="4"/>
      <c r="AF232" s="4"/>
      <c r="AG232" s="4"/>
      <c r="AH232" s="4"/>
      <c r="AI232" s="4"/>
      <c r="AJ232" s="4"/>
      <c r="AK232" s="4"/>
      <c r="AL232" s="4"/>
      <c r="AM232" s="4"/>
      <c r="AN232" s="5">
        <v>39772</v>
      </c>
      <c r="AO232" s="4">
        <v>2</v>
      </c>
      <c r="AP232" s="5">
        <v>39779</v>
      </c>
      <c r="AQ232" s="5">
        <v>39779</v>
      </c>
      <c r="AR232" s="4"/>
      <c r="AS232" s="4"/>
      <c r="AT232" s="5">
        <v>39802</v>
      </c>
      <c r="AU232" s="5">
        <v>39801</v>
      </c>
      <c r="AV232" s="4"/>
      <c r="AW232" s="5">
        <v>39802</v>
      </c>
      <c r="AX232" s="5">
        <v>39801</v>
      </c>
      <c r="AY232" s="4"/>
      <c r="AZ232" s="5">
        <v>39780</v>
      </c>
      <c r="BA232" s="4"/>
      <c r="BB232" s="5">
        <v>39913</v>
      </c>
      <c r="BC232" s="4"/>
      <c r="BD232" s="4"/>
      <c r="BE232" s="5">
        <v>39913</v>
      </c>
      <c r="BF232" s="5">
        <v>39910</v>
      </c>
      <c r="BG232" s="5">
        <v>39805</v>
      </c>
      <c r="BH232" s="5">
        <v>39818</v>
      </c>
      <c r="BI232" s="4"/>
      <c r="BJ232" s="5">
        <v>39864</v>
      </c>
      <c r="BK232" s="4">
        <v>1</v>
      </c>
      <c r="BL232" s="4">
        <v>2</v>
      </c>
      <c r="BM232" s="5">
        <v>39864</v>
      </c>
      <c r="BN232" s="5">
        <v>39864</v>
      </c>
      <c r="BO232" s="5">
        <v>39885</v>
      </c>
      <c r="BP232" s="4"/>
      <c r="BQ232" s="4"/>
      <c r="BR232" s="4"/>
      <c r="BS232" s="4"/>
      <c r="BT232" s="5">
        <v>39918</v>
      </c>
      <c r="BU232" s="5">
        <v>39918</v>
      </c>
      <c r="BV232" s="5">
        <v>39933</v>
      </c>
      <c r="BW232" s="5">
        <v>39933</v>
      </c>
      <c r="BX232" s="4"/>
      <c r="BY232" s="5">
        <v>39933</v>
      </c>
      <c r="BZ232" s="5">
        <v>39933</v>
      </c>
      <c r="CA232" s="4"/>
      <c r="CB232" s="4"/>
      <c r="CC232" s="4"/>
      <c r="CD232" s="4"/>
      <c r="CE232" s="4"/>
      <c r="CF232" s="4"/>
      <c r="CG232" s="4"/>
      <c r="CH232" s="4"/>
      <c r="CI232" s="5">
        <v>39980</v>
      </c>
      <c r="CJ232" s="5">
        <v>39974</v>
      </c>
      <c r="CK232" s="5">
        <v>39980</v>
      </c>
      <c r="CL232" s="4"/>
      <c r="CM232" s="4"/>
      <c r="CN232" s="4"/>
      <c r="CO232" s="4"/>
      <c r="CP232" s="4" t="s">
        <v>861</v>
      </c>
      <c r="CQ232" s="4"/>
      <c r="CR232" s="5">
        <v>39974</v>
      </c>
      <c r="CS232" s="4"/>
      <c r="CT232" s="4"/>
      <c r="CU232" s="4"/>
      <c r="CV232" s="4"/>
      <c r="CW232" s="5">
        <v>39899</v>
      </c>
      <c r="CX232" s="5">
        <v>39885</v>
      </c>
      <c r="CY232" s="4"/>
      <c r="CZ232" s="4"/>
      <c r="DA232" s="4"/>
      <c r="DB232" s="4"/>
      <c r="DC232" s="4"/>
      <c r="DD232" s="4"/>
      <c r="DE232" s="4"/>
      <c r="DF232" s="4"/>
      <c r="DG232" s="4"/>
      <c r="DH232" s="4"/>
      <c r="DI232" s="4"/>
      <c r="DJ232" s="4" t="b">
        <v>0</v>
      </c>
      <c r="DK232" s="4"/>
      <c r="DL232" s="4">
        <v>2670113</v>
      </c>
      <c r="DM232" s="4">
        <v>6475700</v>
      </c>
      <c r="DN232" s="4" t="s">
        <v>862</v>
      </c>
      <c r="DO232" s="4"/>
      <c r="DP232" s="4"/>
      <c r="DQ232" s="4" t="s">
        <v>148</v>
      </c>
      <c r="DR232" s="4"/>
      <c r="DS232" s="4"/>
      <c r="DT232" s="5">
        <v>41863</v>
      </c>
      <c r="DU232" s="4"/>
      <c r="DV232" s="4"/>
      <c r="DW232" s="4"/>
      <c r="DX232" s="4"/>
      <c r="DY232" s="5">
        <v>39918</v>
      </c>
      <c r="DZ232" s="5">
        <v>39918</v>
      </c>
      <c r="EA232" s="4"/>
      <c r="EB232" s="4"/>
      <c r="EC232" s="4"/>
      <c r="ED232" s="4"/>
      <c r="EE232" s="4"/>
      <c r="EF232" s="4"/>
      <c r="EG232" s="4"/>
      <c r="EH232" s="4"/>
      <c r="EI232" s="5">
        <v>39729</v>
      </c>
    </row>
    <row r="233" spans="1:139" hidden="1" x14ac:dyDescent="0.2">
      <c r="A233">
        <f>VLOOKUP(B233,Sheet1!$A$1:$B$18,2,FALSE)</f>
        <v>0</v>
      </c>
      <c r="B233" t="str">
        <f t="shared" si="3"/>
        <v>AKL</v>
      </c>
      <c r="C233" s="2">
        <v>232</v>
      </c>
      <c r="D233" s="3" t="str">
        <f>HYPERLINK("https://sitebase.nzcomms.co.nz/spm/spmnominalview/AKL-007-047/","AKL-007-047")</f>
        <v>AKL-007-047</v>
      </c>
      <c r="E233" s="4"/>
      <c r="F233" s="3" t="str">
        <f>HYPERLINK("https://sitebase.nzcomms.co.nz/spm/spmcandidateview/AKL-007-047-H/","AKL-007-047-H")</f>
        <v>AKL-007-047-H</v>
      </c>
      <c r="G233" s="4" t="s">
        <v>863</v>
      </c>
      <c r="H233" s="4" t="s">
        <v>745</v>
      </c>
      <c r="I233" s="4"/>
      <c r="J233" s="4" t="s">
        <v>139</v>
      </c>
      <c r="K233" s="4" t="s">
        <v>141</v>
      </c>
      <c r="L233" s="4" t="s">
        <v>150</v>
      </c>
      <c r="M233" s="4" t="s">
        <v>354</v>
      </c>
      <c r="N233" s="4" t="s">
        <v>291</v>
      </c>
      <c r="O233" s="4" t="s">
        <v>144</v>
      </c>
      <c r="P233" s="4"/>
      <c r="Q233" s="4"/>
      <c r="R233" s="4">
        <v>20</v>
      </c>
      <c r="S233" s="4">
        <v>20</v>
      </c>
      <c r="T233" s="4"/>
      <c r="U233" s="4">
        <v>-36.925840239999999</v>
      </c>
      <c r="V233" s="4">
        <v>174.81023723999999</v>
      </c>
      <c r="W233" s="4"/>
      <c r="X233" s="4"/>
      <c r="Y233" s="4"/>
      <c r="Z233" s="4"/>
      <c r="AA233" s="4" t="s">
        <v>171</v>
      </c>
      <c r="AB233" s="3" t="str">
        <f>HYPERLINK("https://sitebase.nzcomms.co.nz/spm/spmcandidateview/AKL-007-114-D/","AKL-007-114-D")</f>
        <v>AKL-007-114-D</v>
      </c>
      <c r="AC233" s="4"/>
      <c r="AD233" s="4"/>
      <c r="AE233" s="4"/>
      <c r="AF233" s="4"/>
      <c r="AG233" s="4"/>
      <c r="AH233" s="4"/>
      <c r="AI233" s="4"/>
      <c r="AJ233" s="4"/>
      <c r="AK233" s="4"/>
      <c r="AL233" s="4"/>
      <c r="AM233" s="4"/>
      <c r="AN233" s="5">
        <v>39710</v>
      </c>
      <c r="AO233" s="4">
        <v>3</v>
      </c>
      <c r="AP233" s="5">
        <v>39969</v>
      </c>
      <c r="AQ233" s="5">
        <v>39846</v>
      </c>
      <c r="AR233" s="4"/>
      <c r="AS233" s="4"/>
      <c r="AT233" s="4"/>
      <c r="AU233" s="5">
        <v>39696</v>
      </c>
      <c r="AV233" s="4">
        <v>3</v>
      </c>
      <c r="AW233" s="5">
        <v>39976</v>
      </c>
      <c r="AX233" s="5">
        <v>39974</v>
      </c>
      <c r="AY233" s="4"/>
      <c r="AZ233" s="4"/>
      <c r="BA233" s="4"/>
      <c r="BB233" s="5">
        <v>39899</v>
      </c>
      <c r="BC233" s="4"/>
      <c r="BD233" s="4"/>
      <c r="BE233" s="5">
        <v>39899</v>
      </c>
      <c r="BF233" s="5">
        <v>39897</v>
      </c>
      <c r="BG233" s="5">
        <v>39843</v>
      </c>
      <c r="BH233" s="5">
        <v>39827</v>
      </c>
      <c r="BI233" s="4"/>
      <c r="BJ233" s="5">
        <v>39833</v>
      </c>
      <c r="BK233" s="4">
        <v>1</v>
      </c>
      <c r="BL233" s="4">
        <v>2</v>
      </c>
      <c r="BM233" s="5">
        <v>39833</v>
      </c>
      <c r="BN233" s="5">
        <v>39833</v>
      </c>
      <c r="BO233" s="5">
        <v>39892</v>
      </c>
      <c r="BP233" s="4"/>
      <c r="BQ233" s="4"/>
      <c r="BR233" s="4"/>
      <c r="BS233" s="4"/>
      <c r="BT233" s="5">
        <v>39979</v>
      </c>
      <c r="BU233" s="5">
        <v>39979</v>
      </c>
      <c r="BV233" s="5">
        <v>40008</v>
      </c>
      <c r="BW233" s="5">
        <v>40007</v>
      </c>
      <c r="BX233" s="4"/>
      <c r="BY233" s="5">
        <v>40011</v>
      </c>
      <c r="BZ233" s="5">
        <v>40011</v>
      </c>
      <c r="CA233" s="4"/>
      <c r="CB233" s="4"/>
      <c r="CC233" s="4"/>
      <c r="CD233" s="4"/>
      <c r="CE233" s="4"/>
      <c r="CF233" s="4"/>
      <c r="CG233" s="4"/>
      <c r="CH233" s="4"/>
      <c r="CI233" s="5">
        <v>40014</v>
      </c>
      <c r="CJ233" s="5">
        <v>40014</v>
      </c>
      <c r="CK233" s="5">
        <v>40014</v>
      </c>
      <c r="CL233" s="4"/>
      <c r="CM233" s="4"/>
      <c r="CN233" s="4"/>
      <c r="CO233" s="4"/>
      <c r="CP233" s="4" t="s">
        <v>157</v>
      </c>
      <c r="CQ233" s="4"/>
      <c r="CR233" s="5">
        <v>40014</v>
      </c>
      <c r="CS233" s="4"/>
      <c r="CT233" s="4"/>
      <c r="CU233" s="4"/>
      <c r="CV233" s="4"/>
      <c r="CW233" s="5">
        <v>39892</v>
      </c>
      <c r="CX233" s="5">
        <v>39892</v>
      </c>
      <c r="CY233" s="4"/>
      <c r="CZ233" s="4"/>
      <c r="DA233" s="4"/>
      <c r="DB233" s="4"/>
      <c r="DC233" s="4"/>
      <c r="DD233" s="4"/>
      <c r="DE233" s="4"/>
      <c r="DF233" s="4"/>
      <c r="DG233" s="4"/>
      <c r="DH233" s="4"/>
      <c r="DI233" s="4"/>
      <c r="DJ233" s="4" t="b">
        <v>0</v>
      </c>
      <c r="DK233" s="4"/>
      <c r="DL233" s="4">
        <v>2671650</v>
      </c>
      <c r="DM233" s="4">
        <v>6473513</v>
      </c>
      <c r="DN233" s="4" t="s">
        <v>864</v>
      </c>
      <c r="DO233" s="4"/>
      <c r="DP233" s="4"/>
      <c r="DQ233" s="4" t="s">
        <v>148</v>
      </c>
      <c r="DR233" s="4"/>
      <c r="DS233" s="4"/>
      <c r="DT233" s="5">
        <v>41863</v>
      </c>
      <c r="DU233" s="4"/>
      <c r="DV233" s="4"/>
      <c r="DW233" s="4"/>
      <c r="DX233" s="4"/>
      <c r="DY233" s="5">
        <v>39979</v>
      </c>
      <c r="DZ233" s="5">
        <v>39979</v>
      </c>
      <c r="EA233" s="4"/>
      <c r="EB233" s="4"/>
      <c r="EC233" s="4"/>
      <c r="ED233" s="4"/>
      <c r="EE233" s="4"/>
      <c r="EF233" s="4"/>
      <c r="EG233" s="4"/>
      <c r="EH233" s="4"/>
      <c r="EI233" s="5">
        <v>39682</v>
      </c>
    </row>
    <row r="234" spans="1:139" hidden="1" x14ac:dyDescent="0.2">
      <c r="A234">
        <f>VLOOKUP(B234,Sheet1!$A$1:$B$18,2,FALSE)</f>
        <v>0</v>
      </c>
      <c r="B234" t="str">
        <f t="shared" si="3"/>
        <v>AKL</v>
      </c>
      <c r="C234" s="2">
        <v>233</v>
      </c>
      <c r="D234" s="3" t="str">
        <f>HYPERLINK("https://sitebase.nzcomms.co.nz/spm/spmnominalview/AKL-007-048/","AKL-007-048")</f>
        <v>AKL-007-048</v>
      </c>
      <c r="E234" s="4"/>
      <c r="F234" s="3" t="str">
        <f>HYPERLINK("https://sitebase.nzcomms.co.nz/spm/spmcandidateview/AKL-007-048-A/","AKL-007-048-A")</f>
        <v>AKL-007-048-A</v>
      </c>
      <c r="G234" s="4" t="s">
        <v>865</v>
      </c>
      <c r="H234" s="4" t="s">
        <v>745</v>
      </c>
      <c r="I234" s="4"/>
      <c r="J234" s="4" t="s">
        <v>139</v>
      </c>
      <c r="K234" s="4" t="s">
        <v>141</v>
      </c>
      <c r="L234" s="4" t="s">
        <v>181</v>
      </c>
      <c r="M234" s="4" t="s">
        <v>354</v>
      </c>
      <c r="N234" s="4" t="s">
        <v>364</v>
      </c>
      <c r="O234" s="4" t="s">
        <v>144</v>
      </c>
      <c r="P234" s="4"/>
      <c r="Q234" s="4"/>
      <c r="R234" s="4">
        <v>14</v>
      </c>
      <c r="S234" s="4">
        <v>14</v>
      </c>
      <c r="T234" s="4"/>
      <c r="U234" s="4">
        <v>-36.898737160000003</v>
      </c>
      <c r="V234" s="4">
        <v>174.69795859000001</v>
      </c>
      <c r="W234" s="4"/>
      <c r="X234" s="4"/>
      <c r="Y234" s="4"/>
      <c r="Z234" s="4"/>
      <c r="AA234" s="4"/>
      <c r="AB234" s="4"/>
      <c r="AC234" s="4"/>
      <c r="AD234" s="4"/>
      <c r="AE234" s="4"/>
      <c r="AF234" s="4"/>
      <c r="AG234" s="4"/>
      <c r="AH234" s="4"/>
      <c r="AI234" s="4"/>
      <c r="AJ234" s="4"/>
      <c r="AK234" s="4"/>
      <c r="AL234" s="4"/>
      <c r="AM234" s="4"/>
      <c r="AN234" s="5">
        <v>39317</v>
      </c>
      <c r="AO234" s="4">
        <v>1</v>
      </c>
      <c r="AP234" s="4"/>
      <c r="AQ234" s="5">
        <v>39317</v>
      </c>
      <c r="AR234" s="4"/>
      <c r="AS234" s="4"/>
      <c r="AT234" s="5">
        <v>39302</v>
      </c>
      <c r="AU234" s="5">
        <v>39302</v>
      </c>
      <c r="AV234" s="4">
        <v>1</v>
      </c>
      <c r="AW234" s="5">
        <v>39302</v>
      </c>
      <c r="AX234" s="5">
        <v>39302</v>
      </c>
      <c r="AY234" s="4"/>
      <c r="AZ234" s="4"/>
      <c r="BA234" s="4"/>
      <c r="BB234" s="5">
        <v>39419</v>
      </c>
      <c r="BC234" s="4"/>
      <c r="BD234" s="4"/>
      <c r="BE234" s="5">
        <v>39419</v>
      </c>
      <c r="BF234" s="5">
        <v>39419</v>
      </c>
      <c r="BG234" s="4"/>
      <c r="BH234" s="5">
        <v>39346</v>
      </c>
      <c r="BI234" s="4"/>
      <c r="BJ234" s="5">
        <v>39392</v>
      </c>
      <c r="BK234" s="4">
        <v>2</v>
      </c>
      <c r="BL234" s="4">
        <v>1</v>
      </c>
      <c r="BM234" s="5">
        <v>39392</v>
      </c>
      <c r="BN234" s="5">
        <v>39392</v>
      </c>
      <c r="BO234" s="4"/>
      <c r="BP234" s="4"/>
      <c r="BQ234" s="4"/>
      <c r="BR234" s="4"/>
      <c r="BS234" s="4"/>
      <c r="BT234" s="4"/>
      <c r="BU234" s="5">
        <v>39461</v>
      </c>
      <c r="BV234" s="5">
        <v>39547</v>
      </c>
      <c r="BW234" s="5">
        <v>39547</v>
      </c>
      <c r="BX234" s="4"/>
      <c r="BY234" s="5">
        <v>39535</v>
      </c>
      <c r="BZ234" s="5">
        <v>39535</v>
      </c>
      <c r="CA234" s="4"/>
      <c r="CB234" s="4"/>
      <c r="CC234" s="4"/>
      <c r="CD234" s="4"/>
      <c r="CE234" s="4"/>
      <c r="CF234" s="4"/>
      <c r="CG234" s="4"/>
      <c r="CH234" s="4"/>
      <c r="CI234" s="5">
        <v>39882</v>
      </c>
      <c r="CJ234" s="5">
        <v>39882</v>
      </c>
      <c r="CK234" s="5">
        <v>39882</v>
      </c>
      <c r="CL234" s="4"/>
      <c r="CM234" s="4"/>
      <c r="CN234" s="4"/>
      <c r="CO234" s="4"/>
      <c r="CP234" s="4" t="s">
        <v>157</v>
      </c>
      <c r="CQ234" s="4"/>
      <c r="CR234" s="5">
        <v>39882</v>
      </c>
      <c r="CS234" s="4"/>
      <c r="CT234" s="4"/>
      <c r="CU234" s="4"/>
      <c r="CV234" s="4"/>
      <c r="CW234" s="4"/>
      <c r="CX234" s="4"/>
      <c r="CY234" s="4"/>
      <c r="CZ234" s="4"/>
      <c r="DA234" s="4"/>
      <c r="DB234" s="4"/>
      <c r="DC234" s="4"/>
      <c r="DD234" s="4"/>
      <c r="DE234" s="4"/>
      <c r="DF234" s="4"/>
      <c r="DG234" s="4"/>
      <c r="DH234" s="4"/>
      <c r="DI234" s="4"/>
      <c r="DJ234" s="4" t="b">
        <v>0</v>
      </c>
      <c r="DK234" s="4"/>
      <c r="DL234" s="4">
        <v>2661708</v>
      </c>
      <c r="DM234" s="4">
        <v>6476724</v>
      </c>
      <c r="DN234" s="4" t="s">
        <v>866</v>
      </c>
      <c r="DO234" s="4"/>
      <c r="DP234" s="4"/>
      <c r="DQ234" s="4" t="s">
        <v>148</v>
      </c>
      <c r="DR234" s="4"/>
      <c r="DS234" s="4"/>
      <c r="DT234" s="5">
        <v>41806</v>
      </c>
      <c r="DU234" s="4"/>
      <c r="DV234" s="4"/>
      <c r="DW234" s="4"/>
      <c r="DX234" s="4"/>
      <c r="DY234" s="4"/>
      <c r="DZ234" s="5">
        <v>39461</v>
      </c>
      <c r="EA234" s="4"/>
      <c r="EB234" s="4"/>
      <c r="EC234" s="4"/>
      <c r="ED234" s="4"/>
      <c r="EE234" s="4"/>
      <c r="EF234" s="4"/>
      <c r="EG234" s="4"/>
      <c r="EH234" s="4"/>
      <c r="EI234" s="5">
        <v>39278</v>
      </c>
    </row>
    <row r="235" spans="1:139" hidden="1" x14ac:dyDescent="0.2">
      <c r="A235">
        <f>VLOOKUP(B235,Sheet1!$A$1:$B$18,2,FALSE)</f>
        <v>0</v>
      </c>
      <c r="B235" t="str">
        <f t="shared" si="3"/>
        <v>AKL</v>
      </c>
      <c r="C235" s="2">
        <v>234</v>
      </c>
      <c r="D235" s="3" t="str">
        <f>HYPERLINK("https://sitebase.nzcomms.co.nz/spm/spmnominalview/AKL-007-049/","AKL-007-049")</f>
        <v>AKL-007-049</v>
      </c>
      <c r="E235" s="4"/>
      <c r="F235" s="3" t="str">
        <f>HYPERLINK("https://sitebase.nzcomms.co.nz/spm/spmcandidateview/AKL-007-049-F/","AKL-007-049-F")</f>
        <v>AKL-007-049-F</v>
      </c>
      <c r="G235" s="4" t="s">
        <v>867</v>
      </c>
      <c r="H235" s="4" t="s">
        <v>745</v>
      </c>
      <c r="I235" s="4"/>
      <c r="J235" s="4" t="s">
        <v>139</v>
      </c>
      <c r="K235" s="4" t="s">
        <v>141</v>
      </c>
      <c r="L235" s="4" t="s">
        <v>189</v>
      </c>
      <c r="M235" s="4" t="s">
        <v>354</v>
      </c>
      <c r="N235" s="4" t="s">
        <v>355</v>
      </c>
      <c r="O235" s="4" t="s">
        <v>356</v>
      </c>
      <c r="P235" s="4"/>
      <c r="Q235" s="4"/>
      <c r="R235" s="4"/>
      <c r="S235" s="4"/>
      <c r="T235" s="4"/>
      <c r="U235" s="4">
        <v>-36.906061399999999</v>
      </c>
      <c r="V235" s="4">
        <v>174.70325678</v>
      </c>
      <c r="W235" s="4"/>
      <c r="X235" s="4"/>
      <c r="Y235" s="4"/>
      <c r="Z235" s="4"/>
      <c r="AA235" s="4" t="s">
        <v>171</v>
      </c>
      <c r="AB235" s="3" t="str">
        <f>HYPERLINK("https://sitebase.nzcomms.co.nz/spm/spmcandidateview/AKL-006-013-B/","AKL-006-013-B")</f>
        <v>AKL-006-013-B</v>
      </c>
      <c r="AC235" s="4"/>
      <c r="AD235" s="4"/>
      <c r="AE235" s="4"/>
      <c r="AF235" s="4"/>
      <c r="AG235" s="4"/>
      <c r="AH235" s="4" t="s">
        <v>360</v>
      </c>
      <c r="AI235" s="4"/>
      <c r="AJ235" s="4"/>
      <c r="AK235" s="4"/>
      <c r="AL235" s="4"/>
      <c r="AM235" s="4"/>
      <c r="AN235" s="5">
        <v>39505</v>
      </c>
      <c r="AO235" s="4">
        <v>5</v>
      </c>
      <c r="AP235" s="4"/>
      <c r="AQ235" s="5">
        <v>42256</v>
      </c>
      <c r="AR235" s="4"/>
      <c r="AS235" s="4"/>
      <c r="AT235" s="5">
        <v>39629</v>
      </c>
      <c r="AU235" s="5">
        <v>39622</v>
      </c>
      <c r="AV235" s="4">
        <v>3</v>
      </c>
      <c r="AW235" s="5">
        <v>39629</v>
      </c>
      <c r="AX235" s="5">
        <v>39622</v>
      </c>
      <c r="AY235" s="4"/>
      <c r="AZ235" s="5">
        <v>39568</v>
      </c>
      <c r="BA235" s="4"/>
      <c r="BB235" s="5">
        <v>39449</v>
      </c>
      <c r="BC235" s="4"/>
      <c r="BD235" s="4"/>
      <c r="BE235" s="5">
        <v>39449</v>
      </c>
      <c r="BF235" s="5">
        <v>39612</v>
      </c>
      <c r="BG235" s="4"/>
      <c r="BH235" s="5">
        <v>39548</v>
      </c>
      <c r="BI235" s="4"/>
      <c r="BJ235" s="5">
        <v>39568</v>
      </c>
      <c r="BK235" s="4">
        <v>2</v>
      </c>
      <c r="BL235" s="4">
        <v>4</v>
      </c>
      <c r="BM235" s="5">
        <v>39582</v>
      </c>
      <c r="BN235" s="5">
        <v>39582</v>
      </c>
      <c r="BO235" s="4"/>
      <c r="BP235" s="4"/>
      <c r="BQ235" s="4"/>
      <c r="BR235" s="4"/>
      <c r="BS235" s="4"/>
      <c r="BT235" s="4"/>
      <c r="BU235" s="5">
        <v>39657</v>
      </c>
      <c r="BV235" s="5">
        <v>39672</v>
      </c>
      <c r="BW235" s="5">
        <v>39668</v>
      </c>
      <c r="BX235" s="4"/>
      <c r="BY235" s="5">
        <v>39690</v>
      </c>
      <c r="BZ235" s="5">
        <v>39674</v>
      </c>
      <c r="CA235" s="4"/>
      <c r="CB235" s="4"/>
      <c r="CC235" s="4"/>
      <c r="CD235" s="4"/>
      <c r="CE235" s="4"/>
      <c r="CF235" s="4"/>
      <c r="CG235" s="4"/>
      <c r="CH235" s="4"/>
      <c r="CI235" s="5">
        <v>39793</v>
      </c>
      <c r="CJ235" s="5">
        <v>39813</v>
      </c>
      <c r="CK235" s="5">
        <v>39793</v>
      </c>
      <c r="CL235" s="4"/>
      <c r="CM235" s="4"/>
      <c r="CN235" s="4"/>
      <c r="CO235" s="4"/>
      <c r="CP235" s="4" t="s">
        <v>157</v>
      </c>
      <c r="CQ235" s="4"/>
      <c r="CR235" s="5">
        <v>39813</v>
      </c>
      <c r="CS235" s="4"/>
      <c r="CT235" s="4"/>
      <c r="CU235" s="4"/>
      <c r="CV235" s="4"/>
      <c r="CW235" s="4"/>
      <c r="CX235" s="4"/>
      <c r="CY235" s="4"/>
      <c r="CZ235" s="4"/>
      <c r="DA235" s="4"/>
      <c r="DB235" s="4"/>
      <c r="DC235" s="4"/>
      <c r="DD235" s="4"/>
      <c r="DE235" s="4"/>
      <c r="DF235" s="4"/>
      <c r="DG235" s="4"/>
      <c r="DH235" s="4"/>
      <c r="DI235" s="4"/>
      <c r="DJ235" s="4" t="b">
        <v>0</v>
      </c>
      <c r="DK235" s="4"/>
      <c r="DL235" s="4">
        <v>2662164</v>
      </c>
      <c r="DM235" s="4">
        <v>6475902</v>
      </c>
      <c r="DN235" s="4" t="s">
        <v>868</v>
      </c>
      <c r="DO235" s="4"/>
      <c r="DP235" s="4"/>
      <c r="DQ235" s="4" t="s">
        <v>148</v>
      </c>
      <c r="DR235" s="4"/>
      <c r="DS235" s="4"/>
      <c r="DT235" s="5">
        <v>41806</v>
      </c>
      <c r="DU235" s="4"/>
      <c r="DV235" s="4"/>
      <c r="DW235" s="4"/>
      <c r="DX235" s="4"/>
      <c r="DY235" s="4"/>
      <c r="DZ235" s="5">
        <v>39632</v>
      </c>
      <c r="EA235" s="4"/>
      <c r="EB235" s="4"/>
      <c r="EC235" s="4"/>
      <c r="ED235" s="4"/>
      <c r="EE235" s="4"/>
      <c r="EF235" s="4"/>
      <c r="EG235" s="4"/>
      <c r="EH235" s="4"/>
      <c r="EI235" s="5">
        <v>39463</v>
      </c>
    </row>
    <row r="236" spans="1:139" hidden="1" x14ac:dyDescent="0.2">
      <c r="A236">
        <f>VLOOKUP(B236,Sheet1!$A$1:$B$18,2,FALSE)</f>
        <v>0</v>
      </c>
      <c r="B236" t="str">
        <f t="shared" si="3"/>
        <v>AKL</v>
      </c>
      <c r="C236" s="2">
        <v>235</v>
      </c>
      <c r="D236" s="3" t="str">
        <f>HYPERLINK("https://sitebase.nzcomms.co.nz/spm/spmnominalview/AKL-007-050/","AKL-007-050")</f>
        <v>AKL-007-050</v>
      </c>
      <c r="E236" s="4"/>
      <c r="F236" s="3" t="str">
        <f>HYPERLINK("https://sitebase.nzcomms.co.nz/spm/spmcandidateview/AKL-007-050-B/","AKL-007-050-B")</f>
        <v>AKL-007-050-B</v>
      </c>
      <c r="G236" s="4" t="s">
        <v>869</v>
      </c>
      <c r="H236" s="4" t="s">
        <v>745</v>
      </c>
      <c r="I236" s="4"/>
      <c r="J236" s="4" t="s">
        <v>139</v>
      </c>
      <c r="K236" s="4" t="s">
        <v>141</v>
      </c>
      <c r="L236" s="4" t="s">
        <v>150</v>
      </c>
      <c r="M236" s="4" t="s">
        <v>354</v>
      </c>
      <c r="N236" s="4" t="s">
        <v>246</v>
      </c>
      <c r="O236" s="4" t="s">
        <v>144</v>
      </c>
      <c r="P236" s="4"/>
      <c r="Q236" s="4"/>
      <c r="R236" s="4">
        <v>12</v>
      </c>
      <c r="S236" s="4">
        <v>12</v>
      </c>
      <c r="T236" s="4"/>
      <c r="U236" s="4">
        <v>-36.885229860000003</v>
      </c>
      <c r="V236" s="4">
        <v>174.84821269</v>
      </c>
      <c r="W236" s="4"/>
      <c r="X236" s="4"/>
      <c r="Y236" s="4"/>
      <c r="Z236" s="4"/>
      <c r="AA236" s="4" t="s">
        <v>152</v>
      </c>
      <c r="AB236" s="3" t="str">
        <f>HYPERLINK("https://sitebase.nzcomms.co.nz/spm/spmcandidateview/AKL-007-106-A/","AKL-007-106-A")</f>
        <v>AKL-007-106-A</v>
      </c>
      <c r="AC236" s="4"/>
      <c r="AD236" s="4"/>
      <c r="AE236" s="4"/>
      <c r="AF236" s="4"/>
      <c r="AG236" s="4"/>
      <c r="AH236" s="4"/>
      <c r="AI236" s="4"/>
      <c r="AJ236" s="4"/>
      <c r="AK236" s="4"/>
      <c r="AL236" s="4"/>
      <c r="AM236" s="4"/>
      <c r="AN236" s="5">
        <v>39487</v>
      </c>
      <c r="AO236" s="4">
        <v>1</v>
      </c>
      <c r="AP236" s="5">
        <v>39487</v>
      </c>
      <c r="AQ236" s="5">
        <v>39487</v>
      </c>
      <c r="AR236" s="4"/>
      <c r="AS236" s="4"/>
      <c r="AT236" s="5">
        <v>39538</v>
      </c>
      <c r="AU236" s="5">
        <v>39538</v>
      </c>
      <c r="AV236" s="4">
        <v>1</v>
      </c>
      <c r="AW236" s="5">
        <v>39538</v>
      </c>
      <c r="AX236" s="5">
        <v>39538</v>
      </c>
      <c r="AY236" s="4"/>
      <c r="AZ236" s="4"/>
      <c r="BA236" s="4"/>
      <c r="BB236" s="5">
        <v>39691</v>
      </c>
      <c r="BC236" s="4"/>
      <c r="BD236" s="4"/>
      <c r="BE236" s="5">
        <v>39691</v>
      </c>
      <c r="BF236" s="5">
        <v>39693</v>
      </c>
      <c r="BG236" s="4"/>
      <c r="BH236" s="5">
        <v>39505</v>
      </c>
      <c r="BI236" s="4"/>
      <c r="BJ236" s="5">
        <v>39703</v>
      </c>
      <c r="BK236" s="4">
        <v>2</v>
      </c>
      <c r="BL236" s="4">
        <v>1</v>
      </c>
      <c r="BM236" s="5">
        <v>39722</v>
      </c>
      <c r="BN236" s="5">
        <v>39722</v>
      </c>
      <c r="BO236" s="4"/>
      <c r="BP236" s="4"/>
      <c r="BQ236" s="4"/>
      <c r="BR236" s="4"/>
      <c r="BS236" s="4"/>
      <c r="BT236" s="4"/>
      <c r="BU236" s="5">
        <v>39734</v>
      </c>
      <c r="BV236" s="5">
        <v>39745</v>
      </c>
      <c r="BW236" s="5">
        <v>39745</v>
      </c>
      <c r="BX236" s="4"/>
      <c r="BY236" s="5">
        <v>39750</v>
      </c>
      <c r="BZ236" s="5">
        <v>39749</v>
      </c>
      <c r="CA236" s="4"/>
      <c r="CB236" s="4"/>
      <c r="CC236" s="4"/>
      <c r="CD236" s="4"/>
      <c r="CE236" s="4"/>
      <c r="CF236" s="4"/>
      <c r="CG236" s="4"/>
      <c r="CH236" s="4"/>
      <c r="CI236" s="5">
        <v>39891</v>
      </c>
      <c r="CJ236" s="5">
        <v>39911</v>
      </c>
      <c r="CK236" s="5">
        <v>39891</v>
      </c>
      <c r="CL236" s="4"/>
      <c r="CM236" s="4"/>
      <c r="CN236" s="4"/>
      <c r="CO236" s="4"/>
      <c r="CP236" s="4" t="s">
        <v>870</v>
      </c>
      <c r="CQ236" s="4"/>
      <c r="CR236" s="5">
        <v>39911</v>
      </c>
      <c r="CS236" s="4"/>
      <c r="CT236" s="4"/>
      <c r="CU236" s="4"/>
      <c r="CV236" s="4"/>
      <c r="CW236" s="4"/>
      <c r="CX236" s="4"/>
      <c r="CY236" s="4"/>
      <c r="CZ236" s="4"/>
      <c r="DA236" s="4"/>
      <c r="DB236" s="4"/>
      <c r="DC236" s="4"/>
      <c r="DD236" s="4"/>
      <c r="DE236" s="4"/>
      <c r="DF236" s="4"/>
      <c r="DG236" s="4"/>
      <c r="DH236" s="4"/>
      <c r="DI236" s="4"/>
      <c r="DJ236" s="4" t="b">
        <v>0</v>
      </c>
      <c r="DK236" s="4"/>
      <c r="DL236" s="4">
        <v>2675129</v>
      </c>
      <c r="DM236" s="4">
        <v>6477947</v>
      </c>
      <c r="DN236" s="4" t="s">
        <v>871</v>
      </c>
      <c r="DO236" s="4"/>
      <c r="DP236" s="4"/>
      <c r="DQ236" s="4" t="s">
        <v>148</v>
      </c>
      <c r="DR236" s="4"/>
      <c r="DS236" s="4"/>
      <c r="DT236" s="5">
        <v>41863</v>
      </c>
      <c r="DU236" s="4"/>
      <c r="DV236" s="4"/>
      <c r="DW236" s="4"/>
      <c r="DX236" s="4"/>
      <c r="DY236" s="4"/>
      <c r="DZ236" s="5">
        <v>39707</v>
      </c>
      <c r="EA236" s="4"/>
      <c r="EB236" s="4"/>
      <c r="EC236" s="4"/>
      <c r="ED236" s="4"/>
      <c r="EE236" s="4"/>
      <c r="EF236" s="4"/>
      <c r="EG236" s="4"/>
      <c r="EH236" s="4"/>
      <c r="EI236" s="5">
        <v>39469</v>
      </c>
    </row>
    <row r="237" spans="1:139" hidden="1" x14ac:dyDescent="0.2">
      <c r="A237">
        <f>VLOOKUP(B237,Sheet1!$A$1:$B$18,2,FALSE)</f>
        <v>0</v>
      </c>
      <c r="B237" t="str">
        <f t="shared" si="3"/>
        <v>AKL</v>
      </c>
      <c r="C237" s="2">
        <v>236</v>
      </c>
      <c r="D237" s="3" t="str">
        <f>HYPERLINK("https://sitebase.nzcomms.co.nz/spm/spmnominalview/AKL-007-051/","AKL-007-051")</f>
        <v>AKL-007-051</v>
      </c>
      <c r="E237" s="4"/>
      <c r="F237" s="3" t="str">
        <f>HYPERLINK("https://sitebase.nzcomms.co.nz/spm/spmcandidateview/AKL-007-051-I/","AKL-007-051-I")</f>
        <v>AKL-007-051-I</v>
      </c>
      <c r="G237" s="4" t="s">
        <v>872</v>
      </c>
      <c r="H237" s="4" t="s">
        <v>745</v>
      </c>
      <c r="I237" s="4"/>
      <c r="J237" s="4" t="s">
        <v>139</v>
      </c>
      <c r="K237" s="4" t="s">
        <v>141</v>
      </c>
      <c r="L237" s="4" t="s">
        <v>189</v>
      </c>
      <c r="M237" s="4" t="s">
        <v>463</v>
      </c>
      <c r="N237" s="4" t="s">
        <v>274</v>
      </c>
      <c r="O237" s="4" t="s">
        <v>356</v>
      </c>
      <c r="P237" s="4"/>
      <c r="Q237" s="4"/>
      <c r="R237" s="4">
        <v>14</v>
      </c>
      <c r="S237" s="4">
        <v>14</v>
      </c>
      <c r="T237" s="4"/>
      <c r="U237" s="4">
        <v>-36.872096380000002</v>
      </c>
      <c r="V237" s="4">
        <v>174.66816914</v>
      </c>
      <c r="W237" s="4"/>
      <c r="X237" s="4"/>
      <c r="Y237" s="4"/>
      <c r="Z237" s="4"/>
      <c r="AA237" s="4" t="s">
        <v>446</v>
      </c>
      <c r="AB237" s="4" t="s">
        <v>873</v>
      </c>
      <c r="AC237" s="4"/>
      <c r="AD237" s="4"/>
      <c r="AE237" s="4"/>
      <c r="AF237" s="4"/>
      <c r="AG237" s="4"/>
      <c r="AH237" s="4" t="s">
        <v>874</v>
      </c>
      <c r="AI237" s="4"/>
      <c r="AJ237" s="4"/>
      <c r="AK237" s="4"/>
      <c r="AL237" s="4"/>
      <c r="AM237" s="4"/>
      <c r="AN237" s="5">
        <v>39708</v>
      </c>
      <c r="AO237" s="4">
        <v>2</v>
      </c>
      <c r="AP237" s="5">
        <v>39783</v>
      </c>
      <c r="AQ237" s="5">
        <v>39783</v>
      </c>
      <c r="AR237" s="4"/>
      <c r="AS237" s="4"/>
      <c r="AT237" s="5">
        <v>39899</v>
      </c>
      <c r="AU237" s="5">
        <v>39899</v>
      </c>
      <c r="AV237" s="4">
        <v>2</v>
      </c>
      <c r="AW237" s="5">
        <v>39899</v>
      </c>
      <c r="AX237" s="5">
        <v>39902</v>
      </c>
      <c r="AY237" s="4"/>
      <c r="AZ237" s="5">
        <v>39850</v>
      </c>
      <c r="BA237" s="4"/>
      <c r="BB237" s="5">
        <v>39850</v>
      </c>
      <c r="BC237" s="4"/>
      <c r="BD237" s="4"/>
      <c r="BE237" s="5">
        <v>39855</v>
      </c>
      <c r="BF237" s="5">
        <v>39855</v>
      </c>
      <c r="BG237" s="5">
        <v>39801</v>
      </c>
      <c r="BH237" s="5">
        <v>39805</v>
      </c>
      <c r="BI237" s="4"/>
      <c r="BJ237" s="5">
        <v>39882</v>
      </c>
      <c r="BK237" s="4">
        <v>1</v>
      </c>
      <c r="BL237" s="4">
        <v>2</v>
      </c>
      <c r="BM237" s="5">
        <v>39883</v>
      </c>
      <c r="BN237" s="5">
        <v>39882</v>
      </c>
      <c r="BO237" s="5">
        <v>39934</v>
      </c>
      <c r="BP237" s="4"/>
      <c r="BQ237" s="4"/>
      <c r="BR237" s="4"/>
      <c r="BS237" s="4"/>
      <c r="BT237" s="4"/>
      <c r="BU237" s="5">
        <v>39891</v>
      </c>
      <c r="BV237" s="5">
        <v>39941</v>
      </c>
      <c r="BW237" s="5">
        <v>39941</v>
      </c>
      <c r="BX237" s="4"/>
      <c r="BY237" s="5">
        <v>39941</v>
      </c>
      <c r="BZ237" s="5">
        <v>39941</v>
      </c>
      <c r="CA237" s="4"/>
      <c r="CB237" s="4"/>
      <c r="CC237" s="4"/>
      <c r="CD237" s="4"/>
      <c r="CE237" s="4"/>
      <c r="CF237" s="4"/>
      <c r="CG237" s="4"/>
      <c r="CH237" s="4"/>
      <c r="CI237" s="5">
        <v>39962</v>
      </c>
      <c r="CJ237" s="5">
        <v>39969</v>
      </c>
      <c r="CK237" s="5">
        <v>39962</v>
      </c>
      <c r="CL237" s="4"/>
      <c r="CM237" s="4"/>
      <c r="CN237" s="4"/>
      <c r="CO237" s="4"/>
      <c r="CP237" s="4" t="s">
        <v>875</v>
      </c>
      <c r="CQ237" s="4"/>
      <c r="CR237" s="5">
        <v>39969</v>
      </c>
      <c r="CS237" s="4"/>
      <c r="CT237" s="4"/>
      <c r="CU237" s="4"/>
      <c r="CV237" s="4"/>
      <c r="CW237" s="5">
        <v>39925</v>
      </c>
      <c r="CX237" s="5">
        <v>39934</v>
      </c>
      <c r="CY237" s="4"/>
      <c r="CZ237" s="4"/>
      <c r="DA237" s="4"/>
      <c r="DB237" s="4"/>
      <c r="DC237" s="4"/>
      <c r="DD237" s="4"/>
      <c r="DE237" s="4"/>
      <c r="DF237" s="4"/>
      <c r="DG237" s="4"/>
      <c r="DH237" s="4"/>
      <c r="DI237" s="4"/>
      <c r="DJ237" s="4" t="b">
        <v>0</v>
      </c>
      <c r="DK237" s="4"/>
      <c r="DL237" s="4">
        <v>2659111</v>
      </c>
      <c r="DM237" s="4">
        <v>6479732</v>
      </c>
      <c r="DN237" s="4" t="s">
        <v>876</v>
      </c>
      <c r="DO237" s="4"/>
      <c r="DP237" s="4"/>
      <c r="DQ237" s="4" t="s">
        <v>148</v>
      </c>
      <c r="DR237" s="4"/>
      <c r="DS237" s="4"/>
      <c r="DT237" s="5">
        <v>41887</v>
      </c>
      <c r="DU237" s="4"/>
      <c r="DV237" s="4"/>
      <c r="DW237" s="4"/>
      <c r="DX237" s="4"/>
      <c r="DY237" s="5">
        <v>39891</v>
      </c>
      <c r="DZ237" s="5">
        <v>39891</v>
      </c>
      <c r="EA237" s="4"/>
      <c r="EB237" s="4"/>
      <c r="EC237" s="4"/>
      <c r="ED237" s="4"/>
      <c r="EE237" s="4"/>
      <c r="EF237" s="4"/>
      <c r="EG237" s="4"/>
      <c r="EH237" s="4"/>
      <c r="EI237" s="5">
        <v>39681</v>
      </c>
    </row>
    <row r="238" spans="1:139" hidden="1" x14ac:dyDescent="0.2">
      <c r="A238">
        <f>VLOOKUP(B238,Sheet1!$A$1:$B$18,2,FALSE)</f>
        <v>0</v>
      </c>
      <c r="B238" t="str">
        <f t="shared" si="3"/>
        <v>AKL</v>
      </c>
      <c r="C238" s="2">
        <v>237</v>
      </c>
      <c r="D238" s="3" t="str">
        <f>HYPERLINK("https://sitebase.nzcomms.co.nz/spm/spmnominalview/AKL-007-052/","AKL-007-052")</f>
        <v>AKL-007-052</v>
      </c>
      <c r="E238" s="4"/>
      <c r="F238" s="3" t="str">
        <f>HYPERLINK("https://sitebase.nzcomms.co.nz/spm/spmcandidateview/AKL-007-052-A/","AKL-007-052-A")</f>
        <v>AKL-007-052-A</v>
      </c>
      <c r="G238" s="4" t="s">
        <v>877</v>
      </c>
      <c r="H238" s="4" t="s">
        <v>745</v>
      </c>
      <c r="I238" s="4"/>
      <c r="J238" s="4" t="s">
        <v>139</v>
      </c>
      <c r="K238" s="4" t="s">
        <v>141</v>
      </c>
      <c r="L238" s="4" t="s">
        <v>181</v>
      </c>
      <c r="M238" s="4" t="s">
        <v>378</v>
      </c>
      <c r="N238" s="4" t="s">
        <v>364</v>
      </c>
      <c r="O238" s="4" t="s">
        <v>144</v>
      </c>
      <c r="P238" s="4"/>
      <c r="Q238" s="4"/>
      <c r="R238" s="4">
        <v>0</v>
      </c>
      <c r="S238" s="4">
        <v>0</v>
      </c>
      <c r="T238" s="4"/>
      <c r="U238" s="4">
        <v>-36.88294672</v>
      </c>
      <c r="V238" s="4">
        <v>174.73388779000001</v>
      </c>
      <c r="W238" s="4"/>
      <c r="X238" s="4"/>
      <c r="Y238" s="4"/>
      <c r="Z238" s="4"/>
      <c r="AA238" s="4"/>
      <c r="AB238" s="4"/>
      <c r="AC238" s="4"/>
      <c r="AD238" s="4"/>
      <c r="AE238" s="4"/>
      <c r="AF238" s="4"/>
      <c r="AG238" s="4"/>
      <c r="AH238" s="4"/>
      <c r="AI238" s="4"/>
      <c r="AJ238" s="4"/>
      <c r="AK238" s="4"/>
      <c r="AL238" s="4"/>
      <c r="AM238" s="4"/>
      <c r="AN238" s="5">
        <v>39360</v>
      </c>
      <c r="AO238" s="4">
        <v>4</v>
      </c>
      <c r="AP238" s="5">
        <v>39701</v>
      </c>
      <c r="AQ238" s="5">
        <v>40311</v>
      </c>
      <c r="AR238" s="4"/>
      <c r="AS238" s="4"/>
      <c r="AT238" s="5">
        <v>39568</v>
      </c>
      <c r="AU238" s="5">
        <v>39568</v>
      </c>
      <c r="AV238" s="4">
        <v>1</v>
      </c>
      <c r="AW238" s="5">
        <v>39568</v>
      </c>
      <c r="AX238" s="5">
        <v>39568</v>
      </c>
      <c r="AY238" s="4"/>
      <c r="AZ238" s="4"/>
      <c r="BA238" s="4"/>
      <c r="BB238" s="5">
        <v>39720</v>
      </c>
      <c r="BC238" s="4"/>
      <c r="BD238" s="4"/>
      <c r="BE238" s="5">
        <v>39689</v>
      </c>
      <c r="BF238" s="5">
        <v>39720</v>
      </c>
      <c r="BG238" s="4"/>
      <c r="BH238" s="5">
        <v>39373</v>
      </c>
      <c r="BI238" s="4"/>
      <c r="BJ238" s="5">
        <v>39773</v>
      </c>
      <c r="BK238" s="4">
        <v>1</v>
      </c>
      <c r="BL238" s="4">
        <v>3</v>
      </c>
      <c r="BM238" s="5">
        <v>39773</v>
      </c>
      <c r="BN238" s="5">
        <v>39773</v>
      </c>
      <c r="BO238" s="4"/>
      <c r="BP238" s="4"/>
      <c r="BQ238" s="4"/>
      <c r="BR238" s="4"/>
      <c r="BS238" s="4"/>
      <c r="BT238" s="4"/>
      <c r="BU238" s="5">
        <v>39832</v>
      </c>
      <c r="BV238" s="5">
        <v>39857</v>
      </c>
      <c r="BW238" s="5">
        <v>39857</v>
      </c>
      <c r="BX238" s="4"/>
      <c r="BY238" s="5">
        <v>39871</v>
      </c>
      <c r="BZ238" s="5">
        <v>39871</v>
      </c>
      <c r="CA238" s="4"/>
      <c r="CB238" s="4"/>
      <c r="CC238" s="4"/>
      <c r="CD238" s="4"/>
      <c r="CE238" s="4"/>
      <c r="CF238" s="4"/>
      <c r="CG238" s="4"/>
      <c r="CH238" s="4"/>
      <c r="CI238" s="5">
        <v>39903</v>
      </c>
      <c r="CJ238" s="5">
        <v>39918</v>
      </c>
      <c r="CK238" s="5">
        <v>39903</v>
      </c>
      <c r="CL238" s="4"/>
      <c r="CM238" s="4"/>
      <c r="CN238" s="4"/>
      <c r="CO238" s="4"/>
      <c r="CP238" s="4" t="s">
        <v>878</v>
      </c>
      <c r="CQ238" s="4"/>
      <c r="CR238" s="5">
        <v>39912</v>
      </c>
      <c r="CS238" s="4"/>
      <c r="CT238" s="4"/>
      <c r="CU238" s="4"/>
      <c r="CV238" s="4"/>
      <c r="CW238" s="4"/>
      <c r="CX238" s="4"/>
      <c r="CY238" s="4"/>
      <c r="CZ238" s="4"/>
      <c r="DA238" s="4"/>
      <c r="DB238" s="4"/>
      <c r="DC238" s="4"/>
      <c r="DD238" s="4"/>
      <c r="DE238" s="4"/>
      <c r="DF238" s="4"/>
      <c r="DG238" s="4"/>
      <c r="DH238" s="4"/>
      <c r="DI238" s="4"/>
      <c r="DJ238" s="4" t="b">
        <v>0</v>
      </c>
      <c r="DK238" s="4"/>
      <c r="DL238" s="4">
        <v>2664945</v>
      </c>
      <c r="DM238" s="4">
        <v>6478412</v>
      </c>
      <c r="DN238" s="4" t="s">
        <v>879</v>
      </c>
      <c r="DO238" s="4"/>
      <c r="DP238" s="4"/>
      <c r="DQ238" s="4" t="s">
        <v>148</v>
      </c>
      <c r="DR238" s="4"/>
      <c r="DS238" s="4"/>
      <c r="DT238" s="5">
        <v>41806</v>
      </c>
      <c r="DU238" s="4"/>
      <c r="DV238" s="4"/>
      <c r="DW238" s="4"/>
      <c r="DX238" s="4"/>
      <c r="DY238" s="5">
        <v>39836</v>
      </c>
      <c r="DZ238" s="5">
        <v>39836</v>
      </c>
      <c r="EA238" s="4"/>
      <c r="EB238" s="4"/>
      <c r="EC238" s="4"/>
      <c r="ED238" s="4"/>
      <c r="EE238" s="4"/>
      <c r="EF238" s="4"/>
      <c r="EG238" s="4"/>
      <c r="EH238" s="4"/>
      <c r="EI238" s="5">
        <v>39331</v>
      </c>
    </row>
    <row r="239" spans="1:139" hidden="1" x14ac:dyDescent="0.2">
      <c r="A239">
        <f>VLOOKUP(B239,Sheet1!$A$1:$B$18,2,FALSE)</f>
        <v>0</v>
      </c>
      <c r="B239" t="str">
        <f t="shared" si="3"/>
        <v>AKL</v>
      </c>
      <c r="C239" s="2">
        <v>238</v>
      </c>
      <c r="D239" s="3" t="str">
        <f>HYPERLINK("https://sitebase.nzcomms.co.nz/spm/spmnominalview/AKL-007-053/","AKL-007-053")</f>
        <v>AKL-007-053</v>
      </c>
      <c r="E239" s="4"/>
      <c r="F239" s="3" t="str">
        <f>HYPERLINK("https://sitebase.nzcomms.co.nz/spm/spmcandidateview/AKL-007-053-D/","AKL-007-053-D")</f>
        <v>AKL-007-053-D</v>
      </c>
      <c r="G239" s="4" t="s">
        <v>880</v>
      </c>
      <c r="H239" s="4" t="s">
        <v>745</v>
      </c>
      <c r="I239" s="4"/>
      <c r="J239" s="4" t="s">
        <v>139</v>
      </c>
      <c r="K239" s="4" t="s">
        <v>141</v>
      </c>
      <c r="L239" s="4" t="s">
        <v>189</v>
      </c>
      <c r="M239" s="4" t="s">
        <v>354</v>
      </c>
      <c r="N239" s="4" t="s">
        <v>355</v>
      </c>
      <c r="O239" s="4" t="s">
        <v>356</v>
      </c>
      <c r="P239" s="4"/>
      <c r="Q239" s="4"/>
      <c r="R239" s="4">
        <v>14</v>
      </c>
      <c r="S239" s="4">
        <v>14</v>
      </c>
      <c r="T239" s="4"/>
      <c r="U239" s="4">
        <v>-36.900172449999999</v>
      </c>
      <c r="V239" s="4">
        <v>174.77341921999999</v>
      </c>
      <c r="W239" s="4"/>
      <c r="X239" s="4"/>
      <c r="Y239" s="4"/>
      <c r="Z239" s="4"/>
      <c r="AA239" s="4" t="s">
        <v>152</v>
      </c>
      <c r="AB239" s="3" t="str">
        <f>HYPERLINK("https://sitebase.nzcomms.co.nz/spm/spmcandidateview/AKL-007-106-A/","AKL-007-106-A")</f>
        <v>AKL-007-106-A</v>
      </c>
      <c r="AC239" s="4"/>
      <c r="AD239" s="4"/>
      <c r="AE239" s="4"/>
      <c r="AF239" s="4"/>
      <c r="AG239" s="4"/>
      <c r="AH239" s="4"/>
      <c r="AI239" s="4"/>
      <c r="AJ239" s="4"/>
      <c r="AK239" s="4"/>
      <c r="AL239" s="4"/>
      <c r="AM239" s="4"/>
      <c r="AN239" s="5">
        <v>39283</v>
      </c>
      <c r="AO239" s="4">
        <v>3</v>
      </c>
      <c r="AP239" s="5">
        <v>39800</v>
      </c>
      <c r="AQ239" s="5">
        <v>39800</v>
      </c>
      <c r="AR239" s="4"/>
      <c r="AS239" s="4"/>
      <c r="AT239" s="5">
        <v>39899</v>
      </c>
      <c r="AU239" s="5">
        <v>39899</v>
      </c>
      <c r="AV239" s="4">
        <v>2</v>
      </c>
      <c r="AW239" s="5">
        <v>39902</v>
      </c>
      <c r="AX239" s="5">
        <v>39902</v>
      </c>
      <c r="AY239" s="4"/>
      <c r="AZ239" s="5">
        <v>39737</v>
      </c>
      <c r="BA239" s="4"/>
      <c r="BB239" s="5">
        <v>39864</v>
      </c>
      <c r="BC239" s="4"/>
      <c r="BD239" s="4"/>
      <c r="BE239" s="5">
        <v>39864</v>
      </c>
      <c r="BF239" s="5">
        <v>39856</v>
      </c>
      <c r="BG239" s="4"/>
      <c r="BH239" s="5">
        <v>39391</v>
      </c>
      <c r="BI239" s="4"/>
      <c r="BJ239" s="5">
        <v>39568</v>
      </c>
      <c r="BK239" s="4">
        <v>3</v>
      </c>
      <c r="BL239" s="4">
        <v>3</v>
      </c>
      <c r="BM239" s="5">
        <v>39819</v>
      </c>
      <c r="BN239" s="5">
        <v>39819</v>
      </c>
      <c r="BO239" s="5">
        <v>39568</v>
      </c>
      <c r="BP239" s="4"/>
      <c r="BQ239" s="4"/>
      <c r="BR239" s="4"/>
      <c r="BS239" s="4"/>
      <c r="BT239" s="5">
        <v>39888</v>
      </c>
      <c r="BU239" s="5">
        <v>39888</v>
      </c>
      <c r="BV239" s="5">
        <v>39906</v>
      </c>
      <c r="BW239" s="5">
        <v>39906</v>
      </c>
      <c r="BX239" s="4"/>
      <c r="BY239" s="5">
        <v>39906</v>
      </c>
      <c r="BZ239" s="5">
        <v>39906</v>
      </c>
      <c r="CA239" s="4"/>
      <c r="CB239" s="4"/>
      <c r="CC239" s="4"/>
      <c r="CD239" s="4"/>
      <c r="CE239" s="4"/>
      <c r="CF239" s="4"/>
      <c r="CG239" s="4"/>
      <c r="CH239" s="4"/>
      <c r="CI239" s="5">
        <v>39926</v>
      </c>
      <c r="CJ239" s="5">
        <v>39927</v>
      </c>
      <c r="CK239" s="5">
        <v>39926</v>
      </c>
      <c r="CL239" s="4"/>
      <c r="CM239" s="4"/>
      <c r="CN239" s="4"/>
      <c r="CO239" s="4"/>
      <c r="CP239" s="4" t="s">
        <v>881</v>
      </c>
      <c r="CQ239" s="4"/>
      <c r="CR239" s="5">
        <v>39927</v>
      </c>
      <c r="CS239" s="4"/>
      <c r="CT239" s="4"/>
      <c r="CU239" s="4"/>
      <c r="CV239" s="4"/>
      <c r="CW239" s="4"/>
      <c r="CX239" s="5">
        <v>39568</v>
      </c>
      <c r="CY239" s="4"/>
      <c r="CZ239" s="4"/>
      <c r="DA239" s="4"/>
      <c r="DB239" s="4"/>
      <c r="DC239" s="4"/>
      <c r="DD239" s="4"/>
      <c r="DE239" s="4"/>
      <c r="DF239" s="4"/>
      <c r="DG239" s="4"/>
      <c r="DH239" s="4"/>
      <c r="DI239" s="4"/>
      <c r="DJ239" s="4" t="b">
        <v>0</v>
      </c>
      <c r="DK239" s="4"/>
      <c r="DL239" s="4">
        <v>2668429</v>
      </c>
      <c r="DM239" s="4">
        <v>6476429</v>
      </c>
      <c r="DN239" s="4" t="s">
        <v>882</v>
      </c>
      <c r="DO239" s="4"/>
      <c r="DP239" s="4"/>
      <c r="DQ239" s="4" t="s">
        <v>148</v>
      </c>
      <c r="DR239" s="4"/>
      <c r="DS239" s="4"/>
      <c r="DT239" s="5">
        <v>41863</v>
      </c>
      <c r="DU239" s="4"/>
      <c r="DV239" s="4"/>
      <c r="DW239" s="4"/>
      <c r="DX239" s="4"/>
      <c r="DY239" s="5">
        <v>39874</v>
      </c>
      <c r="DZ239" s="5">
        <v>39875</v>
      </c>
      <c r="EA239" s="4"/>
      <c r="EB239" s="4"/>
      <c r="EC239" s="4"/>
      <c r="ED239" s="4"/>
      <c r="EE239" s="4"/>
      <c r="EF239" s="4"/>
      <c r="EG239" s="4"/>
      <c r="EH239" s="4"/>
      <c r="EI239" s="5">
        <v>39272</v>
      </c>
    </row>
    <row r="240" spans="1:139" hidden="1" x14ac:dyDescent="0.2">
      <c r="A240">
        <f>VLOOKUP(B240,Sheet1!$A$1:$B$18,2,FALSE)</f>
        <v>0</v>
      </c>
      <c r="B240" t="str">
        <f t="shared" si="3"/>
        <v>AKL</v>
      </c>
      <c r="C240" s="2">
        <v>239</v>
      </c>
      <c r="D240" s="3" t="str">
        <f>HYPERLINK("https://sitebase.nzcomms.co.nz/spm/spmnominalview/AKL-007-054/","AKL-007-054")</f>
        <v>AKL-007-054</v>
      </c>
      <c r="E240" s="4"/>
      <c r="F240" s="3" t="str">
        <f>HYPERLINK("https://sitebase.nzcomms.co.nz/spm/spmcandidateview/AKL-007-054-E/","AKL-007-054-E")</f>
        <v>AKL-007-054-E</v>
      </c>
      <c r="G240" s="4" t="s">
        <v>883</v>
      </c>
      <c r="H240" s="4" t="s">
        <v>745</v>
      </c>
      <c r="I240" s="4"/>
      <c r="J240" s="4" t="s">
        <v>139</v>
      </c>
      <c r="K240" s="4" t="s">
        <v>141</v>
      </c>
      <c r="L240" s="4" t="s">
        <v>150</v>
      </c>
      <c r="M240" s="4" t="s">
        <v>354</v>
      </c>
      <c r="N240" s="4" t="s">
        <v>246</v>
      </c>
      <c r="O240" s="4" t="s">
        <v>356</v>
      </c>
      <c r="P240" s="4"/>
      <c r="Q240" s="4"/>
      <c r="R240" s="4">
        <v>12.5</v>
      </c>
      <c r="S240" s="4">
        <v>12.5</v>
      </c>
      <c r="T240" s="4"/>
      <c r="U240" s="4">
        <v>-36.883273099999997</v>
      </c>
      <c r="V240" s="4">
        <v>174.78536172</v>
      </c>
      <c r="W240" s="4"/>
      <c r="X240" s="4"/>
      <c r="Y240" s="4"/>
      <c r="Z240" s="4"/>
      <c r="AA240" s="4"/>
      <c r="AB240" s="4"/>
      <c r="AC240" s="4"/>
      <c r="AD240" s="4"/>
      <c r="AE240" s="4"/>
      <c r="AF240" s="4"/>
      <c r="AG240" s="4"/>
      <c r="AH240" s="4"/>
      <c r="AI240" s="4"/>
      <c r="AJ240" s="4"/>
      <c r="AK240" s="4"/>
      <c r="AL240" s="4"/>
      <c r="AM240" s="4"/>
      <c r="AN240" s="5">
        <v>39556</v>
      </c>
      <c r="AO240" s="4">
        <v>1</v>
      </c>
      <c r="AP240" s="5">
        <v>39556</v>
      </c>
      <c r="AQ240" s="5">
        <v>39556</v>
      </c>
      <c r="AR240" s="4"/>
      <c r="AS240" s="4"/>
      <c r="AT240" s="5">
        <v>39629</v>
      </c>
      <c r="AU240" s="5">
        <v>39598</v>
      </c>
      <c r="AV240" s="4">
        <v>1</v>
      </c>
      <c r="AW240" s="5">
        <v>39629</v>
      </c>
      <c r="AX240" s="5">
        <v>39598</v>
      </c>
      <c r="AY240" s="4"/>
      <c r="AZ240" s="4"/>
      <c r="BA240" s="4"/>
      <c r="BB240" s="5">
        <v>39717</v>
      </c>
      <c r="BC240" s="4"/>
      <c r="BD240" s="4"/>
      <c r="BE240" s="5">
        <v>39717</v>
      </c>
      <c r="BF240" s="5">
        <v>39720</v>
      </c>
      <c r="BG240" s="4"/>
      <c r="BH240" s="5">
        <v>39777</v>
      </c>
      <c r="BI240" s="4"/>
      <c r="BJ240" s="5">
        <v>39779</v>
      </c>
      <c r="BK240" s="4">
        <v>2</v>
      </c>
      <c r="BL240" s="4">
        <v>1</v>
      </c>
      <c r="BM240" s="5">
        <v>39847</v>
      </c>
      <c r="BN240" s="5">
        <v>39847</v>
      </c>
      <c r="BO240" s="5">
        <v>39805</v>
      </c>
      <c r="BP240" s="4"/>
      <c r="BQ240" s="4"/>
      <c r="BR240" s="4"/>
      <c r="BS240" s="4"/>
      <c r="BT240" s="4"/>
      <c r="BU240" s="5">
        <v>39848</v>
      </c>
      <c r="BV240" s="5">
        <v>39871</v>
      </c>
      <c r="BW240" s="5">
        <v>39871</v>
      </c>
      <c r="BX240" s="4"/>
      <c r="BY240" s="5">
        <v>39871</v>
      </c>
      <c r="BZ240" s="5">
        <v>39871</v>
      </c>
      <c r="CA240" s="4"/>
      <c r="CB240" s="4"/>
      <c r="CC240" s="4"/>
      <c r="CD240" s="4"/>
      <c r="CE240" s="4"/>
      <c r="CF240" s="4"/>
      <c r="CG240" s="4"/>
      <c r="CH240" s="4"/>
      <c r="CI240" s="5">
        <v>39986</v>
      </c>
      <c r="CJ240" s="5">
        <v>39988</v>
      </c>
      <c r="CK240" s="5">
        <v>39986</v>
      </c>
      <c r="CL240" s="4"/>
      <c r="CM240" s="4"/>
      <c r="CN240" s="4"/>
      <c r="CO240" s="4"/>
      <c r="CP240" s="4" t="s">
        <v>884</v>
      </c>
      <c r="CQ240" s="4"/>
      <c r="CR240" s="5">
        <v>39988</v>
      </c>
      <c r="CS240" s="4"/>
      <c r="CT240" s="4"/>
      <c r="CU240" s="4"/>
      <c r="CV240" s="4"/>
      <c r="CW240" s="5">
        <v>39813</v>
      </c>
      <c r="CX240" s="5">
        <v>39805</v>
      </c>
      <c r="CY240" s="4"/>
      <c r="CZ240" s="4"/>
      <c r="DA240" s="4"/>
      <c r="DB240" s="4"/>
      <c r="DC240" s="4"/>
      <c r="DD240" s="4"/>
      <c r="DE240" s="4"/>
      <c r="DF240" s="4"/>
      <c r="DG240" s="4"/>
      <c r="DH240" s="4"/>
      <c r="DI240" s="4"/>
      <c r="DJ240" s="4" t="b">
        <v>0</v>
      </c>
      <c r="DK240" s="4"/>
      <c r="DL240" s="4">
        <v>2669532</v>
      </c>
      <c r="DM240" s="4">
        <v>6478282</v>
      </c>
      <c r="DN240" s="4" t="s">
        <v>885</v>
      </c>
      <c r="DO240" s="4"/>
      <c r="DP240" s="4"/>
      <c r="DQ240" s="4" t="s">
        <v>148</v>
      </c>
      <c r="DR240" s="4"/>
      <c r="DS240" s="4"/>
      <c r="DT240" s="5">
        <v>41806</v>
      </c>
      <c r="DU240" s="4"/>
      <c r="DV240" s="4"/>
      <c r="DW240" s="4"/>
      <c r="DX240" s="4"/>
      <c r="DY240" s="4"/>
      <c r="DZ240" s="5">
        <v>39787</v>
      </c>
      <c r="EA240" s="4"/>
      <c r="EB240" s="4"/>
      <c r="EC240" s="4"/>
      <c r="ED240" s="4"/>
      <c r="EE240" s="4"/>
      <c r="EF240" s="4"/>
      <c r="EG240" s="4"/>
      <c r="EH240" s="4"/>
      <c r="EI240" s="5">
        <v>39541</v>
      </c>
    </row>
    <row r="241" spans="1:139" hidden="1" x14ac:dyDescent="0.2">
      <c r="A241">
        <f>VLOOKUP(B241,Sheet1!$A$1:$B$18,2,FALSE)</f>
        <v>0</v>
      </c>
      <c r="B241" t="str">
        <f t="shared" si="3"/>
        <v>AKL</v>
      </c>
      <c r="C241" s="2">
        <v>240</v>
      </c>
      <c r="D241" s="3" t="str">
        <f>HYPERLINK("https://sitebase.nzcomms.co.nz/spm/spmnominalview/AKL-007-055/","AKL-007-055")</f>
        <v>AKL-007-055</v>
      </c>
      <c r="E241" s="4"/>
      <c r="F241" s="3" t="str">
        <f>HYPERLINK("https://sitebase.nzcomms.co.nz/spm/spmcandidateview/AKL-007-055-A/","AKL-007-055-A")</f>
        <v>AKL-007-055-A</v>
      </c>
      <c r="G241" s="4" t="s">
        <v>886</v>
      </c>
      <c r="H241" s="4" t="s">
        <v>745</v>
      </c>
      <c r="I241" s="4"/>
      <c r="J241" s="4" t="s">
        <v>139</v>
      </c>
      <c r="K241" s="4" t="s">
        <v>141</v>
      </c>
      <c r="L241" s="4" t="s">
        <v>150</v>
      </c>
      <c r="M241" s="4" t="s">
        <v>354</v>
      </c>
      <c r="N241" s="4" t="s">
        <v>291</v>
      </c>
      <c r="O241" s="4" t="s">
        <v>144</v>
      </c>
      <c r="P241" s="4"/>
      <c r="Q241" s="4"/>
      <c r="R241" s="4">
        <v>15</v>
      </c>
      <c r="S241" s="4">
        <v>15</v>
      </c>
      <c r="T241" s="4"/>
      <c r="U241" s="4">
        <v>-36.915008149999998</v>
      </c>
      <c r="V241" s="4">
        <v>174.80424092000001</v>
      </c>
      <c r="W241" s="4"/>
      <c r="X241" s="4"/>
      <c r="Y241" s="4"/>
      <c r="Z241" s="4"/>
      <c r="AA241" s="4" t="s">
        <v>171</v>
      </c>
      <c r="AB241" s="3" t="str">
        <f>HYPERLINK("https://sitebase.nzcomms.co.nz/spm/spmcandidateview/AKL-007-113-A/","AKL-007-113-A")</f>
        <v>AKL-007-113-A</v>
      </c>
      <c r="AC241" s="4"/>
      <c r="AD241" s="4"/>
      <c r="AE241" s="4"/>
      <c r="AF241" s="4"/>
      <c r="AG241" s="4"/>
      <c r="AH241" s="4" t="s">
        <v>357</v>
      </c>
      <c r="AI241" s="4"/>
      <c r="AJ241" s="4"/>
      <c r="AK241" s="4"/>
      <c r="AL241" s="4"/>
      <c r="AM241" s="4"/>
      <c r="AN241" s="5">
        <v>39409</v>
      </c>
      <c r="AO241" s="4">
        <v>1</v>
      </c>
      <c r="AP241" s="4"/>
      <c r="AQ241" s="5">
        <v>39409</v>
      </c>
      <c r="AR241" s="4"/>
      <c r="AS241" s="4"/>
      <c r="AT241" s="5">
        <v>39474</v>
      </c>
      <c r="AU241" s="5">
        <v>39474</v>
      </c>
      <c r="AV241" s="4">
        <v>1</v>
      </c>
      <c r="AW241" s="5">
        <v>39474</v>
      </c>
      <c r="AX241" s="5">
        <v>39474</v>
      </c>
      <c r="AY241" s="4"/>
      <c r="AZ241" s="4"/>
      <c r="BA241" s="4"/>
      <c r="BB241" s="5">
        <v>39629</v>
      </c>
      <c r="BC241" s="4"/>
      <c r="BD241" s="4"/>
      <c r="BE241" s="5">
        <v>39629</v>
      </c>
      <c r="BF241" s="5">
        <v>39610</v>
      </c>
      <c r="BG241" s="4"/>
      <c r="BH241" s="5">
        <v>39497</v>
      </c>
      <c r="BI241" s="4"/>
      <c r="BJ241" s="5">
        <v>39584</v>
      </c>
      <c r="BK241" s="4">
        <v>3</v>
      </c>
      <c r="BL241" s="4">
        <v>1</v>
      </c>
      <c r="BM241" s="5">
        <v>39652</v>
      </c>
      <c r="BN241" s="5">
        <v>39652</v>
      </c>
      <c r="BO241" s="4"/>
      <c r="BP241" s="4"/>
      <c r="BQ241" s="4"/>
      <c r="BR241" s="4"/>
      <c r="BS241" s="4"/>
      <c r="BT241" s="4"/>
      <c r="BU241" s="5">
        <v>39639</v>
      </c>
      <c r="BV241" s="5">
        <v>39687</v>
      </c>
      <c r="BW241" s="5">
        <v>39685</v>
      </c>
      <c r="BX241" s="4"/>
      <c r="BY241" s="5">
        <v>39696</v>
      </c>
      <c r="BZ241" s="5">
        <v>39697</v>
      </c>
      <c r="CA241" s="4"/>
      <c r="CB241" s="4"/>
      <c r="CC241" s="4"/>
      <c r="CD241" s="4"/>
      <c r="CE241" s="4"/>
      <c r="CF241" s="4"/>
      <c r="CG241" s="4"/>
      <c r="CH241" s="4"/>
      <c r="CI241" s="5">
        <v>39905</v>
      </c>
      <c r="CJ241" s="5">
        <v>39933</v>
      </c>
      <c r="CK241" s="5">
        <v>39905</v>
      </c>
      <c r="CL241" s="4"/>
      <c r="CM241" s="4"/>
      <c r="CN241" s="4"/>
      <c r="CO241" s="4"/>
      <c r="CP241" s="4" t="s">
        <v>157</v>
      </c>
      <c r="CQ241" s="4"/>
      <c r="CR241" s="5">
        <v>39933</v>
      </c>
      <c r="CS241" s="4"/>
      <c r="CT241" s="4"/>
      <c r="CU241" s="4"/>
      <c r="CV241" s="4"/>
      <c r="CW241" s="4"/>
      <c r="CX241" s="4"/>
      <c r="CY241" s="4"/>
      <c r="CZ241" s="4"/>
      <c r="DA241" s="4"/>
      <c r="DB241" s="4"/>
      <c r="DC241" s="4"/>
      <c r="DD241" s="4"/>
      <c r="DE241" s="4"/>
      <c r="DF241" s="4"/>
      <c r="DG241" s="4"/>
      <c r="DH241" s="4"/>
      <c r="DI241" s="4"/>
      <c r="DJ241" s="4" t="b">
        <v>0</v>
      </c>
      <c r="DK241" s="4"/>
      <c r="DL241" s="4">
        <v>2671141</v>
      </c>
      <c r="DM241" s="4">
        <v>6474726</v>
      </c>
      <c r="DN241" s="4" t="s">
        <v>887</v>
      </c>
      <c r="DO241" s="4"/>
      <c r="DP241" s="4"/>
      <c r="DQ241" s="4" t="s">
        <v>148</v>
      </c>
      <c r="DR241" s="4"/>
      <c r="DS241" s="4"/>
      <c r="DT241" s="5">
        <v>41863</v>
      </c>
      <c r="DU241" s="4"/>
      <c r="DV241" s="4"/>
      <c r="DW241" s="4"/>
      <c r="DX241" s="4"/>
      <c r="DY241" s="4"/>
      <c r="DZ241" s="5">
        <v>39611</v>
      </c>
      <c r="EA241" s="4"/>
      <c r="EB241" s="4"/>
      <c r="EC241" s="4"/>
      <c r="ED241" s="4"/>
      <c r="EE241" s="4"/>
      <c r="EF241" s="4"/>
      <c r="EG241" s="4"/>
      <c r="EH241" s="4"/>
      <c r="EI241" s="5">
        <v>39379</v>
      </c>
    </row>
    <row r="242" spans="1:139" hidden="1" x14ac:dyDescent="0.2">
      <c r="A242">
        <f>VLOOKUP(B242,Sheet1!$A$1:$B$18,2,FALSE)</f>
        <v>0</v>
      </c>
      <c r="B242" t="str">
        <f t="shared" si="3"/>
        <v>AKL</v>
      </c>
      <c r="C242" s="2">
        <v>241</v>
      </c>
      <c r="D242" s="3" t="str">
        <f>HYPERLINK("https://sitebase.nzcomms.co.nz/spm/spmnominalview/AKL-007-056/","AKL-007-056")</f>
        <v>AKL-007-056</v>
      </c>
      <c r="E242" s="4"/>
      <c r="F242" s="3" t="str">
        <f>HYPERLINK("https://sitebase.nzcomms.co.nz/spm/spmcandidateview/AKL-007-056-I/","AKL-007-056-I")</f>
        <v>AKL-007-056-I</v>
      </c>
      <c r="G242" s="4" t="s">
        <v>888</v>
      </c>
      <c r="H242" s="4" t="s">
        <v>745</v>
      </c>
      <c r="I242" s="4"/>
      <c r="J242" s="4" t="s">
        <v>139</v>
      </c>
      <c r="K242" s="4" t="s">
        <v>141</v>
      </c>
      <c r="L242" s="4" t="s">
        <v>181</v>
      </c>
      <c r="M242" s="4" t="s">
        <v>378</v>
      </c>
      <c r="N242" s="4" t="s">
        <v>364</v>
      </c>
      <c r="O242" s="4" t="s">
        <v>144</v>
      </c>
      <c r="P242" s="4"/>
      <c r="Q242" s="4"/>
      <c r="R242" s="4">
        <v>36.799999999999997</v>
      </c>
      <c r="S242" s="4">
        <v>36.799999999999997</v>
      </c>
      <c r="T242" s="4"/>
      <c r="U242" s="4">
        <v>-36.902620310000003</v>
      </c>
      <c r="V242" s="4">
        <v>174.81196521000001</v>
      </c>
      <c r="W242" s="4"/>
      <c r="X242" s="4"/>
      <c r="Y242" s="4"/>
      <c r="Z242" s="4"/>
      <c r="AA242" s="4" t="s">
        <v>171</v>
      </c>
      <c r="AB242" s="3" t="str">
        <f>HYPERLINK("https://sitebase.nzcomms.co.nz/spm/spmcandidateview/AKL-007-003-A/","AKL-007-003-A")</f>
        <v>AKL-007-003-A</v>
      </c>
      <c r="AC242" s="4"/>
      <c r="AD242" s="4"/>
      <c r="AE242" s="4"/>
      <c r="AF242" s="4"/>
      <c r="AG242" s="4"/>
      <c r="AH242" s="4"/>
      <c r="AI242" s="4"/>
      <c r="AJ242" s="4"/>
      <c r="AK242" s="4"/>
      <c r="AL242" s="4"/>
      <c r="AM242" s="5">
        <v>39910</v>
      </c>
      <c r="AN242" s="5">
        <v>39919</v>
      </c>
      <c r="AO242" s="4">
        <v>5</v>
      </c>
      <c r="AP242" s="5">
        <v>39919</v>
      </c>
      <c r="AQ242" s="5">
        <v>42158</v>
      </c>
      <c r="AR242" s="4"/>
      <c r="AS242" s="4"/>
      <c r="AT242" s="5">
        <v>39962</v>
      </c>
      <c r="AU242" s="5">
        <v>39962</v>
      </c>
      <c r="AV242" s="4">
        <v>1</v>
      </c>
      <c r="AW242" s="5">
        <v>39962</v>
      </c>
      <c r="AX242" s="5">
        <v>39973</v>
      </c>
      <c r="AY242" s="4"/>
      <c r="AZ242" s="5">
        <v>39920</v>
      </c>
      <c r="BA242" s="4"/>
      <c r="BB242" s="5">
        <v>39994</v>
      </c>
      <c r="BC242" s="4"/>
      <c r="BD242" s="4"/>
      <c r="BE242" s="5">
        <v>39994</v>
      </c>
      <c r="BF242" s="5">
        <v>39948</v>
      </c>
      <c r="BG242" s="5">
        <v>39920</v>
      </c>
      <c r="BH242" s="5">
        <v>39918</v>
      </c>
      <c r="BI242" s="4"/>
      <c r="BJ242" s="5">
        <v>39948</v>
      </c>
      <c r="BK242" s="4">
        <v>3</v>
      </c>
      <c r="BL242" s="4">
        <v>3</v>
      </c>
      <c r="BM242" s="5">
        <v>39955</v>
      </c>
      <c r="BN242" s="5">
        <v>42129</v>
      </c>
      <c r="BO242" s="4"/>
      <c r="BP242" s="4"/>
      <c r="BQ242" s="4"/>
      <c r="BR242" s="4"/>
      <c r="BS242" s="4"/>
      <c r="BT242" s="5">
        <v>39972</v>
      </c>
      <c r="BU242" s="5">
        <v>39973</v>
      </c>
      <c r="BV242" s="5">
        <v>40023</v>
      </c>
      <c r="BW242" s="5">
        <v>40023</v>
      </c>
      <c r="BX242" s="4"/>
      <c r="BY242" s="5">
        <v>40039</v>
      </c>
      <c r="BZ242" s="5">
        <v>40039</v>
      </c>
      <c r="CA242" s="4"/>
      <c r="CB242" s="4"/>
      <c r="CC242" s="4"/>
      <c r="CD242" s="4"/>
      <c r="CE242" s="4"/>
      <c r="CF242" s="4"/>
      <c r="CG242" s="4"/>
      <c r="CH242" s="4"/>
      <c r="CI242" s="5">
        <v>40042</v>
      </c>
      <c r="CJ242" s="5">
        <v>40046</v>
      </c>
      <c r="CK242" s="5">
        <v>40042</v>
      </c>
      <c r="CL242" s="4"/>
      <c r="CM242" s="4"/>
      <c r="CN242" s="4"/>
      <c r="CO242" s="4"/>
      <c r="CP242" s="4" t="s">
        <v>801</v>
      </c>
      <c r="CQ242" s="4"/>
      <c r="CR242" s="5">
        <v>40046</v>
      </c>
      <c r="CS242" s="4"/>
      <c r="CT242" s="4"/>
      <c r="CU242" s="4"/>
      <c r="CV242" s="4"/>
      <c r="CW242" s="4"/>
      <c r="CX242" s="4"/>
      <c r="CY242" s="4"/>
      <c r="CZ242" s="4"/>
      <c r="DA242" s="4"/>
      <c r="DB242" s="4"/>
      <c r="DC242" s="4"/>
      <c r="DD242" s="4"/>
      <c r="DE242" s="4"/>
      <c r="DF242" s="4"/>
      <c r="DG242" s="4"/>
      <c r="DH242" s="4"/>
      <c r="DI242" s="4"/>
      <c r="DJ242" s="4" t="b">
        <v>0</v>
      </c>
      <c r="DK242" s="4"/>
      <c r="DL242" s="4">
        <v>2671858</v>
      </c>
      <c r="DM242" s="4">
        <v>6476086</v>
      </c>
      <c r="DN242" s="4" t="s">
        <v>889</v>
      </c>
      <c r="DO242" s="4"/>
      <c r="DP242" s="4"/>
      <c r="DQ242" s="4" t="s">
        <v>148</v>
      </c>
      <c r="DR242" s="4"/>
      <c r="DS242" s="4"/>
      <c r="DT242" s="5">
        <v>41863</v>
      </c>
      <c r="DU242" s="4"/>
      <c r="DV242" s="4"/>
      <c r="DW242" s="4"/>
      <c r="DX242" s="4"/>
      <c r="DY242" s="5">
        <v>39972</v>
      </c>
      <c r="DZ242" s="5">
        <v>39973</v>
      </c>
      <c r="EA242" s="4"/>
      <c r="EB242" s="4"/>
      <c r="EC242" s="4"/>
      <c r="ED242" s="4"/>
      <c r="EE242" s="4"/>
      <c r="EF242" s="4"/>
      <c r="EG242" s="4"/>
      <c r="EH242" s="4"/>
      <c r="EI242" s="5">
        <v>39892</v>
      </c>
    </row>
    <row r="243" spans="1:139" hidden="1" x14ac:dyDescent="0.2">
      <c r="A243">
        <f>VLOOKUP(B243,Sheet1!$A$1:$B$18,2,FALSE)</f>
        <v>0</v>
      </c>
      <c r="B243" t="str">
        <f t="shared" si="3"/>
        <v>AKL</v>
      </c>
      <c r="C243" s="2">
        <v>242</v>
      </c>
      <c r="D243" s="3" t="str">
        <f>HYPERLINK("https://sitebase.nzcomms.co.nz/spm/spmnominalview/AKL-007-057/","AKL-007-057")</f>
        <v>AKL-007-057</v>
      </c>
      <c r="E243" s="4"/>
      <c r="F243" s="3" t="str">
        <f>HYPERLINK("https://sitebase.nzcomms.co.nz/spm/spmcandidateview/AKL-007-057-B/","AKL-007-057-B")</f>
        <v>AKL-007-057-B</v>
      </c>
      <c r="G243" s="4" t="s">
        <v>890</v>
      </c>
      <c r="H243" s="4" t="s">
        <v>745</v>
      </c>
      <c r="I243" s="4"/>
      <c r="J243" s="4" t="s">
        <v>139</v>
      </c>
      <c r="K243" s="4" t="s">
        <v>141</v>
      </c>
      <c r="L243" s="4" t="s">
        <v>189</v>
      </c>
      <c r="M243" s="4" t="s">
        <v>354</v>
      </c>
      <c r="N243" s="4" t="s">
        <v>355</v>
      </c>
      <c r="O243" s="4" t="s">
        <v>356</v>
      </c>
      <c r="P243" s="4"/>
      <c r="Q243" s="4"/>
      <c r="R243" s="4">
        <v>7.5</v>
      </c>
      <c r="S243" s="4">
        <v>7.5</v>
      </c>
      <c r="T243" s="4"/>
      <c r="U243" s="4">
        <v>-36.886944030000002</v>
      </c>
      <c r="V243" s="4">
        <v>174.82010559</v>
      </c>
      <c r="W243" s="4"/>
      <c r="X243" s="4"/>
      <c r="Y243" s="4"/>
      <c r="Z243" s="4"/>
      <c r="AA243" s="4" t="s">
        <v>171</v>
      </c>
      <c r="AB243" s="3" t="str">
        <f>HYPERLINK("https://sitebase.nzcomms.co.nz/spm/spmcandidateview/AKL-007-113-A/","AKL-007-113-A")</f>
        <v>AKL-007-113-A</v>
      </c>
      <c r="AC243" s="4"/>
      <c r="AD243" s="4"/>
      <c r="AE243" s="4"/>
      <c r="AF243" s="4"/>
      <c r="AG243" s="4"/>
      <c r="AH243" s="4" t="s">
        <v>357</v>
      </c>
      <c r="AI243" s="4"/>
      <c r="AJ243" s="4"/>
      <c r="AK243" s="4"/>
      <c r="AL243" s="4"/>
      <c r="AM243" s="4"/>
      <c r="AN243" s="5">
        <v>39296</v>
      </c>
      <c r="AO243" s="4">
        <v>4</v>
      </c>
      <c r="AP243" s="4"/>
      <c r="AQ243" s="5">
        <v>39706</v>
      </c>
      <c r="AR243" s="4"/>
      <c r="AS243" s="4"/>
      <c r="AT243" s="5">
        <v>39518</v>
      </c>
      <c r="AU243" s="5">
        <v>39518</v>
      </c>
      <c r="AV243" s="4">
        <v>3</v>
      </c>
      <c r="AW243" s="5">
        <v>39518</v>
      </c>
      <c r="AX243" s="5">
        <v>39518</v>
      </c>
      <c r="AY243" s="4"/>
      <c r="AZ243" s="4"/>
      <c r="BA243" s="4"/>
      <c r="BB243" s="5">
        <v>39751</v>
      </c>
      <c r="BC243" s="4"/>
      <c r="BD243" s="4"/>
      <c r="BE243" s="5">
        <v>39751</v>
      </c>
      <c r="BF243" s="5">
        <v>39720</v>
      </c>
      <c r="BG243" s="4"/>
      <c r="BH243" s="5">
        <v>39518</v>
      </c>
      <c r="BI243" s="4"/>
      <c r="BJ243" s="5">
        <v>39563</v>
      </c>
      <c r="BK243" s="4">
        <v>2</v>
      </c>
      <c r="BL243" s="4">
        <v>4</v>
      </c>
      <c r="BM243" s="5">
        <v>39728</v>
      </c>
      <c r="BN243" s="5">
        <v>39728</v>
      </c>
      <c r="BO243" s="4"/>
      <c r="BP243" s="4"/>
      <c r="BQ243" s="4"/>
      <c r="BR243" s="4"/>
      <c r="BS243" s="4"/>
      <c r="BT243" s="4"/>
      <c r="BU243" s="5">
        <v>39749</v>
      </c>
      <c r="BV243" s="5">
        <v>39766</v>
      </c>
      <c r="BW243" s="5">
        <v>39766</v>
      </c>
      <c r="BX243" s="4"/>
      <c r="BY243" s="5">
        <v>39796</v>
      </c>
      <c r="BZ243" s="5">
        <v>39766</v>
      </c>
      <c r="CA243" s="4"/>
      <c r="CB243" s="4"/>
      <c r="CC243" s="4"/>
      <c r="CD243" s="4"/>
      <c r="CE243" s="4"/>
      <c r="CF243" s="4"/>
      <c r="CG243" s="4"/>
      <c r="CH243" s="4"/>
      <c r="CI243" s="5">
        <v>39780</v>
      </c>
      <c r="CJ243" s="5">
        <v>39792</v>
      </c>
      <c r="CK243" s="5">
        <v>39780</v>
      </c>
      <c r="CL243" s="4"/>
      <c r="CM243" s="4"/>
      <c r="CN243" s="4"/>
      <c r="CO243" s="4"/>
      <c r="CP243" s="4" t="s">
        <v>405</v>
      </c>
      <c r="CQ243" s="4"/>
      <c r="CR243" s="5">
        <v>39778</v>
      </c>
      <c r="CS243" s="4"/>
      <c r="CT243" s="4"/>
      <c r="CU243" s="4"/>
      <c r="CV243" s="4"/>
      <c r="CW243" s="4"/>
      <c r="CX243" s="4"/>
      <c r="CY243" s="4"/>
      <c r="CZ243" s="4"/>
      <c r="DA243" s="4"/>
      <c r="DB243" s="4"/>
      <c r="DC243" s="4"/>
      <c r="DD243" s="4"/>
      <c r="DE243" s="4"/>
      <c r="DF243" s="4"/>
      <c r="DG243" s="4"/>
      <c r="DH243" s="4"/>
      <c r="DI243" s="4"/>
      <c r="DJ243" s="4" t="b">
        <v>0</v>
      </c>
      <c r="DK243" s="4"/>
      <c r="DL243" s="4">
        <v>2672620</v>
      </c>
      <c r="DM243" s="4">
        <v>6477810</v>
      </c>
      <c r="DN243" s="4" t="s">
        <v>891</v>
      </c>
      <c r="DO243" s="4"/>
      <c r="DP243" s="4"/>
      <c r="DQ243" s="4" t="s">
        <v>148</v>
      </c>
      <c r="DR243" s="4"/>
      <c r="DS243" s="4"/>
      <c r="DT243" s="5">
        <v>41863</v>
      </c>
      <c r="DU243" s="4"/>
      <c r="DV243" s="4"/>
      <c r="DW243" s="4"/>
      <c r="DX243" s="4"/>
      <c r="DY243" s="4"/>
      <c r="DZ243" s="5">
        <v>39720</v>
      </c>
      <c r="EA243" s="4"/>
      <c r="EB243" s="4"/>
      <c r="EC243" s="4"/>
      <c r="ED243" s="4"/>
      <c r="EE243" s="4"/>
      <c r="EF243" s="4"/>
      <c r="EG243" s="4"/>
      <c r="EH243" s="4"/>
      <c r="EI243" s="5">
        <v>39268</v>
      </c>
    </row>
    <row r="244" spans="1:139" hidden="1" x14ac:dyDescent="0.2">
      <c r="A244">
        <f>VLOOKUP(B244,Sheet1!$A$1:$B$18,2,FALSE)</f>
        <v>0</v>
      </c>
      <c r="B244" t="str">
        <f t="shared" si="3"/>
        <v>AKL</v>
      </c>
      <c r="C244" s="2">
        <v>243</v>
      </c>
      <c r="D244" s="3" t="str">
        <f>HYPERLINK("https://sitebase.nzcomms.co.nz/spm/spmnominalview/AKL-007-058/","AKL-007-058")</f>
        <v>AKL-007-058</v>
      </c>
      <c r="E244" s="4"/>
      <c r="F244" s="3" t="str">
        <f>HYPERLINK("https://sitebase.nzcomms.co.nz/spm/spmcandidateview/AKL-007-058-A/","AKL-007-058-A")</f>
        <v>AKL-007-058-A</v>
      </c>
      <c r="G244" s="4" t="s">
        <v>892</v>
      </c>
      <c r="H244" s="4" t="s">
        <v>745</v>
      </c>
      <c r="I244" s="4"/>
      <c r="J244" s="4" t="s">
        <v>139</v>
      </c>
      <c r="K244" s="4" t="s">
        <v>141</v>
      </c>
      <c r="L244" s="4" t="s">
        <v>181</v>
      </c>
      <c r="M244" s="4" t="s">
        <v>378</v>
      </c>
      <c r="N244" s="4" t="s">
        <v>364</v>
      </c>
      <c r="O244" s="4" t="s">
        <v>144</v>
      </c>
      <c r="P244" s="4"/>
      <c r="Q244" s="4"/>
      <c r="R244" s="4">
        <v>8</v>
      </c>
      <c r="S244" s="4">
        <v>8</v>
      </c>
      <c r="T244" s="4"/>
      <c r="U244" s="4">
        <v>-36.873488029999997</v>
      </c>
      <c r="V244" s="4">
        <v>174.81046341000001</v>
      </c>
      <c r="W244" s="4"/>
      <c r="X244" s="4"/>
      <c r="Y244" s="4"/>
      <c r="Z244" s="4"/>
      <c r="AA244" s="4" t="s">
        <v>171</v>
      </c>
      <c r="AB244" s="3" t="str">
        <f>HYPERLINK("https://sitebase.nzcomms.co.nz/spm/spmcandidateview/AKL-007-112-A/","AKL-007-112-A")</f>
        <v>AKL-007-112-A</v>
      </c>
      <c r="AC244" s="4"/>
      <c r="AD244" s="4"/>
      <c r="AE244" s="4"/>
      <c r="AF244" s="4"/>
      <c r="AG244" s="4"/>
      <c r="AH244" s="4" t="s">
        <v>365</v>
      </c>
      <c r="AI244" s="4"/>
      <c r="AJ244" s="4"/>
      <c r="AK244" s="4"/>
      <c r="AL244" s="4"/>
      <c r="AM244" s="4"/>
      <c r="AN244" s="5">
        <v>39681</v>
      </c>
      <c r="AO244" s="4">
        <v>4</v>
      </c>
      <c r="AP244" s="5">
        <v>39798</v>
      </c>
      <c r="AQ244" s="5">
        <v>39798</v>
      </c>
      <c r="AR244" s="4"/>
      <c r="AS244" s="4"/>
      <c r="AT244" s="5">
        <v>39691</v>
      </c>
      <c r="AU244" s="5">
        <v>39710</v>
      </c>
      <c r="AV244" s="4">
        <v>4</v>
      </c>
      <c r="AW244" s="5">
        <v>39691</v>
      </c>
      <c r="AX244" s="5">
        <v>39848</v>
      </c>
      <c r="AY244" s="4"/>
      <c r="AZ244" s="4"/>
      <c r="BA244" s="4"/>
      <c r="BB244" s="5">
        <v>39850</v>
      </c>
      <c r="BC244" s="4"/>
      <c r="BD244" s="4"/>
      <c r="BE244" s="5">
        <v>39850</v>
      </c>
      <c r="BF244" s="5">
        <v>40093</v>
      </c>
      <c r="BG244" s="4"/>
      <c r="BH244" s="5">
        <v>39717</v>
      </c>
      <c r="BI244" s="4"/>
      <c r="BJ244" s="5">
        <v>39751</v>
      </c>
      <c r="BK244" s="4">
        <v>1</v>
      </c>
      <c r="BL244" s="4">
        <v>4</v>
      </c>
      <c r="BM244" s="5">
        <v>39751</v>
      </c>
      <c r="BN244" s="5">
        <v>39751</v>
      </c>
      <c r="BO244" s="4"/>
      <c r="BP244" s="4"/>
      <c r="BQ244" s="4"/>
      <c r="BR244" s="4"/>
      <c r="BS244" s="4"/>
      <c r="BT244" s="4"/>
      <c r="BU244" s="5">
        <v>39784</v>
      </c>
      <c r="BV244" s="5">
        <v>39840</v>
      </c>
      <c r="BW244" s="5">
        <v>39840</v>
      </c>
      <c r="BX244" s="4"/>
      <c r="BY244" s="5">
        <v>39855</v>
      </c>
      <c r="BZ244" s="5">
        <v>39853</v>
      </c>
      <c r="CA244" s="4"/>
      <c r="CB244" s="4"/>
      <c r="CC244" s="4"/>
      <c r="CD244" s="4"/>
      <c r="CE244" s="4"/>
      <c r="CF244" s="4"/>
      <c r="CG244" s="4"/>
      <c r="CH244" s="4"/>
      <c r="CI244" s="5">
        <v>39902</v>
      </c>
      <c r="CJ244" s="5">
        <v>39913</v>
      </c>
      <c r="CK244" s="5">
        <v>39902</v>
      </c>
      <c r="CL244" s="4"/>
      <c r="CM244" s="4"/>
      <c r="CN244" s="4"/>
      <c r="CO244" s="4"/>
      <c r="CP244" s="4" t="s">
        <v>893</v>
      </c>
      <c r="CQ244" s="4"/>
      <c r="CR244" s="5">
        <v>39913</v>
      </c>
      <c r="CS244" s="4"/>
      <c r="CT244" s="4"/>
      <c r="CU244" s="4"/>
      <c r="CV244" s="4"/>
      <c r="CW244" s="4"/>
      <c r="CX244" s="4"/>
      <c r="CY244" s="4"/>
      <c r="CZ244" s="4"/>
      <c r="DA244" s="4"/>
      <c r="DB244" s="4"/>
      <c r="DC244" s="4"/>
      <c r="DD244" s="4"/>
      <c r="DE244" s="4"/>
      <c r="DF244" s="4"/>
      <c r="DG244" s="4"/>
      <c r="DH244" s="4"/>
      <c r="DI244" s="4"/>
      <c r="DJ244" s="4" t="b">
        <v>0</v>
      </c>
      <c r="DK244" s="4"/>
      <c r="DL244" s="4">
        <v>2671792</v>
      </c>
      <c r="DM244" s="4">
        <v>6479321</v>
      </c>
      <c r="DN244" s="4" t="s">
        <v>894</v>
      </c>
      <c r="DO244" s="4"/>
      <c r="DP244" s="4"/>
      <c r="DQ244" s="4" t="s">
        <v>148</v>
      </c>
      <c r="DR244" s="4"/>
      <c r="DS244" s="4"/>
      <c r="DT244" s="5">
        <v>41863</v>
      </c>
      <c r="DU244" s="4"/>
      <c r="DV244" s="4"/>
      <c r="DW244" s="4"/>
      <c r="DX244" s="4"/>
      <c r="DY244" s="4"/>
      <c r="DZ244" s="5">
        <v>39783</v>
      </c>
      <c r="EA244" s="4"/>
      <c r="EB244" s="4"/>
      <c r="EC244" s="4"/>
      <c r="ED244" s="4"/>
      <c r="EE244" s="4"/>
      <c r="EF244" s="4"/>
      <c r="EG244" s="4"/>
      <c r="EH244" s="4"/>
      <c r="EI244" s="5">
        <v>39615</v>
      </c>
    </row>
    <row r="245" spans="1:139" hidden="1" x14ac:dyDescent="0.2">
      <c r="A245">
        <f>VLOOKUP(B245,Sheet1!$A$1:$B$18,2,FALSE)</f>
        <v>0</v>
      </c>
      <c r="B245" t="str">
        <f t="shared" si="3"/>
        <v>AKL</v>
      </c>
      <c r="C245" s="2">
        <v>244</v>
      </c>
      <c r="D245" s="3" t="str">
        <f>HYPERLINK("https://sitebase.nzcomms.co.nz/spm/spmnominalview/AKL-007-059/","AKL-007-059")</f>
        <v>AKL-007-059</v>
      </c>
      <c r="E245" s="4"/>
      <c r="F245" s="3" t="str">
        <f>HYPERLINK("https://sitebase.nzcomms.co.nz/spm/spmcandidateview/AKL-007-059-A/","AKL-007-059-A")</f>
        <v>AKL-007-059-A</v>
      </c>
      <c r="G245" s="4" t="s">
        <v>895</v>
      </c>
      <c r="H245" s="4" t="s">
        <v>745</v>
      </c>
      <c r="I245" s="4"/>
      <c r="J245" s="4" t="s">
        <v>139</v>
      </c>
      <c r="K245" s="4" t="s">
        <v>141</v>
      </c>
      <c r="L245" s="4" t="s">
        <v>189</v>
      </c>
      <c r="M245" s="4" t="s">
        <v>354</v>
      </c>
      <c r="N245" s="4" t="s">
        <v>355</v>
      </c>
      <c r="O245" s="4" t="s">
        <v>356</v>
      </c>
      <c r="P245" s="4"/>
      <c r="Q245" s="4"/>
      <c r="R245" s="4"/>
      <c r="S245" s="4"/>
      <c r="T245" s="4"/>
      <c r="U245" s="4">
        <v>-36.863827950000001</v>
      </c>
      <c r="V245" s="4">
        <v>174.80980732</v>
      </c>
      <c r="W245" s="4"/>
      <c r="X245" s="4"/>
      <c r="Y245" s="4"/>
      <c r="Z245" s="4"/>
      <c r="AA245" s="4" t="s">
        <v>171</v>
      </c>
      <c r="AB245" s="3" t="str">
        <f>HYPERLINK("https://sitebase.nzcomms.co.nz/spm/spmcandidateview/AKL-007-113-A/","AKL-007-113-A")</f>
        <v>AKL-007-113-A</v>
      </c>
      <c r="AC245" s="4"/>
      <c r="AD245" s="4"/>
      <c r="AE245" s="4"/>
      <c r="AF245" s="4"/>
      <c r="AG245" s="4"/>
      <c r="AH245" s="4" t="s">
        <v>357</v>
      </c>
      <c r="AI245" s="4"/>
      <c r="AJ245" s="4"/>
      <c r="AK245" s="4"/>
      <c r="AL245" s="4"/>
      <c r="AM245" s="4"/>
      <c r="AN245" s="5">
        <v>39311</v>
      </c>
      <c r="AO245" s="4">
        <v>3</v>
      </c>
      <c r="AP245" s="5">
        <v>39538</v>
      </c>
      <c r="AQ245" s="5">
        <v>39538</v>
      </c>
      <c r="AR245" s="4"/>
      <c r="AS245" s="4"/>
      <c r="AT245" s="5">
        <v>39629</v>
      </c>
      <c r="AU245" s="5">
        <v>39622</v>
      </c>
      <c r="AV245" s="4">
        <v>3</v>
      </c>
      <c r="AW245" s="5">
        <v>39629</v>
      </c>
      <c r="AX245" s="5">
        <v>39622</v>
      </c>
      <c r="AY245" s="4"/>
      <c r="AZ245" s="4"/>
      <c r="BA245" s="4"/>
      <c r="BB245" s="5">
        <v>39627</v>
      </c>
      <c r="BC245" s="4"/>
      <c r="BD245" s="4"/>
      <c r="BE245" s="5">
        <v>39627</v>
      </c>
      <c r="BF245" s="5">
        <v>39580</v>
      </c>
      <c r="BG245" s="4"/>
      <c r="BH245" s="5">
        <v>39548</v>
      </c>
      <c r="BI245" s="4"/>
      <c r="BJ245" s="5">
        <v>39626</v>
      </c>
      <c r="BK245" s="4">
        <v>1</v>
      </c>
      <c r="BL245" s="4">
        <v>3</v>
      </c>
      <c r="BM245" s="5">
        <v>39626</v>
      </c>
      <c r="BN245" s="5">
        <v>39626</v>
      </c>
      <c r="BO245" s="4"/>
      <c r="BP245" s="4"/>
      <c r="BQ245" s="4"/>
      <c r="BR245" s="4"/>
      <c r="BS245" s="4"/>
      <c r="BT245" s="4"/>
      <c r="BU245" s="5">
        <v>39675</v>
      </c>
      <c r="BV245" s="5">
        <v>39701</v>
      </c>
      <c r="BW245" s="5">
        <v>39694</v>
      </c>
      <c r="BX245" s="4"/>
      <c r="BY245" s="5">
        <v>39715</v>
      </c>
      <c r="BZ245" s="5">
        <v>39694</v>
      </c>
      <c r="CA245" s="4"/>
      <c r="CB245" s="4"/>
      <c r="CC245" s="4"/>
      <c r="CD245" s="4"/>
      <c r="CE245" s="4"/>
      <c r="CF245" s="4"/>
      <c r="CG245" s="4"/>
      <c r="CH245" s="4"/>
      <c r="CI245" s="5">
        <v>39905</v>
      </c>
      <c r="CJ245" s="5">
        <v>39909</v>
      </c>
      <c r="CK245" s="5">
        <v>39905</v>
      </c>
      <c r="CL245" s="4"/>
      <c r="CM245" s="4"/>
      <c r="CN245" s="4"/>
      <c r="CO245" s="4"/>
      <c r="CP245" s="4" t="s">
        <v>896</v>
      </c>
      <c r="CQ245" s="4"/>
      <c r="CR245" s="5">
        <v>39909</v>
      </c>
      <c r="CS245" s="4"/>
      <c r="CT245" s="4"/>
      <c r="CU245" s="4"/>
      <c r="CV245" s="4"/>
      <c r="CW245" s="4"/>
      <c r="CX245" s="4"/>
      <c r="CY245" s="4"/>
      <c r="CZ245" s="4"/>
      <c r="DA245" s="4"/>
      <c r="DB245" s="4"/>
      <c r="DC245" s="4"/>
      <c r="DD245" s="4"/>
      <c r="DE245" s="4"/>
      <c r="DF245" s="4"/>
      <c r="DG245" s="4"/>
      <c r="DH245" s="4"/>
      <c r="DI245" s="4"/>
      <c r="DJ245" s="4" t="b">
        <v>0</v>
      </c>
      <c r="DK245" s="4"/>
      <c r="DL245" s="4">
        <v>2671756</v>
      </c>
      <c r="DM245" s="4">
        <v>6480394</v>
      </c>
      <c r="DN245" s="4" t="s">
        <v>897</v>
      </c>
      <c r="DO245" s="4"/>
      <c r="DP245" s="4"/>
      <c r="DQ245" s="4" t="s">
        <v>148</v>
      </c>
      <c r="DR245" s="4"/>
      <c r="DS245" s="4"/>
      <c r="DT245" s="5">
        <v>41863</v>
      </c>
      <c r="DU245" s="4"/>
      <c r="DV245" s="4"/>
      <c r="DW245" s="4"/>
      <c r="DX245" s="4"/>
      <c r="DY245" s="4"/>
      <c r="DZ245" s="5">
        <v>39665</v>
      </c>
      <c r="EA245" s="4"/>
      <c r="EB245" s="4"/>
      <c r="EC245" s="4"/>
      <c r="ED245" s="4"/>
      <c r="EE245" s="4"/>
      <c r="EF245" s="4"/>
      <c r="EG245" s="4"/>
      <c r="EH245" s="4"/>
      <c r="EI245" s="5">
        <v>39287</v>
      </c>
    </row>
    <row r="246" spans="1:139" hidden="1" x14ac:dyDescent="0.2">
      <c r="A246">
        <f>VLOOKUP(B246,Sheet1!$A$1:$B$18,2,FALSE)</f>
        <v>0</v>
      </c>
      <c r="B246" t="str">
        <f t="shared" si="3"/>
        <v>AKL</v>
      </c>
      <c r="C246" s="2">
        <v>245</v>
      </c>
      <c r="D246" s="3" t="str">
        <f>HYPERLINK("https://sitebase.nzcomms.co.nz/spm/spmnominalview/AKL-007-060/","AKL-007-060")</f>
        <v>AKL-007-060</v>
      </c>
      <c r="E246" s="4"/>
      <c r="F246" s="3" t="str">
        <f>HYPERLINK("https://sitebase.nzcomms.co.nz/spm/spmcandidateview/AKL-007-060-E/","AKL-007-060-E")</f>
        <v>AKL-007-060-E</v>
      </c>
      <c r="G246" s="4" t="s">
        <v>898</v>
      </c>
      <c r="H246" s="4" t="s">
        <v>745</v>
      </c>
      <c r="I246" s="4"/>
      <c r="J246" s="4" t="s">
        <v>139</v>
      </c>
      <c r="K246" s="4" t="s">
        <v>141</v>
      </c>
      <c r="L246" s="4" t="s">
        <v>189</v>
      </c>
      <c r="M246" s="4" t="s">
        <v>354</v>
      </c>
      <c r="N246" s="4" t="s">
        <v>355</v>
      </c>
      <c r="O246" s="4" t="s">
        <v>356</v>
      </c>
      <c r="P246" s="4"/>
      <c r="Q246" s="4"/>
      <c r="R246" s="4">
        <v>13.8</v>
      </c>
      <c r="S246" s="4">
        <v>13.8</v>
      </c>
      <c r="T246" s="4"/>
      <c r="U246" s="4">
        <v>-36.868007980000002</v>
      </c>
      <c r="V246" s="4">
        <v>174.84544346999999</v>
      </c>
      <c r="W246" s="4"/>
      <c r="X246" s="4"/>
      <c r="Y246" s="4"/>
      <c r="Z246" s="4"/>
      <c r="AA246" s="4" t="s">
        <v>171</v>
      </c>
      <c r="AB246" s="3" t="str">
        <f>HYPERLINK("https://sitebase.nzcomms.co.nz/spm/spmcandidateview/AKL-007-113-A/","AKL-007-113-A")</f>
        <v>AKL-007-113-A</v>
      </c>
      <c r="AC246" s="4"/>
      <c r="AD246" s="4"/>
      <c r="AE246" s="4"/>
      <c r="AF246" s="4"/>
      <c r="AG246" s="4"/>
      <c r="AH246" s="4" t="s">
        <v>360</v>
      </c>
      <c r="AI246" s="4"/>
      <c r="AJ246" s="4"/>
      <c r="AK246" s="4"/>
      <c r="AL246" s="4"/>
      <c r="AM246" s="4"/>
      <c r="AN246" s="5">
        <v>39695</v>
      </c>
      <c r="AO246" s="4">
        <v>3</v>
      </c>
      <c r="AP246" s="5">
        <v>39778</v>
      </c>
      <c r="AQ246" s="5">
        <v>40289</v>
      </c>
      <c r="AR246" s="4"/>
      <c r="AS246" s="4"/>
      <c r="AT246" s="5">
        <v>39899</v>
      </c>
      <c r="AU246" s="5">
        <v>39899</v>
      </c>
      <c r="AV246" s="4">
        <v>2</v>
      </c>
      <c r="AW246" s="5">
        <v>39899</v>
      </c>
      <c r="AX246" s="5">
        <v>39902</v>
      </c>
      <c r="AY246" s="4"/>
      <c r="AZ246" s="4"/>
      <c r="BA246" s="4"/>
      <c r="BB246" s="5">
        <v>39818</v>
      </c>
      <c r="BC246" s="4"/>
      <c r="BD246" s="4"/>
      <c r="BE246" s="5">
        <v>39835</v>
      </c>
      <c r="BF246" s="5">
        <v>39835</v>
      </c>
      <c r="BG246" s="4"/>
      <c r="BH246" s="5">
        <v>39786</v>
      </c>
      <c r="BI246" s="4"/>
      <c r="BJ246" s="5">
        <v>39819</v>
      </c>
      <c r="BK246" s="4">
        <v>1</v>
      </c>
      <c r="BL246" s="4">
        <v>2</v>
      </c>
      <c r="BM246" s="5">
        <v>39819</v>
      </c>
      <c r="BN246" s="5">
        <v>39819</v>
      </c>
      <c r="BO246" s="5">
        <v>39896</v>
      </c>
      <c r="BP246" s="4"/>
      <c r="BQ246" s="4"/>
      <c r="BR246" s="4"/>
      <c r="BS246" s="4"/>
      <c r="BT246" s="5">
        <v>39892</v>
      </c>
      <c r="BU246" s="5">
        <v>39895</v>
      </c>
      <c r="BV246" s="5">
        <v>39917</v>
      </c>
      <c r="BW246" s="5">
        <v>39910</v>
      </c>
      <c r="BX246" s="4"/>
      <c r="BY246" s="5">
        <v>39930</v>
      </c>
      <c r="BZ246" s="5">
        <v>39930</v>
      </c>
      <c r="CA246" s="4"/>
      <c r="CB246" s="4"/>
      <c r="CC246" s="4"/>
      <c r="CD246" s="4"/>
      <c r="CE246" s="4"/>
      <c r="CF246" s="4"/>
      <c r="CG246" s="4"/>
      <c r="CH246" s="4"/>
      <c r="CI246" s="5">
        <v>39947</v>
      </c>
      <c r="CJ246" s="5">
        <v>39945</v>
      </c>
      <c r="CK246" s="5">
        <v>39947</v>
      </c>
      <c r="CL246" s="4"/>
      <c r="CM246" s="4"/>
      <c r="CN246" s="4"/>
      <c r="CO246" s="4"/>
      <c r="CP246" s="4" t="s">
        <v>899</v>
      </c>
      <c r="CQ246" s="4"/>
      <c r="CR246" s="5">
        <v>39945</v>
      </c>
      <c r="CS246" s="4"/>
      <c r="CT246" s="4"/>
      <c r="CU246" s="4"/>
      <c r="CV246" s="4"/>
      <c r="CW246" s="5">
        <v>39899</v>
      </c>
      <c r="CX246" s="5">
        <v>39896</v>
      </c>
      <c r="CY246" s="4"/>
      <c r="CZ246" s="4"/>
      <c r="DA246" s="4"/>
      <c r="DB246" s="4"/>
      <c r="DC246" s="4"/>
      <c r="DD246" s="4"/>
      <c r="DE246" s="4"/>
      <c r="DF246" s="4"/>
      <c r="DG246" s="4"/>
      <c r="DH246" s="4"/>
      <c r="DI246" s="4"/>
      <c r="DJ246" s="4" t="b">
        <v>0</v>
      </c>
      <c r="DK246" s="4"/>
      <c r="DL246" s="4">
        <v>2674923</v>
      </c>
      <c r="DM246" s="4">
        <v>6479863</v>
      </c>
      <c r="DN246" s="4" t="s">
        <v>900</v>
      </c>
      <c r="DO246" s="4"/>
      <c r="DP246" s="4"/>
      <c r="DQ246" s="4" t="s">
        <v>148</v>
      </c>
      <c r="DR246" s="4"/>
      <c r="DS246" s="4"/>
      <c r="DT246" s="5">
        <v>41863</v>
      </c>
      <c r="DU246" s="4"/>
      <c r="DV246" s="4"/>
      <c r="DW246" s="4"/>
      <c r="DX246" s="4"/>
      <c r="DY246" s="5">
        <v>39895</v>
      </c>
      <c r="DZ246" s="5">
        <v>39871</v>
      </c>
      <c r="EA246" s="4"/>
      <c r="EB246" s="4"/>
      <c r="EC246" s="4"/>
      <c r="ED246" s="4"/>
      <c r="EE246" s="4"/>
      <c r="EF246" s="4"/>
      <c r="EG246" s="4"/>
      <c r="EH246" s="4"/>
      <c r="EI246" s="5">
        <v>39625</v>
      </c>
    </row>
    <row r="247" spans="1:139" hidden="1" x14ac:dyDescent="0.2">
      <c r="A247">
        <f>VLOOKUP(B247,Sheet1!$A$1:$B$18,2,FALSE)</f>
        <v>0</v>
      </c>
      <c r="B247" t="str">
        <f t="shared" si="3"/>
        <v>AKL</v>
      </c>
      <c r="C247" s="2">
        <v>246</v>
      </c>
      <c r="D247" s="3" t="str">
        <f>HYPERLINK("https://sitebase.nzcomms.co.nz/spm/spmnominalview/AKL-007-061/","AKL-007-061")</f>
        <v>AKL-007-061</v>
      </c>
      <c r="E247" s="4"/>
      <c r="F247" s="3" t="str">
        <f>HYPERLINK("https://sitebase.nzcomms.co.nz/spm/spmcandidateview/AKL-007-061-D/","AKL-007-061-D")</f>
        <v>AKL-007-061-D</v>
      </c>
      <c r="G247" s="4" t="s">
        <v>901</v>
      </c>
      <c r="H247" s="4" t="s">
        <v>745</v>
      </c>
      <c r="I247" s="4"/>
      <c r="J247" s="4" t="s">
        <v>139</v>
      </c>
      <c r="K247" s="4" t="s">
        <v>141</v>
      </c>
      <c r="L247" s="4" t="s">
        <v>150</v>
      </c>
      <c r="M247" s="4" t="s">
        <v>354</v>
      </c>
      <c r="N247" s="4" t="s">
        <v>156</v>
      </c>
      <c r="O247" s="4" t="s">
        <v>144</v>
      </c>
      <c r="P247" s="4"/>
      <c r="Q247" s="4"/>
      <c r="R247" s="4">
        <v>20</v>
      </c>
      <c r="S247" s="4">
        <v>20</v>
      </c>
      <c r="T247" s="4"/>
      <c r="U247" s="4">
        <v>-36.928931169999998</v>
      </c>
      <c r="V247" s="4">
        <v>174.83262576000001</v>
      </c>
      <c r="W247" s="4"/>
      <c r="X247" s="4"/>
      <c r="Y247" s="4"/>
      <c r="Z247" s="4"/>
      <c r="AA247" s="4" t="s">
        <v>171</v>
      </c>
      <c r="AB247" s="3" t="str">
        <f>HYPERLINK("https://sitebase.nzcomms.co.nz/spm/spmcandidateview/AKL-007-002-A/","AKL-007-002-A")</f>
        <v>AKL-007-002-A</v>
      </c>
      <c r="AC247" s="4"/>
      <c r="AD247" s="4"/>
      <c r="AE247" s="4"/>
      <c r="AF247" s="4"/>
      <c r="AG247" s="4"/>
      <c r="AH247" s="4" t="s">
        <v>360</v>
      </c>
      <c r="AI247" s="4"/>
      <c r="AJ247" s="4"/>
      <c r="AK247" s="4"/>
      <c r="AL247" s="4"/>
      <c r="AM247" s="4"/>
      <c r="AN247" s="5">
        <v>39493</v>
      </c>
      <c r="AO247" s="4">
        <v>1</v>
      </c>
      <c r="AP247" s="4"/>
      <c r="AQ247" s="5">
        <v>39493</v>
      </c>
      <c r="AR247" s="4"/>
      <c r="AS247" s="4"/>
      <c r="AT247" s="5">
        <v>39437</v>
      </c>
      <c r="AU247" s="5">
        <v>39437</v>
      </c>
      <c r="AV247" s="4">
        <v>1</v>
      </c>
      <c r="AW247" s="5">
        <v>39437</v>
      </c>
      <c r="AX247" s="5">
        <v>39437</v>
      </c>
      <c r="AY247" s="4"/>
      <c r="AZ247" s="4"/>
      <c r="BA247" s="4"/>
      <c r="BB247" s="5">
        <v>39599</v>
      </c>
      <c r="BC247" s="4"/>
      <c r="BD247" s="4"/>
      <c r="BE247" s="5">
        <v>39599</v>
      </c>
      <c r="BF247" s="5">
        <v>39598</v>
      </c>
      <c r="BG247" s="4"/>
      <c r="BH247" s="5">
        <v>39496</v>
      </c>
      <c r="BI247" s="4"/>
      <c r="BJ247" s="5">
        <v>39625</v>
      </c>
      <c r="BK247" s="4">
        <v>1</v>
      </c>
      <c r="BL247" s="4">
        <v>1</v>
      </c>
      <c r="BM247" s="5">
        <v>39625</v>
      </c>
      <c r="BN247" s="5">
        <v>39625</v>
      </c>
      <c r="BO247" s="4"/>
      <c r="BP247" s="4"/>
      <c r="BQ247" s="4"/>
      <c r="BR247" s="4"/>
      <c r="BS247" s="4"/>
      <c r="BT247" s="4"/>
      <c r="BU247" s="5">
        <v>39644</v>
      </c>
      <c r="BV247" s="5">
        <v>39695</v>
      </c>
      <c r="BW247" s="5">
        <v>39696</v>
      </c>
      <c r="BX247" s="4"/>
      <c r="BY247" s="5">
        <v>39700</v>
      </c>
      <c r="BZ247" s="5">
        <v>39696</v>
      </c>
      <c r="CA247" s="4"/>
      <c r="CB247" s="4"/>
      <c r="CC247" s="4"/>
      <c r="CD247" s="4"/>
      <c r="CE247" s="4"/>
      <c r="CF247" s="4"/>
      <c r="CG247" s="4"/>
      <c r="CH247" s="4"/>
      <c r="CI247" s="5">
        <v>39906</v>
      </c>
      <c r="CJ247" s="5">
        <v>39909</v>
      </c>
      <c r="CK247" s="5">
        <v>39906</v>
      </c>
      <c r="CL247" s="4"/>
      <c r="CM247" s="4"/>
      <c r="CN247" s="4"/>
      <c r="CO247" s="4"/>
      <c r="CP247" s="4" t="s">
        <v>157</v>
      </c>
      <c r="CQ247" s="4"/>
      <c r="CR247" s="5">
        <v>39909</v>
      </c>
      <c r="CS247" s="4"/>
      <c r="CT247" s="4"/>
      <c r="CU247" s="4"/>
      <c r="CV247" s="4"/>
      <c r="CW247" s="4"/>
      <c r="CX247" s="4"/>
      <c r="CY247" s="4"/>
      <c r="CZ247" s="4"/>
      <c r="DA247" s="4"/>
      <c r="DB247" s="4"/>
      <c r="DC247" s="4"/>
      <c r="DD247" s="4"/>
      <c r="DE247" s="4"/>
      <c r="DF247" s="4"/>
      <c r="DG247" s="4"/>
      <c r="DH247" s="4"/>
      <c r="DI247" s="4"/>
      <c r="DJ247" s="4" t="b">
        <v>0</v>
      </c>
      <c r="DK247" s="4"/>
      <c r="DL247" s="4">
        <v>2673637</v>
      </c>
      <c r="DM247" s="4">
        <v>6473128</v>
      </c>
      <c r="DN247" s="4" t="s">
        <v>902</v>
      </c>
      <c r="DO247" s="4"/>
      <c r="DP247" s="4"/>
      <c r="DQ247" s="4" t="s">
        <v>148</v>
      </c>
      <c r="DR247" s="4"/>
      <c r="DS247" s="4"/>
      <c r="DT247" s="5">
        <v>41863</v>
      </c>
      <c r="DU247" s="4"/>
      <c r="DV247" s="4"/>
      <c r="DW247" s="4"/>
      <c r="DX247" s="4"/>
      <c r="DY247" s="4"/>
      <c r="DZ247" s="5">
        <v>39644</v>
      </c>
      <c r="EA247" s="4"/>
      <c r="EB247" s="4"/>
      <c r="EC247" s="4"/>
      <c r="ED247" s="4"/>
      <c r="EE247" s="4"/>
      <c r="EF247" s="4"/>
      <c r="EG247" s="4"/>
      <c r="EH247" s="4"/>
      <c r="EI247" s="5">
        <v>39419</v>
      </c>
    </row>
    <row r="248" spans="1:139" hidden="1" x14ac:dyDescent="0.2">
      <c r="A248">
        <f>VLOOKUP(B248,Sheet1!$A$1:$B$18,2,FALSE)</f>
        <v>0</v>
      </c>
      <c r="B248" t="str">
        <f t="shared" si="3"/>
        <v>AKL</v>
      </c>
      <c r="C248" s="2">
        <v>247</v>
      </c>
      <c r="D248" s="3" t="str">
        <f>HYPERLINK("https://sitebase.nzcomms.co.nz/spm/spmnominalview/AKL-007-062/","AKL-007-062")</f>
        <v>AKL-007-062</v>
      </c>
      <c r="E248" s="4"/>
      <c r="F248" s="3" t="str">
        <f>HYPERLINK("https://sitebase.nzcomms.co.nz/spm/spmcandidateview/AKL-007-062-C/","AKL-007-062-C")</f>
        <v>AKL-007-062-C</v>
      </c>
      <c r="G248" s="4" t="s">
        <v>903</v>
      </c>
      <c r="H248" s="4" t="s">
        <v>745</v>
      </c>
      <c r="I248" s="4"/>
      <c r="J248" s="4" t="s">
        <v>139</v>
      </c>
      <c r="K248" s="4" t="s">
        <v>141</v>
      </c>
      <c r="L248" s="4" t="s">
        <v>150</v>
      </c>
      <c r="M248" s="4" t="s">
        <v>354</v>
      </c>
      <c r="N248" s="4" t="s">
        <v>246</v>
      </c>
      <c r="O248" s="4" t="s">
        <v>356</v>
      </c>
      <c r="P248" s="4"/>
      <c r="Q248" s="4"/>
      <c r="R248" s="4">
        <v>15</v>
      </c>
      <c r="S248" s="4">
        <v>15</v>
      </c>
      <c r="T248" s="4"/>
      <c r="U248" s="4">
        <v>-36.925424599999999</v>
      </c>
      <c r="V248" s="4">
        <v>174.84899103999999</v>
      </c>
      <c r="W248" s="4"/>
      <c r="X248" s="4"/>
      <c r="Y248" s="4"/>
      <c r="Z248" s="4"/>
      <c r="AA248" s="4" t="s">
        <v>483</v>
      </c>
      <c r="AB248" s="4" t="s">
        <v>904</v>
      </c>
      <c r="AC248" s="4"/>
      <c r="AD248" s="4"/>
      <c r="AE248" s="4"/>
      <c r="AF248" s="4"/>
      <c r="AG248" s="4"/>
      <c r="AH248" s="4" t="s">
        <v>905</v>
      </c>
      <c r="AI248" s="4"/>
      <c r="AJ248" s="4"/>
      <c r="AK248" s="4"/>
      <c r="AL248" s="4"/>
      <c r="AM248" s="4"/>
      <c r="AN248" s="5">
        <v>39429</v>
      </c>
      <c r="AO248" s="4">
        <v>3</v>
      </c>
      <c r="AP248" s="5">
        <v>39792</v>
      </c>
      <c r="AQ248" s="5">
        <v>39792</v>
      </c>
      <c r="AR248" s="4"/>
      <c r="AS248" s="4"/>
      <c r="AT248" s="5">
        <v>39503</v>
      </c>
      <c r="AU248" s="5">
        <v>39503</v>
      </c>
      <c r="AV248" s="4">
        <v>1</v>
      </c>
      <c r="AW248" s="5">
        <v>39471</v>
      </c>
      <c r="AX248" s="5">
        <v>39848</v>
      </c>
      <c r="AY248" s="4"/>
      <c r="AZ248" s="4"/>
      <c r="BA248" s="4"/>
      <c r="BB248" s="5">
        <v>39909</v>
      </c>
      <c r="BC248" s="4"/>
      <c r="BD248" s="4"/>
      <c r="BE248" s="5">
        <v>39909</v>
      </c>
      <c r="BF248" s="5">
        <v>39917</v>
      </c>
      <c r="BG248" s="4"/>
      <c r="BH248" s="5">
        <v>39505</v>
      </c>
      <c r="BI248" s="4"/>
      <c r="BJ248" s="5">
        <v>39798</v>
      </c>
      <c r="BK248" s="4">
        <v>2</v>
      </c>
      <c r="BL248" s="4">
        <v>3</v>
      </c>
      <c r="BM248" s="5">
        <v>39798</v>
      </c>
      <c r="BN248" s="5">
        <v>39881</v>
      </c>
      <c r="BO248" s="5">
        <v>39870</v>
      </c>
      <c r="BP248" s="4"/>
      <c r="BQ248" s="4"/>
      <c r="BR248" s="4"/>
      <c r="BS248" s="4"/>
      <c r="BT248" s="5">
        <v>39912</v>
      </c>
      <c r="BU248" s="5">
        <v>39912</v>
      </c>
      <c r="BV248" s="5">
        <v>39927</v>
      </c>
      <c r="BW248" s="5">
        <v>39926</v>
      </c>
      <c r="BX248" s="4"/>
      <c r="BY248" s="5">
        <v>39932</v>
      </c>
      <c r="BZ248" s="5">
        <v>39926</v>
      </c>
      <c r="CA248" s="4"/>
      <c r="CB248" s="4"/>
      <c r="CC248" s="4"/>
      <c r="CD248" s="4"/>
      <c r="CE248" s="4"/>
      <c r="CF248" s="4"/>
      <c r="CG248" s="4"/>
      <c r="CH248" s="4"/>
      <c r="CI248" s="5">
        <v>39954</v>
      </c>
      <c r="CJ248" s="5">
        <v>39954</v>
      </c>
      <c r="CK248" s="5">
        <v>39954</v>
      </c>
      <c r="CL248" s="4"/>
      <c r="CM248" s="4"/>
      <c r="CN248" s="4"/>
      <c r="CO248" s="4"/>
      <c r="CP248" s="4" t="s">
        <v>906</v>
      </c>
      <c r="CQ248" s="4"/>
      <c r="CR248" s="5">
        <v>39954</v>
      </c>
      <c r="CS248" s="4"/>
      <c r="CT248" s="4"/>
      <c r="CU248" s="4"/>
      <c r="CV248" s="4"/>
      <c r="CW248" s="4"/>
      <c r="CX248" s="5">
        <v>39870</v>
      </c>
      <c r="CY248" s="4"/>
      <c r="CZ248" s="4"/>
      <c r="DA248" s="4"/>
      <c r="DB248" s="4"/>
      <c r="DC248" s="4"/>
      <c r="DD248" s="4"/>
      <c r="DE248" s="4"/>
      <c r="DF248" s="4"/>
      <c r="DG248" s="4"/>
      <c r="DH248" s="4"/>
      <c r="DI248" s="4"/>
      <c r="DJ248" s="4" t="b">
        <v>0</v>
      </c>
      <c r="DK248" s="4"/>
      <c r="DL248" s="4">
        <v>2675103</v>
      </c>
      <c r="DM248" s="4">
        <v>6473486</v>
      </c>
      <c r="DN248" s="4" t="s">
        <v>907</v>
      </c>
      <c r="DO248" s="4"/>
      <c r="DP248" s="4"/>
      <c r="DQ248" s="4" t="s">
        <v>148</v>
      </c>
      <c r="DR248" s="4"/>
      <c r="DS248" s="4"/>
      <c r="DT248" s="5">
        <v>41863</v>
      </c>
      <c r="DU248" s="4"/>
      <c r="DV248" s="4"/>
      <c r="DW248" s="4"/>
      <c r="DX248" s="4"/>
      <c r="DY248" s="5">
        <v>39912</v>
      </c>
      <c r="DZ248" s="5">
        <v>39912</v>
      </c>
      <c r="EA248" s="4"/>
      <c r="EB248" s="4"/>
      <c r="EC248" s="4"/>
      <c r="ED248" s="4"/>
      <c r="EE248" s="4"/>
      <c r="EF248" s="4"/>
      <c r="EG248" s="4"/>
      <c r="EH248" s="4"/>
      <c r="EI248" s="5">
        <v>39380</v>
      </c>
    </row>
    <row r="249" spans="1:139" hidden="1" x14ac:dyDescent="0.2">
      <c r="A249">
        <f>VLOOKUP(B249,Sheet1!$A$1:$B$18,2,FALSE)</f>
        <v>0</v>
      </c>
      <c r="B249" t="str">
        <f t="shared" si="3"/>
        <v>AKL</v>
      </c>
      <c r="C249" s="2">
        <v>248</v>
      </c>
      <c r="D249" s="3" t="str">
        <f>HYPERLINK("https://sitebase.nzcomms.co.nz/spm/spmnominalview/AKL-007-063/","AKL-007-063")</f>
        <v>AKL-007-063</v>
      </c>
      <c r="E249" s="4"/>
      <c r="F249" s="3" t="str">
        <f>HYPERLINK("https://sitebase.nzcomms.co.nz/spm/spmcandidateview/AKL-007-063-A/","AKL-007-063-A")</f>
        <v>AKL-007-063-A</v>
      </c>
      <c r="G249" s="4" t="s">
        <v>908</v>
      </c>
      <c r="H249" s="4" t="s">
        <v>745</v>
      </c>
      <c r="I249" s="4"/>
      <c r="J249" s="4" t="s">
        <v>139</v>
      </c>
      <c r="K249" s="4" t="s">
        <v>141</v>
      </c>
      <c r="L249" s="4" t="s">
        <v>150</v>
      </c>
      <c r="M249" s="4" t="s">
        <v>354</v>
      </c>
      <c r="N249" s="4" t="s">
        <v>246</v>
      </c>
      <c r="O249" s="4" t="s">
        <v>144</v>
      </c>
      <c r="P249" s="4"/>
      <c r="Q249" s="4"/>
      <c r="R249" s="4">
        <v>15</v>
      </c>
      <c r="S249" s="4">
        <v>15</v>
      </c>
      <c r="T249" s="4"/>
      <c r="U249" s="4">
        <v>-36.93534434</v>
      </c>
      <c r="V249" s="4">
        <v>174.85183767999999</v>
      </c>
      <c r="W249" s="4"/>
      <c r="X249" s="4"/>
      <c r="Y249" s="4"/>
      <c r="Z249" s="4"/>
      <c r="AA249" s="4" t="s">
        <v>152</v>
      </c>
      <c r="AB249" s="3" t="str">
        <f>HYPERLINK("https://sitebase.nzcomms.co.nz/spm/spmcandidateview/AKL-007-106-A/","AKL-007-106-A")</f>
        <v>AKL-007-106-A</v>
      </c>
      <c r="AC249" s="4"/>
      <c r="AD249" s="4"/>
      <c r="AE249" s="4"/>
      <c r="AF249" s="4"/>
      <c r="AG249" s="4"/>
      <c r="AH249" s="4"/>
      <c r="AI249" s="4"/>
      <c r="AJ249" s="4"/>
      <c r="AK249" s="4"/>
      <c r="AL249" s="4"/>
      <c r="AM249" s="4"/>
      <c r="AN249" s="5">
        <v>39682</v>
      </c>
      <c r="AO249" s="4">
        <v>2</v>
      </c>
      <c r="AP249" s="5">
        <v>39843</v>
      </c>
      <c r="AQ249" s="5">
        <v>39798</v>
      </c>
      <c r="AR249" s="4"/>
      <c r="AS249" s="4"/>
      <c r="AT249" s="5">
        <v>39546</v>
      </c>
      <c r="AU249" s="5">
        <v>39546</v>
      </c>
      <c r="AV249" s="4"/>
      <c r="AW249" s="5">
        <v>39477</v>
      </c>
      <c r="AX249" s="5">
        <v>39546</v>
      </c>
      <c r="AY249" s="4"/>
      <c r="AZ249" s="4"/>
      <c r="BA249" s="4"/>
      <c r="BB249" s="5">
        <v>39927</v>
      </c>
      <c r="BC249" s="4"/>
      <c r="BD249" s="4"/>
      <c r="BE249" s="5">
        <v>39927</v>
      </c>
      <c r="BF249" s="5">
        <v>39926</v>
      </c>
      <c r="BG249" s="4"/>
      <c r="BH249" s="5">
        <v>39707</v>
      </c>
      <c r="BI249" s="4"/>
      <c r="BJ249" s="5">
        <v>39731</v>
      </c>
      <c r="BK249" s="4">
        <v>1</v>
      </c>
      <c r="BL249" s="4">
        <v>1</v>
      </c>
      <c r="BM249" s="5">
        <v>39731</v>
      </c>
      <c r="BN249" s="5">
        <v>39731</v>
      </c>
      <c r="BO249" s="5">
        <v>39892</v>
      </c>
      <c r="BP249" s="4"/>
      <c r="BQ249" s="4"/>
      <c r="BR249" s="4"/>
      <c r="BS249" s="4"/>
      <c r="BT249" s="5">
        <v>39930</v>
      </c>
      <c r="BU249" s="5">
        <v>39930</v>
      </c>
      <c r="BV249" s="5">
        <v>39955</v>
      </c>
      <c r="BW249" s="5">
        <v>39954</v>
      </c>
      <c r="BX249" s="4"/>
      <c r="BY249" s="5">
        <v>39955</v>
      </c>
      <c r="BZ249" s="5">
        <v>39945</v>
      </c>
      <c r="CA249" s="4"/>
      <c r="CB249" s="4"/>
      <c r="CC249" s="4"/>
      <c r="CD249" s="4"/>
      <c r="CE249" s="4"/>
      <c r="CF249" s="4"/>
      <c r="CG249" s="4"/>
      <c r="CH249" s="4"/>
      <c r="CI249" s="5">
        <v>39969</v>
      </c>
      <c r="CJ249" s="5">
        <v>39976</v>
      </c>
      <c r="CK249" s="5">
        <v>39969</v>
      </c>
      <c r="CL249" s="4"/>
      <c r="CM249" s="4"/>
      <c r="CN249" s="4"/>
      <c r="CO249" s="4"/>
      <c r="CP249" s="4" t="s">
        <v>909</v>
      </c>
      <c r="CQ249" s="4"/>
      <c r="CR249" s="5">
        <v>39976</v>
      </c>
      <c r="CS249" s="4"/>
      <c r="CT249" s="4"/>
      <c r="CU249" s="4"/>
      <c r="CV249" s="4"/>
      <c r="CW249" s="5">
        <v>39899</v>
      </c>
      <c r="CX249" s="5">
        <v>39892</v>
      </c>
      <c r="CY249" s="4"/>
      <c r="CZ249" s="4"/>
      <c r="DA249" s="4"/>
      <c r="DB249" s="4"/>
      <c r="DC249" s="4"/>
      <c r="DD249" s="4"/>
      <c r="DE249" s="4"/>
      <c r="DF249" s="4"/>
      <c r="DG249" s="4"/>
      <c r="DH249" s="4"/>
      <c r="DI249" s="4"/>
      <c r="DJ249" s="4" t="b">
        <v>0</v>
      </c>
      <c r="DK249" s="4"/>
      <c r="DL249" s="4">
        <v>2675333</v>
      </c>
      <c r="DM249" s="4">
        <v>6472380</v>
      </c>
      <c r="DN249" s="4" t="s">
        <v>910</v>
      </c>
      <c r="DO249" s="4"/>
      <c r="DP249" s="4"/>
      <c r="DQ249" s="4" t="s">
        <v>148</v>
      </c>
      <c r="DR249" s="4"/>
      <c r="DS249" s="4"/>
      <c r="DT249" s="5">
        <v>41863</v>
      </c>
      <c r="DU249" s="4"/>
      <c r="DV249" s="4"/>
      <c r="DW249" s="4"/>
      <c r="DX249" s="4"/>
      <c r="DY249" s="5">
        <v>39930</v>
      </c>
      <c r="DZ249" s="5">
        <v>39930</v>
      </c>
      <c r="EA249" s="4"/>
      <c r="EB249" s="4"/>
      <c r="EC249" s="4"/>
      <c r="ED249" s="4"/>
      <c r="EE249" s="4"/>
      <c r="EF249" s="4"/>
      <c r="EG249" s="4"/>
      <c r="EH249" s="4"/>
      <c r="EI249" s="5">
        <v>39672</v>
      </c>
    </row>
    <row r="250" spans="1:139" hidden="1" x14ac:dyDescent="0.2">
      <c r="A250">
        <f>VLOOKUP(B250,Sheet1!$A$1:$B$18,2,FALSE)</f>
        <v>0</v>
      </c>
      <c r="B250" t="str">
        <f t="shared" si="3"/>
        <v>AKL</v>
      </c>
      <c r="C250" s="2">
        <v>249</v>
      </c>
      <c r="D250" s="3" t="str">
        <f>HYPERLINK("https://sitebase.nzcomms.co.nz/spm/spmnominalview/AKL-007-065/","AKL-007-065")</f>
        <v>AKL-007-065</v>
      </c>
      <c r="E250" s="4"/>
      <c r="F250" s="3" t="str">
        <f>HYPERLINK("https://sitebase.nzcomms.co.nz/spm/spmcandidateview/AKL-007-065-D/","AKL-007-065-D")</f>
        <v>AKL-007-065-D</v>
      </c>
      <c r="G250" s="4" t="s">
        <v>911</v>
      </c>
      <c r="H250" s="4" t="s">
        <v>745</v>
      </c>
      <c r="I250" s="4"/>
      <c r="J250" s="4" t="s">
        <v>139</v>
      </c>
      <c r="K250" s="4" t="s">
        <v>141</v>
      </c>
      <c r="L250" s="4" t="s">
        <v>150</v>
      </c>
      <c r="M250" s="4" t="s">
        <v>354</v>
      </c>
      <c r="N250" s="4" t="s">
        <v>291</v>
      </c>
      <c r="O250" s="4" t="s">
        <v>144</v>
      </c>
      <c r="P250" s="4"/>
      <c r="Q250" s="4"/>
      <c r="R250" s="4">
        <v>15</v>
      </c>
      <c r="S250" s="4">
        <v>15</v>
      </c>
      <c r="T250" s="4"/>
      <c r="U250" s="4">
        <v>-36.83618628</v>
      </c>
      <c r="V250" s="4">
        <v>174.74171812</v>
      </c>
      <c r="W250" s="4"/>
      <c r="X250" s="4"/>
      <c r="Y250" s="4"/>
      <c r="Z250" s="4"/>
      <c r="AA250" s="4" t="s">
        <v>171</v>
      </c>
      <c r="AB250" s="3" t="str">
        <f>HYPERLINK("https://sitebase.nzcomms.co.nz/spm/spmcandidateview/AKL-007-112-A/","AKL-007-112-A")</f>
        <v>AKL-007-112-A</v>
      </c>
      <c r="AC250" s="4"/>
      <c r="AD250" s="4"/>
      <c r="AE250" s="4"/>
      <c r="AF250" s="4"/>
      <c r="AG250" s="4"/>
      <c r="AH250" s="4" t="s">
        <v>365</v>
      </c>
      <c r="AI250" s="4"/>
      <c r="AJ250" s="4"/>
      <c r="AK250" s="4"/>
      <c r="AL250" s="4"/>
      <c r="AM250" s="4"/>
      <c r="AN250" s="5">
        <v>39805</v>
      </c>
      <c r="AO250" s="4">
        <v>2</v>
      </c>
      <c r="AP250" s="5">
        <v>39805</v>
      </c>
      <c r="AQ250" s="5">
        <v>41515</v>
      </c>
      <c r="AR250" s="4"/>
      <c r="AS250" s="4"/>
      <c r="AT250" s="5">
        <v>39864</v>
      </c>
      <c r="AU250" s="5">
        <v>39855</v>
      </c>
      <c r="AV250" s="4"/>
      <c r="AW250" s="5">
        <v>39878</v>
      </c>
      <c r="AX250" s="5">
        <v>39884</v>
      </c>
      <c r="AY250" s="4"/>
      <c r="AZ250" s="5">
        <v>39819</v>
      </c>
      <c r="BA250" s="4"/>
      <c r="BB250" s="5">
        <v>39920</v>
      </c>
      <c r="BC250" s="4"/>
      <c r="BD250" s="4"/>
      <c r="BE250" s="5">
        <v>39920</v>
      </c>
      <c r="BF250" s="5">
        <v>39912</v>
      </c>
      <c r="BG250" s="5">
        <v>39843</v>
      </c>
      <c r="BH250" s="5">
        <v>39833</v>
      </c>
      <c r="BI250" s="4"/>
      <c r="BJ250" s="5">
        <v>39911</v>
      </c>
      <c r="BK250" s="4">
        <v>1</v>
      </c>
      <c r="BL250" s="4">
        <v>1</v>
      </c>
      <c r="BM250" s="5">
        <v>39907</v>
      </c>
      <c r="BN250" s="5">
        <v>39911</v>
      </c>
      <c r="BO250" s="5">
        <v>39846</v>
      </c>
      <c r="BP250" s="4"/>
      <c r="BQ250" s="4"/>
      <c r="BR250" s="4"/>
      <c r="BS250" s="4"/>
      <c r="BT250" s="5">
        <v>39923</v>
      </c>
      <c r="BU250" s="5">
        <v>39923</v>
      </c>
      <c r="BV250" s="5">
        <v>39962</v>
      </c>
      <c r="BW250" s="5">
        <v>39961</v>
      </c>
      <c r="BX250" s="4"/>
      <c r="BY250" s="5">
        <v>39987</v>
      </c>
      <c r="BZ250" s="5">
        <v>39988</v>
      </c>
      <c r="CA250" s="4"/>
      <c r="CB250" s="4"/>
      <c r="CC250" s="4"/>
      <c r="CD250" s="4"/>
      <c r="CE250" s="4"/>
      <c r="CF250" s="4"/>
      <c r="CG250" s="4"/>
      <c r="CH250" s="4"/>
      <c r="CI250" s="5">
        <v>39988</v>
      </c>
      <c r="CJ250" s="5">
        <v>39988</v>
      </c>
      <c r="CK250" s="5">
        <v>39988</v>
      </c>
      <c r="CL250" s="4"/>
      <c r="CM250" s="4"/>
      <c r="CN250" s="4"/>
      <c r="CO250" s="4"/>
      <c r="CP250" s="4" t="s">
        <v>912</v>
      </c>
      <c r="CQ250" s="4"/>
      <c r="CR250" s="5">
        <v>39988</v>
      </c>
      <c r="CS250" s="4"/>
      <c r="CT250" s="4"/>
      <c r="CU250" s="4"/>
      <c r="CV250" s="4"/>
      <c r="CW250" s="5">
        <v>39834</v>
      </c>
      <c r="CX250" s="5">
        <v>39846</v>
      </c>
      <c r="CY250" s="4"/>
      <c r="CZ250" s="4"/>
      <c r="DA250" s="4"/>
      <c r="DB250" s="4"/>
      <c r="DC250" s="4"/>
      <c r="DD250" s="4"/>
      <c r="DE250" s="4"/>
      <c r="DF250" s="4"/>
      <c r="DG250" s="4"/>
      <c r="DH250" s="4"/>
      <c r="DI250" s="4"/>
      <c r="DJ250" s="4" t="b">
        <v>0</v>
      </c>
      <c r="DK250" s="4"/>
      <c r="DL250" s="4">
        <v>2665748</v>
      </c>
      <c r="DM250" s="4">
        <v>6483586</v>
      </c>
      <c r="DN250" s="4" t="s">
        <v>913</v>
      </c>
      <c r="DO250" s="4"/>
      <c r="DP250" s="4"/>
      <c r="DQ250" s="4" t="s">
        <v>148</v>
      </c>
      <c r="DR250" s="4"/>
      <c r="DS250" s="4"/>
      <c r="DT250" s="5">
        <v>41806</v>
      </c>
      <c r="DU250" s="4"/>
      <c r="DV250" s="4"/>
      <c r="DW250" s="4"/>
      <c r="DX250" s="4"/>
      <c r="DY250" s="5">
        <v>39923</v>
      </c>
      <c r="DZ250" s="5">
        <v>39923</v>
      </c>
      <c r="EA250" s="4"/>
      <c r="EB250" s="4"/>
      <c r="EC250" s="4"/>
      <c r="ED250" s="4"/>
      <c r="EE250" s="4"/>
      <c r="EF250" s="4"/>
      <c r="EG250" s="4"/>
      <c r="EH250" s="4"/>
      <c r="EI250" s="5">
        <v>39791</v>
      </c>
    </row>
    <row r="251" spans="1:139" hidden="1" x14ac:dyDescent="0.2">
      <c r="A251">
        <f>VLOOKUP(B251,Sheet1!$A$1:$B$18,2,FALSE)</f>
        <v>0</v>
      </c>
      <c r="B251" t="str">
        <f t="shared" si="3"/>
        <v>AKL</v>
      </c>
      <c r="C251" s="2">
        <v>250</v>
      </c>
      <c r="D251" s="3" t="str">
        <f>HYPERLINK("https://sitebase.nzcomms.co.nz/spm/spmnominalview/AKL-007-068/","AKL-007-068")</f>
        <v>AKL-007-068</v>
      </c>
      <c r="E251" s="4"/>
      <c r="F251" s="3" t="str">
        <f>HYPERLINK("https://sitebase.nzcomms.co.nz/spm/spmcandidateview/AKL-007-068-B/","AKL-007-068-B")</f>
        <v>AKL-007-068-B</v>
      </c>
      <c r="G251" s="4" t="s">
        <v>914</v>
      </c>
      <c r="H251" s="4" t="s">
        <v>745</v>
      </c>
      <c r="I251" s="4"/>
      <c r="J251" s="4" t="s">
        <v>139</v>
      </c>
      <c r="K251" s="4" t="s">
        <v>141</v>
      </c>
      <c r="L251" s="4" t="s">
        <v>181</v>
      </c>
      <c r="M251" s="4" t="s">
        <v>442</v>
      </c>
      <c r="N251" s="4" t="s">
        <v>364</v>
      </c>
      <c r="O251" s="4" t="s">
        <v>144</v>
      </c>
      <c r="P251" s="4"/>
      <c r="Q251" s="4"/>
      <c r="R251" s="4"/>
      <c r="S251" s="4"/>
      <c r="T251" s="4"/>
      <c r="U251" s="4">
        <v>-36.869637830000002</v>
      </c>
      <c r="V251" s="4">
        <v>174.87474391999999</v>
      </c>
      <c r="W251" s="4"/>
      <c r="X251" s="4"/>
      <c r="Y251" s="4"/>
      <c r="Z251" s="4"/>
      <c r="AA251" s="4" t="s">
        <v>152</v>
      </c>
      <c r="AB251" s="3" t="str">
        <f>HYPERLINK("https://sitebase.nzcomms.co.nz/spm/spmcandidateview/AKL-007-106-A/","AKL-007-106-A")</f>
        <v>AKL-007-106-A</v>
      </c>
      <c r="AC251" s="4"/>
      <c r="AD251" s="4"/>
      <c r="AE251" s="4"/>
      <c r="AF251" s="4"/>
      <c r="AG251" s="4"/>
      <c r="AH251" s="4"/>
      <c r="AI251" s="4"/>
      <c r="AJ251" s="4"/>
      <c r="AK251" s="4"/>
      <c r="AL251" s="4"/>
      <c r="AM251" s="4"/>
      <c r="AN251" s="5">
        <v>39584</v>
      </c>
      <c r="AO251" s="4">
        <v>3</v>
      </c>
      <c r="AP251" s="5">
        <v>39917</v>
      </c>
      <c r="AQ251" s="5">
        <v>39923</v>
      </c>
      <c r="AR251" s="4"/>
      <c r="AS251" s="4"/>
      <c r="AT251" s="5">
        <v>39629</v>
      </c>
      <c r="AU251" s="5">
        <v>39594</v>
      </c>
      <c r="AV251" s="4">
        <v>1</v>
      </c>
      <c r="AW251" s="5">
        <v>39933</v>
      </c>
      <c r="AX251" s="5">
        <v>39594</v>
      </c>
      <c r="AY251" s="4"/>
      <c r="AZ251" s="5">
        <v>39763</v>
      </c>
      <c r="BA251" s="4"/>
      <c r="BB251" s="5">
        <v>39843</v>
      </c>
      <c r="BC251" s="4"/>
      <c r="BD251" s="4"/>
      <c r="BE251" s="5">
        <v>39835</v>
      </c>
      <c r="BF251" s="5">
        <v>39835</v>
      </c>
      <c r="BG251" s="4"/>
      <c r="BH251" s="5">
        <v>39668</v>
      </c>
      <c r="BI251" s="4"/>
      <c r="BJ251" s="5">
        <v>39710</v>
      </c>
      <c r="BK251" s="4">
        <v>1</v>
      </c>
      <c r="BL251" s="4">
        <v>1</v>
      </c>
      <c r="BM251" s="5">
        <v>39710</v>
      </c>
      <c r="BN251" s="5">
        <v>39710</v>
      </c>
      <c r="BO251" s="4"/>
      <c r="BP251" s="4"/>
      <c r="BQ251" s="4"/>
      <c r="BR251" s="4"/>
      <c r="BS251" s="4"/>
      <c r="BT251" s="4"/>
      <c r="BU251" s="5">
        <v>39847</v>
      </c>
      <c r="BV251" s="5">
        <v>39871</v>
      </c>
      <c r="BW251" s="5">
        <v>39869</v>
      </c>
      <c r="BX251" s="4"/>
      <c r="BY251" s="5">
        <v>39885</v>
      </c>
      <c r="BZ251" s="5">
        <v>39885</v>
      </c>
      <c r="CA251" s="4"/>
      <c r="CB251" s="4"/>
      <c r="CC251" s="4"/>
      <c r="CD251" s="4"/>
      <c r="CE251" s="4"/>
      <c r="CF251" s="4"/>
      <c r="CG251" s="4"/>
      <c r="CH251" s="4"/>
      <c r="CI251" s="5">
        <v>39932</v>
      </c>
      <c r="CJ251" s="5">
        <v>39939</v>
      </c>
      <c r="CK251" s="5">
        <v>39932</v>
      </c>
      <c r="CL251" s="4"/>
      <c r="CM251" s="4"/>
      <c r="CN251" s="4"/>
      <c r="CO251" s="4"/>
      <c r="CP251" s="4" t="s">
        <v>157</v>
      </c>
      <c r="CQ251" s="4"/>
      <c r="CR251" s="5">
        <v>39939</v>
      </c>
      <c r="CS251" s="4"/>
      <c r="CT251" s="4"/>
      <c r="CU251" s="4"/>
      <c r="CV251" s="4"/>
      <c r="CW251" s="4"/>
      <c r="CX251" s="4"/>
      <c r="CY251" s="4"/>
      <c r="CZ251" s="4"/>
      <c r="DA251" s="4"/>
      <c r="DB251" s="4"/>
      <c r="DC251" s="4"/>
      <c r="DD251" s="4"/>
      <c r="DE251" s="4"/>
      <c r="DF251" s="4"/>
      <c r="DG251" s="4"/>
      <c r="DH251" s="4"/>
      <c r="DI251" s="4"/>
      <c r="DJ251" s="4" t="b">
        <v>0</v>
      </c>
      <c r="DK251" s="4"/>
      <c r="DL251" s="4">
        <v>2677531</v>
      </c>
      <c r="DM251" s="4">
        <v>6479626</v>
      </c>
      <c r="DN251" s="4" t="s">
        <v>915</v>
      </c>
      <c r="DO251" s="4"/>
      <c r="DP251" s="4"/>
      <c r="DQ251" s="4" t="s">
        <v>148</v>
      </c>
      <c r="DR251" s="4"/>
      <c r="DS251" s="4"/>
      <c r="DT251" s="4"/>
      <c r="DU251" s="4"/>
      <c r="DV251" s="4"/>
      <c r="DW251" s="4"/>
      <c r="DX251" s="4"/>
      <c r="DY251" s="4"/>
      <c r="DZ251" s="5">
        <v>39843</v>
      </c>
      <c r="EA251" s="4"/>
      <c r="EB251" s="4"/>
      <c r="EC251" s="4"/>
      <c r="ED251" s="4"/>
      <c r="EE251" s="4"/>
      <c r="EF251" s="4"/>
      <c r="EG251" s="4"/>
      <c r="EH251" s="4"/>
      <c r="EI251" s="5">
        <v>39478</v>
      </c>
    </row>
    <row r="252" spans="1:139" hidden="1" x14ac:dyDescent="0.2">
      <c r="A252">
        <f>VLOOKUP(B252,Sheet1!$A$1:$B$18,2,FALSE)</f>
        <v>0</v>
      </c>
      <c r="B252" t="str">
        <f t="shared" si="3"/>
        <v>AKL</v>
      </c>
      <c r="C252" s="2">
        <v>251</v>
      </c>
      <c r="D252" s="3" t="str">
        <f>HYPERLINK("https://sitebase.nzcomms.co.nz/spm/spmnominalview/AKL-007-069/","AKL-007-069")</f>
        <v>AKL-007-069</v>
      </c>
      <c r="E252" s="4"/>
      <c r="F252" s="3" t="str">
        <f>HYPERLINK("https://sitebase.nzcomms.co.nz/spm/spmcandidateview/AKL-007-069-B/","AKL-007-069-B")</f>
        <v>AKL-007-069-B</v>
      </c>
      <c r="G252" s="4" t="s">
        <v>916</v>
      </c>
      <c r="H252" s="4" t="s">
        <v>745</v>
      </c>
      <c r="I252" s="4"/>
      <c r="J252" s="4" t="s">
        <v>139</v>
      </c>
      <c r="K252" s="4" t="s">
        <v>141</v>
      </c>
      <c r="L252" s="4" t="s">
        <v>189</v>
      </c>
      <c r="M252" s="4" t="s">
        <v>354</v>
      </c>
      <c r="N252" s="4" t="s">
        <v>355</v>
      </c>
      <c r="O252" s="4" t="s">
        <v>356</v>
      </c>
      <c r="P252" s="4"/>
      <c r="Q252" s="4"/>
      <c r="R252" s="4">
        <v>13.5</v>
      </c>
      <c r="S252" s="4">
        <v>13.5</v>
      </c>
      <c r="T252" s="4"/>
      <c r="U252" s="4">
        <v>-36.852675869999999</v>
      </c>
      <c r="V252" s="4">
        <v>174.74529652999999</v>
      </c>
      <c r="W252" s="4"/>
      <c r="X252" s="4"/>
      <c r="Y252" s="4"/>
      <c r="Z252" s="4"/>
      <c r="AA252" s="4" t="s">
        <v>171</v>
      </c>
      <c r="AB252" s="3" t="str">
        <f>HYPERLINK("https://sitebase.nzcomms.co.nz/spm/spmcandidateview/AKL-007-015-C/","AKL-007-015-C")</f>
        <v>AKL-007-015-C</v>
      </c>
      <c r="AC252" s="4"/>
      <c r="AD252" s="4"/>
      <c r="AE252" s="4"/>
      <c r="AF252" s="4"/>
      <c r="AG252" s="4"/>
      <c r="AH252" s="4" t="s">
        <v>395</v>
      </c>
      <c r="AI252" s="4"/>
      <c r="AJ252" s="4"/>
      <c r="AK252" s="4"/>
      <c r="AL252" s="4"/>
      <c r="AM252" s="4"/>
      <c r="AN252" s="5">
        <v>39703</v>
      </c>
      <c r="AO252" s="4">
        <v>4</v>
      </c>
      <c r="AP252" s="5">
        <v>39805</v>
      </c>
      <c r="AQ252" s="5">
        <v>39806</v>
      </c>
      <c r="AR252" s="4"/>
      <c r="AS252" s="4"/>
      <c r="AT252" s="5">
        <v>39871</v>
      </c>
      <c r="AU252" s="5">
        <v>39843</v>
      </c>
      <c r="AV252" s="4">
        <v>4</v>
      </c>
      <c r="AW252" s="5">
        <v>39902</v>
      </c>
      <c r="AX252" s="5">
        <v>39902</v>
      </c>
      <c r="AY252" s="4"/>
      <c r="AZ252" s="5">
        <v>39696</v>
      </c>
      <c r="BA252" s="4"/>
      <c r="BB252" s="5">
        <v>39892</v>
      </c>
      <c r="BC252" s="4"/>
      <c r="BD252" s="4"/>
      <c r="BE252" s="5">
        <v>39892</v>
      </c>
      <c r="BF252" s="5">
        <v>39884</v>
      </c>
      <c r="BG252" s="4"/>
      <c r="BH252" s="5">
        <v>39786</v>
      </c>
      <c r="BI252" s="4"/>
      <c r="BJ252" s="5">
        <v>39799</v>
      </c>
      <c r="BK252" s="4">
        <v>3</v>
      </c>
      <c r="BL252" s="4">
        <v>4</v>
      </c>
      <c r="BM252" s="5">
        <v>39806</v>
      </c>
      <c r="BN252" s="5">
        <v>39806</v>
      </c>
      <c r="BO252" s="5">
        <v>39896</v>
      </c>
      <c r="BP252" s="4"/>
      <c r="BQ252" s="4"/>
      <c r="BR252" s="4"/>
      <c r="BS252" s="4"/>
      <c r="BT252" s="5">
        <v>39902</v>
      </c>
      <c r="BU252" s="5">
        <v>39902</v>
      </c>
      <c r="BV252" s="5">
        <v>39931</v>
      </c>
      <c r="BW252" s="5">
        <v>39931</v>
      </c>
      <c r="BX252" s="4"/>
      <c r="BY252" s="5">
        <v>39939</v>
      </c>
      <c r="BZ252" s="5">
        <v>39934</v>
      </c>
      <c r="CA252" s="4"/>
      <c r="CB252" s="4"/>
      <c r="CC252" s="4"/>
      <c r="CD252" s="4"/>
      <c r="CE252" s="4"/>
      <c r="CF252" s="4"/>
      <c r="CG252" s="4"/>
      <c r="CH252" s="4"/>
      <c r="CI252" s="5">
        <v>39955</v>
      </c>
      <c r="CJ252" s="5">
        <v>39955</v>
      </c>
      <c r="CK252" s="5">
        <v>39955</v>
      </c>
      <c r="CL252" s="4"/>
      <c r="CM252" s="4"/>
      <c r="CN252" s="4"/>
      <c r="CO252" s="4"/>
      <c r="CP252" s="4" t="s">
        <v>917</v>
      </c>
      <c r="CQ252" s="4"/>
      <c r="CR252" s="5">
        <v>39955</v>
      </c>
      <c r="CS252" s="4"/>
      <c r="CT252" s="4"/>
      <c r="CU252" s="4"/>
      <c r="CV252" s="4"/>
      <c r="CW252" s="5">
        <v>39899</v>
      </c>
      <c r="CX252" s="5">
        <v>39896</v>
      </c>
      <c r="CY252" s="4"/>
      <c r="CZ252" s="4"/>
      <c r="DA252" s="4"/>
      <c r="DB252" s="4"/>
      <c r="DC252" s="4"/>
      <c r="DD252" s="4"/>
      <c r="DE252" s="4"/>
      <c r="DF252" s="4"/>
      <c r="DG252" s="4"/>
      <c r="DH252" s="4"/>
      <c r="DI252" s="4"/>
      <c r="DJ252" s="4" t="b">
        <v>0</v>
      </c>
      <c r="DK252" s="4"/>
      <c r="DL252" s="4">
        <v>2666030</v>
      </c>
      <c r="DM252" s="4">
        <v>6481750</v>
      </c>
      <c r="DN252" s="4" t="s">
        <v>918</v>
      </c>
      <c r="DO252" s="4"/>
      <c r="DP252" s="4"/>
      <c r="DQ252" s="4" t="s">
        <v>148</v>
      </c>
      <c r="DR252" s="4"/>
      <c r="DS252" s="4"/>
      <c r="DT252" s="5">
        <v>41806</v>
      </c>
      <c r="DU252" s="4"/>
      <c r="DV252" s="4"/>
      <c r="DW252" s="4"/>
      <c r="DX252" s="4"/>
      <c r="DY252" s="5">
        <v>39902</v>
      </c>
      <c r="DZ252" s="5">
        <v>39902</v>
      </c>
      <c r="EA252" s="4"/>
      <c r="EB252" s="4"/>
      <c r="EC252" s="4"/>
      <c r="ED252" s="4"/>
      <c r="EE252" s="4"/>
      <c r="EF252" s="4"/>
      <c r="EG252" s="4"/>
      <c r="EH252" s="4"/>
      <c r="EI252" s="5">
        <v>39687</v>
      </c>
    </row>
    <row r="253" spans="1:139" hidden="1" x14ac:dyDescent="0.2">
      <c r="A253">
        <f>VLOOKUP(B253,Sheet1!$A$1:$B$18,2,FALSE)</f>
        <v>0</v>
      </c>
      <c r="B253" t="str">
        <f t="shared" si="3"/>
        <v>AKL</v>
      </c>
      <c r="C253" s="2">
        <v>252</v>
      </c>
      <c r="D253" s="3" t="str">
        <f>HYPERLINK("https://sitebase.nzcomms.co.nz/spm/spmnominalview/AKL-007-070/","AKL-007-070")</f>
        <v>AKL-007-070</v>
      </c>
      <c r="E253" s="4"/>
      <c r="F253" s="3" t="str">
        <f>HYPERLINK("https://sitebase.nzcomms.co.nz/spm/spmcandidateview/AKL-007-070-C/","AKL-007-070-C")</f>
        <v>AKL-007-070-C</v>
      </c>
      <c r="G253" s="4" t="s">
        <v>919</v>
      </c>
      <c r="H253" s="4" t="s">
        <v>745</v>
      </c>
      <c r="I253" s="4"/>
      <c r="J253" s="4" t="s">
        <v>139</v>
      </c>
      <c r="K253" s="4" t="s">
        <v>141</v>
      </c>
      <c r="L253" s="4" t="s">
        <v>189</v>
      </c>
      <c r="M253" s="4" t="s">
        <v>354</v>
      </c>
      <c r="N253" s="4" t="s">
        <v>355</v>
      </c>
      <c r="O253" s="4" t="s">
        <v>144</v>
      </c>
      <c r="P253" s="4"/>
      <c r="Q253" s="4"/>
      <c r="R253" s="4">
        <v>10</v>
      </c>
      <c r="S253" s="4">
        <v>10</v>
      </c>
      <c r="T253" s="4"/>
      <c r="U253" s="4">
        <v>-36.854444809999997</v>
      </c>
      <c r="V253" s="4">
        <v>174.71843505999999</v>
      </c>
      <c r="W253" s="4"/>
      <c r="X253" s="4"/>
      <c r="Y253" s="4"/>
      <c r="Z253" s="4"/>
      <c r="AA253" s="4" t="s">
        <v>382</v>
      </c>
      <c r="AB253" s="4" t="s">
        <v>920</v>
      </c>
      <c r="AC253" s="4"/>
      <c r="AD253" s="4"/>
      <c r="AE253" s="4"/>
      <c r="AF253" s="4"/>
      <c r="AG253" s="4"/>
      <c r="AH253" s="4"/>
      <c r="AI253" s="4"/>
      <c r="AJ253" s="4"/>
      <c r="AK253" s="4"/>
      <c r="AL253" s="4"/>
      <c r="AM253" s="4"/>
      <c r="AN253" s="5">
        <v>39310</v>
      </c>
      <c r="AO253" s="4">
        <v>4</v>
      </c>
      <c r="AP253" s="5">
        <v>39532</v>
      </c>
      <c r="AQ253" s="5">
        <v>39532</v>
      </c>
      <c r="AR253" s="4"/>
      <c r="AS253" s="4"/>
      <c r="AT253" s="5">
        <v>39629</v>
      </c>
      <c r="AU253" s="5">
        <v>39622</v>
      </c>
      <c r="AV253" s="4">
        <v>4</v>
      </c>
      <c r="AW253" s="5">
        <v>39629</v>
      </c>
      <c r="AX253" s="5">
        <v>39622</v>
      </c>
      <c r="AY253" s="4"/>
      <c r="AZ253" s="4"/>
      <c r="BA253" s="4"/>
      <c r="BB253" s="5">
        <v>39519</v>
      </c>
      <c r="BC253" s="4"/>
      <c r="BD253" s="4"/>
      <c r="BE253" s="5">
        <v>39519</v>
      </c>
      <c r="BF253" s="5">
        <v>39519</v>
      </c>
      <c r="BG253" s="4"/>
      <c r="BH253" s="5">
        <v>39504</v>
      </c>
      <c r="BI253" s="4"/>
      <c r="BJ253" s="5">
        <v>39532</v>
      </c>
      <c r="BK253" s="4">
        <v>1</v>
      </c>
      <c r="BL253" s="4">
        <v>4</v>
      </c>
      <c r="BM253" s="5">
        <v>39532</v>
      </c>
      <c r="BN253" s="5">
        <v>39532</v>
      </c>
      <c r="BO253" s="4"/>
      <c r="BP253" s="4"/>
      <c r="BQ253" s="4"/>
      <c r="BR253" s="4"/>
      <c r="BS253" s="4"/>
      <c r="BT253" s="4"/>
      <c r="BU253" s="5">
        <v>39765</v>
      </c>
      <c r="BV253" s="5">
        <v>39780</v>
      </c>
      <c r="BW253" s="5">
        <v>39780</v>
      </c>
      <c r="BX253" s="4"/>
      <c r="BY253" s="5">
        <v>39794</v>
      </c>
      <c r="BZ253" s="5">
        <v>39787</v>
      </c>
      <c r="CA253" s="4"/>
      <c r="CB253" s="4"/>
      <c r="CC253" s="4"/>
      <c r="CD253" s="4"/>
      <c r="CE253" s="4"/>
      <c r="CF253" s="4"/>
      <c r="CG253" s="4"/>
      <c r="CH253" s="4"/>
      <c r="CI253" s="5">
        <v>39881</v>
      </c>
      <c r="CJ253" s="5">
        <v>39885</v>
      </c>
      <c r="CK253" s="5">
        <v>39881</v>
      </c>
      <c r="CL253" s="4"/>
      <c r="CM253" s="4"/>
      <c r="CN253" s="4"/>
      <c r="CO253" s="4"/>
      <c r="CP253" s="4" t="s">
        <v>921</v>
      </c>
      <c r="CQ253" s="4"/>
      <c r="CR253" s="5">
        <v>39885</v>
      </c>
      <c r="CS253" s="4"/>
      <c r="CT253" s="4"/>
      <c r="CU253" s="4"/>
      <c r="CV253" s="4"/>
      <c r="CW253" s="4"/>
      <c r="CX253" s="4"/>
      <c r="CY253" s="4"/>
      <c r="CZ253" s="4"/>
      <c r="DA253" s="4"/>
      <c r="DB253" s="4"/>
      <c r="DC253" s="4"/>
      <c r="DD253" s="4"/>
      <c r="DE253" s="4"/>
      <c r="DF253" s="4"/>
      <c r="DG253" s="4"/>
      <c r="DH253" s="4"/>
      <c r="DI253" s="4"/>
      <c r="DJ253" s="4" t="b">
        <v>0</v>
      </c>
      <c r="DK253" s="4"/>
      <c r="DL253" s="4">
        <v>2663631</v>
      </c>
      <c r="DM253" s="4">
        <v>6481602</v>
      </c>
      <c r="DN253" s="4" t="s">
        <v>922</v>
      </c>
      <c r="DO253" s="4"/>
      <c r="DP253" s="4"/>
      <c r="DQ253" s="4" t="s">
        <v>148</v>
      </c>
      <c r="DR253" s="4"/>
      <c r="DS253" s="4"/>
      <c r="DT253" s="5">
        <v>41806</v>
      </c>
      <c r="DU253" s="4"/>
      <c r="DV253" s="4"/>
      <c r="DW253" s="4"/>
      <c r="DX253" s="4"/>
      <c r="DY253" s="4"/>
      <c r="DZ253" s="5">
        <v>39710</v>
      </c>
      <c r="EA253" s="4"/>
      <c r="EB253" s="4"/>
      <c r="EC253" s="4"/>
      <c r="ED253" s="4"/>
      <c r="EE253" s="4"/>
      <c r="EF253" s="4"/>
      <c r="EG253" s="4"/>
      <c r="EH253" s="4"/>
      <c r="EI253" s="5">
        <v>39287</v>
      </c>
    </row>
    <row r="254" spans="1:139" hidden="1" x14ac:dyDescent="0.2">
      <c r="A254">
        <f>VLOOKUP(B254,Sheet1!$A$1:$B$18,2,FALSE)</f>
        <v>0</v>
      </c>
      <c r="B254" t="str">
        <f t="shared" si="3"/>
        <v>AKL</v>
      </c>
      <c r="C254" s="2">
        <v>253</v>
      </c>
      <c r="D254" s="3" t="str">
        <f>HYPERLINK("https://sitebase.nzcomms.co.nz/spm/spmnominalview/AKL-007-071/","AKL-007-071")</f>
        <v>AKL-007-071</v>
      </c>
      <c r="E254" s="4"/>
      <c r="F254" s="3" t="str">
        <f>HYPERLINK("https://sitebase.nzcomms.co.nz/spm/spmcandidateview/AKL-007-071-A/","AKL-007-071-A")</f>
        <v>AKL-007-071-A</v>
      </c>
      <c r="G254" s="4" t="s">
        <v>923</v>
      </c>
      <c r="H254" s="4" t="s">
        <v>745</v>
      </c>
      <c r="I254" s="4"/>
      <c r="J254" s="4" t="s">
        <v>139</v>
      </c>
      <c r="K254" s="4" t="s">
        <v>141</v>
      </c>
      <c r="L254" s="4" t="s">
        <v>181</v>
      </c>
      <c r="M254" s="4" t="s">
        <v>378</v>
      </c>
      <c r="N254" s="4" t="s">
        <v>364</v>
      </c>
      <c r="O254" s="4" t="s">
        <v>144</v>
      </c>
      <c r="P254" s="4"/>
      <c r="Q254" s="4"/>
      <c r="R254" s="4">
        <v>12.9</v>
      </c>
      <c r="S254" s="4">
        <v>12.9</v>
      </c>
      <c r="T254" s="4"/>
      <c r="U254" s="4">
        <v>-36.865143199999999</v>
      </c>
      <c r="V254" s="4">
        <v>174.74681167</v>
      </c>
      <c r="W254" s="4"/>
      <c r="X254" s="4"/>
      <c r="Y254" s="4"/>
      <c r="Z254" s="4"/>
      <c r="AA254" s="4" t="s">
        <v>171</v>
      </c>
      <c r="AB254" s="3" t="str">
        <f>HYPERLINK("https://sitebase.nzcomms.co.nz/spm/spmcandidateview/AKL-007-015-C/","AKL-007-015-C")</f>
        <v>AKL-007-015-C</v>
      </c>
      <c r="AC254" s="4"/>
      <c r="AD254" s="4"/>
      <c r="AE254" s="4"/>
      <c r="AF254" s="4"/>
      <c r="AG254" s="4"/>
      <c r="AH254" s="4" t="s">
        <v>395</v>
      </c>
      <c r="AI254" s="4"/>
      <c r="AJ254" s="4"/>
      <c r="AK254" s="4"/>
      <c r="AL254" s="4"/>
      <c r="AM254" s="4"/>
      <c r="AN254" s="5">
        <v>39302</v>
      </c>
      <c r="AO254" s="4">
        <v>6</v>
      </c>
      <c r="AP254" s="5">
        <v>39534</v>
      </c>
      <c r="AQ254" s="5">
        <v>40347</v>
      </c>
      <c r="AR254" s="4"/>
      <c r="AS254" s="4"/>
      <c r="AT254" s="5">
        <v>39567</v>
      </c>
      <c r="AU254" s="5">
        <v>39567</v>
      </c>
      <c r="AV254" s="4">
        <v>3</v>
      </c>
      <c r="AW254" s="5">
        <v>39568</v>
      </c>
      <c r="AX254" s="5">
        <v>40071</v>
      </c>
      <c r="AY254" s="4"/>
      <c r="AZ254" s="4"/>
      <c r="BA254" s="4"/>
      <c r="BB254" s="5">
        <v>39675</v>
      </c>
      <c r="BC254" s="4"/>
      <c r="BD254" s="4"/>
      <c r="BE254" s="5">
        <v>39675</v>
      </c>
      <c r="BF254" s="5">
        <v>39661</v>
      </c>
      <c r="BG254" s="4"/>
      <c r="BH254" s="5">
        <v>39468</v>
      </c>
      <c r="BI254" s="4"/>
      <c r="BJ254" s="5">
        <v>39353</v>
      </c>
      <c r="BK254" s="4">
        <v>4</v>
      </c>
      <c r="BL254" s="4">
        <v>4</v>
      </c>
      <c r="BM254" s="5">
        <v>39855</v>
      </c>
      <c r="BN254" s="5">
        <v>39904</v>
      </c>
      <c r="BO254" s="4"/>
      <c r="BP254" s="4"/>
      <c r="BQ254" s="4"/>
      <c r="BR254" s="4"/>
      <c r="BS254" s="4"/>
      <c r="BT254" s="4"/>
      <c r="BU254" s="5">
        <v>39703</v>
      </c>
      <c r="BV254" s="5">
        <v>39721</v>
      </c>
      <c r="BW254" s="5">
        <v>39721</v>
      </c>
      <c r="BX254" s="4"/>
      <c r="BY254" s="5">
        <v>39892</v>
      </c>
      <c r="BZ254" s="5">
        <v>39892</v>
      </c>
      <c r="CA254" s="4"/>
      <c r="CB254" s="4"/>
      <c r="CC254" s="4"/>
      <c r="CD254" s="4"/>
      <c r="CE254" s="4"/>
      <c r="CF254" s="4"/>
      <c r="CG254" s="4"/>
      <c r="CH254" s="4"/>
      <c r="CI254" s="5">
        <v>39895</v>
      </c>
      <c r="CJ254" s="5">
        <v>39895</v>
      </c>
      <c r="CK254" s="5">
        <v>39895</v>
      </c>
      <c r="CL254" s="4"/>
      <c r="CM254" s="4"/>
      <c r="CN254" s="4"/>
      <c r="CO254" s="4"/>
      <c r="CP254" s="4" t="s">
        <v>924</v>
      </c>
      <c r="CQ254" s="4"/>
      <c r="CR254" s="5">
        <v>39895</v>
      </c>
      <c r="CS254" s="4"/>
      <c r="CT254" s="4"/>
      <c r="CU254" s="4"/>
      <c r="CV254" s="4"/>
      <c r="CW254" s="4"/>
      <c r="CX254" s="4"/>
      <c r="CY254" s="4"/>
      <c r="CZ254" s="4"/>
      <c r="DA254" s="4"/>
      <c r="DB254" s="4"/>
      <c r="DC254" s="4"/>
      <c r="DD254" s="4"/>
      <c r="DE254" s="4"/>
      <c r="DF254" s="4"/>
      <c r="DG254" s="4"/>
      <c r="DH254" s="4"/>
      <c r="DI254" s="4"/>
      <c r="DJ254" s="4" t="b">
        <v>0</v>
      </c>
      <c r="DK254" s="4"/>
      <c r="DL254" s="4">
        <v>2666137</v>
      </c>
      <c r="DM254" s="4">
        <v>6480364</v>
      </c>
      <c r="DN254" s="4" t="s">
        <v>925</v>
      </c>
      <c r="DO254" s="4"/>
      <c r="DP254" s="4"/>
      <c r="DQ254" s="4" t="s">
        <v>148</v>
      </c>
      <c r="DR254" s="4"/>
      <c r="DS254" s="4"/>
      <c r="DT254" s="5">
        <v>41806</v>
      </c>
      <c r="DU254" s="4"/>
      <c r="DV254" s="4"/>
      <c r="DW254" s="4"/>
      <c r="DX254" s="4"/>
      <c r="DY254" s="4"/>
      <c r="DZ254" s="5">
        <v>39692</v>
      </c>
      <c r="EA254" s="4"/>
      <c r="EB254" s="4"/>
      <c r="EC254" s="4"/>
      <c r="ED254" s="4"/>
      <c r="EE254" s="4"/>
      <c r="EF254" s="4"/>
      <c r="EG254" s="4"/>
      <c r="EH254" s="4"/>
      <c r="EI254" s="5">
        <v>39265</v>
      </c>
    </row>
    <row r="255" spans="1:139" hidden="1" x14ac:dyDescent="0.2">
      <c r="A255">
        <f>VLOOKUP(B255,Sheet1!$A$1:$B$18,2,FALSE)</f>
        <v>0</v>
      </c>
      <c r="B255" t="str">
        <f t="shared" si="3"/>
        <v>AKL</v>
      </c>
      <c r="C255" s="2">
        <v>254</v>
      </c>
      <c r="D255" s="3" t="str">
        <f>HYPERLINK("https://sitebase.nzcomms.co.nz/spm/spmnominalview/AKL-007-072/","AKL-007-072")</f>
        <v>AKL-007-072</v>
      </c>
      <c r="E255" s="4"/>
      <c r="F255" s="3" t="str">
        <f>HYPERLINK("https://sitebase.nzcomms.co.nz/spm/spmcandidateview/AKL-007-072-A/","AKL-007-072-A")</f>
        <v>AKL-007-072-A</v>
      </c>
      <c r="G255" s="4" t="s">
        <v>926</v>
      </c>
      <c r="H255" s="4" t="s">
        <v>745</v>
      </c>
      <c r="I255" s="4"/>
      <c r="J255" s="4" t="s">
        <v>139</v>
      </c>
      <c r="K255" s="4" t="s">
        <v>141</v>
      </c>
      <c r="L255" s="4" t="s">
        <v>181</v>
      </c>
      <c r="M255" s="4" t="s">
        <v>804</v>
      </c>
      <c r="N255" s="4" t="s">
        <v>364</v>
      </c>
      <c r="O255" s="4" t="s">
        <v>144</v>
      </c>
      <c r="P255" s="4"/>
      <c r="Q255" s="4"/>
      <c r="R255" s="4">
        <v>28</v>
      </c>
      <c r="S255" s="4">
        <v>28</v>
      </c>
      <c r="T255" s="4"/>
      <c r="U255" s="4">
        <v>-36.86460503</v>
      </c>
      <c r="V255" s="4">
        <v>174.7789689</v>
      </c>
      <c r="W255" s="4"/>
      <c r="X255" s="4"/>
      <c r="Y255" s="4"/>
      <c r="Z255" s="4"/>
      <c r="AA255" s="4" t="s">
        <v>171</v>
      </c>
      <c r="AB255" s="3" t="str">
        <f>HYPERLINK("https://sitebase.nzcomms.co.nz/spm/spmcandidateview/AKL-007-106-A/","AKL-007-106-A")</f>
        <v>AKL-007-106-A</v>
      </c>
      <c r="AC255" s="4"/>
      <c r="AD255" s="4"/>
      <c r="AE255" s="4"/>
      <c r="AF255" s="4"/>
      <c r="AG255" s="4"/>
      <c r="AH255" s="4" t="s">
        <v>360</v>
      </c>
      <c r="AI255" s="4"/>
      <c r="AJ255" s="4"/>
      <c r="AK255" s="4"/>
      <c r="AL255" s="4"/>
      <c r="AM255" s="4"/>
      <c r="AN255" s="5">
        <v>39332</v>
      </c>
      <c r="AO255" s="4">
        <v>7</v>
      </c>
      <c r="AP255" s="4"/>
      <c r="AQ255" s="5">
        <v>41760</v>
      </c>
      <c r="AR255" s="4"/>
      <c r="AS255" s="4"/>
      <c r="AT255" s="5">
        <v>39475</v>
      </c>
      <c r="AU255" s="5">
        <v>39475</v>
      </c>
      <c r="AV255" s="4">
        <v>4</v>
      </c>
      <c r="AW255" s="5">
        <v>39475</v>
      </c>
      <c r="AX255" s="5">
        <v>39475</v>
      </c>
      <c r="AY255" s="4"/>
      <c r="AZ255" s="4"/>
      <c r="BA255" s="4"/>
      <c r="BB255" s="5">
        <v>39659</v>
      </c>
      <c r="BC255" s="4"/>
      <c r="BD255" s="4"/>
      <c r="BE255" s="5">
        <v>39659</v>
      </c>
      <c r="BF255" s="5">
        <v>39652</v>
      </c>
      <c r="BG255" s="4"/>
      <c r="BH255" s="5">
        <v>39467</v>
      </c>
      <c r="BI255" s="4"/>
      <c r="BJ255" s="5">
        <v>39498</v>
      </c>
      <c r="BK255" s="4">
        <v>2</v>
      </c>
      <c r="BL255" s="4">
        <v>6</v>
      </c>
      <c r="BM255" s="5">
        <v>39631</v>
      </c>
      <c r="BN255" s="5">
        <v>39631</v>
      </c>
      <c r="BO255" s="4"/>
      <c r="BP255" s="4"/>
      <c r="BQ255" s="4"/>
      <c r="BR255" s="4"/>
      <c r="BS255" s="4"/>
      <c r="BT255" s="4"/>
      <c r="BU255" s="5">
        <v>39636</v>
      </c>
      <c r="BV255" s="5">
        <v>39659</v>
      </c>
      <c r="BW255" s="5">
        <v>39659</v>
      </c>
      <c r="BX255" s="4"/>
      <c r="BY255" s="5">
        <v>39682</v>
      </c>
      <c r="BZ255" s="5">
        <v>39687</v>
      </c>
      <c r="CA255" s="4"/>
      <c r="CB255" s="4"/>
      <c r="CC255" s="4"/>
      <c r="CD255" s="4"/>
      <c r="CE255" s="4"/>
      <c r="CF255" s="4"/>
      <c r="CG255" s="4"/>
      <c r="CH255" s="4"/>
      <c r="CI255" s="5">
        <v>39727</v>
      </c>
      <c r="CJ255" s="4"/>
      <c r="CK255" s="5">
        <v>39727</v>
      </c>
      <c r="CL255" s="4"/>
      <c r="CM255" s="4"/>
      <c r="CN255" s="4"/>
      <c r="CO255" s="4"/>
      <c r="CP255" s="4" t="s">
        <v>157</v>
      </c>
      <c r="CQ255" s="4"/>
      <c r="CR255" s="4"/>
      <c r="CS255" s="4"/>
      <c r="CT255" s="4"/>
      <c r="CU255" s="4"/>
      <c r="CV255" s="4"/>
      <c r="CW255" s="4"/>
      <c r="CX255" s="4"/>
      <c r="CY255" s="4"/>
      <c r="CZ255" s="4"/>
      <c r="DA255" s="4"/>
      <c r="DB255" s="4"/>
      <c r="DC255" s="4"/>
      <c r="DD255" s="4"/>
      <c r="DE255" s="4"/>
      <c r="DF255" s="4"/>
      <c r="DG255" s="4"/>
      <c r="DH255" s="4"/>
      <c r="DI255" s="4"/>
      <c r="DJ255" s="4" t="b">
        <v>0</v>
      </c>
      <c r="DK255" s="4"/>
      <c r="DL255" s="4">
        <v>2669005</v>
      </c>
      <c r="DM255" s="4">
        <v>6480365</v>
      </c>
      <c r="DN255" s="4" t="s">
        <v>927</v>
      </c>
      <c r="DO255" s="4"/>
      <c r="DP255" s="4"/>
      <c r="DQ255" s="4" t="s">
        <v>148</v>
      </c>
      <c r="DR255" s="4"/>
      <c r="DS255" s="5">
        <v>41913</v>
      </c>
      <c r="DT255" s="5">
        <v>41806</v>
      </c>
      <c r="DU255" s="4"/>
      <c r="DV255" s="4"/>
      <c r="DW255" s="4"/>
      <c r="DX255" s="4"/>
      <c r="DY255" s="4"/>
      <c r="DZ255" s="5">
        <v>39652</v>
      </c>
      <c r="EA255" s="4"/>
      <c r="EB255" s="4"/>
      <c r="EC255" s="4"/>
      <c r="ED255" s="4"/>
      <c r="EE255" s="4"/>
      <c r="EF255" s="4"/>
      <c r="EG255" s="4"/>
      <c r="EH255" s="4"/>
      <c r="EI255" s="5">
        <v>39350</v>
      </c>
    </row>
    <row r="256" spans="1:139" hidden="1" x14ac:dyDescent="0.2">
      <c r="A256">
        <f>VLOOKUP(B256,Sheet1!$A$1:$B$18,2,FALSE)</f>
        <v>0</v>
      </c>
      <c r="B256" t="str">
        <f t="shared" si="3"/>
        <v>AKL</v>
      </c>
      <c r="C256" s="2">
        <v>255</v>
      </c>
      <c r="D256" s="3" t="str">
        <f>HYPERLINK("https://sitebase.nzcomms.co.nz/spm/spmnominalview/AKL-007-073/","AKL-007-073")</f>
        <v>AKL-007-073</v>
      </c>
      <c r="E256" s="4"/>
      <c r="F256" s="3" t="str">
        <f>HYPERLINK("https://sitebase.nzcomms.co.nz/spm/spmcandidateview/AKL-007-073-C/","AKL-007-073-C")</f>
        <v>AKL-007-073-C</v>
      </c>
      <c r="G256" s="4" t="s">
        <v>928</v>
      </c>
      <c r="H256" s="4" t="s">
        <v>745</v>
      </c>
      <c r="I256" s="4"/>
      <c r="J256" s="4" t="s">
        <v>139</v>
      </c>
      <c r="K256" s="4" t="s">
        <v>141</v>
      </c>
      <c r="L256" s="4" t="s">
        <v>189</v>
      </c>
      <c r="M256" s="4" t="s">
        <v>354</v>
      </c>
      <c r="N256" s="4" t="s">
        <v>355</v>
      </c>
      <c r="O256" s="4" t="s">
        <v>356</v>
      </c>
      <c r="P256" s="4"/>
      <c r="Q256" s="4"/>
      <c r="R256" s="4">
        <v>14.5</v>
      </c>
      <c r="S256" s="4">
        <v>14.5</v>
      </c>
      <c r="T256" s="4"/>
      <c r="U256" s="4">
        <v>-36.875171129999998</v>
      </c>
      <c r="V256" s="4">
        <v>174.78477135</v>
      </c>
      <c r="W256" s="4"/>
      <c r="X256" s="4"/>
      <c r="Y256" s="4"/>
      <c r="Z256" s="4"/>
      <c r="AA256" s="4" t="s">
        <v>217</v>
      </c>
      <c r="AB256" s="4" t="s">
        <v>929</v>
      </c>
      <c r="AC256" s="4"/>
      <c r="AD256" s="4"/>
      <c r="AE256" s="4"/>
      <c r="AF256" s="4"/>
      <c r="AG256" s="4"/>
      <c r="AH256" s="4" t="s">
        <v>905</v>
      </c>
      <c r="AI256" s="4"/>
      <c r="AJ256" s="4"/>
      <c r="AK256" s="4"/>
      <c r="AL256" s="4"/>
      <c r="AM256" s="4"/>
      <c r="AN256" s="5">
        <v>39310</v>
      </c>
      <c r="AO256" s="4">
        <v>5</v>
      </c>
      <c r="AP256" s="5">
        <v>39548</v>
      </c>
      <c r="AQ256" s="5">
        <v>39548</v>
      </c>
      <c r="AR256" s="4"/>
      <c r="AS256" s="4"/>
      <c r="AT256" s="5">
        <v>39599</v>
      </c>
      <c r="AU256" s="5">
        <v>39622</v>
      </c>
      <c r="AV256" s="4">
        <v>5</v>
      </c>
      <c r="AW256" s="5">
        <v>39599</v>
      </c>
      <c r="AX256" s="5">
        <v>39622</v>
      </c>
      <c r="AY256" s="4"/>
      <c r="AZ256" s="4"/>
      <c r="BA256" s="4"/>
      <c r="BB256" s="5">
        <v>39752</v>
      </c>
      <c r="BC256" s="4"/>
      <c r="BD256" s="4"/>
      <c r="BE256" s="5">
        <v>39752</v>
      </c>
      <c r="BF256" s="5">
        <v>39673</v>
      </c>
      <c r="BG256" s="4"/>
      <c r="BH256" s="5">
        <v>39391</v>
      </c>
      <c r="BI256" s="4"/>
      <c r="BJ256" s="5">
        <v>39548</v>
      </c>
      <c r="BK256" s="4">
        <v>2</v>
      </c>
      <c r="BL256" s="4">
        <v>5</v>
      </c>
      <c r="BM256" s="5">
        <v>39580</v>
      </c>
      <c r="BN256" s="5">
        <v>39580</v>
      </c>
      <c r="BO256" s="4"/>
      <c r="BP256" s="4"/>
      <c r="BQ256" s="4"/>
      <c r="BR256" s="4"/>
      <c r="BS256" s="4"/>
      <c r="BT256" s="4"/>
      <c r="BU256" s="5">
        <v>39692</v>
      </c>
      <c r="BV256" s="5">
        <v>39706</v>
      </c>
      <c r="BW256" s="5">
        <v>39706</v>
      </c>
      <c r="BX256" s="4"/>
      <c r="BY256" s="5">
        <v>39720</v>
      </c>
      <c r="BZ256" s="5">
        <v>39707</v>
      </c>
      <c r="CA256" s="4"/>
      <c r="CB256" s="4"/>
      <c r="CC256" s="4"/>
      <c r="CD256" s="4"/>
      <c r="CE256" s="4"/>
      <c r="CF256" s="4"/>
      <c r="CG256" s="4"/>
      <c r="CH256" s="4"/>
      <c r="CI256" s="5">
        <v>39930</v>
      </c>
      <c r="CJ256" s="5">
        <v>39927</v>
      </c>
      <c r="CK256" s="5">
        <v>39930</v>
      </c>
      <c r="CL256" s="4"/>
      <c r="CM256" s="4"/>
      <c r="CN256" s="4"/>
      <c r="CO256" s="4"/>
      <c r="CP256" s="4" t="s">
        <v>930</v>
      </c>
      <c r="CQ256" s="4"/>
      <c r="CR256" s="5">
        <v>39927</v>
      </c>
      <c r="CS256" s="4"/>
      <c r="CT256" s="4"/>
      <c r="CU256" s="4"/>
      <c r="CV256" s="4"/>
      <c r="CW256" s="4"/>
      <c r="CX256" s="4"/>
      <c r="CY256" s="4"/>
      <c r="CZ256" s="4"/>
      <c r="DA256" s="4"/>
      <c r="DB256" s="4"/>
      <c r="DC256" s="4"/>
      <c r="DD256" s="4"/>
      <c r="DE256" s="4"/>
      <c r="DF256" s="4"/>
      <c r="DG256" s="4"/>
      <c r="DH256" s="4"/>
      <c r="DI256" s="4"/>
      <c r="DJ256" s="4" t="b">
        <v>0</v>
      </c>
      <c r="DK256" s="4"/>
      <c r="DL256" s="4">
        <v>2669498</v>
      </c>
      <c r="DM256" s="4">
        <v>6479182</v>
      </c>
      <c r="DN256" s="4" t="s">
        <v>931</v>
      </c>
      <c r="DO256" s="4"/>
      <c r="DP256" s="4"/>
      <c r="DQ256" s="4" t="s">
        <v>148</v>
      </c>
      <c r="DR256" s="4"/>
      <c r="DS256" s="4"/>
      <c r="DT256" s="5">
        <v>41806</v>
      </c>
      <c r="DU256" s="4"/>
      <c r="DV256" s="4"/>
      <c r="DW256" s="4"/>
      <c r="DX256" s="4"/>
      <c r="DY256" s="4"/>
      <c r="DZ256" s="5">
        <v>39673</v>
      </c>
      <c r="EA256" s="4"/>
      <c r="EB256" s="4"/>
      <c r="EC256" s="4"/>
      <c r="ED256" s="4"/>
      <c r="EE256" s="4"/>
      <c r="EF256" s="4"/>
      <c r="EG256" s="4"/>
      <c r="EH256" s="4"/>
      <c r="EI256" s="5">
        <v>39286</v>
      </c>
    </row>
    <row r="257" spans="1:139" hidden="1" x14ac:dyDescent="0.2">
      <c r="A257">
        <f>VLOOKUP(B257,Sheet1!$A$1:$B$18,2,FALSE)</f>
        <v>0</v>
      </c>
      <c r="B257" t="str">
        <f t="shared" si="3"/>
        <v>AKL</v>
      </c>
      <c r="C257" s="2">
        <v>256</v>
      </c>
      <c r="D257" s="3" t="str">
        <f>HYPERLINK("https://sitebase.nzcomms.co.nz/spm/spmnominalview/AKL-007-074/","AKL-007-074")</f>
        <v>AKL-007-074</v>
      </c>
      <c r="E257" s="4"/>
      <c r="F257" s="3" t="str">
        <f>HYPERLINK("https://sitebase.nzcomms.co.nz/spm/spmcandidateview/AKL-007-074-A/","AKL-007-074-A")</f>
        <v>AKL-007-074-A</v>
      </c>
      <c r="G257" s="4" t="s">
        <v>932</v>
      </c>
      <c r="H257" s="4" t="s">
        <v>745</v>
      </c>
      <c r="I257" s="4"/>
      <c r="J257" s="4" t="s">
        <v>139</v>
      </c>
      <c r="K257" s="4" t="s">
        <v>141</v>
      </c>
      <c r="L257" s="4" t="s">
        <v>150</v>
      </c>
      <c r="M257" s="4" t="s">
        <v>354</v>
      </c>
      <c r="N257" s="4" t="s">
        <v>156</v>
      </c>
      <c r="O257" s="4" t="s">
        <v>356</v>
      </c>
      <c r="P257" s="4"/>
      <c r="Q257" s="4"/>
      <c r="R257" s="4">
        <v>20</v>
      </c>
      <c r="S257" s="4">
        <v>20</v>
      </c>
      <c r="T257" s="4"/>
      <c r="U257" s="4">
        <v>-36.915561769999996</v>
      </c>
      <c r="V257" s="4">
        <v>174.81738841000001</v>
      </c>
      <c r="W257" s="4"/>
      <c r="X257" s="4"/>
      <c r="Y257" s="4"/>
      <c r="Z257" s="4"/>
      <c r="AA257" s="4" t="s">
        <v>171</v>
      </c>
      <c r="AB257" s="3" t="str">
        <f>HYPERLINK("https://sitebase.nzcomms.co.nz/spm/spmcandidateview/AKL-007-002-A/","AKL-007-002-A")</f>
        <v>AKL-007-002-A</v>
      </c>
      <c r="AC257" s="4"/>
      <c r="AD257" s="4"/>
      <c r="AE257" s="4"/>
      <c r="AF257" s="4"/>
      <c r="AG257" s="4"/>
      <c r="AH257" s="4" t="s">
        <v>360</v>
      </c>
      <c r="AI257" s="4"/>
      <c r="AJ257" s="4"/>
      <c r="AK257" s="4"/>
      <c r="AL257" s="4"/>
      <c r="AM257" s="4"/>
      <c r="AN257" s="5">
        <v>39401</v>
      </c>
      <c r="AO257" s="4">
        <v>3</v>
      </c>
      <c r="AP257" s="4"/>
      <c r="AQ257" s="5">
        <v>39612</v>
      </c>
      <c r="AR257" s="4"/>
      <c r="AS257" s="4"/>
      <c r="AT257" s="5">
        <v>39420</v>
      </c>
      <c r="AU257" s="5">
        <v>39420</v>
      </c>
      <c r="AV257" s="4">
        <v>1</v>
      </c>
      <c r="AW257" s="5">
        <v>39420</v>
      </c>
      <c r="AX257" s="5">
        <v>39420</v>
      </c>
      <c r="AY257" s="4"/>
      <c r="AZ257" s="4"/>
      <c r="BA257" s="4"/>
      <c r="BB257" s="5">
        <v>39608</v>
      </c>
      <c r="BC257" s="4"/>
      <c r="BD257" s="4"/>
      <c r="BE257" s="5">
        <v>39608</v>
      </c>
      <c r="BF257" s="5">
        <v>39610</v>
      </c>
      <c r="BG257" s="4"/>
      <c r="BH257" s="5">
        <v>39468</v>
      </c>
      <c r="BI257" s="4"/>
      <c r="BJ257" s="5">
        <v>39574</v>
      </c>
      <c r="BK257" s="4">
        <v>2</v>
      </c>
      <c r="BL257" s="4">
        <v>3</v>
      </c>
      <c r="BM257" s="5">
        <v>39611</v>
      </c>
      <c r="BN257" s="5">
        <v>39611</v>
      </c>
      <c r="BO257" s="4"/>
      <c r="BP257" s="4"/>
      <c r="BQ257" s="4"/>
      <c r="BR257" s="4"/>
      <c r="BS257" s="4"/>
      <c r="BT257" s="4"/>
      <c r="BU257" s="5">
        <v>39629</v>
      </c>
      <c r="BV257" s="5">
        <v>39658</v>
      </c>
      <c r="BW257" s="5">
        <v>39659</v>
      </c>
      <c r="BX257" s="4"/>
      <c r="BY257" s="5">
        <v>39682</v>
      </c>
      <c r="BZ257" s="5">
        <v>39687</v>
      </c>
      <c r="CA257" s="4"/>
      <c r="CB257" s="4"/>
      <c r="CC257" s="4"/>
      <c r="CD257" s="4"/>
      <c r="CE257" s="4"/>
      <c r="CF257" s="4"/>
      <c r="CG257" s="4"/>
      <c r="CH257" s="4"/>
      <c r="CI257" s="5">
        <v>39889</v>
      </c>
      <c r="CJ257" s="5">
        <v>39892</v>
      </c>
      <c r="CK257" s="5">
        <v>39889</v>
      </c>
      <c r="CL257" s="4"/>
      <c r="CM257" s="4"/>
      <c r="CN257" s="4"/>
      <c r="CO257" s="4"/>
      <c r="CP257" s="4" t="s">
        <v>157</v>
      </c>
      <c r="CQ257" s="4"/>
      <c r="CR257" s="5">
        <v>39892</v>
      </c>
      <c r="CS257" s="4"/>
      <c r="CT257" s="4"/>
      <c r="CU257" s="4"/>
      <c r="CV257" s="4"/>
      <c r="CW257" s="4"/>
      <c r="CX257" s="4"/>
      <c r="CY257" s="4"/>
      <c r="CZ257" s="4"/>
      <c r="DA257" s="4"/>
      <c r="DB257" s="4"/>
      <c r="DC257" s="4"/>
      <c r="DD257" s="4"/>
      <c r="DE257" s="4"/>
      <c r="DF257" s="4"/>
      <c r="DG257" s="4"/>
      <c r="DH257" s="4"/>
      <c r="DI257" s="4"/>
      <c r="DJ257" s="4" t="b">
        <v>0</v>
      </c>
      <c r="DK257" s="4"/>
      <c r="DL257" s="4">
        <v>2672311</v>
      </c>
      <c r="DM257" s="4">
        <v>6474640</v>
      </c>
      <c r="DN257" s="4" t="s">
        <v>933</v>
      </c>
      <c r="DO257" s="4"/>
      <c r="DP257" s="4"/>
      <c r="DQ257" s="4" t="s">
        <v>148</v>
      </c>
      <c r="DR257" s="4"/>
      <c r="DS257" s="4"/>
      <c r="DT257" s="5">
        <v>41863</v>
      </c>
      <c r="DU257" s="4"/>
      <c r="DV257" s="4"/>
      <c r="DW257" s="4"/>
      <c r="DX257" s="4"/>
      <c r="DY257" s="4"/>
      <c r="DZ257" s="5">
        <v>39611</v>
      </c>
      <c r="EA257" s="4"/>
      <c r="EB257" s="4"/>
      <c r="EC257" s="4"/>
      <c r="ED257" s="4"/>
      <c r="EE257" s="4"/>
      <c r="EF257" s="4"/>
      <c r="EG257" s="4"/>
      <c r="EH257" s="4"/>
      <c r="EI257" s="5">
        <v>39381</v>
      </c>
    </row>
    <row r="258" spans="1:139" hidden="1" x14ac:dyDescent="0.2">
      <c r="A258">
        <f>VLOOKUP(B258,Sheet1!$A$1:$B$18,2,FALSE)</f>
        <v>0</v>
      </c>
      <c r="B258" t="str">
        <f t="shared" si="3"/>
        <v>AKL</v>
      </c>
      <c r="C258" s="2">
        <v>257</v>
      </c>
      <c r="D258" s="3" t="str">
        <f>HYPERLINK("https://sitebase.nzcomms.co.nz/spm/spmnominalview/AKL-007-075/","AKL-007-075")</f>
        <v>AKL-007-075</v>
      </c>
      <c r="E258" s="4"/>
      <c r="F258" s="3" t="str">
        <f>HYPERLINK("https://sitebase.nzcomms.co.nz/spm/spmcandidateview/AKL-007-075-A/","AKL-007-075-A")</f>
        <v>AKL-007-075-A</v>
      </c>
      <c r="G258" s="4" t="s">
        <v>934</v>
      </c>
      <c r="H258" s="4" t="s">
        <v>745</v>
      </c>
      <c r="I258" s="4">
        <v>3</v>
      </c>
      <c r="J258" s="4" t="s">
        <v>139</v>
      </c>
      <c r="K258" s="4" t="s">
        <v>141</v>
      </c>
      <c r="L258" s="4" t="s">
        <v>150</v>
      </c>
      <c r="M258" s="4" t="s">
        <v>354</v>
      </c>
      <c r="N258" s="4" t="s">
        <v>291</v>
      </c>
      <c r="O258" s="4" t="s">
        <v>356</v>
      </c>
      <c r="P258" s="4"/>
      <c r="Q258" s="4"/>
      <c r="R258" s="4">
        <v>20</v>
      </c>
      <c r="S258" s="4">
        <v>20</v>
      </c>
      <c r="T258" s="4"/>
      <c r="U258" s="4">
        <v>-36.926109750000002</v>
      </c>
      <c r="V258" s="4">
        <v>174.72551963000001</v>
      </c>
      <c r="W258" s="4"/>
      <c r="X258" s="4"/>
      <c r="Y258" s="4"/>
      <c r="Z258" s="4"/>
      <c r="AA258" s="4" t="s">
        <v>217</v>
      </c>
      <c r="AB258" s="4" t="s">
        <v>935</v>
      </c>
      <c r="AC258" s="4" t="b">
        <v>0</v>
      </c>
      <c r="AD258" s="4" t="b">
        <v>0</v>
      </c>
      <c r="AE258" s="4"/>
      <c r="AF258" s="4"/>
      <c r="AG258" s="4" t="b">
        <v>0</v>
      </c>
      <c r="AH258" s="4" t="s">
        <v>387</v>
      </c>
      <c r="AI258" s="4"/>
      <c r="AJ258" s="4"/>
      <c r="AK258" s="4"/>
      <c r="AL258" s="4"/>
      <c r="AM258" s="4"/>
      <c r="AN258" s="5">
        <v>39498</v>
      </c>
      <c r="AO258" s="4">
        <v>2</v>
      </c>
      <c r="AP258" s="5">
        <v>39724</v>
      </c>
      <c r="AQ258" s="5">
        <v>39724</v>
      </c>
      <c r="AR258" s="4"/>
      <c r="AS258" s="4"/>
      <c r="AT258" s="5">
        <v>39365</v>
      </c>
      <c r="AU258" s="5">
        <v>39365</v>
      </c>
      <c r="AV258" s="4">
        <v>2</v>
      </c>
      <c r="AW258" s="5">
        <v>39365</v>
      </c>
      <c r="AX258" s="5">
        <v>39895</v>
      </c>
      <c r="AY258" s="4"/>
      <c r="AZ258" s="4"/>
      <c r="BA258" s="4"/>
      <c r="BB258" s="4"/>
      <c r="BC258" s="4"/>
      <c r="BD258" s="4"/>
      <c r="BE258" s="5">
        <v>39857</v>
      </c>
      <c r="BF258" s="5">
        <v>39801</v>
      </c>
      <c r="BG258" s="5">
        <v>39504</v>
      </c>
      <c r="BH258" s="5">
        <v>39504</v>
      </c>
      <c r="BI258" s="4"/>
      <c r="BJ258" s="5">
        <v>39616</v>
      </c>
      <c r="BK258" s="4">
        <v>2</v>
      </c>
      <c r="BL258" s="4">
        <v>2</v>
      </c>
      <c r="BM258" s="5">
        <v>39773</v>
      </c>
      <c r="BN258" s="5">
        <v>39773</v>
      </c>
      <c r="BO258" s="5">
        <v>39843</v>
      </c>
      <c r="BP258" s="4"/>
      <c r="BQ258" s="4"/>
      <c r="BR258" s="4"/>
      <c r="BS258" s="4"/>
      <c r="BT258" s="4"/>
      <c r="BU258" s="5">
        <v>39840</v>
      </c>
      <c r="BV258" s="5">
        <v>39857</v>
      </c>
      <c r="BW258" s="5">
        <v>39857</v>
      </c>
      <c r="BX258" s="4"/>
      <c r="BY258" s="5">
        <v>39864</v>
      </c>
      <c r="BZ258" s="5">
        <v>39857</v>
      </c>
      <c r="CA258" s="4"/>
      <c r="CB258" s="4"/>
      <c r="CC258" s="4"/>
      <c r="CD258" s="4"/>
      <c r="CE258" s="4"/>
      <c r="CF258" s="4"/>
      <c r="CG258" s="4"/>
      <c r="CH258" s="4"/>
      <c r="CI258" s="5">
        <v>39899</v>
      </c>
      <c r="CJ258" s="5">
        <v>39913</v>
      </c>
      <c r="CK258" s="5">
        <v>39899</v>
      </c>
      <c r="CL258" s="4"/>
      <c r="CM258" s="4"/>
      <c r="CN258" s="4"/>
      <c r="CO258" s="4"/>
      <c r="CP258" s="4" t="s">
        <v>936</v>
      </c>
      <c r="CQ258" s="4"/>
      <c r="CR258" s="5">
        <v>39913</v>
      </c>
      <c r="CS258" s="4"/>
      <c r="CT258" s="4"/>
      <c r="CU258" s="4"/>
      <c r="CV258" s="4"/>
      <c r="CW258" s="5">
        <v>39860</v>
      </c>
      <c r="CX258" s="5">
        <v>39843</v>
      </c>
      <c r="CY258" s="4"/>
      <c r="CZ258" s="4"/>
      <c r="DA258" s="4"/>
      <c r="DB258" s="4"/>
      <c r="DC258" s="4"/>
      <c r="DD258" s="4"/>
      <c r="DE258" s="4"/>
      <c r="DF258" s="4"/>
      <c r="DG258" s="4"/>
      <c r="DH258" s="4"/>
      <c r="DI258" s="4"/>
      <c r="DJ258" s="4" t="b">
        <v>0</v>
      </c>
      <c r="DK258" s="4"/>
      <c r="DL258" s="4">
        <v>2664103</v>
      </c>
      <c r="DM258" s="4">
        <v>6473638</v>
      </c>
      <c r="DN258" s="4" t="s">
        <v>937</v>
      </c>
      <c r="DO258" s="4"/>
      <c r="DP258" s="4"/>
      <c r="DQ258" s="4" t="s">
        <v>148</v>
      </c>
      <c r="DR258" s="4"/>
      <c r="DS258" s="4"/>
      <c r="DT258" s="5">
        <v>41863</v>
      </c>
      <c r="DU258" s="4"/>
      <c r="DV258" s="4"/>
      <c r="DW258" s="4"/>
      <c r="DX258" s="4"/>
      <c r="DY258" s="4"/>
      <c r="DZ258" s="5">
        <v>39827</v>
      </c>
      <c r="EA258" s="4"/>
      <c r="EB258" s="4"/>
      <c r="EC258" s="4"/>
      <c r="ED258" s="4"/>
      <c r="EE258" s="4"/>
      <c r="EF258" s="4"/>
      <c r="EG258" s="4"/>
      <c r="EH258" s="4"/>
      <c r="EI258" s="5">
        <v>39356</v>
      </c>
    </row>
    <row r="259" spans="1:139" hidden="1" x14ac:dyDescent="0.2">
      <c r="A259">
        <f>VLOOKUP(B259,Sheet1!$A$1:$B$18,2,FALSE)</f>
        <v>0</v>
      </c>
      <c r="B259" t="str">
        <f t="shared" ref="B259:B322" si="4">LEFT(D259,3)</f>
        <v>AKL</v>
      </c>
      <c r="C259" s="2">
        <v>258</v>
      </c>
      <c r="D259" s="3" t="str">
        <f>HYPERLINK("https://sitebase.nzcomms.co.nz/spm/spmnominalview/AKL-007-077/","AKL-007-077")</f>
        <v>AKL-007-077</v>
      </c>
      <c r="E259" s="4"/>
      <c r="F259" s="3" t="str">
        <f>HYPERLINK("https://sitebase.nzcomms.co.nz/spm/spmcandidateview/AKL-007-077-B/","AKL-007-077-B")</f>
        <v>AKL-007-077-B</v>
      </c>
      <c r="G259" s="4" t="s">
        <v>938</v>
      </c>
      <c r="H259" s="4" t="s">
        <v>745</v>
      </c>
      <c r="I259" s="4"/>
      <c r="J259" s="4" t="s">
        <v>139</v>
      </c>
      <c r="K259" s="4" t="s">
        <v>141</v>
      </c>
      <c r="L259" s="4" t="s">
        <v>189</v>
      </c>
      <c r="M259" s="4" t="s">
        <v>354</v>
      </c>
      <c r="N259" s="4" t="s">
        <v>355</v>
      </c>
      <c r="O259" s="4" t="s">
        <v>356</v>
      </c>
      <c r="P259" s="4"/>
      <c r="Q259" s="4"/>
      <c r="R259" s="4">
        <v>14.8</v>
      </c>
      <c r="S259" s="4">
        <v>14.8</v>
      </c>
      <c r="T259" s="4"/>
      <c r="U259" s="4">
        <v>-36.89477059</v>
      </c>
      <c r="V259" s="4">
        <v>174.70480691</v>
      </c>
      <c r="W259" s="4"/>
      <c r="X259" s="4"/>
      <c r="Y259" s="4"/>
      <c r="Z259" s="4"/>
      <c r="AA259" s="4" t="s">
        <v>382</v>
      </c>
      <c r="AB259" s="4" t="s">
        <v>939</v>
      </c>
      <c r="AC259" s="4"/>
      <c r="AD259" s="4"/>
      <c r="AE259" s="4"/>
      <c r="AF259" s="4"/>
      <c r="AG259" s="4"/>
      <c r="AH259" s="4"/>
      <c r="AI259" s="4"/>
      <c r="AJ259" s="4"/>
      <c r="AK259" s="4"/>
      <c r="AL259" s="4"/>
      <c r="AM259" s="4"/>
      <c r="AN259" s="5">
        <v>39501</v>
      </c>
      <c r="AO259" s="4">
        <v>2</v>
      </c>
      <c r="AP259" s="4"/>
      <c r="AQ259" s="5">
        <v>39547</v>
      </c>
      <c r="AR259" s="4"/>
      <c r="AS259" s="4"/>
      <c r="AT259" s="5">
        <v>39518</v>
      </c>
      <c r="AU259" s="5">
        <v>39518</v>
      </c>
      <c r="AV259" s="4">
        <v>2</v>
      </c>
      <c r="AW259" s="5">
        <v>39518</v>
      </c>
      <c r="AX259" s="5">
        <v>39518</v>
      </c>
      <c r="AY259" s="4"/>
      <c r="AZ259" s="4"/>
      <c r="BA259" s="4"/>
      <c r="BB259" s="5">
        <v>39717</v>
      </c>
      <c r="BC259" s="4"/>
      <c r="BD259" s="4"/>
      <c r="BE259" s="5">
        <v>39717</v>
      </c>
      <c r="BF259" s="5">
        <v>39674</v>
      </c>
      <c r="BG259" s="4"/>
      <c r="BH259" s="5">
        <v>39518</v>
      </c>
      <c r="BI259" s="4"/>
      <c r="BJ259" s="5">
        <v>39547</v>
      </c>
      <c r="BK259" s="4">
        <v>1</v>
      </c>
      <c r="BL259" s="4">
        <v>2</v>
      </c>
      <c r="BM259" s="5">
        <v>39547</v>
      </c>
      <c r="BN259" s="5">
        <v>39547</v>
      </c>
      <c r="BO259" s="4"/>
      <c r="BP259" s="4"/>
      <c r="BQ259" s="4"/>
      <c r="BR259" s="4"/>
      <c r="BS259" s="4"/>
      <c r="BT259" s="4"/>
      <c r="BU259" s="5">
        <v>39678</v>
      </c>
      <c r="BV259" s="5">
        <v>39717</v>
      </c>
      <c r="BW259" s="5">
        <v>39716</v>
      </c>
      <c r="BX259" s="4"/>
      <c r="BY259" s="4"/>
      <c r="BZ259" s="5">
        <v>39717</v>
      </c>
      <c r="CA259" s="4"/>
      <c r="CB259" s="4"/>
      <c r="CC259" s="4"/>
      <c r="CD259" s="4"/>
      <c r="CE259" s="4"/>
      <c r="CF259" s="4"/>
      <c r="CG259" s="4"/>
      <c r="CH259" s="4"/>
      <c r="CI259" s="5">
        <v>39862</v>
      </c>
      <c r="CJ259" s="5">
        <v>39863</v>
      </c>
      <c r="CK259" s="5">
        <v>39862</v>
      </c>
      <c r="CL259" s="4"/>
      <c r="CM259" s="4"/>
      <c r="CN259" s="4"/>
      <c r="CO259" s="4"/>
      <c r="CP259" s="4" t="s">
        <v>921</v>
      </c>
      <c r="CQ259" s="4"/>
      <c r="CR259" s="5">
        <v>39863</v>
      </c>
      <c r="CS259" s="4"/>
      <c r="CT259" s="4"/>
      <c r="CU259" s="4"/>
      <c r="CV259" s="4"/>
      <c r="CW259" s="4"/>
      <c r="CX259" s="4"/>
      <c r="CY259" s="4"/>
      <c r="CZ259" s="4"/>
      <c r="DA259" s="4"/>
      <c r="DB259" s="4"/>
      <c r="DC259" s="4"/>
      <c r="DD259" s="4"/>
      <c r="DE259" s="4"/>
      <c r="DF259" s="4"/>
      <c r="DG259" s="4"/>
      <c r="DH259" s="4"/>
      <c r="DI259" s="4"/>
      <c r="DJ259" s="4" t="b">
        <v>0</v>
      </c>
      <c r="DK259" s="4"/>
      <c r="DL259" s="4">
        <v>2662327</v>
      </c>
      <c r="DM259" s="4">
        <v>6477152</v>
      </c>
      <c r="DN259" s="4" t="s">
        <v>940</v>
      </c>
      <c r="DO259" s="4"/>
      <c r="DP259" s="4"/>
      <c r="DQ259" s="4" t="s">
        <v>148</v>
      </c>
      <c r="DR259" s="4"/>
      <c r="DS259" s="4"/>
      <c r="DT259" s="5">
        <v>41806</v>
      </c>
      <c r="DU259" s="4"/>
      <c r="DV259" s="4"/>
      <c r="DW259" s="4"/>
      <c r="DX259" s="4"/>
      <c r="DY259" s="4"/>
      <c r="DZ259" s="5">
        <v>39678</v>
      </c>
      <c r="EA259" s="4"/>
      <c r="EB259" s="4"/>
      <c r="EC259" s="4"/>
      <c r="ED259" s="4"/>
      <c r="EE259" s="4"/>
      <c r="EF259" s="4"/>
      <c r="EG259" s="4"/>
      <c r="EH259" s="4"/>
      <c r="EI259" s="5">
        <v>39287</v>
      </c>
    </row>
    <row r="260" spans="1:139" hidden="1" x14ac:dyDescent="0.2">
      <c r="A260">
        <f>VLOOKUP(B260,Sheet1!$A$1:$B$18,2,FALSE)</f>
        <v>0</v>
      </c>
      <c r="B260" t="str">
        <f t="shared" si="4"/>
        <v>AKL</v>
      </c>
      <c r="C260" s="2">
        <v>259</v>
      </c>
      <c r="D260" s="3" t="str">
        <f>HYPERLINK("https://sitebase.nzcomms.co.nz/spm/spmnominalview/AKL-007-079/","AKL-007-079")</f>
        <v>AKL-007-079</v>
      </c>
      <c r="E260" s="4"/>
      <c r="F260" s="3" t="str">
        <f>HYPERLINK("https://sitebase.nzcomms.co.nz/spm/spmcandidateview/AKL-007-079-A/","AKL-007-079-A")</f>
        <v>AKL-007-079-A</v>
      </c>
      <c r="G260" s="4" t="s">
        <v>941</v>
      </c>
      <c r="H260" s="4" t="s">
        <v>745</v>
      </c>
      <c r="I260" s="4">
        <v>3</v>
      </c>
      <c r="J260" s="4" t="s">
        <v>139</v>
      </c>
      <c r="K260" s="4" t="s">
        <v>141</v>
      </c>
      <c r="L260" s="4" t="s">
        <v>181</v>
      </c>
      <c r="M260" s="4" t="s">
        <v>160</v>
      </c>
      <c r="N260" s="4" t="s">
        <v>364</v>
      </c>
      <c r="O260" s="4" t="s">
        <v>144</v>
      </c>
      <c r="P260" s="4"/>
      <c r="Q260" s="4"/>
      <c r="R260" s="4"/>
      <c r="S260" s="4"/>
      <c r="T260" s="4"/>
      <c r="U260" s="4">
        <v>-36.849162460000002</v>
      </c>
      <c r="V260" s="4">
        <v>174.86783292999999</v>
      </c>
      <c r="W260" s="4"/>
      <c r="X260" s="4"/>
      <c r="Y260" s="4"/>
      <c r="Z260" s="4"/>
      <c r="AA260" s="4" t="s">
        <v>171</v>
      </c>
      <c r="AB260" s="3" t="str">
        <f>HYPERLINK("https://sitebase.nzcomms.co.nz/spm/spmcandidateview/AKL-007-113-A/","AKL-007-113-A")</f>
        <v>AKL-007-113-A</v>
      </c>
      <c r="AC260" s="4" t="b">
        <v>0</v>
      </c>
      <c r="AD260" s="4" t="b">
        <v>0</v>
      </c>
      <c r="AE260" s="4"/>
      <c r="AF260" s="4"/>
      <c r="AG260" s="4" t="b">
        <v>0</v>
      </c>
      <c r="AH260" s="4" t="s">
        <v>360</v>
      </c>
      <c r="AI260" s="4"/>
      <c r="AJ260" s="4"/>
      <c r="AK260" s="4"/>
      <c r="AL260" s="4"/>
      <c r="AM260" s="4"/>
      <c r="AN260" s="5">
        <v>39408</v>
      </c>
      <c r="AO260" s="4">
        <v>7</v>
      </c>
      <c r="AP260" s="5">
        <v>40053</v>
      </c>
      <c r="AQ260" s="5">
        <v>40057</v>
      </c>
      <c r="AR260" s="4"/>
      <c r="AS260" s="4"/>
      <c r="AT260" s="5">
        <v>39584</v>
      </c>
      <c r="AU260" s="5">
        <v>39693</v>
      </c>
      <c r="AV260" s="4">
        <v>6</v>
      </c>
      <c r="AW260" s="5">
        <v>40157</v>
      </c>
      <c r="AX260" s="4"/>
      <c r="AY260" s="4"/>
      <c r="AZ260" s="4"/>
      <c r="BA260" s="4"/>
      <c r="BB260" s="5">
        <v>39773</v>
      </c>
      <c r="BC260" s="4"/>
      <c r="BD260" s="4"/>
      <c r="BE260" s="5">
        <v>40121</v>
      </c>
      <c r="BF260" s="5">
        <v>40137</v>
      </c>
      <c r="BG260" s="5">
        <v>39794</v>
      </c>
      <c r="BH260" s="5">
        <v>39505</v>
      </c>
      <c r="BI260" s="4"/>
      <c r="BJ260" s="5">
        <v>39794</v>
      </c>
      <c r="BK260" s="4">
        <v>4</v>
      </c>
      <c r="BL260" s="4"/>
      <c r="BM260" s="5">
        <v>40064</v>
      </c>
      <c r="BN260" s="5">
        <v>40063</v>
      </c>
      <c r="BO260" s="4"/>
      <c r="BP260" s="4"/>
      <c r="BQ260" s="4"/>
      <c r="BR260" s="4"/>
      <c r="BS260" s="4"/>
      <c r="BT260" s="5">
        <v>40070</v>
      </c>
      <c r="BU260" s="5">
        <v>40072</v>
      </c>
      <c r="BV260" s="5">
        <v>40095</v>
      </c>
      <c r="BW260" s="5">
        <v>40086</v>
      </c>
      <c r="BX260" s="4"/>
      <c r="BY260" s="5">
        <v>40113</v>
      </c>
      <c r="BZ260" s="5">
        <v>40113</v>
      </c>
      <c r="CA260" s="4"/>
      <c r="CB260" s="4"/>
      <c r="CC260" s="4"/>
      <c r="CD260" s="4"/>
      <c r="CE260" s="4"/>
      <c r="CF260" s="4"/>
      <c r="CG260" s="4"/>
      <c r="CH260" s="4"/>
      <c r="CI260" s="5">
        <v>40141</v>
      </c>
      <c r="CJ260" s="5">
        <v>40142</v>
      </c>
      <c r="CK260" s="5">
        <v>40141</v>
      </c>
      <c r="CL260" s="4"/>
      <c r="CM260" s="4"/>
      <c r="CN260" s="4"/>
      <c r="CO260" s="4"/>
      <c r="CP260" s="4" t="s">
        <v>942</v>
      </c>
      <c r="CQ260" s="4"/>
      <c r="CR260" s="5">
        <v>40142</v>
      </c>
      <c r="CS260" s="4"/>
      <c r="CT260" s="4"/>
      <c r="CU260" s="4"/>
      <c r="CV260" s="4"/>
      <c r="CW260" s="4"/>
      <c r="CX260" s="4"/>
      <c r="CY260" s="4"/>
      <c r="CZ260" s="4"/>
      <c r="DA260" s="4"/>
      <c r="DB260" s="4"/>
      <c r="DC260" s="4"/>
      <c r="DD260" s="4"/>
      <c r="DE260" s="4"/>
      <c r="DF260" s="4"/>
      <c r="DG260" s="4"/>
      <c r="DH260" s="4"/>
      <c r="DI260" s="4"/>
      <c r="DJ260" s="4" t="b">
        <v>0</v>
      </c>
      <c r="DK260" s="4"/>
      <c r="DL260" s="4">
        <v>2676964</v>
      </c>
      <c r="DM260" s="4">
        <v>6481911</v>
      </c>
      <c r="DN260" s="4" t="s">
        <v>943</v>
      </c>
      <c r="DO260" s="4"/>
      <c r="DP260" s="4"/>
      <c r="DQ260" s="4" t="s">
        <v>148</v>
      </c>
      <c r="DR260" s="4"/>
      <c r="DS260" s="4"/>
      <c r="DT260" s="5">
        <v>42333</v>
      </c>
      <c r="DU260" s="4"/>
      <c r="DV260" s="4"/>
      <c r="DW260" s="4"/>
      <c r="DX260" s="4"/>
      <c r="DY260" s="4"/>
      <c r="DZ260" s="5">
        <v>40072</v>
      </c>
      <c r="EA260" s="4"/>
      <c r="EB260" s="4"/>
      <c r="EC260" s="4"/>
      <c r="ED260" s="4"/>
      <c r="EE260" s="4"/>
      <c r="EF260" s="4"/>
      <c r="EG260" s="4"/>
      <c r="EH260" s="4"/>
      <c r="EI260" s="5">
        <v>39392</v>
      </c>
    </row>
    <row r="261" spans="1:139" hidden="1" x14ac:dyDescent="0.2">
      <c r="A261">
        <f>VLOOKUP(B261,Sheet1!$A$1:$B$18,2,FALSE)</f>
        <v>0</v>
      </c>
      <c r="B261" t="str">
        <f t="shared" si="4"/>
        <v>AKL</v>
      </c>
      <c r="C261" s="2">
        <v>260</v>
      </c>
      <c r="D261" s="3" t="str">
        <f>HYPERLINK("https://sitebase.nzcomms.co.nz/spm/spmnominalview/AKL-007-080/","AKL-007-080")</f>
        <v>AKL-007-080</v>
      </c>
      <c r="E261" s="4"/>
      <c r="F261" s="3" t="str">
        <f>HYPERLINK("https://sitebase.nzcomms.co.nz/spm/spmcandidateview/AKL-007-080-A/","AKL-007-080-A")</f>
        <v>AKL-007-080-A</v>
      </c>
      <c r="G261" s="4" t="s">
        <v>944</v>
      </c>
      <c r="H261" s="4" t="s">
        <v>745</v>
      </c>
      <c r="I261" s="4"/>
      <c r="J261" s="4" t="s">
        <v>139</v>
      </c>
      <c r="K261" s="4" t="s">
        <v>141</v>
      </c>
      <c r="L261" s="4" t="s">
        <v>181</v>
      </c>
      <c r="M261" s="4" t="s">
        <v>378</v>
      </c>
      <c r="N261" s="4" t="s">
        <v>364</v>
      </c>
      <c r="O261" s="4" t="s">
        <v>144</v>
      </c>
      <c r="P261" s="4"/>
      <c r="Q261" s="4"/>
      <c r="R261" s="4">
        <v>11.7</v>
      </c>
      <c r="S261" s="4">
        <v>11.7</v>
      </c>
      <c r="T261" s="4"/>
      <c r="U261" s="4">
        <v>-36.912887359999999</v>
      </c>
      <c r="V261" s="4">
        <v>174.72778183</v>
      </c>
      <c r="W261" s="4"/>
      <c r="X261" s="4"/>
      <c r="Y261" s="4"/>
      <c r="Z261" s="4"/>
      <c r="AA261" s="4" t="s">
        <v>171</v>
      </c>
      <c r="AB261" s="3" t="str">
        <f>HYPERLINK("https://sitebase.nzcomms.co.nz/spm/spmcandidateview/AKL-007-016-B/","AKL-007-016-B")</f>
        <v>AKL-007-016-B</v>
      </c>
      <c r="AC261" s="4"/>
      <c r="AD261" s="4"/>
      <c r="AE261" s="4"/>
      <c r="AF261" s="4"/>
      <c r="AG261" s="4"/>
      <c r="AH261" s="4" t="s">
        <v>395</v>
      </c>
      <c r="AI261" s="4"/>
      <c r="AJ261" s="4"/>
      <c r="AK261" s="4"/>
      <c r="AL261" s="4"/>
      <c r="AM261" s="5">
        <v>39847</v>
      </c>
      <c r="AN261" s="5">
        <v>39251</v>
      </c>
      <c r="AO261" s="4">
        <v>6</v>
      </c>
      <c r="AP261" s="5">
        <v>39847</v>
      </c>
      <c r="AQ261" s="5">
        <v>39926</v>
      </c>
      <c r="AR261" s="4"/>
      <c r="AS261" s="4"/>
      <c r="AT261" s="5">
        <v>39812</v>
      </c>
      <c r="AU261" s="5">
        <v>39573</v>
      </c>
      <c r="AV261" s="4">
        <v>2</v>
      </c>
      <c r="AW261" s="5">
        <v>39902</v>
      </c>
      <c r="AX261" s="5">
        <v>40071</v>
      </c>
      <c r="AY261" s="4"/>
      <c r="AZ261" s="4"/>
      <c r="BA261" s="4"/>
      <c r="BB261" s="5">
        <v>39675</v>
      </c>
      <c r="BC261" s="4"/>
      <c r="BD261" s="4"/>
      <c r="BE261" s="5">
        <v>39990</v>
      </c>
      <c r="BF261" s="5">
        <v>40000</v>
      </c>
      <c r="BG261" s="4"/>
      <c r="BH261" s="5">
        <v>39346</v>
      </c>
      <c r="BI261" s="4"/>
      <c r="BJ261" s="5">
        <v>39609</v>
      </c>
      <c r="BK261" s="4">
        <v>1</v>
      </c>
      <c r="BL261" s="4">
        <v>3</v>
      </c>
      <c r="BM261" s="5">
        <v>39609</v>
      </c>
      <c r="BN261" s="5">
        <v>39609</v>
      </c>
      <c r="BO261" s="4"/>
      <c r="BP261" s="4"/>
      <c r="BQ261" s="4"/>
      <c r="BR261" s="4"/>
      <c r="BS261" s="4"/>
      <c r="BT261" s="4"/>
      <c r="BU261" s="5">
        <v>39769</v>
      </c>
      <c r="BV261" s="5">
        <v>39780</v>
      </c>
      <c r="BW261" s="5">
        <v>39782</v>
      </c>
      <c r="BX261" s="4"/>
      <c r="BY261" s="5">
        <v>39801</v>
      </c>
      <c r="BZ261" s="5">
        <v>39822</v>
      </c>
      <c r="CA261" s="4"/>
      <c r="CB261" s="4"/>
      <c r="CC261" s="4"/>
      <c r="CD261" s="4"/>
      <c r="CE261" s="4"/>
      <c r="CF261" s="4"/>
      <c r="CG261" s="4"/>
      <c r="CH261" s="4"/>
      <c r="CI261" s="5">
        <v>39899</v>
      </c>
      <c r="CJ261" s="5">
        <v>39906</v>
      </c>
      <c r="CK261" s="5">
        <v>39899</v>
      </c>
      <c r="CL261" s="4"/>
      <c r="CM261" s="4"/>
      <c r="CN261" s="4"/>
      <c r="CO261" s="4"/>
      <c r="CP261" s="4" t="s">
        <v>945</v>
      </c>
      <c r="CQ261" s="4"/>
      <c r="CR261" s="5">
        <v>39906</v>
      </c>
      <c r="CS261" s="4"/>
      <c r="CT261" s="4"/>
      <c r="CU261" s="4"/>
      <c r="CV261" s="4"/>
      <c r="CW261" s="4"/>
      <c r="CX261" s="4"/>
      <c r="CY261" s="4"/>
      <c r="CZ261" s="4"/>
      <c r="DA261" s="4"/>
      <c r="DB261" s="4"/>
      <c r="DC261" s="4"/>
      <c r="DD261" s="4"/>
      <c r="DE261" s="4"/>
      <c r="DF261" s="4"/>
      <c r="DG261" s="4"/>
      <c r="DH261" s="4"/>
      <c r="DI261" s="4"/>
      <c r="DJ261" s="4" t="b">
        <v>0</v>
      </c>
      <c r="DK261" s="4"/>
      <c r="DL261" s="4">
        <v>2664334</v>
      </c>
      <c r="DM261" s="4">
        <v>6475101</v>
      </c>
      <c r="DN261" s="4" t="s">
        <v>946</v>
      </c>
      <c r="DO261" s="4"/>
      <c r="DP261" s="4"/>
      <c r="DQ261" s="4" t="s">
        <v>148</v>
      </c>
      <c r="DR261" s="4"/>
      <c r="DS261" s="4"/>
      <c r="DT261" s="5">
        <v>41806</v>
      </c>
      <c r="DU261" s="4"/>
      <c r="DV261" s="4"/>
      <c r="DW261" s="4"/>
      <c r="DX261" s="4"/>
      <c r="DY261" s="4"/>
      <c r="DZ261" s="5">
        <v>39736</v>
      </c>
      <c r="EA261" s="4"/>
      <c r="EB261" s="4"/>
      <c r="EC261" s="4"/>
      <c r="ED261" s="4"/>
      <c r="EE261" s="4"/>
      <c r="EF261" s="4"/>
      <c r="EG261" s="4"/>
      <c r="EH261" s="4"/>
      <c r="EI261" s="5">
        <v>39173</v>
      </c>
    </row>
    <row r="262" spans="1:139" hidden="1" x14ac:dyDescent="0.2">
      <c r="A262">
        <f>VLOOKUP(B262,Sheet1!$A$1:$B$18,2,FALSE)</f>
        <v>0</v>
      </c>
      <c r="B262" t="str">
        <f t="shared" si="4"/>
        <v>AKL</v>
      </c>
      <c r="C262" s="2">
        <v>261</v>
      </c>
      <c r="D262" s="3" t="str">
        <f>HYPERLINK("https://sitebase.nzcomms.co.nz/spm/spmnominalview/AKL-007-081/","AKL-007-081")</f>
        <v>AKL-007-081</v>
      </c>
      <c r="E262" s="4"/>
      <c r="F262" s="3" t="str">
        <f>HYPERLINK("https://sitebase.nzcomms.co.nz/spm/spmcandidateview/AKL-007-081-B/","AKL-007-081-B")</f>
        <v>AKL-007-081-B</v>
      </c>
      <c r="G262" s="4" t="s">
        <v>947</v>
      </c>
      <c r="H262" s="4" t="s">
        <v>745</v>
      </c>
      <c r="I262" s="4"/>
      <c r="J262" s="4" t="s">
        <v>139</v>
      </c>
      <c r="K262" s="4" t="s">
        <v>141</v>
      </c>
      <c r="L262" s="4" t="s">
        <v>189</v>
      </c>
      <c r="M262" s="4" t="s">
        <v>463</v>
      </c>
      <c r="N262" s="4" t="s">
        <v>274</v>
      </c>
      <c r="O262" s="4" t="s">
        <v>356</v>
      </c>
      <c r="P262" s="4"/>
      <c r="Q262" s="4"/>
      <c r="R262" s="4">
        <v>10.3</v>
      </c>
      <c r="S262" s="4">
        <v>10.3</v>
      </c>
      <c r="T262" s="4"/>
      <c r="U262" s="4">
        <v>-36.892902550000002</v>
      </c>
      <c r="V262" s="4">
        <v>174.85906627</v>
      </c>
      <c r="W262" s="4"/>
      <c r="X262" s="4"/>
      <c r="Y262" s="4"/>
      <c r="Z262" s="4"/>
      <c r="AA262" s="4" t="s">
        <v>152</v>
      </c>
      <c r="AB262" s="3" t="str">
        <f>HYPERLINK("https://sitebase.nzcomms.co.nz/spm/spmcandidateview/AKL-007-106-A/","AKL-007-106-A")</f>
        <v>AKL-007-106-A</v>
      </c>
      <c r="AC262" s="4"/>
      <c r="AD262" s="4"/>
      <c r="AE262" s="4"/>
      <c r="AF262" s="4"/>
      <c r="AG262" s="4"/>
      <c r="AH262" s="4"/>
      <c r="AI262" s="4"/>
      <c r="AJ262" s="4"/>
      <c r="AK262" s="4"/>
      <c r="AL262" s="4"/>
      <c r="AM262" s="4"/>
      <c r="AN262" s="5">
        <v>39889</v>
      </c>
      <c r="AO262" s="4">
        <v>4</v>
      </c>
      <c r="AP262" s="5">
        <v>39975</v>
      </c>
      <c r="AQ262" s="5">
        <v>39997</v>
      </c>
      <c r="AR262" s="4"/>
      <c r="AS262" s="4"/>
      <c r="AT262" s="5">
        <v>40042</v>
      </c>
      <c r="AU262" s="5">
        <v>40028</v>
      </c>
      <c r="AV262" s="4">
        <v>4</v>
      </c>
      <c r="AW262" s="5">
        <v>40044</v>
      </c>
      <c r="AX262" s="5">
        <v>40044</v>
      </c>
      <c r="AY262" s="4"/>
      <c r="AZ262" s="5">
        <v>39892</v>
      </c>
      <c r="BA262" s="4"/>
      <c r="BB262" s="5">
        <v>40025</v>
      </c>
      <c r="BC262" s="4"/>
      <c r="BD262" s="4"/>
      <c r="BE262" s="5">
        <v>40025</v>
      </c>
      <c r="BF262" s="5">
        <v>40017</v>
      </c>
      <c r="BG262" s="5">
        <v>39923</v>
      </c>
      <c r="BH262" s="5">
        <v>39897</v>
      </c>
      <c r="BI262" s="4"/>
      <c r="BJ262" s="5">
        <v>39909</v>
      </c>
      <c r="BK262" s="4">
        <v>5</v>
      </c>
      <c r="BL262" s="4">
        <v>4</v>
      </c>
      <c r="BM262" s="5">
        <v>39975</v>
      </c>
      <c r="BN262" s="5">
        <v>40021</v>
      </c>
      <c r="BO262" s="5">
        <v>39959</v>
      </c>
      <c r="BP262" s="4"/>
      <c r="BQ262" s="4"/>
      <c r="BR262" s="4"/>
      <c r="BS262" s="4"/>
      <c r="BT262" s="5">
        <v>40035</v>
      </c>
      <c r="BU262" s="5">
        <v>40035</v>
      </c>
      <c r="BV262" s="5">
        <v>40053</v>
      </c>
      <c r="BW262" s="5">
        <v>40053</v>
      </c>
      <c r="BX262" s="4"/>
      <c r="BY262" s="5">
        <v>40052</v>
      </c>
      <c r="BZ262" s="5">
        <v>40053</v>
      </c>
      <c r="CA262" s="4"/>
      <c r="CB262" s="4"/>
      <c r="CC262" s="4"/>
      <c r="CD262" s="4"/>
      <c r="CE262" s="4"/>
      <c r="CF262" s="4"/>
      <c r="CG262" s="4"/>
      <c r="CH262" s="4"/>
      <c r="CI262" s="5">
        <v>40057</v>
      </c>
      <c r="CJ262" s="5">
        <v>40067</v>
      </c>
      <c r="CK262" s="5">
        <v>40057</v>
      </c>
      <c r="CL262" s="4"/>
      <c r="CM262" s="4"/>
      <c r="CN262" s="4"/>
      <c r="CO262" s="4"/>
      <c r="CP262" s="4" t="s">
        <v>157</v>
      </c>
      <c r="CQ262" s="4"/>
      <c r="CR262" s="5">
        <v>40067</v>
      </c>
      <c r="CS262" s="4"/>
      <c r="CT262" s="4"/>
      <c r="CU262" s="4"/>
      <c r="CV262" s="4"/>
      <c r="CW262" s="5">
        <v>39955</v>
      </c>
      <c r="CX262" s="5">
        <v>39959</v>
      </c>
      <c r="CY262" s="4"/>
      <c r="CZ262" s="4"/>
      <c r="DA262" s="4"/>
      <c r="DB262" s="4"/>
      <c r="DC262" s="4"/>
      <c r="DD262" s="4"/>
      <c r="DE262" s="4"/>
      <c r="DF262" s="4"/>
      <c r="DG262" s="4"/>
      <c r="DH262" s="4"/>
      <c r="DI262" s="4"/>
      <c r="DJ262" s="4" t="b">
        <v>0</v>
      </c>
      <c r="DK262" s="4"/>
      <c r="DL262" s="4">
        <v>2676078</v>
      </c>
      <c r="DM262" s="4">
        <v>6477075</v>
      </c>
      <c r="DN262" s="4" t="s">
        <v>948</v>
      </c>
      <c r="DO262" s="4"/>
      <c r="DP262" s="4"/>
      <c r="DQ262" s="4" t="s">
        <v>148</v>
      </c>
      <c r="DR262" s="4"/>
      <c r="DS262" s="4"/>
      <c r="DT262" s="5">
        <v>41863</v>
      </c>
      <c r="DU262" s="4"/>
      <c r="DV262" s="4"/>
      <c r="DW262" s="4"/>
      <c r="DX262" s="4"/>
      <c r="DY262" s="5">
        <v>40035</v>
      </c>
      <c r="DZ262" s="5">
        <v>40035</v>
      </c>
      <c r="EA262" s="4"/>
      <c r="EB262" s="4"/>
      <c r="EC262" s="4"/>
      <c r="ED262" s="4"/>
      <c r="EE262" s="4"/>
      <c r="EF262" s="4"/>
      <c r="EG262" s="4"/>
      <c r="EH262" s="4"/>
      <c r="EI262" s="5">
        <v>39873</v>
      </c>
    </row>
    <row r="263" spans="1:139" hidden="1" x14ac:dyDescent="0.2">
      <c r="A263">
        <f>VLOOKUP(B263,Sheet1!$A$1:$B$18,2,FALSE)</f>
        <v>0</v>
      </c>
      <c r="B263" t="str">
        <f t="shared" si="4"/>
        <v>AKL</v>
      </c>
      <c r="C263" s="2">
        <v>262</v>
      </c>
      <c r="D263" s="3" t="str">
        <f>HYPERLINK("https://sitebase.nzcomms.co.nz/spm/spmnominalview/AKL-007-082/","AKL-007-082")</f>
        <v>AKL-007-082</v>
      </c>
      <c r="E263" s="4"/>
      <c r="F263" s="3" t="str">
        <f>HYPERLINK("https://sitebase.nzcomms.co.nz/spm/spmcandidateview/AKL-007-082-B/","AKL-007-082-B")</f>
        <v>AKL-007-082-B</v>
      </c>
      <c r="G263" s="4" t="s">
        <v>949</v>
      </c>
      <c r="H263" s="4" t="s">
        <v>745</v>
      </c>
      <c r="I263" s="4"/>
      <c r="J263" s="4" t="s">
        <v>139</v>
      </c>
      <c r="K263" s="4" t="s">
        <v>141</v>
      </c>
      <c r="L263" s="4" t="s">
        <v>181</v>
      </c>
      <c r="M263" s="4" t="s">
        <v>354</v>
      </c>
      <c r="N263" s="4" t="s">
        <v>364</v>
      </c>
      <c r="O263" s="4" t="s">
        <v>144</v>
      </c>
      <c r="P263" s="4"/>
      <c r="Q263" s="4"/>
      <c r="R263" s="4">
        <v>12.9</v>
      </c>
      <c r="S263" s="4">
        <v>12.9</v>
      </c>
      <c r="T263" s="4"/>
      <c r="U263" s="4">
        <v>-36.857479470000001</v>
      </c>
      <c r="V263" s="4">
        <v>174.74752647</v>
      </c>
      <c r="W263" s="4"/>
      <c r="X263" s="4"/>
      <c r="Y263" s="4"/>
      <c r="Z263" s="4"/>
      <c r="AA263" s="4" t="s">
        <v>171</v>
      </c>
      <c r="AB263" s="3" t="str">
        <f>HYPERLINK("https://sitebase.nzcomms.co.nz/spm/spmcandidateview/AKL-007-040-A/","AKL-007-040-A")</f>
        <v>AKL-007-040-A</v>
      </c>
      <c r="AC263" s="4"/>
      <c r="AD263" s="4"/>
      <c r="AE263" s="4"/>
      <c r="AF263" s="4"/>
      <c r="AG263" s="4"/>
      <c r="AH263" s="4" t="s">
        <v>395</v>
      </c>
      <c r="AI263" s="4"/>
      <c r="AJ263" s="4"/>
      <c r="AK263" s="4"/>
      <c r="AL263" s="4"/>
      <c r="AM263" s="5">
        <v>39805</v>
      </c>
      <c r="AN263" s="5">
        <v>39805</v>
      </c>
      <c r="AO263" s="4">
        <v>3</v>
      </c>
      <c r="AP263" s="5">
        <v>39863</v>
      </c>
      <c r="AQ263" s="5">
        <v>39864</v>
      </c>
      <c r="AR263" s="4"/>
      <c r="AS263" s="4"/>
      <c r="AT263" s="5">
        <v>39802</v>
      </c>
      <c r="AU263" s="5">
        <v>39797</v>
      </c>
      <c r="AV263" s="4">
        <v>3</v>
      </c>
      <c r="AW263" s="4"/>
      <c r="AX263" s="5">
        <v>39802</v>
      </c>
      <c r="AY263" s="4"/>
      <c r="AZ263" s="5">
        <v>39827</v>
      </c>
      <c r="BA263" s="4"/>
      <c r="BB263" s="5">
        <v>39913</v>
      </c>
      <c r="BC263" s="4"/>
      <c r="BD263" s="4"/>
      <c r="BE263" s="5">
        <v>39913</v>
      </c>
      <c r="BF263" s="5">
        <v>39910</v>
      </c>
      <c r="BG263" s="5">
        <v>39801</v>
      </c>
      <c r="BH263" s="5">
        <v>39821</v>
      </c>
      <c r="BI263" s="4"/>
      <c r="BJ263" s="5">
        <v>39875</v>
      </c>
      <c r="BK263" s="4">
        <v>1</v>
      </c>
      <c r="BL263" s="4">
        <v>1</v>
      </c>
      <c r="BM263" s="5">
        <v>39878</v>
      </c>
      <c r="BN263" s="5">
        <v>39875</v>
      </c>
      <c r="BO263" s="4"/>
      <c r="BP263" s="4"/>
      <c r="BQ263" s="4"/>
      <c r="BR263" s="4"/>
      <c r="BS263" s="4"/>
      <c r="BT263" s="5">
        <v>39903</v>
      </c>
      <c r="BU263" s="5">
        <v>39903</v>
      </c>
      <c r="BV263" s="5">
        <v>39944</v>
      </c>
      <c r="BW263" s="5">
        <v>39941</v>
      </c>
      <c r="BX263" s="4"/>
      <c r="BY263" s="5">
        <v>39948</v>
      </c>
      <c r="BZ263" s="5">
        <v>39944</v>
      </c>
      <c r="CA263" s="4"/>
      <c r="CB263" s="4"/>
      <c r="CC263" s="4"/>
      <c r="CD263" s="4"/>
      <c r="CE263" s="4"/>
      <c r="CF263" s="4"/>
      <c r="CG263" s="4"/>
      <c r="CH263" s="4"/>
      <c r="CI263" s="5">
        <v>39951</v>
      </c>
      <c r="CJ263" s="5">
        <v>39955</v>
      </c>
      <c r="CK263" s="5">
        <v>39951</v>
      </c>
      <c r="CL263" s="4"/>
      <c r="CM263" s="4"/>
      <c r="CN263" s="4"/>
      <c r="CO263" s="4"/>
      <c r="CP263" s="4" t="s">
        <v>950</v>
      </c>
      <c r="CQ263" s="4"/>
      <c r="CR263" s="5">
        <v>39955</v>
      </c>
      <c r="CS263" s="4"/>
      <c r="CT263" s="4"/>
      <c r="CU263" s="4"/>
      <c r="CV263" s="4"/>
      <c r="CW263" s="4"/>
      <c r="CX263" s="4"/>
      <c r="CY263" s="4"/>
      <c r="CZ263" s="4"/>
      <c r="DA263" s="4"/>
      <c r="DB263" s="4"/>
      <c r="DC263" s="4"/>
      <c r="DD263" s="4"/>
      <c r="DE263" s="4"/>
      <c r="DF263" s="4"/>
      <c r="DG263" s="4"/>
      <c r="DH263" s="4"/>
      <c r="DI263" s="4"/>
      <c r="DJ263" s="4" t="b">
        <v>0</v>
      </c>
      <c r="DK263" s="4"/>
      <c r="DL263" s="4">
        <v>2666218</v>
      </c>
      <c r="DM263" s="4">
        <v>6481213</v>
      </c>
      <c r="DN263" s="4" t="s">
        <v>951</v>
      </c>
      <c r="DO263" s="4"/>
      <c r="DP263" s="4"/>
      <c r="DQ263" s="4" t="s">
        <v>148</v>
      </c>
      <c r="DR263" s="4"/>
      <c r="DS263" s="4"/>
      <c r="DT263" s="5">
        <v>41806</v>
      </c>
      <c r="DU263" s="4"/>
      <c r="DV263" s="4"/>
      <c r="DW263" s="4"/>
      <c r="DX263" s="4"/>
      <c r="DY263" s="5">
        <v>39903</v>
      </c>
      <c r="DZ263" s="5">
        <v>39903</v>
      </c>
      <c r="EA263" s="4"/>
      <c r="EB263" s="4"/>
      <c r="EC263" s="4"/>
      <c r="ED263" s="4"/>
      <c r="EE263" s="4"/>
      <c r="EF263" s="4"/>
      <c r="EG263" s="4"/>
      <c r="EH263" s="4"/>
      <c r="EI263" s="5">
        <v>39786</v>
      </c>
    </row>
    <row r="264" spans="1:139" hidden="1" x14ac:dyDescent="0.2">
      <c r="A264">
        <f>VLOOKUP(B264,Sheet1!$A$1:$B$18,2,FALSE)</f>
        <v>0</v>
      </c>
      <c r="B264" t="str">
        <f t="shared" si="4"/>
        <v>AKL</v>
      </c>
      <c r="C264" s="2">
        <v>263</v>
      </c>
      <c r="D264" s="3" t="str">
        <f>HYPERLINK("https://sitebase.nzcomms.co.nz/spm/spmnominalview/AKL-007-083/","AKL-007-083")</f>
        <v>AKL-007-083</v>
      </c>
      <c r="E264" s="4"/>
      <c r="F264" s="3" t="str">
        <f>HYPERLINK("https://sitebase.nzcomms.co.nz/spm/spmcandidateview/AKL-007-083-C/","AKL-007-083-C")</f>
        <v>AKL-007-083-C</v>
      </c>
      <c r="G264" s="4" t="s">
        <v>952</v>
      </c>
      <c r="H264" s="4" t="s">
        <v>745</v>
      </c>
      <c r="I264" s="4"/>
      <c r="J264" s="4" t="s">
        <v>139</v>
      </c>
      <c r="K264" s="4" t="s">
        <v>141</v>
      </c>
      <c r="L264" s="4" t="s">
        <v>181</v>
      </c>
      <c r="M264" s="4" t="s">
        <v>442</v>
      </c>
      <c r="N264" s="4" t="s">
        <v>364</v>
      </c>
      <c r="O264" s="4" t="s">
        <v>144</v>
      </c>
      <c r="P264" s="4"/>
      <c r="Q264" s="4"/>
      <c r="R264" s="4"/>
      <c r="S264" s="4"/>
      <c r="T264" s="4"/>
      <c r="U264" s="4">
        <v>-36.861637479999999</v>
      </c>
      <c r="V264" s="4">
        <v>174.75670592</v>
      </c>
      <c r="W264" s="4"/>
      <c r="X264" s="4"/>
      <c r="Y264" s="4"/>
      <c r="Z264" s="4"/>
      <c r="AA264" s="4" t="s">
        <v>171</v>
      </c>
      <c r="AB264" s="3" t="str">
        <f>HYPERLINK("https://sitebase.nzcomms.co.nz/spm/spmcandidateview/AKL-007-112-A/","AKL-007-112-A")</f>
        <v>AKL-007-112-A</v>
      </c>
      <c r="AC264" s="4"/>
      <c r="AD264" s="4"/>
      <c r="AE264" s="4"/>
      <c r="AF264" s="4"/>
      <c r="AG264" s="4"/>
      <c r="AH264" s="4" t="s">
        <v>365</v>
      </c>
      <c r="AI264" s="4"/>
      <c r="AJ264" s="4"/>
      <c r="AK264" s="4"/>
      <c r="AL264" s="4"/>
      <c r="AM264" s="4"/>
      <c r="AN264" s="5">
        <v>39524</v>
      </c>
      <c r="AO264" s="4">
        <v>1</v>
      </c>
      <c r="AP264" s="5">
        <v>39524</v>
      </c>
      <c r="AQ264" s="5">
        <v>39524</v>
      </c>
      <c r="AR264" s="4"/>
      <c r="AS264" s="4"/>
      <c r="AT264" s="5">
        <v>39524</v>
      </c>
      <c r="AU264" s="5">
        <v>39524</v>
      </c>
      <c r="AV264" s="4">
        <v>1</v>
      </c>
      <c r="AW264" s="5">
        <v>39902</v>
      </c>
      <c r="AX264" s="5">
        <v>39895</v>
      </c>
      <c r="AY264" s="4"/>
      <c r="AZ264" s="4"/>
      <c r="BA264" s="4"/>
      <c r="BB264" s="5">
        <v>39752</v>
      </c>
      <c r="BC264" s="4"/>
      <c r="BD264" s="4"/>
      <c r="BE264" s="5">
        <v>39752</v>
      </c>
      <c r="BF264" s="5">
        <v>39671</v>
      </c>
      <c r="BG264" s="4"/>
      <c r="BH264" s="5">
        <v>39535</v>
      </c>
      <c r="BI264" s="4"/>
      <c r="BJ264" s="5">
        <v>39575</v>
      </c>
      <c r="BK264" s="4">
        <v>1</v>
      </c>
      <c r="BL264" s="4">
        <v>1</v>
      </c>
      <c r="BM264" s="5">
        <v>39575</v>
      </c>
      <c r="BN264" s="5">
        <v>39575</v>
      </c>
      <c r="BO264" s="4"/>
      <c r="BP264" s="4"/>
      <c r="BQ264" s="4"/>
      <c r="BR264" s="4"/>
      <c r="BS264" s="4"/>
      <c r="BT264" s="4"/>
      <c r="BU264" s="5">
        <v>39706</v>
      </c>
      <c r="BV264" s="5">
        <v>39738</v>
      </c>
      <c r="BW264" s="5">
        <v>39738</v>
      </c>
      <c r="BX264" s="4"/>
      <c r="BY264" s="5">
        <v>39843</v>
      </c>
      <c r="BZ264" s="5">
        <v>39846</v>
      </c>
      <c r="CA264" s="4"/>
      <c r="CB264" s="4"/>
      <c r="CC264" s="4"/>
      <c r="CD264" s="4"/>
      <c r="CE264" s="4"/>
      <c r="CF264" s="4"/>
      <c r="CG264" s="4"/>
      <c r="CH264" s="4"/>
      <c r="CI264" s="5">
        <v>39918</v>
      </c>
      <c r="CJ264" s="5">
        <v>39917</v>
      </c>
      <c r="CK264" s="5">
        <v>39918</v>
      </c>
      <c r="CL264" s="4"/>
      <c r="CM264" s="4"/>
      <c r="CN264" s="4"/>
      <c r="CO264" s="4"/>
      <c r="CP264" s="4" t="s">
        <v>953</v>
      </c>
      <c r="CQ264" s="4"/>
      <c r="CR264" s="5">
        <v>39917</v>
      </c>
      <c r="CS264" s="4"/>
      <c r="CT264" s="4"/>
      <c r="CU264" s="4"/>
      <c r="CV264" s="4"/>
      <c r="CW264" s="4"/>
      <c r="CX264" s="4"/>
      <c r="CY264" s="4"/>
      <c r="CZ264" s="4"/>
      <c r="DA264" s="4"/>
      <c r="DB264" s="4"/>
      <c r="DC264" s="4"/>
      <c r="DD264" s="4"/>
      <c r="DE264" s="4"/>
      <c r="DF264" s="4"/>
      <c r="DG264" s="4"/>
      <c r="DH264" s="4"/>
      <c r="DI264" s="4"/>
      <c r="DJ264" s="4" t="b">
        <v>0</v>
      </c>
      <c r="DK264" s="4"/>
      <c r="DL264" s="4">
        <v>2667027</v>
      </c>
      <c r="DM264" s="4">
        <v>6480735</v>
      </c>
      <c r="DN264" s="4" t="s">
        <v>954</v>
      </c>
      <c r="DO264" s="4"/>
      <c r="DP264" s="4"/>
      <c r="DQ264" s="4" t="s">
        <v>148</v>
      </c>
      <c r="DR264" s="4"/>
      <c r="DS264" s="4"/>
      <c r="DT264" s="4"/>
      <c r="DU264" s="4"/>
      <c r="DV264" s="4"/>
      <c r="DW264" s="4"/>
      <c r="DX264" s="4"/>
      <c r="DY264" s="4"/>
      <c r="DZ264" s="5">
        <v>39692</v>
      </c>
      <c r="EA264" s="4"/>
      <c r="EB264" s="4"/>
      <c r="EC264" s="4"/>
      <c r="ED264" s="4"/>
      <c r="EE264" s="4"/>
      <c r="EF264" s="4"/>
      <c r="EG264" s="4"/>
      <c r="EH264" s="4"/>
      <c r="EI264" s="5">
        <v>39470</v>
      </c>
    </row>
    <row r="265" spans="1:139" hidden="1" x14ac:dyDescent="0.2">
      <c r="A265">
        <f>VLOOKUP(B265,Sheet1!$A$1:$B$18,2,FALSE)</f>
        <v>0</v>
      </c>
      <c r="B265" t="str">
        <f t="shared" si="4"/>
        <v>AKL</v>
      </c>
      <c r="C265" s="2">
        <v>264</v>
      </c>
      <c r="D265" s="3" t="str">
        <f>HYPERLINK("https://sitebase.nzcomms.co.nz/spm/spmnominalview/AKL-007-084/","AKL-007-084")</f>
        <v>AKL-007-084</v>
      </c>
      <c r="E265" s="4"/>
      <c r="F265" s="3" t="str">
        <f>HYPERLINK("https://sitebase.nzcomms.co.nz/spm/spmcandidateview/AKL-007-084-A/","AKL-007-084-A")</f>
        <v>AKL-007-084-A</v>
      </c>
      <c r="G265" s="4" t="s">
        <v>955</v>
      </c>
      <c r="H265" s="4" t="s">
        <v>745</v>
      </c>
      <c r="I265" s="4"/>
      <c r="J265" s="4" t="s">
        <v>139</v>
      </c>
      <c r="K265" s="4" t="s">
        <v>141</v>
      </c>
      <c r="L265" s="4" t="s">
        <v>189</v>
      </c>
      <c r="M265" s="4" t="s">
        <v>463</v>
      </c>
      <c r="N265" s="4" t="s">
        <v>274</v>
      </c>
      <c r="O265" s="4" t="s">
        <v>356</v>
      </c>
      <c r="P265" s="4"/>
      <c r="Q265" s="4"/>
      <c r="R265" s="4">
        <v>12.8</v>
      </c>
      <c r="S265" s="4">
        <v>12.8</v>
      </c>
      <c r="T265" s="4"/>
      <c r="U265" s="4">
        <v>-36.852499340000001</v>
      </c>
      <c r="V265" s="4">
        <v>174.76704986999999</v>
      </c>
      <c r="W265" s="4"/>
      <c r="X265" s="4"/>
      <c r="Y265" s="4"/>
      <c r="Z265" s="4"/>
      <c r="AA265" s="4" t="s">
        <v>171</v>
      </c>
      <c r="AB265" s="3" t="str">
        <f>HYPERLINK("https://sitebase.nzcomms.co.nz/spm/spmcandidateview/AKL-007-112-A/","AKL-007-112-A")</f>
        <v>AKL-007-112-A</v>
      </c>
      <c r="AC265" s="4"/>
      <c r="AD265" s="4"/>
      <c r="AE265" s="4"/>
      <c r="AF265" s="4"/>
      <c r="AG265" s="4"/>
      <c r="AH265" s="4" t="s">
        <v>365</v>
      </c>
      <c r="AI265" s="4"/>
      <c r="AJ265" s="4"/>
      <c r="AK265" s="4"/>
      <c r="AL265" s="4"/>
      <c r="AM265" s="4"/>
      <c r="AN265" s="5">
        <v>39772</v>
      </c>
      <c r="AO265" s="4">
        <v>2</v>
      </c>
      <c r="AP265" s="5">
        <v>39772</v>
      </c>
      <c r="AQ265" s="5">
        <v>42138</v>
      </c>
      <c r="AR265" s="4"/>
      <c r="AS265" s="4"/>
      <c r="AT265" s="5">
        <v>39899</v>
      </c>
      <c r="AU265" s="5">
        <v>39899</v>
      </c>
      <c r="AV265" s="4">
        <v>1</v>
      </c>
      <c r="AW265" s="5">
        <v>39902</v>
      </c>
      <c r="AX265" s="5">
        <v>39902</v>
      </c>
      <c r="AY265" s="4"/>
      <c r="AZ265" s="5">
        <v>39860</v>
      </c>
      <c r="BA265" s="4"/>
      <c r="BB265" s="5">
        <v>39860</v>
      </c>
      <c r="BC265" s="4"/>
      <c r="BD265" s="4"/>
      <c r="BE265" s="5">
        <v>39860</v>
      </c>
      <c r="BF265" s="5">
        <v>40093</v>
      </c>
      <c r="BG265" s="5">
        <v>42398</v>
      </c>
      <c r="BH265" s="5">
        <v>39821</v>
      </c>
      <c r="BI265" s="4"/>
      <c r="BJ265" s="5">
        <v>39875</v>
      </c>
      <c r="BK265" s="4">
        <v>1</v>
      </c>
      <c r="BL265" s="4">
        <v>1</v>
      </c>
      <c r="BM265" s="5">
        <v>39871</v>
      </c>
      <c r="BN265" s="5">
        <v>39875</v>
      </c>
      <c r="BO265" s="5">
        <v>39923</v>
      </c>
      <c r="BP265" s="4"/>
      <c r="BQ265" s="4"/>
      <c r="BR265" s="4"/>
      <c r="BS265" s="4"/>
      <c r="BT265" s="5">
        <v>39923</v>
      </c>
      <c r="BU265" s="5">
        <v>39925</v>
      </c>
      <c r="BV265" s="5">
        <v>39933</v>
      </c>
      <c r="BW265" s="5">
        <v>39933</v>
      </c>
      <c r="BX265" s="4"/>
      <c r="BY265" s="5">
        <v>39933</v>
      </c>
      <c r="BZ265" s="5">
        <v>39933</v>
      </c>
      <c r="CA265" s="4"/>
      <c r="CB265" s="4"/>
      <c r="CC265" s="4"/>
      <c r="CD265" s="4"/>
      <c r="CE265" s="4"/>
      <c r="CF265" s="4"/>
      <c r="CG265" s="4"/>
      <c r="CH265" s="4"/>
      <c r="CI265" s="5">
        <v>39962</v>
      </c>
      <c r="CJ265" s="5">
        <v>39961</v>
      </c>
      <c r="CK265" s="5">
        <v>39962</v>
      </c>
      <c r="CL265" s="4"/>
      <c r="CM265" s="4"/>
      <c r="CN265" s="4"/>
      <c r="CO265" s="4"/>
      <c r="CP265" s="4" t="s">
        <v>956</v>
      </c>
      <c r="CQ265" s="4"/>
      <c r="CR265" s="5">
        <v>39961</v>
      </c>
      <c r="CS265" s="4"/>
      <c r="CT265" s="4"/>
      <c r="CU265" s="4"/>
      <c r="CV265" s="4"/>
      <c r="CW265" s="5">
        <v>39920</v>
      </c>
      <c r="CX265" s="5">
        <v>39923</v>
      </c>
      <c r="CY265" s="4"/>
      <c r="CZ265" s="4"/>
      <c r="DA265" s="4"/>
      <c r="DB265" s="4"/>
      <c r="DC265" s="4"/>
      <c r="DD265" s="4"/>
      <c r="DE265" s="4"/>
      <c r="DF265" s="4"/>
      <c r="DG265" s="4"/>
      <c r="DH265" s="4"/>
      <c r="DI265" s="4"/>
      <c r="DJ265" s="4" t="b">
        <v>0</v>
      </c>
      <c r="DK265" s="4"/>
      <c r="DL265" s="4">
        <v>2667970</v>
      </c>
      <c r="DM265" s="4">
        <v>6481730</v>
      </c>
      <c r="DN265" s="4" t="s">
        <v>957</v>
      </c>
      <c r="DO265" s="4"/>
      <c r="DP265" s="4"/>
      <c r="DQ265" s="4" t="s">
        <v>148</v>
      </c>
      <c r="DR265" s="4"/>
      <c r="DS265" s="4"/>
      <c r="DT265" s="5">
        <v>41806</v>
      </c>
      <c r="DU265" s="4"/>
      <c r="DV265" s="4"/>
      <c r="DW265" s="4"/>
      <c r="DX265" s="4"/>
      <c r="DY265" s="5">
        <v>39917</v>
      </c>
      <c r="DZ265" s="5">
        <v>39917</v>
      </c>
      <c r="EA265" s="4"/>
      <c r="EB265" s="4"/>
      <c r="EC265" s="4"/>
      <c r="ED265" s="4"/>
      <c r="EE265" s="4"/>
      <c r="EF265" s="4"/>
      <c r="EG265" s="4"/>
      <c r="EH265" s="4"/>
      <c r="EI265" s="5">
        <v>39731</v>
      </c>
    </row>
    <row r="266" spans="1:139" hidden="1" x14ac:dyDescent="0.2">
      <c r="A266">
        <f>VLOOKUP(B266,Sheet1!$A$1:$B$18,2,FALSE)</f>
        <v>0</v>
      </c>
      <c r="B266" t="str">
        <f t="shared" si="4"/>
        <v>AKL</v>
      </c>
      <c r="C266" s="2">
        <v>265</v>
      </c>
      <c r="D266" s="3" t="str">
        <f>HYPERLINK("https://sitebase.nzcomms.co.nz/spm/spmnominalview/AKL-007-085/","AKL-007-085")</f>
        <v>AKL-007-085</v>
      </c>
      <c r="E266" s="4"/>
      <c r="F266" s="3" t="str">
        <f>HYPERLINK("https://sitebase.nzcomms.co.nz/spm/spmcandidateview/AKL-007-085-A/","AKL-007-085-A")</f>
        <v>AKL-007-085-A</v>
      </c>
      <c r="G266" s="4" t="s">
        <v>958</v>
      </c>
      <c r="H266" s="4" t="s">
        <v>745</v>
      </c>
      <c r="I266" s="4"/>
      <c r="J266" s="4" t="s">
        <v>139</v>
      </c>
      <c r="K266" s="4" t="s">
        <v>141</v>
      </c>
      <c r="L266" s="4" t="s">
        <v>181</v>
      </c>
      <c r="M266" s="4" t="s">
        <v>378</v>
      </c>
      <c r="N266" s="4" t="s">
        <v>364</v>
      </c>
      <c r="O266" s="4" t="s">
        <v>144</v>
      </c>
      <c r="P266" s="4"/>
      <c r="Q266" s="4"/>
      <c r="R266" s="4">
        <v>19.8</v>
      </c>
      <c r="S266" s="4">
        <v>19.8</v>
      </c>
      <c r="T266" s="4"/>
      <c r="U266" s="4">
        <v>-36.851866309999998</v>
      </c>
      <c r="V266" s="4">
        <v>174.77861912</v>
      </c>
      <c r="W266" s="4"/>
      <c r="X266" s="4"/>
      <c r="Y266" s="4"/>
      <c r="Z266" s="4"/>
      <c r="AA266" s="4" t="s">
        <v>171</v>
      </c>
      <c r="AB266" s="3" t="str">
        <f>HYPERLINK("https://sitebase.nzcomms.co.nz/spm/spmcandidateview/AKL-007-112-A/","AKL-007-112-A")</f>
        <v>AKL-007-112-A</v>
      </c>
      <c r="AC266" s="4"/>
      <c r="AD266" s="4"/>
      <c r="AE266" s="4"/>
      <c r="AF266" s="4"/>
      <c r="AG266" s="4"/>
      <c r="AH266" s="4"/>
      <c r="AI266" s="4"/>
      <c r="AJ266" s="4"/>
      <c r="AK266" s="4"/>
      <c r="AL266" s="4"/>
      <c r="AM266" s="4"/>
      <c r="AN266" s="5">
        <v>38825</v>
      </c>
      <c r="AO266" s="4">
        <v>5</v>
      </c>
      <c r="AP266" s="4"/>
      <c r="AQ266" s="5">
        <v>42354</v>
      </c>
      <c r="AR266" s="4"/>
      <c r="AS266" s="4"/>
      <c r="AT266" s="5">
        <v>39173</v>
      </c>
      <c r="AU266" s="5">
        <v>39173</v>
      </c>
      <c r="AV266" s="4">
        <v>1</v>
      </c>
      <c r="AW266" s="5">
        <v>39173</v>
      </c>
      <c r="AX266" s="5">
        <v>39173</v>
      </c>
      <c r="AY266" s="4"/>
      <c r="AZ266" s="4"/>
      <c r="BA266" s="4"/>
      <c r="BB266" s="5">
        <v>39173</v>
      </c>
      <c r="BC266" s="4"/>
      <c r="BD266" s="4"/>
      <c r="BE266" s="5">
        <v>39173</v>
      </c>
      <c r="BF266" s="5">
        <v>39173</v>
      </c>
      <c r="BG266" s="5">
        <v>42398</v>
      </c>
      <c r="BH266" s="5">
        <v>39468</v>
      </c>
      <c r="BI266" s="4"/>
      <c r="BJ266" s="5">
        <v>39325</v>
      </c>
      <c r="BK266" s="4">
        <v>3</v>
      </c>
      <c r="BL266" s="4">
        <v>1</v>
      </c>
      <c r="BM266" s="5">
        <v>39367</v>
      </c>
      <c r="BN266" s="5">
        <v>39374</v>
      </c>
      <c r="BO266" s="4"/>
      <c r="BP266" s="4"/>
      <c r="BQ266" s="4"/>
      <c r="BR266" s="4"/>
      <c r="BS266" s="4"/>
      <c r="BT266" s="4"/>
      <c r="BU266" s="5">
        <v>39389</v>
      </c>
      <c r="BV266" s="5">
        <v>39408</v>
      </c>
      <c r="BW266" s="5">
        <v>39408</v>
      </c>
      <c r="BX266" s="4"/>
      <c r="BY266" s="5">
        <v>39437</v>
      </c>
      <c r="BZ266" s="5">
        <v>39437</v>
      </c>
      <c r="CA266" s="4"/>
      <c r="CB266" s="4"/>
      <c r="CC266" s="4"/>
      <c r="CD266" s="4"/>
      <c r="CE266" s="4"/>
      <c r="CF266" s="4"/>
      <c r="CG266" s="4"/>
      <c r="CH266" s="4"/>
      <c r="CI266" s="5">
        <v>39465</v>
      </c>
      <c r="CJ266" s="4"/>
      <c r="CK266" s="5">
        <v>39465</v>
      </c>
      <c r="CL266" s="4"/>
      <c r="CM266" s="4"/>
      <c r="CN266" s="4"/>
      <c r="CO266" s="4"/>
      <c r="CP266" s="4" t="s">
        <v>157</v>
      </c>
      <c r="CQ266" s="4"/>
      <c r="CR266" s="5">
        <v>39465</v>
      </c>
      <c r="CS266" s="4"/>
      <c r="CT266" s="4"/>
      <c r="CU266" s="4"/>
      <c r="CV266" s="4"/>
      <c r="CW266" s="4"/>
      <c r="CX266" s="4"/>
      <c r="CY266" s="4"/>
      <c r="CZ266" s="4"/>
      <c r="DA266" s="4"/>
      <c r="DB266" s="4"/>
      <c r="DC266" s="4"/>
      <c r="DD266" s="4"/>
      <c r="DE266" s="4"/>
      <c r="DF266" s="4"/>
      <c r="DG266" s="4"/>
      <c r="DH266" s="4"/>
      <c r="DI266" s="4"/>
      <c r="DJ266" s="4" t="b">
        <v>0</v>
      </c>
      <c r="DK266" s="4"/>
      <c r="DL266" s="4">
        <v>2669003</v>
      </c>
      <c r="DM266" s="4">
        <v>6481779</v>
      </c>
      <c r="DN266" s="4" t="s">
        <v>959</v>
      </c>
      <c r="DO266" s="4"/>
      <c r="DP266" s="4"/>
      <c r="DQ266" s="4" t="s">
        <v>148</v>
      </c>
      <c r="DR266" s="4"/>
      <c r="DS266" s="4"/>
      <c r="DT266" s="5">
        <v>41806</v>
      </c>
      <c r="DU266" s="4"/>
      <c r="DV266" s="4"/>
      <c r="DW266" s="4"/>
      <c r="DX266" s="4"/>
      <c r="DY266" s="4"/>
      <c r="DZ266" s="5">
        <v>39389</v>
      </c>
      <c r="EA266" s="4"/>
      <c r="EB266" s="4"/>
      <c r="EC266" s="4"/>
      <c r="ED266" s="4"/>
      <c r="EE266" s="4"/>
      <c r="EF266" s="4"/>
      <c r="EG266" s="4"/>
      <c r="EH266" s="4"/>
      <c r="EI266" s="5">
        <v>39173</v>
      </c>
    </row>
    <row r="267" spans="1:139" hidden="1" x14ac:dyDescent="0.2">
      <c r="A267">
        <f>VLOOKUP(B267,Sheet1!$A$1:$B$18,2,FALSE)</f>
        <v>0</v>
      </c>
      <c r="B267" t="str">
        <f t="shared" si="4"/>
        <v>AKL</v>
      </c>
      <c r="C267" s="2">
        <v>266</v>
      </c>
      <c r="D267" s="3" t="str">
        <f>HYPERLINK("https://sitebase.nzcomms.co.nz/spm/spmnominalview/AKL-007-086/","AKL-007-086")</f>
        <v>AKL-007-086</v>
      </c>
      <c r="E267" s="4"/>
      <c r="F267" s="3" t="str">
        <f>HYPERLINK("https://sitebase.nzcomms.co.nz/spm/spmcandidateview/AKL-007-086-A/","AKL-007-086-A")</f>
        <v>AKL-007-086-A</v>
      </c>
      <c r="G267" s="4" t="s">
        <v>960</v>
      </c>
      <c r="H267" s="4" t="s">
        <v>745</v>
      </c>
      <c r="I267" s="4"/>
      <c r="J267" s="4" t="s">
        <v>139</v>
      </c>
      <c r="K267" s="4" t="s">
        <v>141</v>
      </c>
      <c r="L267" s="4" t="s">
        <v>181</v>
      </c>
      <c r="M267" s="4" t="s">
        <v>804</v>
      </c>
      <c r="N267" s="4" t="s">
        <v>364</v>
      </c>
      <c r="O267" s="4" t="s">
        <v>144</v>
      </c>
      <c r="P267" s="4"/>
      <c r="Q267" s="4"/>
      <c r="R267" s="4">
        <v>1</v>
      </c>
      <c r="S267" s="4">
        <v>1</v>
      </c>
      <c r="T267" s="4"/>
      <c r="U267" s="4">
        <v>-36.847599879999997</v>
      </c>
      <c r="V267" s="4">
        <v>174.7629996</v>
      </c>
      <c r="W267" s="4"/>
      <c r="X267" s="4"/>
      <c r="Y267" s="4"/>
      <c r="Z267" s="4"/>
      <c r="AA267" s="4" t="s">
        <v>446</v>
      </c>
      <c r="AB267" s="4" t="s">
        <v>961</v>
      </c>
      <c r="AC267" s="4"/>
      <c r="AD267" s="4"/>
      <c r="AE267" s="4"/>
      <c r="AF267" s="4"/>
      <c r="AG267" s="4"/>
      <c r="AH267" s="4" t="s">
        <v>395</v>
      </c>
      <c r="AI267" s="4"/>
      <c r="AJ267" s="4"/>
      <c r="AK267" s="4"/>
      <c r="AL267" s="4"/>
      <c r="AM267" s="4"/>
      <c r="AN267" s="5">
        <v>39172</v>
      </c>
      <c r="AO267" s="4">
        <v>3</v>
      </c>
      <c r="AP267" s="4"/>
      <c r="AQ267" s="5">
        <v>42355</v>
      </c>
      <c r="AR267" s="4"/>
      <c r="AS267" s="4"/>
      <c r="AT267" s="5">
        <v>39366</v>
      </c>
      <c r="AU267" s="5">
        <v>39366</v>
      </c>
      <c r="AV267" s="4">
        <v>1</v>
      </c>
      <c r="AW267" s="5">
        <v>39366</v>
      </c>
      <c r="AX267" s="5">
        <v>39366</v>
      </c>
      <c r="AY267" s="4"/>
      <c r="AZ267" s="4"/>
      <c r="BA267" s="4"/>
      <c r="BB267" s="5">
        <v>39173</v>
      </c>
      <c r="BC267" s="4"/>
      <c r="BD267" s="4"/>
      <c r="BE267" s="5">
        <v>39173</v>
      </c>
      <c r="BF267" s="5">
        <v>39173</v>
      </c>
      <c r="BG267" s="5">
        <v>42398</v>
      </c>
      <c r="BH267" s="5">
        <v>39323</v>
      </c>
      <c r="BI267" s="4"/>
      <c r="BJ267" s="5">
        <v>39324</v>
      </c>
      <c r="BK267" s="4">
        <v>2</v>
      </c>
      <c r="BL267" s="4">
        <v>1</v>
      </c>
      <c r="BM267" s="5">
        <v>39324</v>
      </c>
      <c r="BN267" s="5">
        <v>39339</v>
      </c>
      <c r="BO267" s="4"/>
      <c r="BP267" s="4"/>
      <c r="BQ267" s="4"/>
      <c r="BR267" s="4"/>
      <c r="BS267" s="4"/>
      <c r="BT267" s="4"/>
      <c r="BU267" s="5">
        <v>39384</v>
      </c>
      <c r="BV267" s="5">
        <v>39402</v>
      </c>
      <c r="BW267" s="5">
        <v>39402</v>
      </c>
      <c r="BX267" s="4"/>
      <c r="BY267" s="5">
        <v>39415</v>
      </c>
      <c r="BZ267" s="5">
        <v>39415</v>
      </c>
      <c r="CA267" s="4"/>
      <c r="CB267" s="4"/>
      <c r="CC267" s="4"/>
      <c r="CD267" s="4"/>
      <c r="CE267" s="4"/>
      <c r="CF267" s="4"/>
      <c r="CG267" s="4"/>
      <c r="CH267" s="4"/>
      <c r="CI267" s="5">
        <v>39524</v>
      </c>
      <c r="CJ267" s="4"/>
      <c r="CK267" s="5">
        <v>39524</v>
      </c>
      <c r="CL267" s="4"/>
      <c r="CM267" s="4"/>
      <c r="CN267" s="4"/>
      <c r="CO267" s="4"/>
      <c r="CP267" s="4" t="s">
        <v>801</v>
      </c>
      <c r="CQ267" s="4"/>
      <c r="CR267" s="5">
        <v>39524</v>
      </c>
      <c r="CS267" s="4"/>
      <c r="CT267" s="4"/>
      <c r="CU267" s="4"/>
      <c r="CV267" s="4"/>
      <c r="CW267" s="4"/>
      <c r="CX267" s="4"/>
      <c r="CY267" s="4"/>
      <c r="CZ267" s="4"/>
      <c r="DA267" s="4"/>
      <c r="DB267" s="4"/>
      <c r="DC267" s="4"/>
      <c r="DD267" s="4"/>
      <c r="DE267" s="4"/>
      <c r="DF267" s="4"/>
      <c r="DG267" s="4"/>
      <c r="DH267" s="4"/>
      <c r="DI267" s="4"/>
      <c r="DJ267" s="4" t="b">
        <v>0</v>
      </c>
      <c r="DK267" s="4"/>
      <c r="DL267" s="4">
        <v>2667620</v>
      </c>
      <c r="DM267" s="4">
        <v>6482281</v>
      </c>
      <c r="DN267" s="4" t="s">
        <v>962</v>
      </c>
      <c r="DO267" s="4"/>
      <c r="DP267" s="4"/>
      <c r="DQ267" s="4" t="s">
        <v>148</v>
      </c>
      <c r="DR267" s="4"/>
      <c r="DS267" s="4"/>
      <c r="DT267" s="5">
        <v>41806</v>
      </c>
      <c r="DU267" s="4"/>
      <c r="DV267" s="4"/>
      <c r="DW267" s="4"/>
      <c r="DX267" s="4"/>
      <c r="DY267" s="4"/>
      <c r="DZ267" s="5">
        <v>39384</v>
      </c>
      <c r="EA267" s="4"/>
      <c r="EB267" s="4"/>
      <c r="EC267" s="4"/>
      <c r="ED267" s="4"/>
      <c r="EE267" s="4"/>
      <c r="EF267" s="4"/>
      <c r="EG267" s="4"/>
      <c r="EH267" s="4"/>
      <c r="EI267" s="5">
        <v>39173</v>
      </c>
    </row>
    <row r="268" spans="1:139" hidden="1" x14ac:dyDescent="0.2">
      <c r="A268">
        <f>VLOOKUP(B268,Sheet1!$A$1:$B$18,2,FALSE)</f>
        <v>0</v>
      </c>
      <c r="B268" t="str">
        <f t="shared" si="4"/>
        <v>AKL</v>
      </c>
      <c r="C268" s="2">
        <v>267</v>
      </c>
      <c r="D268" s="3" t="str">
        <f>HYPERLINK("https://sitebase.nzcomms.co.nz/spm/spmnominalview/AKL-007-087/","AKL-007-087")</f>
        <v>AKL-007-087</v>
      </c>
      <c r="E268" s="4" t="s">
        <v>963</v>
      </c>
      <c r="F268" s="3" t="str">
        <f>HYPERLINK("https://sitebase.nzcomms.co.nz/spm/spmcandidateview/AKL-007-087-A/","AKL-007-087-A")</f>
        <v>AKL-007-087-A</v>
      </c>
      <c r="G268" s="4" t="s">
        <v>964</v>
      </c>
      <c r="H268" s="4" t="s">
        <v>745</v>
      </c>
      <c r="I268" s="4"/>
      <c r="J268" s="4" t="s">
        <v>139</v>
      </c>
      <c r="K268" s="4" t="s">
        <v>141</v>
      </c>
      <c r="L268" s="4" t="s">
        <v>181</v>
      </c>
      <c r="M268" s="4" t="s">
        <v>804</v>
      </c>
      <c r="N268" s="4" t="s">
        <v>364</v>
      </c>
      <c r="O268" s="4" t="s">
        <v>144</v>
      </c>
      <c r="P268" s="4"/>
      <c r="Q268" s="4"/>
      <c r="R268" s="4">
        <v>25.9</v>
      </c>
      <c r="S268" s="4">
        <v>25.9</v>
      </c>
      <c r="T268" s="4"/>
      <c r="U268" s="4">
        <v>-36.855106829999997</v>
      </c>
      <c r="V268" s="4">
        <v>174.75812142000001</v>
      </c>
      <c r="W268" s="4"/>
      <c r="X268" s="4"/>
      <c r="Y268" s="4"/>
      <c r="Z268" s="4"/>
      <c r="AA268" s="4" t="s">
        <v>171</v>
      </c>
      <c r="AB268" s="3" t="str">
        <f>HYPERLINK("https://sitebase.nzcomms.co.nz/spm/spmcandidateview/AKL-007-112-A/","AKL-007-112-A")</f>
        <v>AKL-007-112-A</v>
      </c>
      <c r="AC268" s="4"/>
      <c r="AD268" s="4"/>
      <c r="AE268" s="4"/>
      <c r="AF268" s="4"/>
      <c r="AG268" s="4"/>
      <c r="AH268" s="4" t="s">
        <v>357</v>
      </c>
      <c r="AI268" s="4"/>
      <c r="AJ268" s="4"/>
      <c r="AK268" s="4"/>
      <c r="AL268" s="4"/>
      <c r="AM268" s="4"/>
      <c r="AN268" s="5">
        <v>39172</v>
      </c>
      <c r="AO268" s="4">
        <v>3</v>
      </c>
      <c r="AP268" s="4"/>
      <c r="AQ268" s="5">
        <v>42153</v>
      </c>
      <c r="AR268" s="4"/>
      <c r="AS268" s="4"/>
      <c r="AT268" s="5">
        <v>39289</v>
      </c>
      <c r="AU268" s="5">
        <v>39289</v>
      </c>
      <c r="AV268" s="4">
        <v>1</v>
      </c>
      <c r="AW268" s="5">
        <v>39289</v>
      </c>
      <c r="AX268" s="5">
        <v>39289</v>
      </c>
      <c r="AY268" s="4"/>
      <c r="AZ268" s="4"/>
      <c r="BA268" s="4"/>
      <c r="BB268" s="5">
        <v>39173</v>
      </c>
      <c r="BC268" s="4"/>
      <c r="BD268" s="4"/>
      <c r="BE268" s="5">
        <v>39173</v>
      </c>
      <c r="BF268" s="5">
        <v>39173</v>
      </c>
      <c r="BG268" s="4"/>
      <c r="BH268" s="5">
        <v>39325</v>
      </c>
      <c r="BI268" s="4"/>
      <c r="BJ268" s="5">
        <v>39326</v>
      </c>
      <c r="BK268" s="4">
        <v>6</v>
      </c>
      <c r="BL268" s="4"/>
      <c r="BM268" s="5">
        <v>39326</v>
      </c>
      <c r="BN268" s="5">
        <v>42299</v>
      </c>
      <c r="BO268" s="4"/>
      <c r="BP268" s="4"/>
      <c r="BQ268" s="4"/>
      <c r="BR268" s="4"/>
      <c r="BS268" s="4"/>
      <c r="BT268" s="4"/>
      <c r="BU268" s="5">
        <v>39378</v>
      </c>
      <c r="BV268" s="5">
        <v>39398</v>
      </c>
      <c r="BW268" s="5">
        <v>39398</v>
      </c>
      <c r="BX268" s="4"/>
      <c r="BY268" s="5">
        <v>39401</v>
      </c>
      <c r="BZ268" s="5">
        <v>39401</v>
      </c>
      <c r="CA268" s="4"/>
      <c r="CB268" s="4"/>
      <c r="CC268" s="4"/>
      <c r="CD268" s="4"/>
      <c r="CE268" s="4"/>
      <c r="CF268" s="4"/>
      <c r="CG268" s="4"/>
      <c r="CH268" s="4"/>
      <c r="CI268" s="5">
        <v>39463</v>
      </c>
      <c r="CJ268" s="4"/>
      <c r="CK268" s="5">
        <v>39463</v>
      </c>
      <c r="CL268" s="4"/>
      <c r="CM268" s="4"/>
      <c r="CN268" s="4"/>
      <c r="CO268" s="4"/>
      <c r="CP268" s="4" t="s">
        <v>157</v>
      </c>
      <c r="CQ268" s="4"/>
      <c r="CR268" s="5">
        <v>39463</v>
      </c>
      <c r="CS268" s="4"/>
      <c r="CT268" s="4"/>
      <c r="CU268" s="4"/>
      <c r="CV268" s="4"/>
      <c r="CW268" s="4"/>
      <c r="CX268" s="4"/>
      <c r="CY268" s="4"/>
      <c r="CZ268" s="4"/>
      <c r="DA268" s="4"/>
      <c r="DB268" s="4"/>
      <c r="DC268" s="4"/>
      <c r="DD268" s="4"/>
      <c r="DE268" s="4"/>
      <c r="DF268" s="4"/>
      <c r="DG268" s="4"/>
      <c r="DH268" s="4"/>
      <c r="DI268" s="4"/>
      <c r="DJ268" s="4" t="b">
        <v>0</v>
      </c>
      <c r="DK268" s="4"/>
      <c r="DL268" s="4">
        <v>2667168</v>
      </c>
      <c r="DM268" s="4">
        <v>6481457</v>
      </c>
      <c r="DN268" s="4" t="s">
        <v>965</v>
      </c>
      <c r="DO268" s="4"/>
      <c r="DP268" s="4"/>
      <c r="DQ268" s="4" t="s">
        <v>148</v>
      </c>
      <c r="DR268" s="4"/>
      <c r="DS268" s="4"/>
      <c r="DT268" s="5">
        <v>41806</v>
      </c>
      <c r="DU268" s="4"/>
      <c r="DV268" s="4"/>
      <c r="DW268" s="4"/>
      <c r="DX268" s="4"/>
      <c r="DY268" s="4"/>
      <c r="DZ268" s="5">
        <v>39377</v>
      </c>
      <c r="EA268" s="4"/>
      <c r="EB268" s="4"/>
      <c r="EC268" s="4"/>
      <c r="ED268" s="4"/>
      <c r="EE268" s="4"/>
      <c r="EF268" s="4"/>
      <c r="EG268" s="4"/>
      <c r="EH268" s="4"/>
      <c r="EI268" s="5">
        <v>39173</v>
      </c>
    </row>
    <row r="269" spans="1:139" hidden="1" x14ac:dyDescent="0.2">
      <c r="A269">
        <f>VLOOKUP(B269,Sheet1!$A$1:$B$18,2,FALSE)</f>
        <v>0</v>
      </c>
      <c r="B269" t="str">
        <f t="shared" si="4"/>
        <v>AKL</v>
      </c>
      <c r="C269" s="2">
        <v>268</v>
      </c>
      <c r="D269" s="3" t="str">
        <f>HYPERLINK("https://sitebase.nzcomms.co.nz/spm/spmnominalview/AKL-007-088/","AKL-007-088")</f>
        <v>AKL-007-088</v>
      </c>
      <c r="E269" s="4"/>
      <c r="F269" s="3" t="str">
        <f>HYPERLINK("https://sitebase.nzcomms.co.nz/spm/spmcandidateview/AKL-007-088-A/","AKL-007-088-A")</f>
        <v>AKL-007-088-A</v>
      </c>
      <c r="G269" s="4" t="s">
        <v>966</v>
      </c>
      <c r="H269" s="4" t="s">
        <v>745</v>
      </c>
      <c r="I269" s="4"/>
      <c r="J269" s="4" t="s">
        <v>139</v>
      </c>
      <c r="K269" s="4" t="s">
        <v>141</v>
      </c>
      <c r="L269" s="4" t="s">
        <v>181</v>
      </c>
      <c r="M269" s="4" t="s">
        <v>378</v>
      </c>
      <c r="N269" s="4" t="s">
        <v>364</v>
      </c>
      <c r="O269" s="4" t="s">
        <v>144</v>
      </c>
      <c r="P269" s="4"/>
      <c r="Q269" s="4"/>
      <c r="R269" s="4">
        <v>1</v>
      </c>
      <c r="S269" s="4">
        <v>1</v>
      </c>
      <c r="T269" s="4"/>
      <c r="U269" s="4">
        <v>-36.856096450000003</v>
      </c>
      <c r="V269" s="4">
        <v>174.76699593999999</v>
      </c>
      <c r="W269" s="4"/>
      <c r="X269" s="4"/>
      <c r="Y269" s="4"/>
      <c r="Z269" s="4"/>
      <c r="AA269" s="4" t="s">
        <v>171</v>
      </c>
      <c r="AB269" s="3" t="str">
        <f>HYPERLINK("https://sitebase.nzcomms.co.nz/spm/spmcandidateview/AKL-007-025-A/","AKL-007-025-A")</f>
        <v>AKL-007-025-A</v>
      </c>
      <c r="AC269" s="4"/>
      <c r="AD269" s="4"/>
      <c r="AE269" s="4"/>
      <c r="AF269" s="4"/>
      <c r="AG269" s="4"/>
      <c r="AH269" s="4" t="s">
        <v>395</v>
      </c>
      <c r="AI269" s="4"/>
      <c r="AJ269" s="4"/>
      <c r="AK269" s="4"/>
      <c r="AL269" s="4"/>
      <c r="AM269" s="4"/>
      <c r="AN269" s="5">
        <v>39172</v>
      </c>
      <c r="AO269" s="4">
        <v>3</v>
      </c>
      <c r="AP269" s="4"/>
      <c r="AQ269" s="5">
        <v>42355</v>
      </c>
      <c r="AR269" s="4"/>
      <c r="AS269" s="4"/>
      <c r="AT269" s="5">
        <v>39429</v>
      </c>
      <c r="AU269" s="5">
        <v>39429</v>
      </c>
      <c r="AV269" s="4">
        <v>1</v>
      </c>
      <c r="AW269" s="5">
        <v>39429</v>
      </c>
      <c r="AX269" s="5">
        <v>39429</v>
      </c>
      <c r="AY269" s="4"/>
      <c r="AZ269" s="4"/>
      <c r="BA269" s="4"/>
      <c r="BB269" s="5">
        <v>39173</v>
      </c>
      <c r="BC269" s="4"/>
      <c r="BD269" s="4"/>
      <c r="BE269" s="5">
        <v>39173</v>
      </c>
      <c r="BF269" s="5">
        <v>39173</v>
      </c>
      <c r="BG269" s="5">
        <v>42398</v>
      </c>
      <c r="BH269" s="5">
        <v>39468</v>
      </c>
      <c r="BI269" s="4"/>
      <c r="BJ269" s="5">
        <v>39326</v>
      </c>
      <c r="BK269" s="4">
        <v>1</v>
      </c>
      <c r="BL269" s="4">
        <v>1</v>
      </c>
      <c r="BM269" s="5">
        <v>39326</v>
      </c>
      <c r="BN269" s="5">
        <v>39326</v>
      </c>
      <c r="BO269" s="4"/>
      <c r="BP269" s="4"/>
      <c r="BQ269" s="4"/>
      <c r="BR269" s="4"/>
      <c r="BS269" s="4"/>
      <c r="BT269" s="4"/>
      <c r="BU269" s="5">
        <v>39420</v>
      </c>
      <c r="BV269" s="5">
        <v>39465</v>
      </c>
      <c r="BW269" s="5">
        <v>39465</v>
      </c>
      <c r="BX269" s="4"/>
      <c r="BY269" s="5">
        <v>39477</v>
      </c>
      <c r="BZ269" s="5">
        <v>39477</v>
      </c>
      <c r="CA269" s="4"/>
      <c r="CB269" s="4"/>
      <c r="CC269" s="4"/>
      <c r="CD269" s="4"/>
      <c r="CE269" s="4"/>
      <c r="CF269" s="4"/>
      <c r="CG269" s="4"/>
      <c r="CH269" s="4"/>
      <c r="CI269" s="5">
        <v>39524</v>
      </c>
      <c r="CJ269" s="4"/>
      <c r="CK269" s="5">
        <v>39524</v>
      </c>
      <c r="CL269" s="4"/>
      <c r="CM269" s="4"/>
      <c r="CN269" s="4"/>
      <c r="CO269" s="4"/>
      <c r="CP269" s="4" t="s">
        <v>801</v>
      </c>
      <c r="CQ269" s="4"/>
      <c r="CR269" s="5">
        <v>39524</v>
      </c>
      <c r="CS269" s="4"/>
      <c r="CT269" s="4"/>
      <c r="CU269" s="4"/>
      <c r="CV269" s="4"/>
      <c r="CW269" s="4"/>
      <c r="CX269" s="4"/>
      <c r="CY269" s="4"/>
      <c r="CZ269" s="4"/>
      <c r="DA269" s="4"/>
      <c r="DB269" s="4"/>
      <c r="DC269" s="4"/>
      <c r="DD269" s="4"/>
      <c r="DE269" s="4"/>
      <c r="DF269" s="4"/>
      <c r="DG269" s="4"/>
      <c r="DH269" s="4"/>
      <c r="DI269" s="4"/>
      <c r="DJ269" s="4" t="b">
        <v>0</v>
      </c>
      <c r="DK269" s="4"/>
      <c r="DL269" s="4">
        <v>2667957</v>
      </c>
      <c r="DM269" s="4">
        <v>6481331</v>
      </c>
      <c r="DN269" s="4" t="s">
        <v>967</v>
      </c>
      <c r="DO269" s="4"/>
      <c r="DP269" s="4"/>
      <c r="DQ269" s="4" t="s">
        <v>148</v>
      </c>
      <c r="DR269" s="4"/>
      <c r="DS269" s="4"/>
      <c r="DT269" s="5">
        <v>41806</v>
      </c>
      <c r="DU269" s="4"/>
      <c r="DV269" s="4"/>
      <c r="DW269" s="4"/>
      <c r="DX269" s="4"/>
      <c r="DY269" s="4"/>
      <c r="DZ269" s="5">
        <v>39420</v>
      </c>
      <c r="EA269" s="4"/>
      <c r="EB269" s="4"/>
      <c r="EC269" s="4"/>
      <c r="ED269" s="4"/>
      <c r="EE269" s="4"/>
      <c r="EF269" s="4"/>
      <c r="EG269" s="4"/>
      <c r="EH269" s="4"/>
      <c r="EI269" s="5">
        <v>39173</v>
      </c>
    </row>
    <row r="270" spans="1:139" hidden="1" x14ac:dyDescent="0.2">
      <c r="A270">
        <f>VLOOKUP(B270,Sheet1!$A$1:$B$18,2,FALSE)</f>
        <v>0</v>
      </c>
      <c r="B270" t="str">
        <f t="shared" si="4"/>
        <v>AKL</v>
      </c>
      <c r="C270" s="2">
        <v>269</v>
      </c>
      <c r="D270" s="3" t="str">
        <f>HYPERLINK("https://sitebase.nzcomms.co.nz/spm/spmnominalview/AKL-007-089/","AKL-007-089")</f>
        <v>AKL-007-089</v>
      </c>
      <c r="E270" s="4"/>
      <c r="F270" s="3" t="str">
        <f>HYPERLINK("https://sitebase.nzcomms.co.nz/spm/spmcandidateview/AKL-007-089-B/","AKL-007-089-B")</f>
        <v>AKL-007-089-B</v>
      </c>
      <c r="G270" s="4" t="s">
        <v>968</v>
      </c>
      <c r="H270" s="4" t="s">
        <v>745</v>
      </c>
      <c r="I270" s="4"/>
      <c r="J270" s="4" t="s">
        <v>139</v>
      </c>
      <c r="K270" s="4" t="s">
        <v>141</v>
      </c>
      <c r="L270" s="4" t="s">
        <v>181</v>
      </c>
      <c r="M270" s="4" t="s">
        <v>378</v>
      </c>
      <c r="N270" s="4" t="s">
        <v>364</v>
      </c>
      <c r="O270" s="4" t="s">
        <v>144</v>
      </c>
      <c r="P270" s="4"/>
      <c r="Q270" s="4"/>
      <c r="R270" s="4">
        <v>12.5</v>
      </c>
      <c r="S270" s="4">
        <v>12.5</v>
      </c>
      <c r="T270" s="4"/>
      <c r="U270" s="4">
        <v>-36.859751559999999</v>
      </c>
      <c r="V270" s="4">
        <v>174.75299022999999</v>
      </c>
      <c r="W270" s="4"/>
      <c r="X270" s="4"/>
      <c r="Y270" s="4"/>
      <c r="Z270" s="4"/>
      <c r="AA270" s="4" t="s">
        <v>171</v>
      </c>
      <c r="AB270" s="3" t="str">
        <f>HYPERLINK("https://sitebase.nzcomms.co.nz/spm/spmcandidateview/AKL-007-083-C/","AKL-007-083-C")</f>
        <v>AKL-007-083-C</v>
      </c>
      <c r="AC270" s="4"/>
      <c r="AD270" s="4"/>
      <c r="AE270" s="4"/>
      <c r="AF270" s="4"/>
      <c r="AG270" s="4"/>
      <c r="AH270" s="4" t="s">
        <v>395</v>
      </c>
      <c r="AI270" s="4"/>
      <c r="AJ270" s="4"/>
      <c r="AK270" s="4"/>
      <c r="AL270" s="4"/>
      <c r="AM270" s="4"/>
      <c r="AN270" s="5">
        <v>39742</v>
      </c>
      <c r="AO270" s="4">
        <v>3</v>
      </c>
      <c r="AP270" s="5">
        <v>39862</v>
      </c>
      <c r="AQ270" s="5">
        <v>39862</v>
      </c>
      <c r="AR270" s="4"/>
      <c r="AS270" s="4"/>
      <c r="AT270" s="5">
        <v>39504</v>
      </c>
      <c r="AU270" s="5">
        <v>39504</v>
      </c>
      <c r="AV270" s="4"/>
      <c r="AW270" s="5">
        <v>39885</v>
      </c>
      <c r="AX270" s="5">
        <v>39892</v>
      </c>
      <c r="AY270" s="4"/>
      <c r="AZ270" s="4"/>
      <c r="BA270" s="4"/>
      <c r="BB270" s="5">
        <v>39849</v>
      </c>
      <c r="BC270" s="4"/>
      <c r="BD270" s="4"/>
      <c r="BE270" s="5">
        <v>39849</v>
      </c>
      <c r="BF270" s="5">
        <v>39846</v>
      </c>
      <c r="BG270" s="4"/>
      <c r="BH270" s="5">
        <v>39778</v>
      </c>
      <c r="BI270" s="4"/>
      <c r="BJ270" s="5">
        <v>39829</v>
      </c>
      <c r="BK270" s="4">
        <v>2</v>
      </c>
      <c r="BL270" s="4">
        <v>3</v>
      </c>
      <c r="BM270" s="5">
        <v>39889</v>
      </c>
      <c r="BN270" s="5">
        <v>39895</v>
      </c>
      <c r="BO270" s="4"/>
      <c r="BP270" s="4"/>
      <c r="BQ270" s="4"/>
      <c r="BR270" s="4"/>
      <c r="BS270" s="4"/>
      <c r="BT270" s="4"/>
      <c r="BU270" s="5">
        <v>39867</v>
      </c>
      <c r="BV270" s="5">
        <v>39899</v>
      </c>
      <c r="BW270" s="5">
        <v>39899</v>
      </c>
      <c r="BX270" s="4"/>
      <c r="BY270" s="5">
        <v>39994</v>
      </c>
      <c r="BZ270" s="5">
        <v>39988</v>
      </c>
      <c r="CA270" s="4"/>
      <c r="CB270" s="4"/>
      <c r="CC270" s="4"/>
      <c r="CD270" s="4"/>
      <c r="CE270" s="4"/>
      <c r="CF270" s="4"/>
      <c r="CG270" s="4"/>
      <c r="CH270" s="4"/>
      <c r="CI270" s="5">
        <v>39927</v>
      </c>
      <c r="CJ270" s="5">
        <v>39927</v>
      </c>
      <c r="CK270" s="5">
        <v>39927</v>
      </c>
      <c r="CL270" s="4"/>
      <c r="CM270" s="4"/>
      <c r="CN270" s="4"/>
      <c r="CO270" s="4"/>
      <c r="CP270" s="4" t="s">
        <v>969</v>
      </c>
      <c r="CQ270" s="4"/>
      <c r="CR270" s="5">
        <v>39927</v>
      </c>
      <c r="CS270" s="4"/>
      <c r="CT270" s="4"/>
      <c r="CU270" s="4"/>
      <c r="CV270" s="4"/>
      <c r="CW270" s="4"/>
      <c r="CX270" s="4"/>
      <c r="CY270" s="4"/>
      <c r="CZ270" s="4"/>
      <c r="DA270" s="4"/>
      <c r="DB270" s="4"/>
      <c r="DC270" s="4"/>
      <c r="DD270" s="4"/>
      <c r="DE270" s="4"/>
      <c r="DF270" s="4"/>
      <c r="DG270" s="4"/>
      <c r="DH270" s="4"/>
      <c r="DI270" s="4"/>
      <c r="DJ270" s="4" t="b">
        <v>0</v>
      </c>
      <c r="DK270" s="4"/>
      <c r="DL270" s="4">
        <v>2666700</v>
      </c>
      <c r="DM270" s="4">
        <v>6480951</v>
      </c>
      <c r="DN270" s="4" t="s">
        <v>970</v>
      </c>
      <c r="DO270" s="4"/>
      <c r="DP270" s="4"/>
      <c r="DQ270" s="4" t="s">
        <v>148</v>
      </c>
      <c r="DR270" s="4"/>
      <c r="DS270" s="4"/>
      <c r="DT270" s="5">
        <v>41806</v>
      </c>
      <c r="DU270" s="4"/>
      <c r="DV270" s="4"/>
      <c r="DW270" s="4"/>
      <c r="DX270" s="4"/>
      <c r="DY270" s="5">
        <v>39892</v>
      </c>
      <c r="DZ270" s="5">
        <v>39888</v>
      </c>
      <c r="EA270" s="4"/>
      <c r="EB270" s="4"/>
      <c r="EC270" s="4"/>
      <c r="ED270" s="4"/>
      <c r="EE270" s="4"/>
      <c r="EF270" s="4"/>
      <c r="EG270" s="4"/>
      <c r="EH270" s="4"/>
      <c r="EI270" s="5">
        <v>39492</v>
      </c>
    </row>
    <row r="271" spans="1:139" hidden="1" x14ac:dyDescent="0.2">
      <c r="A271">
        <f>VLOOKUP(B271,Sheet1!$A$1:$B$18,2,FALSE)</f>
        <v>0</v>
      </c>
      <c r="B271" t="str">
        <f t="shared" si="4"/>
        <v>AKL</v>
      </c>
      <c r="C271" s="2">
        <v>270</v>
      </c>
      <c r="D271" s="3" t="str">
        <f>HYPERLINK("https://sitebase.nzcomms.co.nz/spm/spmnominalview/AKL-007-090/","AKL-007-090")</f>
        <v>AKL-007-090</v>
      </c>
      <c r="E271" s="4"/>
      <c r="F271" s="4"/>
      <c r="G271" s="4"/>
      <c r="H271" s="4" t="s">
        <v>745</v>
      </c>
      <c r="I271" s="4"/>
      <c r="J271" s="4" t="s">
        <v>139</v>
      </c>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row>
    <row r="272" spans="1:139" hidden="1" x14ac:dyDescent="0.2">
      <c r="A272">
        <f>VLOOKUP(B272,Sheet1!$A$1:$B$18,2,FALSE)</f>
        <v>0</v>
      </c>
      <c r="B272" t="str">
        <f t="shared" si="4"/>
        <v>AKL</v>
      </c>
      <c r="C272" s="2">
        <v>271</v>
      </c>
      <c r="D272" s="3" t="str">
        <f>HYPERLINK("https://sitebase.nzcomms.co.nz/spm/spmnominalview/AKL-007-091/","AKL-007-091")</f>
        <v>AKL-007-091</v>
      </c>
      <c r="E272" s="4"/>
      <c r="F272" s="3" t="str">
        <f>HYPERLINK("https://sitebase.nzcomms.co.nz/spm/spmcandidateview/AKL-007-091-A/","AKL-007-091-A")</f>
        <v>AKL-007-091-A</v>
      </c>
      <c r="G272" s="4" t="s">
        <v>971</v>
      </c>
      <c r="H272" s="4" t="s">
        <v>745</v>
      </c>
      <c r="I272" s="4"/>
      <c r="J272" s="4" t="s">
        <v>139</v>
      </c>
      <c r="K272" s="4" t="s">
        <v>141</v>
      </c>
      <c r="L272" s="4" t="s">
        <v>181</v>
      </c>
      <c r="M272" s="4" t="s">
        <v>378</v>
      </c>
      <c r="N272" s="4" t="s">
        <v>364</v>
      </c>
      <c r="O272" s="4" t="s">
        <v>144</v>
      </c>
      <c r="P272" s="4"/>
      <c r="Q272" s="4"/>
      <c r="R272" s="4">
        <v>8.3000000000000007</v>
      </c>
      <c r="S272" s="4">
        <v>8.3000000000000007</v>
      </c>
      <c r="T272" s="4"/>
      <c r="U272" s="4">
        <v>-36.846889959999999</v>
      </c>
      <c r="V272" s="4">
        <v>174.74416353999999</v>
      </c>
      <c r="W272" s="4"/>
      <c r="X272" s="4"/>
      <c r="Y272" s="4"/>
      <c r="Z272" s="4"/>
      <c r="AA272" s="4" t="s">
        <v>171</v>
      </c>
      <c r="AB272" s="3" t="str">
        <f>HYPERLINK("https://sitebase.nzcomms.co.nz/spm/spmcandidateview/AKL-007-144-A/","AKL-007-144-A")</f>
        <v>AKL-007-144-A</v>
      </c>
      <c r="AC272" s="4"/>
      <c r="AD272" s="4"/>
      <c r="AE272" s="4"/>
      <c r="AF272" s="4"/>
      <c r="AG272" s="4"/>
      <c r="AH272" s="4"/>
      <c r="AI272" s="4"/>
      <c r="AJ272" s="4"/>
      <c r="AK272" s="4"/>
      <c r="AL272" s="4"/>
      <c r="AM272" s="4"/>
      <c r="AN272" s="5">
        <v>39728</v>
      </c>
      <c r="AO272" s="4">
        <v>7</v>
      </c>
      <c r="AP272" s="5">
        <v>39920</v>
      </c>
      <c r="AQ272" s="5">
        <v>41515</v>
      </c>
      <c r="AR272" s="4"/>
      <c r="AS272" s="4"/>
      <c r="AT272" s="5">
        <v>39294</v>
      </c>
      <c r="AU272" s="5">
        <v>39650</v>
      </c>
      <c r="AV272" s="4">
        <v>5</v>
      </c>
      <c r="AW272" s="5">
        <v>39955</v>
      </c>
      <c r="AX272" s="5">
        <v>39961</v>
      </c>
      <c r="AY272" s="4"/>
      <c r="AZ272" s="5">
        <v>39466</v>
      </c>
      <c r="BA272" s="4"/>
      <c r="BB272" s="5">
        <v>39955</v>
      </c>
      <c r="BC272" s="4"/>
      <c r="BD272" s="4"/>
      <c r="BE272" s="5">
        <v>39955</v>
      </c>
      <c r="BF272" s="5">
        <v>39955</v>
      </c>
      <c r="BG272" s="4"/>
      <c r="BH272" s="5">
        <v>39783</v>
      </c>
      <c r="BI272" s="4"/>
      <c r="BJ272" s="5">
        <v>39834</v>
      </c>
      <c r="BK272" s="4">
        <v>2</v>
      </c>
      <c r="BL272" s="4">
        <v>4</v>
      </c>
      <c r="BM272" s="5">
        <v>39927</v>
      </c>
      <c r="BN272" s="5">
        <v>39930</v>
      </c>
      <c r="BO272" s="4"/>
      <c r="BP272" s="4"/>
      <c r="BQ272" s="4"/>
      <c r="BR272" s="4"/>
      <c r="BS272" s="4"/>
      <c r="BT272" s="5">
        <v>39958</v>
      </c>
      <c r="BU272" s="5">
        <v>39961</v>
      </c>
      <c r="BV272" s="5">
        <v>39987</v>
      </c>
      <c r="BW272" s="5">
        <v>39989</v>
      </c>
      <c r="BX272" s="4"/>
      <c r="BY272" s="5">
        <v>40008</v>
      </c>
      <c r="BZ272" s="5">
        <v>40007</v>
      </c>
      <c r="CA272" s="4"/>
      <c r="CB272" s="4"/>
      <c r="CC272" s="4"/>
      <c r="CD272" s="4"/>
      <c r="CE272" s="4"/>
      <c r="CF272" s="4"/>
      <c r="CG272" s="4"/>
      <c r="CH272" s="4"/>
      <c r="CI272" s="5">
        <v>40010</v>
      </c>
      <c r="CJ272" s="5">
        <v>40011</v>
      </c>
      <c r="CK272" s="5">
        <v>40010</v>
      </c>
      <c r="CL272" s="4"/>
      <c r="CM272" s="4"/>
      <c r="CN272" s="4"/>
      <c r="CO272" s="4"/>
      <c r="CP272" s="4" t="s">
        <v>972</v>
      </c>
      <c r="CQ272" s="4"/>
      <c r="CR272" s="5">
        <v>40011</v>
      </c>
      <c r="CS272" s="4"/>
      <c r="CT272" s="4"/>
      <c r="CU272" s="4"/>
      <c r="CV272" s="4"/>
      <c r="CW272" s="4"/>
      <c r="CX272" s="4"/>
      <c r="CY272" s="4"/>
      <c r="CZ272" s="4"/>
      <c r="DA272" s="4"/>
      <c r="DB272" s="4"/>
      <c r="DC272" s="4"/>
      <c r="DD272" s="4"/>
      <c r="DE272" s="4"/>
      <c r="DF272" s="4"/>
      <c r="DG272" s="4"/>
      <c r="DH272" s="4"/>
      <c r="DI272" s="4"/>
      <c r="DJ272" s="4" t="b">
        <v>0</v>
      </c>
      <c r="DK272" s="4"/>
      <c r="DL272" s="4">
        <v>2665942</v>
      </c>
      <c r="DM272" s="4">
        <v>6482394</v>
      </c>
      <c r="DN272" s="4" t="s">
        <v>973</v>
      </c>
      <c r="DO272" s="4"/>
      <c r="DP272" s="4"/>
      <c r="DQ272" s="4" t="s">
        <v>148</v>
      </c>
      <c r="DR272" s="4"/>
      <c r="DS272" s="4"/>
      <c r="DT272" s="5">
        <v>41806</v>
      </c>
      <c r="DU272" s="4"/>
      <c r="DV272" s="4"/>
      <c r="DW272" s="4"/>
      <c r="DX272" s="4"/>
      <c r="DY272" s="5">
        <v>39958</v>
      </c>
      <c r="DZ272" s="5">
        <v>39961</v>
      </c>
      <c r="EA272" s="4"/>
      <c r="EB272" s="4"/>
      <c r="EC272" s="4"/>
      <c r="ED272" s="4"/>
      <c r="EE272" s="4"/>
      <c r="EF272" s="4"/>
      <c r="EG272" s="4"/>
      <c r="EH272" s="4"/>
      <c r="EI272" s="5">
        <v>39385</v>
      </c>
    </row>
    <row r="273" spans="1:139" hidden="1" x14ac:dyDescent="0.2">
      <c r="A273">
        <f>VLOOKUP(B273,Sheet1!$A$1:$B$18,2,FALSE)</f>
        <v>0</v>
      </c>
      <c r="B273" t="str">
        <f t="shared" si="4"/>
        <v>AKL</v>
      </c>
      <c r="C273" s="2">
        <v>272</v>
      </c>
      <c r="D273" s="3" t="str">
        <f>HYPERLINK("https://sitebase.nzcomms.co.nz/spm/spmnominalview/AKL-007-092/","AKL-007-092")</f>
        <v>AKL-007-092</v>
      </c>
      <c r="E273" s="4"/>
      <c r="F273" s="3" t="str">
        <f>HYPERLINK("https://sitebase.nzcomms.co.nz/spm/spmcandidateview/AKL-007-092-A/","AKL-007-092-A")</f>
        <v>AKL-007-092-A</v>
      </c>
      <c r="G273" s="4" t="s">
        <v>974</v>
      </c>
      <c r="H273" s="4" t="s">
        <v>745</v>
      </c>
      <c r="I273" s="4"/>
      <c r="J273" s="4" t="s">
        <v>139</v>
      </c>
      <c r="K273" s="4" t="s">
        <v>141</v>
      </c>
      <c r="L273" s="4" t="s">
        <v>181</v>
      </c>
      <c r="M273" s="4" t="s">
        <v>463</v>
      </c>
      <c r="N273" s="4" t="s">
        <v>364</v>
      </c>
      <c r="O273" s="4" t="s">
        <v>144</v>
      </c>
      <c r="P273" s="4"/>
      <c r="Q273" s="4"/>
      <c r="R273" s="4">
        <v>21</v>
      </c>
      <c r="S273" s="4">
        <v>21</v>
      </c>
      <c r="T273" s="4"/>
      <c r="U273" s="4">
        <v>-36.844216400000001</v>
      </c>
      <c r="V273" s="4">
        <v>174.76595241000001</v>
      </c>
      <c r="W273" s="4"/>
      <c r="X273" s="4"/>
      <c r="Y273" s="4"/>
      <c r="Z273" s="4"/>
      <c r="AA273" s="4"/>
      <c r="AB273" s="4"/>
      <c r="AC273" s="4"/>
      <c r="AD273" s="4"/>
      <c r="AE273" s="4"/>
      <c r="AF273" s="4"/>
      <c r="AG273" s="4"/>
      <c r="AH273" s="4"/>
      <c r="AI273" s="4"/>
      <c r="AJ273" s="4"/>
      <c r="AK273" s="4"/>
      <c r="AL273" s="4"/>
      <c r="AM273" s="4"/>
      <c r="AN273" s="5">
        <v>39386</v>
      </c>
      <c r="AO273" s="4">
        <v>5</v>
      </c>
      <c r="AP273" s="4"/>
      <c r="AQ273" s="5">
        <v>39884</v>
      </c>
      <c r="AR273" s="4"/>
      <c r="AS273" s="4"/>
      <c r="AT273" s="4"/>
      <c r="AU273" s="5">
        <v>39933</v>
      </c>
      <c r="AV273" s="4"/>
      <c r="AW273" s="4"/>
      <c r="AX273" s="5">
        <v>39946</v>
      </c>
      <c r="AY273" s="4"/>
      <c r="AZ273" s="4"/>
      <c r="BA273" s="4"/>
      <c r="BB273" s="4"/>
      <c r="BC273" s="4"/>
      <c r="BD273" s="4"/>
      <c r="BE273" s="4"/>
      <c r="BF273" s="5">
        <v>39930</v>
      </c>
      <c r="BG273" s="4"/>
      <c r="BH273" s="5">
        <v>39868</v>
      </c>
      <c r="BI273" s="4"/>
      <c r="BJ273" s="5">
        <v>39904</v>
      </c>
      <c r="BK273" s="4">
        <v>1</v>
      </c>
      <c r="BL273" s="4">
        <v>5</v>
      </c>
      <c r="BM273" s="4"/>
      <c r="BN273" s="5">
        <v>39904</v>
      </c>
      <c r="BO273" s="4"/>
      <c r="BP273" s="4"/>
      <c r="BQ273" s="4"/>
      <c r="BR273" s="4"/>
      <c r="BS273" s="4"/>
      <c r="BT273" s="4"/>
      <c r="BU273" s="5">
        <v>39948</v>
      </c>
      <c r="BV273" s="5">
        <v>39986</v>
      </c>
      <c r="BW273" s="5">
        <v>39984</v>
      </c>
      <c r="BX273" s="4"/>
      <c r="BY273" s="5">
        <v>39997</v>
      </c>
      <c r="BZ273" s="5">
        <v>39991</v>
      </c>
      <c r="CA273" s="4"/>
      <c r="CB273" s="4"/>
      <c r="CC273" s="4"/>
      <c r="CD273" s="4"/>
      <c r="CE273" s="4"/>
      <c r="CF273" s="4"/>
      <c r="CG273" s="4"/>
      <c r="CH273" s="4"/>
      <c r="CI273" s="5">
        <v>39991</v>
      </c>
      <c r="CJ273" s="5">
        <v>39997</v>
      </c>
      <c r="CK273" s="5">
        <v>39991</v>
      </c>
      <c r="CL273" s="4"/>
      <c r="CM273" s="4"/>
      <c r="CN273" s="4"/>
      <c r="CO273" s="4"/>
      <c r="CP273" s="4" t="s">
        <v>786</v>
      </c>
      <c r="CQ273" s="4"/>
      <c r="CR273" s="5">
        <v>39997</v>
      </c>
      <c r="CS273" s="4"/>
      <c r="CT273" s="4"/>
      <c r="CU273" s="4"/>
      <c r="CV273" s="4"/>
      <c r="CW273" s="4"/>
      <c r="CX273" s="4"/>
      <c r="CY273" s="4"/>
      <c r="CZ273" s="4"/>
      <c r="DA273" s="4"/>
      <c r="DB273" s="4"/>
      <c r="DC273" s="4"/>
      <c r="DD273" s="4"/>
      <c r="DE273" s="4"/>
      <c r="DF273" s="4"/>
      <c r="DG273" s="4"/>
      <c r="DH273" s="4"/>
      <c r="DI273" s="4"/>
      <c r="DJ273" s="4" t="b">
        <v>0</v>
      </c>
      <c r="DK273" s="4"/>
      <c r="DL273" s="4">
        <v>2667891</v>
      </c>
      <c r="DM273" s="4">
        <v>6482651</v>
      </c>
      <c r="DN273" s="4" t="s">
        <v>975</v>
      </c>
      <c r="DO273" s="4"/>
      <c r="DP273" s="4"/>
      <c r="DQ273" s="4" t="s">
        <v>148</v>
      </c>
      <c r="DR273" s="4"/>
      <c r="DS273" s="4"/>
      <c r="DT273" s="5">
        <v>41806</v>
      </c>
      <c r="DU273" s="4"/>
      <c r="DV273" s="4"/>
      <c r="DW273" s="4"/>
      <c r="DX273" s="4"/>
      <c r="DY273" s="4"/>
      <c r="DZ273" s="5">
        <v>39948</v>
      </c>
      <c r="EA273" s="4"/>
      <c r="EB273" s="4"/>
      <c r="EC273" s="4"/>
      <c r="ED273" s="4"/>
      <c r="EE273" s="4"/>
      <c r="EF273" s="4"/>
      <c r="EG273" s="4"/>
      <c r="EH273" s="4"/>
      <c r="EI273" s="5">
        <v>39300</v>
      </c>
    </row>
    <row r="274" spans="1:139" hidden="1" x14ac:dyDescent="0.2">
      <c r="A274">
        <f>VLOOKUP(B274,Sheet1!$A$1:$B$18,2,FALSE)</f>
        <v>0</v>
      </c>
      <c r="B274" t="str">
        <f t="shared" si="4"/>
        <v>AKL</v>
      </c>
      <c r="C274" s="2">
        <v>273</v>
      </c>
      <c r="D274" s="3" t="str">
        <f>HYPERLINK("https://sitebase.nzcomms.co.nz/spm/spmnominalview/AKL-007-093/","AKL-007-093")</f>
        <v>AKL-007-093</v>
      </c>
      <c r="E274" s="4"/>
      <c r="F274" s="3" t="str">
        <f>HYPERLINK("https://sitebase.nzcomms.co.nz/spm/spmcandidateview/AKL-007-093-A/","AKL-007-093-A")</f>
        <v>AKL-007-093-A</v>
      </c>
      <c r="G274" s="4" t="s">
        <v>976</v>
      </c>
      <c r="H274" s="4" t="s">
        <v>745</v>
      </c>
      <c r="I274" s="4"/>
      <c r="J274" s="4" t="s">
        <v>139</v>
      </c>
      <c r="K274" s="4" t="s">
        <v>141</v>
      </c>
      <c r="L274" s="4" t="s">
        <v>181</v>
      </c>
      <c r="M274" s="4" t="s">
        <v>463</v>
      </c>
      <c r="N274" s="4" t="s">
        <v>364</v>
      </c>
      <c r="O274" s="4" t="s">
        <v>144</v>
      </c>
      <c r="P274" s="4"/>
      <c r="Q274" s="4"/>
      <c r="R274" s="4">
        <v>21</v>
      </c>
      <c r="S274" s="4">
        <v>21</v>
      </c>
      <c r="T274" s="4"/>
      <c r="U274" s="4">
        <v>-36.844216400000001</v>
      </c>
      <c r="V274" s="4">
        <v>174.76595241000001</v>
      </c>
      <c r="W274" s="4"/>
      <c r="X274" s="4"/>
      <c r="Y274" s="4"/>
      <c r="Z274" s="4"/>
      <c r="AA274" s="4" t="s">
        <v>152</v>
      </c>
      <c r="AB274" s="3" t="str">
        <f>HYPERLINK("https://sitebase.nzcomms.co.nz/spm/spmcandidateview/AKL-007-106-A/","AKL-007-106-A")</f>
        <v>AKL-007-106-A</v>
      </c>
      <c r="AC274" s="4"/>
      <c r="AD274" s="4"/>
      <c r="AE274" s="4"/>
      <c r="AF274" s="4"/>
      <c r="AG274" s="4"/>
      <c r="AH274" s="4"/>
      <c r="AI274" s="4"/>
      <c r="AJ274" s="4"/>
      <c r="AK274" s="4"/>
      <c r="AL274" s="4"/>
      <c r="AM274" s="4"/>
      <c r="AN274" s="5">
        <v>39386</v>
      </c>
      <c r="AO274" s="4">
        <v>6</v>
      </c>
      <c r="AP274" s="5">
        <v>39882</v>
      </c>
      <c r="AQ274" s="5">
        <v>40340</v>
      </c>
      <c r="AR274" s="4"/>
      <c r="AS274" s="4"/>
      <c r="AT274" s="5">
        <v>39947</v>
      </c>
      <c r="AU274" s="5">
        <v>39933</v>
      </c>
      <c r="AV274" s="4"/>
      <c r="AW274" s="5">
        <v>39947</v>
      </c>
      <c r="AX274" s="5">
        <v>39946</v>
      </c>
      <c r="AY274" s="4"/>
      <c r="AZ274" s="4"/>
      <c r="BA274" s="4"/>
      <c r="BB274" s="5">
        <v>39899</v>
      </c>
      <c r="BC274" s="4"/>
      <c r="BD274" s="4"/>
      <c r="BE274" s="5">
        <v>39931</v>
      </c>
      <c r="BF274" s="5">
        <v>39930</v>
      </c>
      <c r="BG274" s="5">
        <v>39871</v>
      </c>
      <c r="BH274" s="5">
        <v>39868</v>
      </c>
      <c r="BI274" s="4"/>
      <c r="BJ274" s="5">
        <v>39904</v>
      </c>
      <c r="BK274" s="4">
        <v>1</v>
      </c>
      <c r="BL274" s="4">
        <v>4</v>
      </c>
      <c r="BM274" s="5">
        <v>39899</v>
      </c>
      <c r="BN274" s="5">
        <v>39904</v>
      </c>
      <c r="BO274" s="4"/>
      <c r="BP274" s="4"/>
      <c r="BQ274" s="4"/>
      <c r="BR274" s="4"/>
      <c r="BS274" s="4"/>
      <c r="BT274" s="5">
        <v>39948</v>
      </c>
      <c r="BU274" s="5">
        <v>39948</v>
      </c>
      <c r="BV274" s="5">
        <v>39986</v>
      </c>
      <c r="BW274" s="5">
        <v>39984</v>
      </c>
      <c r="BX274" s="4"/>
      <c r="BY274" s="5">
        <v>39997</v>
      </c>
      <c r="BZ274" s="5">
        <v>39991</v>
      </c>
      <c r="CA274" s="4"/>
      <c r="CB274" s="4"/>
      <c r="CC274" s="4"/>
      <c r="CD274" s="4"/>
      <c r="CE274" s="4"/>
      <c r="CF274" s="4"/>
      <c r="CG274" s="4"/>
      <c r="CH274" s="4"/>
      <c r="CI274" s="5">
        <v>39991</v>
      </c>
      <c r="CJ274" s="5">
        <v>39997</v>
      </c>
      <c r="CK274" s="5">
        <v>39991</v>
      </c>
      <c r="CL274" s="4"/>
      <c r="CM274" s="4"/>
      <c r="CN274" s="4"/>
      <c r="CO274" s="4"/>
      <c r="CP274" s="4" t="s">
        <v>765</v>
      </c>
      <c r="CQ274" s="4"/>
      <c r="CR274" s="5">
        <v>39997</v>
      </c>
      <c r="CS274" s="4"/>
      <c r="CT274" s="4"/>
      <c r="CU274" s="4"/>
      <c r="CV274" s="4"/>
      <c r="CW274" s="4"/>
      <c r="CX274" s="4"/>
      <c r="CY274" s="4"/>
      <c r="CZ274" s="4"/>
      <c r="DA274" s="4"/>
      <c r="DB274" s="4"/>
      <c r="DC274" s="4"/>
      <c r="DD274" s="4"/>
      <c r="DE274" s="4"/>
      <c r="DF274" s="4"/>
      <c r="DG274" s="4"/>
      <c r="DH274" s="4"/>
      <c r="DI274" s="4"/>
      <c r="DJ274" s="4" t="b">
        <v>0</v>
      </c>
      <c r="DK274" s="4"/>
      <c r="DL274" s="4">
        <v>2667891</v>
      </c>
      <c r="DM274" s="4">
        <v>6482651</v>
      </c>
      <c r="DN274" s="4" t="s">
        <v>975</v>
      </c>
      <c r="DO274" s="4"/>
      <c r="DP274" s="4"/>
      <c r="DQ274" s="4" t="s">
        <v>148</v>
      </c>
      <c r="DR274" s="4"/>
      <c r="DS274" s="4"/>
      <c r="DT274" s="5">
        <v>41806</v>
      </c>
      <c r="DU274" s="4"/>
      <c r="DV274" s="4"/>
      <c r="DW274" s="4"/>
      <c r="DX274" s="4"/>
      <c r="DY274" s="5">
        <v>39948</v>
      </c>
      <c r="DZ274" s="5">
        <v>39948</v>
      </c>
      <c r="EA274" s="4"/>
      <c r="EB274" s="4"/>
      <c r="EC274" s="4"/>
      <c r="ED274" s="4"/>
      <c r="EE274" s="4"/>
      <c r="EF274" s="4"/>
      <c r="EG274" s="4"/>
      <c r="EH274" s="4"/>
      <c r="EI274" s="5">
        <v>39300</v>
      </c>
    </row>
    <row r="275" spans="1:139" hidden="1" x14ac:dyDescent="0.2">
      <c r="A275">
        <f>VLOOKUP(B275,Sheet1!$A$1:$B$18,2,FALSE)</f>
        <v>0</v>
      </c>
      <c r="B275" t="str">
        <f t="shared" si="4"/>
        <v>AKL</v>
      </c>
      <c r="C275" s="2">
        <v>274</v>
      </c>
      <c r="D275" s="3" t="str">
        <f>HYPERLINK("https://sitebase.nzcomms.co.nz/spm/spmnominalview/AKL-007-094/","AKL-007-094")</f>
        <v>AKL-007-094</v>
      </c>
      <c r="E275" s="4"/>
      <c r="F275" s="3" t="str">
        <f>HYPERLINK("https://sitebase.nzcomms.co.nz/spm/spmcandidateview/AKL-007-094-B/","AKL-007-094-B")</f>
        <v>AKL-007-094-B</v>
      </c>
      <c r="G275" s="4" t="s">
        <v>977</v>
      </c>
      <c r="H275" s="4" t="s">
        <v>745</v>
      </c>
      <c r="I275" s="4"/>
      <c r="J275" s="4" t="s">
        <v>139</v>
      </c>
      <c r="K275" s="4" t="s">
        <v>141</v>
      </c>
      <c r="L275" s="4" t="s">
        <v>181</v>
      </c>
      <c r="M275" s="4" t="s">
        <v>804</v>
      </c>
      <c r="N275" s="4" t="s">
        <v>364</v>
      </c>
      <c r="O275" s="4" t="s">
        <v>144</v>
      </c>
      <c r="P275" s="4"/>
      <c r="Q275" s="4"/>
      <c r="R275" s="4">
        <v>28</v>
      </c>
      <c r="S275" s="4">
        <v>28</v>
      </c>
      <c r="T275" s="4"/>
      <c r="U275" s="4">
        <v>-36.869834339999997</v>
      </c>
      <c r="V275" s="4">
        <v>174.77669144000001</v>
      </c>
      <c r="W275" s="4"/>
      <c r="X275" s="4"/>
      <c r="Y275" s="4"/>
      <c r="Z275" s="4"/>
      <c r="AA275" s="4" t="s">
        <v>171</v>
      </c>
      <c r="AB275" s="3" t="str">
        <f>HYPERLINK("https://sitebase.nzcomms.co.nz/spm/spmcandidateview/AKL-007-106-A/","AKL-007-106-A")</f>
        <v>AKL-007-106-A</v>
      </c>
      <c r="AC275" s="4"/>
      <c r="AD275" s="4"/>
      <c r="AE275" s="4"/>
      <c r="AF275" s="4"/>
      <c r="AG275" s="4"/>
      <c r="AH275" s="4" t="s">
        <v>365</v>
      </c>
      <c r="AI275" s="4"/>
      <c r="AJ275" s="4"/>
      <c r="AK275" s="4"/>
      <c r="AL275" s="4"/>
      <c r="AM275" s="4"/>
      <c r="AN275" s="5">
        <v>39765</v>
      </c>
      <c r="AO275" s="4">
        <v>4</v>
      </c>
      <c r="AP275" s="5">
        <v>39889</v>
      </c>
      <c r="AQ275" s="5">
        <v>42124</v>
      </c>
      <c r="AR275" s="4"/>
      <c r="AS275" s="4"/>
      <c r="AT275" s="5">
        <v>39780</v>
      </c>
      <c r="AU275" s="5">
        <v>39779</v>
      </c>
      <c r="AV275" s="4">
        <v>1</v>
      </c>
      <c r="AW275" s="5">
        <v>39885</v>
      </c>
      <c r="AX275" s="5">
        <v>39892</v>
      </c>
      <c r="AY275" s="4"/>
      <c r="AZ275" s="4"/>
      <c r="BA275" s="4"/>
      <c r="BB275" s="5">
        <v>39840</v>
      </c>
      <c r="BC275" s="4"/>
      <c r="BD275" s="4"/>
      <c r="BE275" s="5">
        <v>39840</v>
      </c>
      <c r="BF275" s="5">
        <v>39840</v>
      </c>
      <c r="BG275" s="4"/>
      <c r="BH275" s="5">
        <v>39783</v>
      </c>
      <c r="BI275" s="4"/>
      <c r="BJ275" s="5">
        <v>39804</v>
      </c>
      <c r="BK275" s="4">
        <v>4</v>
      </c>
      <c r="BL275" s="4"/>
      <c r="BM275" s="5">
        <v>39896</v>
      </c>
      <c r="BN275" s="5">
        <v>42299</v>
      </c>
      <c r="BO275" s="4"/>
      <c r="BP275" s="4"/>
      <c r="BQ275" s="4"/>
      <c r="BR275" s="4"/>
      <c r="BS275" s="4"/>
      <c r="BT275" s="4"/>
      <c r="BU275" s="5">
        <v>39860</v>
      </c>
      <c r="BV275" s="5">
        <v>39920</v>
      </c>
      <c r="BW275" s="5">
        <v>39919</v>
      </c>
      <c r="BX275" s="4"/>
      <c r="BY275" s="5">
        <v>39933</v>
      </c>
      <c r="BZ275" s="5">
        <v>39926</v>
      </c>
      <c r="CA275" s="4"/>
      <c r="CB275" s="4"/>
      <c r="CC275" s="4"/>
      <c r="CD275" s="4"/>
      <c r="CE275" s="4"/>
      <c r="CF275" s="4"/>
      <c r="CG275" s="4"/>
      <c r="CH275" s="4"/>
      <c r="CI275" s="5">
        <v>39927</v>
      </c>
      <c r="CJ275" s="5">
        <v>39927</v>
      </c>
      <c r="CK275" s="5">
        <v>39927</v>
      </c>
      <c r="CL275" s="4"/>
      <c r="CM275" s="4"/>
      <c r="CN275" s="4"/>
      <c r="CO275" s="4"/>
      <c r="CP275" s="4" t="s">
        <v>978</v>
      </c>
      <c r="CQ275" s="4"/>
      <c r="CR275" s="5">
        <v>39927</v>
      </c>
      <c r="CS275" s="4"/>
      <c r="CT275" s="4"/>
      <c r="CU275" s="4"/>
      <c r="CV275" s="4"/>
      <c r="CW275" s="4"/>
      <c r="CX275" s="4"/>
      <c r="CY275" s="4"/>
      <c r="CZ275" s="4"/>
      <c r="DA275" s="4"/>
      <c r="DB275" s="4"/>
      <c r="DC275" s="4"/>
      <c r="DD275" s="4"/>
      <c r="DE275" s="4"/>
      <c r="DF275" s="4"/>
      <c r="DG275" s="4"/>
      <c r="DH275" s="4"/>
      <c r="DI275" s="4"/>
      <c r="DJ275" s="4" t="b">
        <v>0</v>
      </c>
      <c r="DK275" s="4"/>
      <c r="DL275" s="4">
        <v>2668790</v>
      </c>
      <c r="DM275" s="4">
        <v>6479789</v>
      </c>
      <c r="DN275" s="4" t="s">
        <v>979</v>
      </c>
      <c r="DO275" s="4"/>
      <c r="DP275" s="4"/>
      <c r="DQ275" s="4" t="s">
        <v>148</v>
      </c>
      <c r="DR275" s="4"/>
      <c r="DS275" s="4"/>
      <c r="DT275" s="5">
        <v>41806</v>
      </c>
      <c r="DU275" s="4"/>
      <c r="DV275" s="4"/>
      <c r="DW275" s="4"/>
      <c r="DX275" s="4"/>
      <c r="DY275" s="4"/>
      <c r="DZ275" s="5">
        <v>39847</v>
      </c>
      <c r="EA275" s="4"/>
      <c r="EB275" s="4"/>
      <c r="EC275" s="4"/>
      <c r="ED275" s="4"/>
      <c r="EE275" s="4"/>
      <c r="EF275" s="4"/>
      <c r="EG275" s="4"/>
      <c r="EH275" s="4"/>
      <c r="EI275" s="5">
        <v>39731</v>
      </c>
    </row>
    <row r="276" spans="1:139" hidden="1" x14ac:dyDescent="0.2">
      <c r="A276">
        <f>VLOOKUP(B276,Sheet1!$A$1:$B$18,2,FALSE)</f>
        <v>0</v>
      </c>
      <c r="B276" t="str">
        <f t="shared" si="4"/>
        <v>AKL</v>
      </c>
      <c r="C276" s="2">
        <v>275</v>
      </c>
      <c r="D276" s="3" t="str">
        <f>HYPERLINK("https://sitebase.nzcomms.co.nz/spm/spmnominalview/AKL-007-095/","AKL-007-095")</f>
        <v>AKL-007-095</v>
      </c>
      <c r="E276" s="4"/>
      <c r="F276" s="3" t="str">
        <f>HYPERLINK("https://sitebase.nzcomms.co.nz/spm/spmcandidateview/AKL-007-095-A/","AKL-007-095-A")</f>
        <v>AKL-007-095-A</v>
      </c>
      <c r="G276" s="4" t="s">
        <v>980</v>
      </c>
      <c r="H276" s="4" t="s">
        <v>745</v>
      </c>
      <c r="I276" s="4"/>
      <c r="J276" s="4" t="s">
        <v>139</v>
      </c>
      <c r="K276" s="4" t="s">
        <v>141</v>
      </c>
      <c r="L276" s="4" t="s">
        <v>181</v>
      </c>
      <c r="M276" s="4" t="s">
        <v>804</v>
      </c>
      <c r="N276" s="4" t="s">
        <v>364</v>
      </c>
      <c r="O276" s="4" t="s">
        <v>144</v>
      </c>
      <c r="P276" s="4"/>
      <c r="Q276" s="4"/>
      <c r="R276" s="4">
        <v>1</v>
      </c>
      <c r="S276" s="4">
        <v>1</v>
      </c>
      <c r="T276" s="4"/>
      <c r="U276" s="4">
        <v>-36.849234979999999</v>
      </c>
      <c r="V276" s="4">
        <v>174.76550854999999</v>
      </c>
      <c r="W276" s="4"/>
      <c r="X276" s="4"/>
      <c r="Y276" s="4"/>
      <c r="Z276" s="4"/>
      <c r="AA276" s="4" t="s">
        <v>171</v>
      </c>
      <c r="AB276" s="3" t="str">
        <f>HYPERLINK("https://sitebase.nzcomms.co.nz/spm/spmcandidateview/AKL-007-032-A/","AKL-007-032-A")</f>
        <v>AKL-007-032-A</v>
      </c>
      <c r="AC276" s="4"/>
      <c r="AD276" s="4"/>
      <c r="AE276" s="4"/>
      <c r="AF276" s="4"/>
      <c r="AG276" s="4"/>
      <c r="AH276" s="4" t="s">
        <v>360</v>
      </c>
      <c r="AI276" s="4"/>
      <c r="AJ276" s="4"/>
      <c r="AK276" s="4"/>
      <c r="AL276" s="4"/>
      <c r="AM276" s="4"/>
      <c r="AN276" s="5">
        <v>39172</v>
      </c>
      <c r="AO276" s="4">
        <v>4</v>
      </c>
      <c r="AP276" s="4"/>
      <c r="AQ276" s="5">
        <v>42355</v>
      </c>
      <c r="AR276" s="4"/>
      <c r="AS276" s="4"/>
      <c r="AT276" s="5">
        <v>39322</v>
      </c>
      <c r="AU276" s="5">
        <v>39322</v>
      </c>
      <c r="AV276" s="4">
        <v>1</v>
      </c>
      <c r="AW276" s="5">
        <v>39322</v>
      </c>
      <c r="AX276" s="5">
        <v>39322</v>
      </c>
      <c r="AY276" s="4"/>
      <c r="AZ276" s="4"/>
      <c r="BA276" s="4"/>
      <c r="BB276" s="5">
        <v>39173</v>
      </c>
      <c r="BC276" s="4"/>
      <c r="BD276" s="4"/>
      <c r="BE276" s="5">
        <v>39173</v>
      </c>
      <c r="BF276" s="5">
        <v>39173</v>
      </c>
      <c r="BG276" s="5">
        <v>42398</v>
      </c>
      <c r="BH276" s="5">
        <v>39345</v>
      </c>
      <c r="BI276" s="4"/>
      <c r="BJ276" s="5">
        <v>39346</v>
      </c>
      <c r="BK276" s="4">
        <v>1</v>
      </c>
      <c r="BL276" s="4">
        <v>1</v>
      </c>
      <c r="BM276" s="5">
        <v>39346</v>
      </c>
      <c r="BN276" s="5">
        <v>39346</v>
      </c>
      <c r="BO276" s="4"/>
      <c r="BP276" s="4"/>
      <c r="BQ276" s="4"/>
      <c r="BR276" s="4"/>
      <c r="BS276" s="4"/>
      <c r="BT276" s="4"/>
      <c r="BU276" s="5">
        <v>39395</v>
      </c>
      <c r="BV276" s="5">
        <v>39423</v>
      </c>
      <c r="BW276" s="5">
        <v>39423</v>
      </c>
      <c r="BX276" s="4"/>
      <c r="BY276" s="5">
        <v>39436</v>
      </c>
      <c r="BZ276" s="5">
        <v>39436</v>
      </c>
      <c r="CA276" s="4"/>
      <c r="CB276" s="4"/>
      <c r="CC276" s="4"/>
      <c r="CD276" s="4"/>
      <c r="CE276" s="4"/>
      <c r="CF276" s="4"/>
      <c r="CG276" s="4"/>
      <c r="CH276" s="4"/>
      <c r="CI276" s="5">
        <v>39549</v>
      </c>
      <c r="CJ276" s="4"/>
      <c r="CK276" s="5">
        <v>39549</v>
      </c>
      <c r="CL276" s="4"/>
      <c r="CM276" s="4"/>
      <c r="CN276" s="4"/>
      <c r="CO276" s="4"/>
      <c r="CP276" s="4" t="s">
        <v>981</v>
      </c>
      <c r="CQ276" s="4"/>
      <c r="CR276" s="5">
        <v>39549</v>
      </c>
      <c r="CS276" s="4"/>
      <c r="CT276" s="4"/>
      <c r="CU276" s="4"/>
      <c r="CV276" s="4"/>
      <c r="CW276" s="4"/>
      <c r="CX276" s="4"/>
      <c r="CY276" s="4"/>
      <c r="CZ276" s="4"/>
      <c r="DA276" s="4"/>
      <c r="DB276" s="4"/>
      <c r="DC276" s="4"/>
      <c r="DD276" s="4"/>
      <c r="DE276" s="4"/>
      <c r="DF276" s="4"/>
      <c r="DG276" s="4"/>
      <c r="DH276" s="4"/>
      <c r="DI276" s="4"/>
      <c r="DJ276" s="4" t="b">
        <v>0</v>
      </c>
      <c r="DK276" s="4"/>
      <c r="DL276" s="4">
        <v>2667840</v>
      </c>
      <c r="DM276" s="4">
        <v>6482095</v>
      </c>
      <c r="DN276" s="4" t="s">
        <v>982</v>
      </c>
      <c r="DO276" s="4" t="s">
        <v>983</v>
      </c>
      <c r="DP276" s="4"/>
      <c r="DQ276" s="4" t="s">
        <v>148</v>
      </c>
      <c r="DR276" s="4"/>
      <c r="DS276" s="4"/>
      <c r="DT276" s="5">
        <v>41806</v>
      </c>
      <c r="DU276" s="4"/>
      <c r="DV276" s="4"/>
      <c r="DW276" s="4"/>
      <c r="DX276" s="4"/>
      <c r="DY276" s="4"/>
      <c r="DZ276" s="5">
        <v>39395</v>
      </c>
      <c r="EA276" s="4"/>
      <c r="EB276" s="4"/>
      <c r="EC276" s="4"/>
      <c r="ED276" s="4"/>
      <c r="EE276" s="4"/>
      <c r="EF276" s="4"/>
      <c r="EG276" s="4"/>
      <c r="EH276" s="4"/>
      <c r="EI276" s="5">
        <v>39173</v>
      </c>
    </row>
    <row r="277" spans="1:139" hidden="1" x14ac:dyDescent="0.2">
      <c r="A277">
        <f>VLOOKUP(B277,Sheet1!$A$1:$B$18,2,FALSE)</f>
        <v>0</v>
      </c>
      <c r="B277" t="str">
        <f t="shared" si="4"/>
        <v>AKL</v>
      </c>
      <c r="C277" s="2">
        <v>276</v>
      </c>
      <c r="D277" s="3" t="str">
        <f>HYPERLINK("https://sitebase.nzcomms.co.nz/spm/spmnominalview/AKL-007-096/","AKL-007-096")</f>
        <v>AKL-007-096</v>
      </c>
      <c r="E277" s="4"/>
      <c r="F277" s="3" t="str">
        <f>HYPERLINK("https://sitebase.nzcomms.co.nz/spm/spmcandidateview/AKL-007-096-C/","AKL-007-096-C")</f>
        <v>AKL-007-096-C</v>
      </c>
      <c r="G277" s="4" t="s">
        <v>984</v>
      </c>
      <c r="H277" s="4" t="s">
        <v>745</v>
      </c>
      <c r="I277" s="4"/>
      <c r="J277" s="4" t="s">
        <v>139</v>
      </c>
      <c r="K277" s="4" t="s">
        <v>141</v>
      </c>
      <c r="L277" s="4" t="s">
        <v>189</v>
      </c>
      <c r="M277" s="4" t="s">
        <v>354</v>
      </c>
      <c r="N277" s="4" t="s">
        <v>355</v>
      </c>
      <c r="O277" s="4" t="s">
        <v>356</v>
      </c>
      <c r="P277" s="4"/>
      <c r="Q277" s="4"/>
      <c r="R277" s="4">
        <v>10.5</v>
      </c>
      <c r="S277" s="4">
        <v>10.5</v>
      </c>
      <c r="T277" s="4"/>
      <c r="U277" s="4">
        <v>-36.868399529999998</v>
      </c>
      <c r="V277" s="4">
        <v>174.80004374000001</v>
      </c>
      <c r="W277" s="4"/>
      <c r="X277" s="4"/>
      <c r="Y277" s="4"/>
      <c r="Z277" s="4"/>
      <c r="AA277" s="4" t="s">
        <v>171</v>
      </c>
      <c r="AB277" s="3" t="str">
        <f>HYPERLINK("https://sitebase.nzcomms.co.nz/spm/spmcandidateview/AKL-007-113-A/","AKL-007-113-A")</f>
        <v>AKL-007-113-A</v>
      </c>
      <c r="AC277" s="4"/>
      <c r="AD277" s="4"/>
      <c r="AE277" s="4"/>
      <c r="AF277" s="4"/>
      <c r="AG277" s="4"/>
      <c r="AH277" s="4" t="s">
        <v>360</v>
      </c>
      <c r="AI277" s="4"/>
      <c r="AJ277" s="4"/>
      <c r="AK277" s="4"/>
      <c r="AL277" s="4"/>
      <c r="AM277" s="4"/>
      <c r="AN277" s="5">
        <v>39303</v>
      </c>
      <c r="AO277" s="4">
        <v>4</v>
      </c>
      <c r="AP277" s="5">
        <v>39534</v>
      </c>
      <c r="AQ277" s="5">
        <v>39534</v>
      </c>
      <c r="AR277" s="4"/>
      <c r="AS277" s="4"/>
      <c r="AT277" s="5">
        <v>39599</v>
      </c>
      <c r="AU277" s="5">
        <v>39622</v>
      </c>
      <c r="AV277" s="4">
        <v>4</v>
      </c>
      <c r="AW277" s="5">
        <v>39599</v>
      </c>
      <c r="AX277" s="5">
        <v>39622</v>
      </c>
      <c r="AY277" s="4"/>
      <c r="AZ277" s="4"/>
      <c r="BA277" s="4"/>
      <c r="BB277" s="5">
        <v>39752</v>
      </c>
      <c r="BC277" s="4"/>
      <c r="BD277" s="4"/>
      <c r="BE277" s="5">
        <v>39752</v>
      </c>
      <c r="BF277" s="5">
        <v>39703</v>
      </c>
      <c r="BG277" s="4"/>
      <c r="BH277" s="5">
        <v>39548</v>
      </c>
      <c r="BI277" s="4"/>
      <c r="BJ277" s="5">
        <v>39568</v>
      </c>
      <c r="BK277" s="4">
        <v>2</v>
      </c>
      <c r="BL277" s="4">
        <v>3</v>
      </c>
      <c r="BM277" s="5">
        <v>39582</v>
      </c>
      <c r="BN277" s="5">
        <v>39582</v>
      </c>
      <c r="BO277" s="4"/>
      <c r="BP277" s="4"/>
      <c r="BQ277" s="4"/>
      <c r="BR277" s="4"/>
      <c r="BS277" s="4"/>
      <c r="BT277" s="4"/>
      <c r="BU277" s="5">
        <v>39769</v>
      </c>
      <c r="BV277" s="5">
        <v>39780</v>
      </c>
      <c r="BW277" s="5">
        <v>39780</v>
      </c>
      <c r="BX277" s="4"/>
      <c r="BY277" s="5">
        <v>39797</v>
      </c>
      <c r="BZ277" s="5">
        <v>39780</v>
      </c>
      <c r="CA277" s="4"/>
      <c r="CB277" s="4"/>
      <c r="CC277" s="4"/>
      <c r="CD277" s="4"/>
      <c r="CE277" s="4"/>
      <c r="CF277" s="4"/>
      <c r="CG277" s="4"/>
      <c r="CH277" s="4"/>
      <c r="CI277" s="5">
        <v>39904</v>
      </c>
      <c r="CJ277" s="5">
        <v>39906</v>
      </c>
      <c r="CK277" s="5">
        <v>39904</v>
      </c>
      <c r="CL277" s="4"/>
      <c r="CM277" s="4"/>
      <c r="CN277" s="4"/>
      <c r="CO277" s="4"/>
      <c r="CP277" s="4" t="s">
        <v>985</v>
      </c>
      <c r="CQ277" s="4"/>
      <c r="CR277" s="5">
        <v>39906</v>
      </c>
      <c r="CS277" s="4"/>
      <c r="CT277" s="4"/>
      <c r="CU277" s="4"/>
      <c r="CV277" s="4"/>
      <c r="CW277" s="4"/>
      <c r="CX277" s="4"/>
      <c r="CY277" s="4"/>
      <c r="CZ277" s="4"/>
      <c r="DA277" s="4"/>
      <c r="DB277" s="4"/>
      <c r="DC277" s="4"/>
      <c r="DD277" s="4"/>
      <c r="DE277" s="4"/>
      <c r="DF277" s="4"/>
      <c r="DG277" s="4"/>
      <c r="DH277" s="4"/>
      <c r="DI277" s="4"/>
      <c r="DJ277" s="4" t="b">
        <v>0</v>
      </c>
      <c r="DK277" s="4"/>
      <c r="DL277" s="4">
        <v>2670875</v>
      </c>
      <c r="DM277" s="4">
        <v>6479905</v>
      </c>
      <c r="DN277" s="4" t="s">
        <v>986</v>
      </c>
      <c r="DO277" s="4"/>
      <c r="DP277" s="4"/>
      <c r="DQ277" s="4" t="s">
        <v>148</v>
      </c>
      <c r="DR277" s="4"/>
      <c r="DS277" s="4"/>
      <c r="DT277" s="5">
        <v>41863</v>
      </c>
      <c r="DU277" s="4"/>
      <c r="DV277" s="4"/>
      <c r="DW277" s="4"/>
      <c r="DX277" s="4"/>
      <c r="DY277" s="4"/>
      <c r="DZ277" s="5">
        <v>39707</v>
      </c>
      <c r="EA277" s="4"/>
      <c r="EB277" s="4"/>
      <c r="EC277" s="4"/>
      <c r="ED277" s="4"/>
      <c r="EE277" s="4"/>
      <c r="EF277" s="4"/>
      <c r="EG277" s="4"/>
      <c r="EH277" s="4"/>
      <c r="EI277" s="5">
        <v>39268</v>
      </c>
    </row>
    <row r="278" spans="1:139" hidden="1" x14ac:dyDescent="0.2">
      <c r="A278">
        <f>VLOOKUP(B278,Sheet1!$A$1:$B$18,2,FALSE)</f>
        <v>0</v>
      </c>
      <c r="B278" t="str">
        <f t="shared" si="4"/>
        <v>AKL</v>
      </c>
      <c r="C278" s="2">
        <v>277</v>
      </c>
      <c r="D278" s="3" t="str">
        <f>HYPERLINK("https://sitebase.nzcomms.co.nz/spm/spmnominalview/AKL-007-098/","AKL-007-098")</f>
        <v>AKL-007-098</v>
      </c>
      <c r="E278" s="4"/>
      <c r="F278" s="3" t="str">
        <f>HYPERLINK("https://sitebase.nzcomms.co.nz/spm/spmcandidateview/AKL-007-098-B/","AKL-007-098-B")</f>
        <v>AKL-007-098-B</v>
      </c>
      <c r="G278" s="4" t="s">
        <v>987</v>
      </c>
      <c r="H278" s="4" t="s">
        <v>745</v>
      </c>
      <c r="I278" s="4"/>
      <c r="J278" s="4" t="s">
        <v>139</v>
      </c>
      <c r="K278" s="4" t="s">
        <v>141</v>
      </c>
      <c r="L278" s="4" t="s">
        <v>150</v>
      </c>
      <c r="M278" s="4" t="s">
        <v>354</v>
      </c>
      <c r="N278" s="4" t="s">
        <v>246</v>
      </c>
      <c r="O278" s="4" t="s">
        <v>356</v>
      </c>
      <c r="P278" s="4"/>
      <c r="Q278" s="4"/>
      <c r="R278" s="4">
        <v>13.8</v>
      </c>
      <c r="S278" s="4">
        <v>13.8</v>
      </c>
      <c r="T278" s="4"/>
      <c r="U278" s="4">
        <v>-36.868308300000002</v>
      </c>
      <c r="V278" s="4">
        <v>174.72784415000001</v>
      </c>
      <c r="W278" s="4"/>
      <c r="X278" s="4"/>
      <c r="Y278" s="4"/>
      <c r="Z278" s="4"/>
      <c r="AA278" s="4" t="s">
        <v>171</v>
      </c>
      <c r="AB278" s="3" t="str">
        <f>HYPERLINK("https://sitebase.nzcomms.co.nz/spm/spmcandidateview/AKL-007-015-C/","AKL-007-015-C")</f>
        <v>AKL-007-015-C</v>
      </c>
      <c r="AC278" s="4"/>
      <c r="AD278" s="4"/>
      <c r="AE278" s="4"/>
      <c r="AF278" s="4"/>
      <c r="AG278" s="4"/>
      <c r="AH278" s="4" t="s">
        <v>395</v>
      </c>
      <c r="AI278" s="4"/>
      <c r="AJ278" s="4"/>
      <c r="AK278" s="4"/>
      <c r="AL278" s="4"/>
      <c r="AM278" s="4"/>
      <c r="AN278" s="5">
        <v>39762</v>
      </c>
      <c r="AO278" s="4">
        <v>3</v>
      </c>
      <c r="AP278" s="5">
        <v>39892</v>
      </c>
      <c r="AQ278" s="5">
        <v>39895</v>
      </c>
      <c r="AR278" s="4"/>
      <c r="AS278" s="4"/>
      <c r="AT278" s="5">
        <v>39884</v>
      </c>
      <c r="AU278" s="5">
        <v>39902</v>
      </c>
      <c r="AV278" s="4"/>
      <c r="AW278" s="5">
        <v>39902</v>
      </c>
      <c r="AX278" s="5">
        <v>39902</v>
      </c>
      <c r="AY278" s="4" t="s">
        <v>172</v>
      </c>
      <c r="AZ278" s="4"/>
      <c r="BA278" s="4"/>
      <c r="BB278" s="5">
        <v>39913</v>
      </c>
      <c r="BC278" s="4"/>
      <c r="BD278" s="4"/>
      <c r="BE278" s="5">
        <v>39913</v>
      </c>
      <c r="BF278" s="5">
        <v>39911</v>
      </c>
      <c r="BG278" s="5">
        <v>39857</v>
      </c>
      <c r="BH278" s="5">
        <v>39860</v>
      </c>
      <c r="BI278" s="4"/>
      <c r="BJ278" s="5">
        <v>39927</v>
      </c>
      <c r="BK278" s="4">
        <v>1</v>
      </c>
      <c r="BL278" s="4">
        <v>2</v>
      </c>
      <c r="BM278" s="5">
        <v>39927</v>
      </c>
      <c r="BN278" s="5">
        <v>39927</v>
      </c>
      <c r="BO278" s="5">
        <v>39892</v>
      </c>
      <c r="BP278" s="4"/>
      <c r="BQ278" s="4"/>
      <c r="BR278" s="4"/>
      <c r="BS278" s="4"/>
      <c r="BT278" s="5">
        <v>39923</v>
      </c>
      <c r="BU278" s="5">
        <v>39923</v>
      </c>
      <c r="BV278" s="5">
        <v>39962</v>
      </c>
      <c r="BW278" s="5">
        <v>39962</v>
      </c>
      <c r="BX278" s="4"/>
      <c r="BY278" s="5">
        <v>39966</v>
      </c>
      <c r="BZ278" s="5">
        <v>39968</v>
      </c>
      <c r="CA278" s="4"/>
      <c r="CB278" s="4"/>
      <c r="CC278" s="4"/>
      <c r="CD278" s="4"/>
      <c r="CE278" s="4"/>
      <c r="CF278" s="4"/>
      <c r="CG278" s="4"/>
      <c r="CH278" s="4"/>
      <c r="CI278" s="5">
        <v>39969</v>
      </c>
      <c r="CJ278" s="5">
        <v>39969</v>
      </c>
      <c r="CK278" s="5">
        <v>39969</v>
      </c>
      <c r="CL278" s="4"/>
      <c r="CM278" s="4"/>
      <c r="CN278" s="4"/>
      <c r="CO278" s="4"/>
      <c r="CP278" s="4" t="s">
        <v>765</v>
      </c>
      <c r="CQ278" s="4"/>
      <c r="CR278" s="5">
        <v>39969</v>
      </c>
      <c r="CS278" s="4"/>
      <c r="CT278" s="4"/>
      <c r="CU278" s="4"/>
      <c r="CV278" s="4"/>
      <c r="CW278" s="5">
        <v>39892</v>
      </c>
      <c r="CX278" s="5">
        <v>39892</v>
      </c>
      <c r="CY278" s="4"/>
      <c r="CZ278" s="4"/>
      <c r="DA278" s="4"/>
      <c r="DB278" s="4"/>
      <c r="DC278" s="4"/>
      <c r="DD278" s="4"/>
      <c r="DE278" s="4"/>
      <c r="DF278" s="4"/>
      <c r="DG278" s="4"/>
      <c r="DH278" s="4"/>
      <c r="DI278" s="4"/>
      <c r="DJ278" s="4" t="b">
        <v>0</v>
      </c>
      <c r="DK278" s="4"/>
      <c r="DL278" s="4">
        <v>2664439</v>
      </c>
      <c r="DM278" s="4">
        <v>6480047</v>
      </c>
      <c r="DN278" s="4" t="s">
        <v>988</v>
      </c>
      <c r="DO278" s="4"/>
      <c r="DP278" s="4"/>
      <c r="DQ278" s="4" t="s">
        <v>148</v>
      </c>
      <c r="DR278" s="4"/>
      <c r="DS278" s="4"/>
      <c r="DT278" s="5">
        <v>41806</v>
      </c>
      <c r="DU278" s="4"/>
      <c r="DV278" s="4"/>
      <c r="DW278" s="4"/>
      <c r="DX278" s="4"/>
      <c r="DY278" s="5">
        <v>39923</v>
      </c>
      <c r="DZ278" s="5">
        <v>39923</v>
      </c>
      <c r="EA278" s="4"/>
      <c r="EB278" s="4"/>
      <c r="EC278" s="4"/>
      <c r="ED278" s="4"/>
      <c r="EE278" s="4"/>
      <c r="EF278" s="4"/>
      <c r="EG278" s="4"/>
      <c r="EH278" s="4"/>
      <c r="EI278" s="5">
        <v>39731</v>
      </c>
    </row>
    <row r="279" spans="1:139" hidden="1" x14ac:dyDescent="0.2">
      <c r="A279">
        <f>VLOOKUP(B279,Sheet1!$A$1:$B$18,2,FALSE)</f>
        <v>0</v>
      </c>
      <c r="B279" t="str">
        <f t="shared" si="4"/>
        <v>AKL</v>
      </c>
      <c r="C279" s="2">
        <v>278</v>
      </c>
      <c r="D279" s="3" t="str">
        <f>HYPERLINK("https://sitebase.nzcomms.co.nz/spm/spmnominalview/AKL-007-100/","AKL-007-100")</f>
        <v>AKL-007-100</v>
      </c>
      <c r="E279" s="4"/>
      <c r="F279" s="3" t="str">
        <f>HYPERLINK("https://sitebase.nzcomms.co.nz/spm/spmcandidateview/AKL-007-100-E/","AKL-007-100-E")</f>
        <v>AKL-007-100-E</v>
      </c>
      <c r="G279" s="4" t="s">
        <v>989</v>
      </c>
      <c r="H279" s="4" t="s">
        <v>745</v>
      </c>
      <c r="I279" s="4"/>
      <c r="J279" s="4" t="s">
        <v>139</v>
      </c>
      <c r="K279" s="4" t="s">
        <v>141</v>
      </c>
      <c r="L279" s="4" t="s">
        <v>189</v>
      </c>
      <c r="M279" s="4" t="s">
        <v>463</v>
      </c>
      <c r="N279" s="4" t="s">
        <v>274</v>
      </c>
      <c r="O279" s="4" t="s">
        <v>356</v>
      </c>
      <c r="P279" s="4"/>
      <c r="Q279" s="4"/>
      <c r="R279" s="4">
        <v>14</v>
      </c>
      <c r="S279" s="4">
        <v>14</v>
      </c>
      <c r="T279" s="4"/>
      <c r="U279" s="4">
        <v>-36.863867220000003</v>
      </c>
      <c r="V279" s="4">
        <v>174.70525431999999</v>
      </c>
      <c r="W279" s="4"/>
      <c r="X279" s="4"/>
      <c r="Y279" s="4"/>
      <c r="Z279" s="4"/>
      <c r="AA279" s="4" t="s">
        <v>171</v>
      </c>
      <c r="AB279" s="3" t="str">
        <f>HYPERLINK("https://sitebase.nzcomms.co.nz/spm/spmcandidateview/AKL-007-008-A/","AKL-007-008-A")</f>
        <v>AKL-007-008-A</v>
      </c>
      <c r="AC279" s="4"/>
      <c r="AD279" s="4"/>
      <c r="AE279" s="4"/>
      <c r="AF279" s="4"/>
      <c r="AG279" s="4"/>
      <c r="AH279" s="4" t="s">
        <v>505</v>
      </c>
      <c r="AI279" s="4"/>
      <c r="AJ279" s="4"/>
      <c r="AK279" s="4"/>
      <c r="AL279" s="4"/>
      <c r="AM279" s="4"/>
      <c r="AN279" s="5">
        <v>39903</v>
      </c>
      <c r="AO279" s="4">
        <v>2</v>
      </c>
      <c r="AP279" s="5">
        <v>39878</v>
      </c>
      <c r="AQ279" s="5">
        <v>39909</v>
      </c>
      <c r="AR279" s="4"/>
      <c r="AS279" s="4"/>
      <c r="AT279" s="5">
        <v>39948</v>
      </c>
      <c r="AU279" s="5">
        <v>39962</v>
      </c>
      <c r="AV279" s="4"/>
      <c r="AW279" s="5">
        <v>39948</v>
      </c>
      <c r="AX279" s="5">
        <v>40071</v>
      </c>
      <c r="AY279" s="4"/>
      <c r="AZ279" s="4"/>
      <c r="BA279" s="4"/>
      <c r="BB279" s="4"/>
      <c r="BC279" s="4"/>
      <c r="BD279" s="4"/>
      <c r="BE279" s="4"/>
      <c r="BF279" s="5">
        <v>39910</v>
      </c>
      <c r="BG279" s="5">
        <v>40056</v>
      </c>
      <c r="BH279" s="5">
        <v>39904</v>
      </c>
      <c r="BI279" s="4"/>
      <c r="BJ279" s="5">
        <v>39920</v>
      </c>
      <c r="BK279" s="4">
        <v>1</v>
      </c>
      <c r="BL279" s="4">
        <v>1</v>
      </c>
      <c r="BM279" s="5">
        <v>39920</v>
      </c>
      <c r="BN279" s="5">
        <v>39920</v>
      </c>
      <c r="BO279" s="5">
        <v>39959</v>
      </c>
      <c r="BP279" s="4"/>
      <c r="BQ279" s="4"/>
      <c r="BR279" s="4"/>
      <c r="BS279" s="4"/>
      <c r="BT279" s="5">
        <v>39951</v>
      </c>
      <c r="BU279" s="5">
        <v>39951</v>
      </c>
      <c r="BV279" s="5">
        <v>39983</v>
      </c>
      <c r="BW279" s="5">
        <v>39983</v>
      </c>
      <c r="BX279" s="4"/>
      <c r="BY279" s="5">
        <v>39990</v>
      </c>
      <c r="BZ279" s="5">
        <v>39990</v>
      </c>
      <c r="CA279" s="4"/>
      <c r="CB279" s="4"/>
      <c r="CC279" s="4"/>
      <c r="CD279" s="4"/>
      <c r="CE279" s="4"/>
      <c r="CF279" s="4"/>
      <c r="CG279" s="4"/>
      <c r="CH279" s="4"/>
      <c r="CI279" s="5">
        <v>39991</v>
      </c>
      <c r="CJ279" s="5">
        <v>39993</v>
      </c>
      <c r="CK279" s="5">
        <v>39991</v>
      </c>
      <c r="CL279" s="4"/>
      <c r="CM279" s="4"/>
      <c r="CN279" s="4"/>
      <c r="CO279" s="4"/>
      <c r="CP279" s="4" t="s">
        <v>990</v>
      </c>
      <c r="CQ279" s="4"/>
      <c r="CR279" s="5">
        <v>39993</v>
      </c>
      <c r="CS279" s="4"/>
      <c r="CT279" s="4"/>
      <c r="CU279" s="4"/>
      <c r="CV279" s="4"/>
      <c r="CW279" s="5">
        <v>39955</v>
      </c>
      <c r="CX279" s="5">
        <v>39959</v>
      </c>
      <c r="CY279" s="4"/>
      <c r="CZ279" s="4"/>
      <c r="DA279" s="4"/>
      <c r="DB279" s="4"/>
      <c r="DC279" s="4"/>
      <c r="DD279" s="4"/>
      <c r="DE279" s="4"/>
      <c r="DF279" s="4"/>
      <c r="DG279" s="4"/>
      <c r="DH279" s="4"/>
      <c r="DI279" s="4"/>
      <c r="DJ279" s="4" t="b">
        <v>0</v>
      </c>
      <c r="DK279" s="4"/>
      <c r="DL279" s="4">
        <v>2662435</v>
      </c>
      <c r="DM279" s="4">
        <v>6480580</v>
      </c>
      <c r="DN279" s="4" t="s">
        <v>991</v>
      </c>
      <c r="DO279" s="4"/>
      <c r="DP279" s="4"/>
      <c r="DQ279" s="4" t="s">
        <v>148</v>
      </c>
      <c r="DR279" s="4"/>
      <c r="DS279" s="4"/>
      <c r="DT279" s="5">
        <v>41806</v>
      </c>
      <c r="DU279" s="4"/>
      <c r="DV279" s="4"/>
      <c r="DW279" s="4"/>
      <c r="DX279" s="4"/>
      <c r="DY279" s="5">
        <v>39951</v>
      </c>
      <c r="DZ279" s="5">
        <v>39951</v>
      </c>
      <c r="EA279" s="4"/>
      <c r="EB279" s="4"/>
      <c r="EC279" s="4"/>
      <c r="ED279" s="4"/>
      <c r="EE279" s="4"/>
      <c r="EF279" s="4"/>
      <c r="EG279" s="4"/>
      <c r="EH279" s="4"/>
      <c r="EI279" s="5">
        <v>39888</v>
      </c>
    </row>
    <row r="280" spans="1:139" hidden="1" x14ac:dyDescent="0.2">
      <c r="A280">
        <f>VLOOKUP(B280,Sheet1!$A$1:$B$18,2,FALSE)</f>
        <v>0</v>
      </c>
      <c r="B280" t="str">
        <f t="shared" si="4"/>
        <v>AKL</v>
      </c>
      <c r="C280" s="2">
        <v>279</v>
      </c>
      <c r="D280" s="3" t="str">
        <f>HYPERLINK("https://sitebase.nzcomms.co.nz/spm/spmnominalview/AKL-007-101/","AKL-007-101")</f>
        <v>AKL-007-101</v>
      </c>
      <c r="E280" s="4" t="s">
        <v>992</v>
      </c>
      <c r="F280" s="3" t="str">
        <f>HYPERLINK("https://sitebase.nzcomms.co.nz/spm/spmcandidateview/AKL-007-101-A/","AKL-007-101-A")</f>
        <v>AKL-007-101-A</v>
      </c>
      <c r="G280" s="4" t="s">
        <v>992</v>
      </c>
      <c r="H280" s="4" t="s">
        <v>745</v>
      </c>
      <c r="I280" s="4"/>
      <c r="J280" s="4" t="s">
        <v>139</v>
      </c>
      <c r="K280" s="4" t="s">
        <v>141</v>
      </c>
      <c r="L280" s="4" t="s">
        <v>181</v>
      </c>
      <c r="M280" s="4" t="s">
        <v>378</v>
      </c>
      <c r="N280" s="4" t="s">
        <v>364</v>
      </c>
      <c r="O280" s="4" t="s">
        <v>144</v>
      </c>
      <c r="P280" s="4"/>
      <c r="Q280" s="4"/>
      <c r="R280" s="4">
        <v>9</v>
      </c>
      <c r="S280" s="4">
        <v>9</v>
      </c>
      <c r="T280" s="4"/>
      <c r="U280" s="4">
        <v>-36.848463080000002</v>
      </c>
      <c r="V280" s="4">
        <v>174.83145490000001</v>
      </c>
      <c r="W280" s="4"/>
      <c r="X280" s="4"/>
      <c r="Y280" s="4"/>
      <c r="Z280" s="4"/>
      <c r="AA280" s="4" t="s">
        <v>152</v>
      </c>
      <c r="AB280" s="3" t="str">
        <f>HYPERLINK("https://sitebase.nzcomms.co.nz/spm/spmcandidateview/AKL-007-106-A/","AKL-007-106-A")</f>
        <v>AKL-007-106-A</v>
      </c>
      <c r="AC280" s="4"/>
      <c r="AD280" s="4"/>
      <c r="AE280" s="4"/>
      <c r="AF280" s="4"/>
      <c r="AG280" s="4"/>
      <c r="AH280" s="4"/>
      <c r="AI280" s="4"/>
      <c r="AJ280" s="4"/>
      <c r="AK280" s="4"/>
      <c r="AL280" s="4"/>
      <c r="AM280" s="4"/>
      <c r="AN280" s="5">
        <v>39311</v>
      </c>
      <c r="AO280" s="4">
        <v>8</v>
      </c>
      <c r="AP280" s="5">
        <v>39666</v>
      </c>
      <c r="AQ280" s="5">
        <v>42158</v>
      </c>
      <c r="AR280" s="4"/>
      <c r="AS280" s="4"/>
      <c r="AT280" s="5">
        <v>39660</v>
      </c>
      <c r="AU280" s="5">
        <v>39671</v>
      </c>
      <c r="AV280" s="4">
        <v>5</v>
      </c>
      <c r="AW280" s="5">
        <v>39660</v>
      </c>
      <c r="AX280" s="5">
        <v>39671</v>
      </c>
      <c r="AY280" s="4"/>
      <c r="AZ280" s="4"/>
      <c r="BA280" s="5">
        <v>42222</v>
      </c>
      <c r="BB280" s="5">
        <v>39568</v>
      </c>
      <c r="BC280" s="5">
        <v>42222</v>
      </c>
      <c r="BD280" s="4">
        <v>8</v>
      </c>
      <c r="BE280" s="5">
        <v>39568</v>
      </c>
      <c r="BF280" s="5">
        <v>39618</v>
      </c>
      <c r="BG280" s="4"/>
      <c r="BH280" s="5">
        <v>39468</v>
      </c>
      <c r="BI280" s="4"/>
      <c r="BJ280" s="5">
        <v>39693</v>
      </c>
      <c r="BK280" s="4">
        <v>4</v>
      </c>
      <c r="BL280" s="4"/>
      <c r="BM280" s="5">
        <v>39693</v>
      </c>
      <c r="BN280" s="5">
        <v>42215</v>
      </c>
      <c r="BO280" s="4"/>
      <c r="BP280" s="4"/>
      <c r="BQ280" s="4"/>
      <c r="BR280" s="4"/>
      <c r="BS280" s="4"/>
      <c r="BT280" s="4"/>
      <c r="BU280" s="5">
        <v>39700</v>
      </c>
      <c r="BV280" s="5">
        <v>39721</v>
      </c>
      <c r="BW280" s="5">
        <v>39721</v>
      </c>
      <c r="BX280" s="4"/>
      <c r="BY280" s="5">
        <v>39738</v>
      </c>
      <c r="BZ280" s="5">
        <v>39738</v>
      </c>
      <c r="CA280" s="4"/>
      <c r="CB280" s="4"/>
      <c r="CC280" s="4"/>
      <c r="CD280" s="4"/>
      <c r="CE280" s="4"/>
      <c r="CF280" s="4"/>
      <c r="CG280" s="4"/>
      <c r="CH280" s="4"/>
      <c r="CI280" s="5">
        <v>39997</v>
      </c>
      <c r="CJ280" s="5">
        <v>40000</v>
      </c>
      <c r="CK280" s="5">
        <v>39997</v>
      </c>
      <c r="CL280" s="4"/>
      <c r="CM280" s="4"/>
      <c r="CN280" s="4"/>
      <c r="CO280" s="4"/>
      <c r="CP280" s="4" t="s">
        <v>993</v>
      </c>
      <c r="CQ280" s="4"/>
      <c r="CR280" s="5">
        <v>40000</v>
      </c>
      <c r="CS280" s="4"/>
      <c r="CT280" s="4"/>
      <c r="CU280" s="4"/>
      <c r="CV280" s="4"/>
      <c r="CW280" s="4"/>
      <c r="CX280" s="4"/>
      <c r="CY280" s="4"/>
      <c r="CZ280" s="4"/>
      <c r="DA280" s="4"/>
      <c r="DB280" s="4"/>
      <c r="DC280" s="4"/>
      <c r="DD280" s="4"/>
      <c r="DE280" s="4"/>
      <c r="DF280" s="4"/>
      <c r="DG280" s="4"/>
      <c r="DH280" s="4"/>
      <c r="DI280" s="4"/>
      <c r="DJ280" s="4" t="b">
        <v>0</v>
      </c>
      <c r="DK280" s="4"/>
      <c r="DL280" s="4">
        <v>2673722</v>
      </c>
      <c r="DM280" s="4">
        <v>6482058</v>
      </c>
      <c r="DN280" s="4" t="s">
        <v>994</v>
      </c>
      <c r="DO280" s="4"/>
      <c r="DP280" s="4"/>
      <c r="DQ280" s="4" t="s">
        <v>148</v>
      </c>
      <c r="DR280" s="4"/>
      <c r="DS280" s="4"/>
      <c r="DT280" s="5">
        <v>41863</v>
      </c>
      <c r="DU280" s="4"/>
      <c r="DV280" s="4"/>
      <c r="DW280" s="4"/>
      <c r="DX280" s="4"/>
      <c r="DY280" s="4"/>
      <c r="DZ280" s="5">
        <v>39692</v>
      </c>
      <c r="EA280" s="4"/>
      <c r="EB280" s="4"/>
      <c r="EC280" s="4"/>
      <c r="ED280" s="4"/>
      <c r="EE280" s="4"/>
      <c r="EF280" s="4"/>
      <c r="EG280" s="4"/>
      <c r="EH280" s="4"/>
      <c r="EI280" s="5">
        <v>39280</v>
      </c>
    </row>
    <row r="281" spans="1:139" hidden="1" x14ac:dyDescent="0.2">
      <c r="A281">
        <f>VLOOKUP(B281,Sheet1!$A$1:$B$18,2,FALSE)</f>
        <v>0</v>
      </c>
      <c r="B281" t="str">
        <f t="shared" si="4"/>
        <v>AKL</v>
      </c>
      <c r="C281" s="2">
        <v>280</v>
      </c>
      <c r="D281" s="3" t="str">
        <f>HYPERLINK("https://sitebase.nzcomms.co.nz/spm/spmnominalview/AKL-007-103/","AKL-007-103")</f>
        <v>AKL-007-103</v>
      </c>
      <c r="E281" s="4"/>
      <c r="F281" s="3" t="str">
        <f>HYPERLINK("https://sitebase.nzcomms.co.nz/spm/spmcandidateview/AKL-007-103-E/","AKL-007-103-E")</f>
        <v>AKL-007-103-E</v>
      </c>
      <c r="G281" s="4" t="s">
        <v>995</v>
      </c>
      <c r="H281" s="4" t="s">
        <v>745</v>
      </c>
      <c r="I281" s="4"/>
      <c r="J281" s="4" t="s">
        <v>139</v>
      </c>
      <c r="K281" s="4" t="s">
        <v>141</v>
      </c>
      <c r="L281" s="4" t="s">
        <v>189</v>
      </c>
      <c r="M281" s="4" t="s">
        <v>463</v>
      </c>
      <c r="N281" s="4" t="s">
        <v>355</v>
      </c>
      <c r="O281" s="4" t="s">
        <v>356</v>
      </c>
      <c r="P281" s="4"/>
      <c r="Q281" s="4"/>
      <c r="R281" s="4">
        <v>13</v>
      </c>
      <c r="S281" s="4">
        <v>13</v>
      </c>
      <c r="T281" s="4"/>
      <c r="U281" s="4">
        <v>-36.90811025</v>
      </c>
      <c r="V281" s="4">
        <v>174.83740716</v>
      </c>
      <c r="W281" s="4"/>
      <c r="X281" s="4"/>
      <c r="Y281" s="4"/>
      <c r="Z281" s="4"/>
      <c r="AA281" s="4" t="s">
        <v>382</v>
      </c>
      <c r="AB281" s="4" t="s">
        <v>996</v>
      </c>
      <c r="AC281" s="4"/>
      <c r="AD281" s="4"/>
      <c r="AE281" s="4"/>
      <c r="AF281" s="4"/>
      <c r="AG281" s="4"/>
      <c r="AH281" s="4"/>
      <c r="AI281" s="4"/>
      <c r="AJ281" s="4"/>
      <c r="AK281" s="4"/>
      <c r="AL281" s="4"/>
      <c r="AM281" s="4"/>
      <c r="AN281" s="5">
        <v>39696</v>
      </c>
      <c r="AO281" s="4">
        <v>5</v>
      </c>
      <c r="AP281" s="5">
        <v>39791</v>
      </c>
      <c r="AQ281" s="5">
        <v>40102</v>
      </c>
      <c r="AR281" s="4"/>
      <c r="AS281" s="4"/>
      <c r="AT281" s="5">
        <v>39899</v>
      </c>
      <c r="AU281" s="5">
        <v>39899</v>
      </c>
      <c r="AV281" s="4">
        <v>4</v>
      </c>
      <c r="AW281" s="5">
        <v>39899</v>
      </c>
      <c r="AX281" s="5">
        <v>39902</v>
      </c>
      <c r="AY281" s="4"/>
      <c r="AZ281" s="4"/>
      <c r="BA281" s="4"/>
      <c r="BB281" s="5">
        <v>39878</v>
      </c>
      <c r="BC281" s="4"/>
      <c r="BD281" s="4"/>
      <c r="BE281" s="5">
        <v>39885</v>
      </c>
      <c r="BF281" s="5">
        <v>39870</v>
      </c>
      <c r="BG281" s="4"/>
      <c r="BH281" s="5">
        <v>39717</v>
      </c>
      <c r="BI281" s="4"/>
      <c r="BJ281" s="5">
        <v>39751</v>
      </c>
      <c r="BK281" s="4">
        <v>3</v>
      </c>
      <c r="BL281" s="4">
        <v>3</v>
      </c>
      <c r="BM281" s="5">
        <v>39783</v>
      </c>
      <c r="BN281" s="5">
        <v>39783</v>
      </c>
      <c r="BO281" s="5">
        <v>39923</v>
      </c>
      <c r="BP281" s="4"/>
      <c r="BQ281" s="4"/>
      <c r="BR281" s="4"/>
      <c r="BS281" s="4"/>
      <c r="BT281" s="5">
        <v>39918</v>
      </c>
      <c r="BU281" s="5">
        <v>39918</v>
      </c>
      <c r="BV281" s="5">
        <v>39932</v>
      </c>
      <c r="BW281" s="5">
        <v>39931</v>
      </c>
      <c r="BX281" s="4"/>
      <c r="BY281" s="5">
        <v>39948</v>
      </c>
      <c r="BZ281" s="5">
        <v>39952</v>
      </c>
      <c r="CA281" s="4"/>
      <c r="CB281" s="4"/>
      <c r="CC281" s="4"/>
      <c r="CD281" s="4"/>
      <c r="CE281" s="4"/>
      <c r="CF281" s="4"/>
      <c r="CG281" s="4"/>
      <c r="CH281" s="4"/>
      <c r="CI281" s="5">
        <v>39960</v>
      </c>
      <c r="CJ281" s="5">
        <v>39955</v>
      </c>
      <c r="CK281" s="5">
        <v>39960</v>
      </c>
      <c r="CL281" s="4"/>
      <c r="CM281" s="4"/>
      <c r="CN281" s="4"/>
      <c r="CO281" s="4"/>
      <c r="CP281" s="4" t="s">
        <v>997</v>
      </c>
      <c r="CQ281" s="4"/>
      <c r="CR281" s="5">
        <v>39955</v>
      </c>
      <c r="CS281" s="4"/>
      <c r="CT281" s="4"/>
      <c r="CU281" s="4"/>
      <c r="CV281" s="4"/>
      <c r="CW281" s="5">
        <v>39920</v>
      </c>
      <c r="CX281" s="5">
        <v>39923</v>
      </c>
      <c r="CY281" s="4"/>
      <c r="CZ281" s="4"/>
      <c r="DA281" s="4"/>
      <c r="DB281" s="4"/>
      <c r="DC281" s="4"/>
      <c r="DD281" s="4"/>
      <c r="DE281" s="4"/>
      <c r="DF281" s="4"/>
      <c r="DG281" s="4"/>
      <c r="DH281" s="4"/>
      <c r="DI281" s="4"/>
      <c r="DJ281" s="4" t="b">
        <v>0</v>
      </c>
      <c r="DK281" s="4"/>
      <c r="DL281" s="4">
        <v>2674112</v>
      </c>
      <c r="DM281" s="4">
        <v>6475429</v>
      </c>
      <c r="DN281" s="4" t="s">
        <v>998</v>
      </c>
      <c r="DO281" s="4"/>
      <c r="DP281" s="4"/>
      <c r="DQ281" s="4" t="s">
        <v>148</v>
      </c>
      <c r="DR281" s="4"/>
      <c r="DS281" s="4"/>
      <c r="DT281" s="5">
        <v>41863</v>
      </c>
      <c r="DU281" s="4"/>
      <c r="DV281" s="4"/>
      <c r="DW281" s="4"/>
      <c r="DX281" s="4"/>
      <c r="DY281" s="5">
        <v>39917</v>
      </c>
      <c r="DZ281" s="5">
        <v>39917</v>
      </c>
      <c r="EA281" s="4"/>
      <c r="EB281" s="4"/>
      <c r="EC281" s="4"/>
      <c r="ED281" s="4"/>
      <c r="EE281" s="4"/>
      <c r="EF281" s="4"/>
      <c r="EG281" s="4"/>
      <c r="EH281" s="4"/>
      <c r="EI281" s="5">
        <v>39675</v>
      </c>
    </row>
    <row r="282" spans="1:139" hidden="1" x14ac:dyDescent="0.2">
      <c r="A282">
        <f>VLOOKUP(B282,Sheet1!$A$1:$B$18,2,FALSE)</f>
        <v>0</v>
      </c>
      <c r="B282" t="str">
        <f t="shared" si="4"/>
        <v>AKL</v>
      </c>
      <c r="C282" s="2">
        <v>281</v>
      </c>
      <c r="D282" s="3" t="str">
        <f>HYPERLINK("https://sitebase.nzcomms.co.nz/spm/spmnominalview/AKL-007-104/","AKL-007-104")</f>
        <v>AKL-007-104</v>
      </c>
      <c r="E282" s="4"/>
      <c r="F282" s="3" t="str">
        <f>HYPERLINK("https://sitebase.nzcomms.co.nz/spm/spmcandidateview/AKL-007-104-A/","AKL-007-104-A")</f>
        <v>AKL-007-104-A</v>
      </c>
      <c r="G282" s="4" t="s">
        <v>999</v>
      </c>
      <c r="H282" s="4" t="s">
        <v>745</v>
      </c>
      <c r="I282" s="4"/>
      <c r="J282" s="4" t="s">
        <v>139</v>
      </c>
      <c r="K282" s="4" t="s">
        <v>141</v>
      </c>
      <c r="L282" s="4" t="s">
        <v>189</v>
      </c>
      <c r="M282" s="4" t="s">
        <v>354</v>
      </c>
      <c r="N282" s="4" t="s">
        <v>355</v>
      </c>
      <c r="O282" s="4" t="s">
        <v>356</v>
      </c>
      <c r="P282" s="4"/>
      <c r="Q282" s="4"/>
      <c r="R282" s="4"/>
      <c r="S282" s="4"/>
      <c r="T282" s="4"/>
      <c r="U282" s="4">
        <v>-36.926756840000003</v>
      </c>
      <c r="V282" s="4">
        <v>174.75007643000001</v>
      </c>
      <c r="W282" s="4"/>
      <c r="X282" s="4"/>
      <c r="Y282" s="4"/>
      <c r="Z282" s="4"/>
      <c r="AA282" s="4" t="s">
        <v>152</v>
      </c>
      <c r="AB282" s="3" t="str">
        <f>HYPERLINK("https://sitebase.nzcomms.co.nz/spm/spmcandidateview/AKL-007-106-A/","AKL-007-106-A")</f>
        <v>AKL-007-106-A</v>
      </c>
      <c r="AC282" s="4"/>
      <c r="AD282" s="4"/>
      <c r="AE282" s="4"/>
      <c r="AF282" s="4"/>
      <c r="AG282" s="4"/>
      <c r="AH282" s="4"/>
      <c r="AI282" s="4"/>
      <c r="AJ282" s="4"/>
      <c r="AK282" s="4"/>
      <c r="AL282" s="4"/>
      <c r="AM282" s="4"/>
      <c r="AN282" s="5">
        <v>39291</v>
      </c>
      <c r="AO282" s="4">
        <v>5</v>
      </c>
      <c r="AP282" s="5">
        <v>39538</v>
      </c>
      <c r="AQ282" s="5">
        <v>40102</v>
      </c>
      <c r="AR282" s="4"/>
      <c r="AS282" s="4"/>
      <c r="AT282" s="5">
        <v>39599</v>
      </c>
      <c r="AU282" s="5">
        <v>39622</v>
      </c>
      <c r="AV282" s="4">
        <v>4</v>
      </c>
      <c r="AW282" s="5">
        <v>39599</v>
      </c>
      <c r="AX282" s="5">
        <v>39622</v>
      </c>
      <c r="AY282" s="4"/>
      <c r="AZ282" s="4"/>
      <c r="BA282" s="4"/>
      <c r="BB282" s="5">
        <v>39599</v>
      </c>
      <c r="BC282" s="4"/>
      <c r="BD282" s="4"/>
      <c r="BE282" s="5">
        <v>39599</v>
      </c>
      <c r="BF282" s="5">
        <v>39623</v>
      </c>
      <c r="BG282" s="4"/>
      <c r="BH282" s="5">
        <v>39548</v>
      </c>
      <c r="BI282" s="4"/>
      <c r="BJ282" s="5">
        <v>39568</v>
      </c>
      <c r="BK282" s="4">
        <v>2</v>
      </c>
      <c r="BL282" s="4">
        <v>4</v>
      </c>
      <c r="BM282" s="5">
        <v>39582</v>
      </c>
      <c r="BN282" s="5">
        <v>39582</v>
      </c>
      <c r="BO282" s="5">
        <v>39632</v>
      </c>
      <c r="BP282" s="4"/>
      <c r="BQ282" s="4"/>
      <c r="BR282" s="4"/>
      <c r="BS282" s="4"/>
      <c r="BT282" s="4"/>
      <c r="BU282" s="5">
        <v>39652</v>
      </c>
      <c r="BV282" s="5">
        <v>39675</v>
      </c>
      <c r="BW282" s="5">
        <v>39675</v>
      </c>
      <c r="BX282" s="4"/>
      <c r="BY282" s="5">
        <v>39686</v>
      </c>
      <c r="BZ282" s="5">
        <v>39683</v>
      </c>
      <c r="CA282" s="4"/>
      <c r="CB282" s="4"/>
      <c r="CC282" s="4"/>
      <c r="CD282" s="4"/>
      <c r="CE282" s="4"/>
      <c r="CF282" s="4"/>
      <c r="CG282" s="4"/>
      <c r="CH282" s="4"/>
      <c r="CI282" s="5">
        <v>39876</v>
      </c>
      <c r="CJ282" s="5">
        <v>39883</v>
      </c>
      <c r="CK282" s="5">
        <v>39876</v>
      </c>
      <c r="CL282" s="4"/>
      <c r="CM282" s="4"/>
      <c r="CN282" s="4"/>
      <c r="CO282" s="4"/>
      <c r="CP282" s="4" t="s">
        <v>921</v>
      </c>
      <c r="CQ282" s="4"/>
      <c r="CR282" s="5">
        <v>39883</v>
      </c>
      <c r="CS282" s="4"/>
      <c r="CT282" s="4"/>
      <c r="CU282" s="4"/>
      <c r="CV282" s="4"/>
      <c r="CW282" s="4"/>
      <c r="CX282" s="5">
        <v>39632</v>
      </c>
      <c r="CY282" s="4"/>
      <c r="CZ282" s="4"/>
      <c r="DA282" s="4"/>
      <c r="DB282" s="4"/>
      <c r="DC282" s="4"/>
      <c r="DD282" s="4"/>
      <c r="DE282" s="4"/>
      <c r="DF282" s="4"/>
      <c r="DG282" s="4"/>
      <c r="DH282" s="4"/>
      <c r="DI282" s="4"/>
      <c r="DJ282" s="4" t="b">
        <v>0</v>
      </c>
      <c r="DK282" s="4"/>
      <c r="DL282" s="4">
        <v>2666289</v>
      </c>
      <c r="DM282" s="4">
        <v>6473522</v>
      </c>
      <c r="DN282" s="4" t="s">
        <v>1000</v>
      </c>
      <c r="DO282" s="4"/>
      <c r="DP282" s="4"/>
      <c r="DQ282" s="4" t="s">
        <v>148</v>
      </c>
      <c r="DR282" s="4"/>
      <c r="DS282" s="4"/>
      <c r="DT282" s="5">
        <v>41863</v>
      </c>
      <c r="DU282" s="4"/>
      <c r="DV282" s="4"/>
      <c r="DW282" s="4"/>
      <c r="DX282" s="4"/>
      <c r="DY282" s="4"/>
      <c r="DZ282" s="5">
        <v>39632</v>
      </c>
      <c r="EA282" s="4"/>
      <c r="EB282" s="4"/>
      <c r="EC282" s="4"/>
      <c r="ED282" s="4"/>
      <c r="EE282" s="4"/>
      <c r="EF282" s="4"/>
      <c r="EG282" s="4"/>
      <c r="EH282" s="4"/>
      <c r="EI282" s="5">
        <v>39226</v>
      </c>
    </row>
    <row r="283" spans="1:139" hidden="1" x14ac:dyDescent="0.2">
      <c r="A283">
        <f>VLOOKUP(B283,Sheet1!$A$1:$B$18,2,FALSE)</f>
        <v>0</v>
      </c>
      <c r="B283" t="str">
        <f t="shared" si="4"/>
        <v>AKL</v>
      </c>
      <c r="C283" s="2">
        <v>282</v>
      </c>
      <c r="D283" s="3" t="str">
        <f>HYPERLINK("https://sitebase.nzcomms.co.nz/spm/spmnominalview/AKL-007-105/","AKL-007-105")</f>
        <v>AKL-007-105</v>
      </c>
      <c r="E283" s="4"/>
      <c r="F283" s="3" t="str">
        <f>HYPERLINK("https://sitebase.nzcomms.co.nz/spm/spmcandidateview/AKL-007-105-A/","AKL-007-105-A")</f>
        <v>AKL-007-105-A</v>
      </c>
      <c r="G283" s="4" t="s">
        <v>1001</v>
      </c>
      <c r="H283" s="4" t="s">
        <v>745</v>
      </c>
      <c r="I283" s="4"/>
      <c r="J283" s="4" t="s">
        <v>139</v>
      </c>
      <c r="K283" s="4" t="s">
        <v>141</v>
      </c>
      <c r="L283" s="4" t="s">
        <v>181</v>
      </c>
      <c r="M283" s="4" t="s">
        <v>804</v>
      </c>
      <c r="N283" s="4" t="s">
        <v>364</v>
      </c>
      <c r="O283" s="4" t="s">
        <v>144</v>
      </c>
      <c r="P283" s="4"/>
      <c r="Q283" s="4"/>
      <c r="R283" s="4"/>
      <c r="S283" s="4"/>
      <c r="T283" s="4"/>
      <c r="U283" s="4">
        <v>-36.847666930000003</v>
      </c>
      <c r="V283" s="4">
        <v>174.76986468999999</v>
      </c>
      <c r="W283" s="4"/>
      <c r="X283" s="4"/>
      <c r="Y283" s="4"/>
      <c r="Z283" s="4"/>
      <c r="AA283" s="4" t="s">
        <v>171</v>
      </c>
      <c r="AB283" s="3" t="str">
        <f>HYPERLINK("https://sitebase.nzcomms.co.nz/spm/spmcandidateview/AKL-007-112-A/","AKL-007-112-A")</f>
        <v>AKL-007-112-A</v>
      </c>
      <c r="AC283" s="4"/>
      <c r="AD283" s="4"/>
      <c r="AE283" s="4"/>
      <c r="AF283" s="4"/>
      <c r="AG283" s="4"/>
      <c r="AH283" s="4" t="s">
        <v>357</v>
      </c>
      <c r="AI283" s="4"/>
      <c r="AJ283" s="4"/>
      <c r="AK283" s="4"/>
      <c r="AL283" s="4"/>
      <c r="AM283" s="4"/>
      <c r="AN283" s="5">
        <v>39506</v>
      </c>
      <c r="AO283" s="4">
        <v>4</v>
      </c>
      <c r="AP283" s="4"/>
      <c r="AQ283" s="5">
        <v>42144</v>
      </c>
      <c r="AR283" s="4"/>
      <c r="AS283" s="4"/>
      <c r="AT283" s="5">
        <v>39505</v>
      </c>
      <c r="AU283" s="5">
        <v>39505</v>
      </c>
      <c r="AV283" s="4">
        <v>1</v>
      </c>
      <c r="AW283" s="5">
        <v>39505</v>
      </c>
      <c r="AX283" s="5">
        <v>39505</v>
      </c>
      <c r="AY283" s="4"/>
      <c r="AZ283" s="4"/>
      <c r="BA283" s="4"/>
      <c r="BB283" s="5">
        <v>39173</v>
      </c>
      <c r="BC283" s="4"/>
      <c r="BD283" s="4"/>
      <c r="BE283" s="5">
        <v>39173</v>
      </c>
      <c r="BF283" s="5">
        <v>39173</v>
      </c>
      <c r="BG283" s="4"/>
      <c r="BH283" s="5">
        <v>39421</v>
      </c>
      <c r="BI283" s="4"/>
      <c r="BJ283" s="5">
        <v>39422</v>
      </c>
      <c r="BK283" s="4">
        <v>5</v>
      </c>
      <c r="BL283" s="4"/>
      <c r="BM283" s="5">
        <v>39422</v>
      </c>
      <c r="BN283" s="5">
        <v>42321</v>
      </c>
      <c r="BO283" s="4"/>
      <c r="BP283" s="4"/>
      <c r="BQ283" s="4"/>
      <c r="BR283" s="4"/>
      <c r="BS283" s="4"/>
      <c r="BT283" s="4"/>
      <c r="BU283" s="5">
        <v>39514</v>
      </c>
      <c r="BV283" s="5">
        <v>39526</v>
      </c>
      <c r="BW283" s="5">
        <v>39526</v>
      </c>
      <c r="BX283" s="4"/>
      <c r="BY283" s="5">
        <v>39549</v>
      </c>
      <c r="BZ283" s="5">
        <v>39549</v>
      </c>
      <c r="CA283" s="4"/>
      <c r="CB283" s="4"/>
      <c r="CC283" s="4"/>
      <c r="CD283" s="4"/>
      <c r="CE283" s="4"/>
      <c r="CF283" s="4"/>
      <c r="CG283" s="4"/>
      <c r="CH283" s="4"/>
      <c r="CI283" s="5">
        <v>39549</v>
      </c>
      <c r="CJ283" s="4"/>
      <c r="CK283" s="5">
        <v>39549</v>
      </c>
      <c r="CL283" s="4"/>
      <c r="CM283" s="4"/>
      <c r="CN283" s="4"/>
      <c r="CO283" s="4"/>
      <c r="CP283" s="4" t="s">
        <v>1002</v>
      </c>
      <c r="CQ283" s="4"/>
      <c r="CR283" s="5">
        <v>39549</v>
      </c>
      <c r="CS283" s="4"/>
      <c r="CT283" s="4"/>
      <c r="CU283" s="4"/>
      <c r="CV283" s="4"/>
      <c r="CW283" s="4"/>
      <c r="CX283" s="4"/>
      <c r="CY283" s="4"/>
      <c r="CZ283" s="4"/>
      <c r="DA283" s="4"/>
      <c r="DB283" s="4"/>
      <c r="DC283" s="4"/>
      <c r="DD283" s="4"/>
      <c r="DE283" s="4"/>
      <c r="DF283" s="4"/>
      <c r="DG283" s="4"/>
      <c r="DH283" s="4"/>
      <c r="DI283" s="4"/>
      <c r="DJ283" s="4" t="b">
        <v>0</v>
      </c>
      <c r="DK283" s="4"/>
      <c r="DL283" s="4">
        <v>2668232</v>
      </c>
      <c r="DM283" s="4">
        <v>6482261</v>
      </c>
      <c r="DN283" s="4" t="s">
        <v>1003</v>
      </c>
      <c r="DO283" s="4"/>
      <c r="DP283" s="4"/>
      <c r="DQ283" s="4" t="s">
        <v>148</v>
      </c>
      <c r="DR283" s="4"/>
      <c r="DS283" s="4"/>
      <c r="DT283" s="5">
        <v>41806</v>
      </c>
      <c r="DU283" s="4"/>
      <c r="DV283" s="4"/>
      <c r="DW283" s="4"/>
      <c r="DX283" s="4"/>
      <c r="DY283" s="4"/>
      <c r="DZ283" s="5">
        <v>39506</v>
      </c>
      <c r="EA283" s="4"/>
      <c r="EB283" s="4"/>
      <c r="EC283" s="4"/>
      <c r="ED283" s="4"/>
      <c r="EE283" s="4"/>
      <c r="EF283" s="4"/>
      <c r="EG283" s="4"/>
      <c r="EH283" s="4"/>
      <c r="EI283" s="5">
        <v>39173</v>
      </c>
    </row>
    <row r="284" spans="1:139" hidden="1" x14ac:dyDescent="0.2">
      <c r="A284">
        <f>VLOOKUP(B284,Sheet1!$A$1:$B$18,2,FALSE)</f>
        <v>0</v>
      </c>
      <c r="B284" t="str">
        <f t="shared" si="4"/>
        <v>AKL</v>
      </c>
      <c r="C284" s="2">
        <v>283</v>
      </c>
      <c r="D284" s="3" t="str">
        <f>HYPERLINK("https://sitebase.nzcomms.co.nz/spm/spmnominalview/AKL-007-106/","AKL-007-106")</f>
        <v>AKL-007-106</v>
      </c>
      <c r="E284" s="4"/>
      <c r="F284" s="3" t="str">
        <f>HYPERLINK("https://sitebase.nzcomms.co.nz/spm/spmcandidateview/AKL-007-106-A/","AKL-007-106-A")</f>
        <v>AKL-007-106-A</v>
      </c>
      <c r="G284" s="4" t="s">
        <v>1004</v>
      </c>
      <c r="H284" s="4" t="s">
        <v>745</v>
      </c>
      <c r="I284" s="4"/>
      <c r="J284" s="4" t="s">
        <v>139</v>
      </c>
      <c r="K284" s="4" t="s">
        <v>141</v>
      </c>
      <c r="L284" s="4" t="s">
        <v>181</v>
      </c>
      <c r="M284" s="4" t="s">
        <v>354</v>
      </c>
      <c r="N284" s="4" t="s">
        <v>364</v>
      </c>
      <c r="O284" s="4" t="s">
        <v>144</v>
      </c>
      <c r="P284" s="4"/>
      <c r="Q284" s="4"/>
      <c r="R284" s="4">
        <v>14</v>
      </c>
      <c r="S284" s="4">
        <v>14</v>
      </c>
      <c r="T284" s="4"/>
      <c r="U284" s="4">
        <v>-36.86503347</v>
      </c>
      <c r="V284" s="4">
        <v>174.76504808000001</v>
      </c>
      <c r="W284" s="4"/>
      <c r="X284" s="4"/>
      <c r="Y284" s="4"/>
      <c r="Z284" s="4"/>
      <c r="AA284" s="4"/>
      <c r="AB284" s="4"/>
      <c r="AC284" s="4"/>
      <c r="AD284" s="4"/>
      <c r="AE284" s="4"/>
      <c r="AF284" s="4"/>
      <c r="AG284" s="4"/>
      <c r="AH284" s="4"/>
      <c r="AI284" s="4"/>
      <c r="AJ284" s="4"/>
      <c r="AK284" s="4"/>
      <c r="AL284" s="4"/>
      <c r="AM284" s="4"/>
      <c r="AN284" s="5">
        <v>39538</v>
      </c>
      <c r="AO284" s="4">
        <v>7</v>
      </c>
      <c r="AP284" s="4"/>
      <c r="AQ284" s="5">
        <v>42355</v>
      </c>
      <c r="AR284" s="4"/>
      <c r="AS284" s="4"/>
      <c r="AT284" s="5">
        <v>39295</v>
      </c>
      <c r="AU284" s="5">
        <v>39295</v>
      </c>
      <c r="AV284" s="4">
        <v>1</v>
      </c>
      <c r="AW284" s="5">
        <v>39295</v>
      </c>
      <c r="AX284" s="5">
        <v>39295</v>
      </c>
      <c r="AY284" s="4"/>
      <c r="AZ284" s="4"/>
      <c r="BA284" s="4"/>
      <c r="BB284" s="5">
        <v>39372</v>
      </c>
      <c r="BC284" s="4"/>
      <c r="BD284" s="4"/>
      <c r="BE284" s="5">
        <v>39372</v>
      </c>
      <c r="BF284" s="5">
        <v>39372</v>
      </c>
      <c r="BG284" s="5">
        <v>42398</v>
      </c>
      <c r="BH284" s="5">
        <v>39539</v>
      </c>
      <c r="BI284" s="4"/>
      <c r="BJ284" s="5">
        <v>39541</v>
      </c>
      <c r="BK284" s="4">
        <v>1</v>
      </c>
      <c r="BL284" s="4">
        <v>1</v>
      </c>
      <c r="BM284" s="5">
        <v>39541</v>
      </c>
      <c r="BN284" s="5">
        <v>39541</v>
      </c>
      <c r="BO284" s="4"/>
      <c r="BP284" s="4"/>
      <c r="BQ284" s="4"/>
      <c r="BR284" s="4"/>
      <c r="BS284" s="4"/>
      <c r="BT284" s="4"/>
      <c r="BU284" s="5">
        <v>39395</v>
      </c>
      <c r="BV284" s="5">
        <v>39402</v>
      </c>
      <c r="BW284" s="5">
        <v>39402</v>
      </c>
      <c r="BX284" s="4"/>
      <c r="BY284" s="5">
        <v>39413</v>
      </c>
      <c r="BZ284" s="5">
        <v>39413</v>
      </c>
      <c r="CA284" s="4"/>
      <c r="CB284" s="4"/>
      <c r="CC284" s="4"/>
      <c r="CD284" s="4"/>
      <c r="CE284" s="4"/>
      <c r="CF284" s="4"/>
      <c r="CG284" s="4"/>
      <c r="CH284" s="4"/>
      <c r="CI284" s="5">
        <v>39436</v>
      </c>
      <c r="CJ284" s="4"/>
      <c r="CK284" s="5">
        <v>39436</v>
      </c>
      <c r="CL284" s="4"/>
      <c r="CM284" s="4"/>
      <c r="CN284" s="4"/>
      <c r="CO284" s="4"/>
      <c r="CP284" s="4" t="s">
        <v>1005</v>
      </c>
      <c r="CQ284" s="4"/>
      <c r="CR284" s="5">
        <v>39436</v>
      </c>
      <c r="CS284" s="4"/>
      <c r="CT284" s="4"/>
      <c r="CU284" s="4"/>
      <c r="CV284" s="4"/>
      <c r="CW284" s="4"/>
      <c r="CX284" s="4"/>
      <c r="CY284" s="4"/>
      <c r="CZ284" s="4"/>
      <c r="DA284" s="4"/>
      <c r="DB284" s="4"/>
      <c r="DC284" s="4"/>
      <c r="DD284" s="4"/>
      <c r="DE284" s="4"/>
      <c r="DF284" s="4"/>
      <c r="DG284" s="4"/>
      <c r="DH284" s="4"/>
      <c r="DI284" s="4"/>
      <c r="DJ284" s="4" t="b">
        <v>0</v>
      </c>
      <c r="DK284" s="4"/>
      <c r="DL284" s="4">
        <v>2667763</v>
      </c>
      <c r="DM284" s="4">
        <v>6480343</v>
      </c>
      <c r="DN284" s="4" t="s">
        <v>1006</v>
      </c>
      <c r="DO284" s="4"/>
      <c r="DP284" s="4"/>
      <c r="DQ284" s="4" t="s">
        <v>148</v>
      </c>
      <c r="DR284" s="4"/>
      <c r="DS284" s="4"/>
      <c r="DT284" s="5">
        <v>41806</v>
      </c>
      <c r="DU284" s="4"/>
      <c r="DV284" s="4"/>
      <c r="DW284" s="4"/>
      <c r="DX284" s="4"/>
      <c r="DY284" s="4"/>
      <c r="DZ284" s="5">
        <v>39395</v>
      </c>
      <c r="EA284" s="4"/>
      <c r="EB284" s="4"/>
      <c r="EC284" s="4"/>
      <c r="ED284" s="4"/>
      <c r="EE284" s="4"/>
      <c r="EF284" s="4"/>
      <c r="EG284" s="4"/>
      <c r="EH284" s="4"/>
      <c r="EI284" s="5">
        <v>39258</v>
      </c>
    </row>
    <row r="285" spans="1:139" hidden="1" x14ac:dyDescent="0.2">
      <c r="A285">
        <f>VLOOKUP(B285,Sheet1!$A$1:$B$18,2,FALSE)</f>
        <v>0</v>
      </c>
      <c r="B285" t="str">
        <f t="shared" si="4"/>
        <v>AKL</v>
      </c>
      <c r="C285" s="2">
        <v>284</v>
      </c>
      <c r="D285" s="3" t="str">
        <f>HYPERLINK("https://sitebase.nzcomms.co.nz/spm/spmnominalview/AKL-007-107/","AKL-007-107")</f>
        <v>AKL-007-107</v>
      </c>
      <c r="E285" s="4"/>
      <c r="F285" s="3" t="str">
        <f>HYPERLINK("https://sitebase.nzcomms.co.nz/spm/spmcandidateview/AKL-007-107-A/","AKL-007-107-A")</f>
        <v>AKL-007-107-A</v>
      </c>
      <c r="G285" s="4" t="s">
        <v>1007</v>
      </c>
      <c r="H285" s="4" t="s">
        <v>745</v>
      </c>
      <c r="I285" s="4"/>
      <c r="J285" s="4" t="s">
        <v>139</v>
      </c>
      <c r="K285" s="4" t="s">
        <v>141</v>
      </c>
      <c r="L285" s="4" t="s">
        <v>189</v>
      </c>
      <c r="M285" s="4" t="s">
        <v>354</v>
      </c>
      <c r="N285" s="4" t="s">
        <v>355</v>
      </c>
      <c r="O285" s="4" t="s">
        <v>356</v>
      </c>
      <c r="P285" s="4"/>
      <c r="Q285" s="4"/>
      <c r="R285" s="4">
        <v>1</v>
      </c>
      <c r="S285" s="4">
        <v>1</v>
      </c>
      <c r="T285" s="4"/>
      <c r="U285" s="4">
        <v>-36.921019250000001</v>
      </c>
      <c r="V285" s="4">
        <v>174.76798169</v>
      </c>
      <c r="W285" s="4"/>
      <c r="X285" s="4"/>
      <c r="Y285" s="4"/>
      <c r="Z285" s="4"/>
      <c r="AA285" s="4" t="s">
        <v>446</v>
      </c>
      <c r="AB285" s="4" t="s">
        <v>1008</v>
      </c>
      <c r="AC285" s="4"/>
      <c r="AD285" s="4"/>
      <c r="AE285" s="4"/>
      <c r="AF285" s="4"/>
      <c r="AG285" s="4"/>
      <c r="AH285" s="4" t="s">
        <v>360</v>
      </c>
      <c r="AI285" s="4"/>
      <c r="AJ285" s="4"/>
      <c r="AK285" s="4"/>
      <c r="AL285" s="4"/>
      <c r="AM285" s="4"/>
      <c r="AN285" s="5">
        <v>39338</v>
      </c>
      <c r="AO285" s="4">
        <v>4</v>
      </c>
      <c r="AP285" s="5">
        <v>39539</v>
      </c>
      <c r="AQ285" s="5">
        <v>39539</v>
      </c>
      <c r="AR285" s="4"/>
      <c r="AS285" s="4"/>
      <c r="AT285" s="5">
        <v>39233</v>
      </c>
      <c r="AU285" s="5">
        <v>39622</v>
      </c>
      <c r="AV285" s="4">
        <v>4</v>
      </c>
      <c r="AW285" s="5">
        <v>39233</v>
      </c>
      <c r="AX285" s="5">
        <v>39622</v>
      </c>
      <c r="AY285" s="4"/>
      <c r="AZ285" s="4"/>
      <c r="BA285" s="4"/>
      <c r="BB285" s="5">
        <v>39752</v>
      </c>
      <c r="BC285" s="4"/>
      <c r="BD285" s="4"/>
      <c r="BE285" s="5">
        <v>39752</v>
      </c>
      <c r="BF285" s="5">
        <v>39671</v>
      </c>
      <c r="BG285" s="4"/>
      <c r="BH285" s="5">
        <v>39391</v>
      </c>
      <c r="BI285" s="4"/>
      <c r="BJ285" s="5">
        <v>39538</v>
      </c>
      <c r="BK285" s="4">
        <v>2</v>
      </c>
      <c r="BL285" s="4">
        <v>4</v>
      </c>
      <c r="BM285" s="5">
        <v>39682</v>
      </c>
      <c r="BN285" s="5">
        <v>39682</v>
      </c>
      <c r="BO285" s="4"/>
      <c r="BP285" s="4"/>
      <c r="BQ285" s="4"/>
      <c r="BR285" s="4"/>
      <c r="BS285" s="4"/>
      <c r="BT285" s="4"/>
      <c r="BU285" s="5">
        <v>39692</v>
      </c>
      <c r="BV285" s="5">
        <v>39710</v>
      </c>
      <c r="BW285" s="5">
        <v>39699</v>
      </c>
      <c r="BX285" s="4"/>
      <c r="BY285" s="5">
        <v>39710</v>
      </c>
      <c r="BZ285" s="5">
        <v>39703</v>
      </c>
      <c r="CA285" s="4"/>
      <c r="CB285" s="4"/>
      <c r="CC285" s="4"/>
      <c r="CD285" s="4"/>
      <c r="CE285" s="4"/>
      <c r="CF285" s="4"/>
      <c r="CG285" s="4"/>
      <c r="CH285" s="4"/>
      <c r="CI285" s="5">
        <v>39881</v>
      </c>
      <c r="CJ285" s="5">
        <v>39881</v>
      </c>
      <c r="CK285" s="5">
        <v>39881</v>
      </c>
      <c r="CL285" s="4"/>
      <c r="CM285" s="4"/>
      <c r="CN285" s="4"/>
      <c r="CO285" s="4"/>
      <c r="CP285" s="4" t="s">
        <v>1009</v>
      </c>
      <c r="CQ285" s="4"/>
      <c r="CR285" s="5">
        <v>39881</v>
      </c>
      <c r="CS285" s="4"/>
      <c r="CT285" s="4"/>
      <c r="CU285" s="4"/>
      <c r="CV285" s="4"/>
      <c r="CW285" s="4"/>
      <c r="CX285" s="4"/>
      <c r="CY285" s="4"/>
      <c r="CZ285" s="4"/>
      <c r="DA285" s="4"/>
      <c r="DB285" s="4"/>
      <c r="DC285" s="4"/>
      <c r="DD285" s="4"/>
      <c r="DE285" s="4"/>
      <c r="DF285" s="4"/>
      <c r="DG285" s="4"/>
      <c r="DH285" s="4"/>
      <c r="DI285" s="4"/>
      <c r="DJ285" s="4" t="b">
        <v>0</v>
      </c>
      <c r="DK285" s="4"/>
      <c r="DL285" s="4">
        <v>2667897</v>
      </c>
      <c r="DM285" s="4">
        <v>6474126</v>
      </c>
      <c r="DN285" s="4" t="s">
        <v>1010</v>
      </c>
      <c r="DO285" s="4"/>
      <c r="DP285" s="4"/>
      <c r="DQ285" s="4" t="s">
        <v>148</v>
      </c>
      <c r="DR285" s="4"/>
      <c r="DS285" s="4"/>
      <c r="DT285" s="5">
        <v>41863</v>
      </c>
      <c r="DU285" s="4"/>
      <c r="DV285" s="4"/>
      <c r="DW285" s="4"/>
      <c r="DX285" s="4"/>
      <c r="DY285" s="4"/>
      <c r="DZ285" s="5">
        <v>39674</v>
      </c>
      <c r="EA285" s="4"/>
      <c r="EB285" s="4"/>
      <c r="EC285" s="4"/>
      <c r="ED285" s="4"/>
      <c r="EE285" s="4"/>
      <c r="EF285" s="4"/>
      <c r="EG285" s="4"/>
      <c r="EH285" s="4"/>
      <c r="EI285" s="5">
        <v>39316</v>
      </c>
    </row>
    <row r="286" spans="1:139" hidden="1" x14ac:dyDescent="0.2">
      <c r="A286">
        <f>VLOOKUP(B286,Sheet1!$A$1:$B$18,2,FALSE)</f>
        <v>0</v>
      </c>
      <c r="B286" t="str">
        <f t="shared" si="4"/>
        <v>AKL</v>
      </c>
      <c r="C286" s="2">
        <v>285</v>
      </c>
      <c r="D286" s="3" t="str">
        <f>HYPERLINK("https://sitebase.nzcomms.co.nz/spm/spmnominalview/AKL-007-108/","AKL-007-108")</f>
        <v>AKL-007-108</v>
      </c>
      <c r="E286" s="4"/>
      <c r="F286" s="3" t="str">
        <f>HYPERLINK("https://sitebase.nzcomms.co.nz/spm/spmcandidateview/AKL-007-108-B/","AKL-007-108-B")</f>
        <v>AKL-007-108-B</v>
      </c>
      <c r="G286" s="4" t="s">
        <v>1011</v>
      </c>
      <c r="H286" s="4" t="s">
        <v>745</v>
      </c>
      <c r="I286" s="4"/>
      <c r="J286" s="4" t="s">
        <v>139</v>
      </c>
      <c r="K286" s="4" t="s">
        <v>141</v>
      </c>
      <c r="L286" s="4" t="s">
        <v>189</v>
      </c>
      <c r="M286" s="4" t="s">
        <v>354</v>
      </c>
      <c r="N286" s="4" t="s">
        <v>355</v>
      </c>
      <c r="O286" s="4" t="s">
        <v>356</v>
      </c>
      <c r="P286" s="4"/>
      <c r="Q286" s="4"/>
      <c r="R286" s="4"/>
      <c r="S286" s="4"/>
      <c r="T286" s="4"/>
      <c r="U286" s="4">
        <v>-36.909937839999998</v>
      </c>
      <c r="V286" s="4">
        <v>174.76988709</v>
      </c>
      <c r="W286" s="4"/>
      <c r="X286" s="4"/>
      <c r="Y286" s="4"/>
      <c r="Z286" s="4"/>
      <c r="AA286" s="4" t="s">
        <v>171</v>
      </c>
      <c r="AB286" s="3" t="str">
        <f>HYPERLINK("https://sitebase.nzcomms.co.nz/spm/spmcandidateview/AKL-007-014-A/","AKL-007-014-A")</f>
        <v>AKL-007-014-A</v>
      </c>
      <c r="AC286" s="4"/>
      <c r="AD286" s="4"/>
      <c r="AE286" s="4"/>
      <c r="AF286" s="4"/>
      <c r="AG286" s="4"/>
      <c r="AH286" s="4" t="s">
        <v>360</v>
      </c>
      <c r="AI286" s="4"/>
      <c r="AJ286" s="4"/>
      <c r="AK286" s="4"/>
      <c r="AL286" s="4"/>
      <c r="AM286" s="4"/>
      <c r="AN286" s="5">
        <v>39464</v>
      </c>
      <c r="AO286" s="4">
        <v>1</v>
      </c>
      <c r="AP286" s="4"/>
      <c r="AQ286" s="5">
        <v>39464</v>
      </c>
      <c r="AR286" s="4"/>
      <c r="AS286" s="4"/>
      <c r="AT286" s="5">
        <v>39518</v>
      </c>
      <c r="AU286" s="5">
        <v>39518</v>
      </c>
      <c r="AV286" s="4">
        <v>1</v>
      </c>
      <c r="AW286" s="5">
        <v>39518</v>
      </c>
      <c r="AX286" s="5">
        <v>39518</v>
      </c>
      <c r="AY286" s="4"/>
      <c r="AZ286" s="4"/>
      <c r="BA286" s="4"/>
      <c r="BB286" s="5">
        <v>39691</v>
      </c>
      <c r="BC286" s="4"/>
      <c r="BD286" s="4"/>
      <c r="BE286" s="5">
        <v>39691</v>
      </c>
      <c r="BF286" s="5">
        <v>39577</v>
      </c>
      <c r="BG286" s="4"/>
      <c r="BH286" s="5">
        <v>39548</v>
      </c>
      <c r="BI286" s="4"/>
      <c r="BJ286" s="5">
        <v>39566</v>
      </c>
      <c r="BK286" s="4">
        <v>3</v>
      </c>
      <c r="BL286" s="4">
        <v>1</v>
      </c>
      <c r="BM286" s="5">
        <v>39694</v>
      </c>
      <c r="BN286" s="5">
        <v>39694</v>
      </c>
      <c r="BO286" s="4"/>
      <c r="BP286" s="4"/>
      <c r="BQ286" s="4"/>
      <c r="BR286" s="4"/>
      <c r="BS286" s="4"/>
      <c r="BT286" s="4"/>
      <c r="BU286" s="5">
        <v>39608</v>
      </c>
      <c r="BV286" s="5">
        <v>39682</v>
      </c>
      <c r="BW286" s="5">
        <v>39674</v>
      </c>
      <c r="BX286" s="4"/>
      <c r="BY286" s="5">
        <v>39682</v>
      </c>
      <c r="BZ286" s="5">
        <v>39679</v>
      </c>
      <c r="CA286" s="4"/>
      <c r="CB286" s="4"/>
      <c r="CC286" s="4"/>
      <c r="CD286" s="4"/>
      <c r="CE286" s="4"/>
      <c r="CF286" s="4"/>
      <c r="CG286" s="4"/>
      <c r="CH286" s="4"/>
      <c r="CI286" s="5">
        <v>39785</v>
      </c>
      <c r="CJ286" s="5">
        <v>39871</v>
      </c>
      <c r="CK286" s="5">
        <v>39785</v>
      </c>
      <c r="CL286" s="4"/>
      <c r="CM286" s="4"/>
      <c r="CN286" s="4"/>
      <c r="CO286" s="4"/>
      <c r="CP286" s="4" t="s">
        <v>157</v>
      </c>
      <c r="CQ286" s="4"/>
      <c r="CR286" s="5">
        <v>39871</v>
      </c>
      <c r="CS286" s="4"/>
      <c r="CT286" s="4"/>
      <c r="CU286" s="4"/>
      <c r="CV286" s="4"/>
      <c r="CW286" s="4"/>
      <c r="CX286" s="4"/>
      <c r="CY286" s="4"/>
      <c r="CZ286" s="4"/>
      <c r="DA286" s="4"/>
      <c r="DB286" s="4"/>
      <c r="DC286" s="4"/>
      <c r="DD286" s="4"/>
      <c r="DE286" s="4"/>
      <c r="DF286" s="4"/>
      <c r="DG286" s="4"/>
      <c r="DH286" s="4"/>
      <c r="DI286" s="4"/>
      <c r="DJ286" s="4" t="b">
        <v>0</v>
      </c>
      <c r="DK286" s="4"/>
      <c r="DL286" s="4">
        <v>2668092</v>
      </c>
      <c r="DM286" s="4">
        <v>6475352</v>
      </c>
      <c r="DN286" s="4" t="s">
        <v>1012</v>
      </c>
      <c r="DO286" s="4"/>
      <c r="DP286" s="4"/>
      <c r="DQ286" s="4" t="s">
        <v>148</v>
      </c>
      <c r="DR286" s="4"/>
      <c r="DS286" s="4"/>
      <c r="DT286" s="5">
        <v>41863</v>
      </c>
      <c r="DU286" s="4"/>
      <c r="DV286" s="4"/>
      <c r="DW286" s="4"/>
      <c r="DX286" s="4"/>
      <c r="DY286" s="4"/>
      <c r="DZ286" s="5">
        <v>39580</v>
      </c>
      <c r="EA286" s="4"/>
      <c r="EB286" s="4"/>
      <c r="EC286" s="4"/>
      <c r="ED286" s="4"/>
      <c r="EE286" s="4"/>
      <c r="EF286" s="4"/>
      <c r="EG286" s="4"/>
      <c r="EH286" s="4"/>
      <c r="EI286" s="5">
        <v>39437</v>
      </c>
    </row>
    <row r="287" spans="1:139" hidden="1" x14ac:dyDescent="0.2">
      <c r="A287">
        <f>VLOOKUP(B287,Sheet1!$A$1:$B$18,2,FALSE)</f>
        <v>0</v>
      </c>
      <c r="B287" t="str">
        <f t="shared" si="4"/>
        <v>AKL</v>
      </c>
      <c r="C287" s="2">
        <v>286</v>
      </c>
      <c r="D287" s="3" t="str">
        <f>HYPERLINK("https://sitebase.nzcomms.co.nz/spm/spmnominalview/AKL-007-110/","AKL-007-110")</f>
        <v>AKL-007-110</v>
      </c>
      <c r="E287" s="4"/>
      <c r="F287" s="3" t="str">
        <f>HYPERLINK("https://sitebase.nzcomms.co.nz/spm/spmcandidateview/AKL-007-110-F/","AKL-007-110-F")</f>
        <v>AKL-007-110-F</v>
      </c>
      <c r="G287" s="4" t="s">
        <v>1013</v>
      </c>
      <c r="H287" s="4" t="s">
        <v>745</v>
      </c>
      <c r="I287" s="4"/>
      <c r="J287" s="4" t="s">
        <v>139</v>
      </c>
      <c r="K287" s="4" t="s">
        <v>141</v>
      </c>
      <c r="L287" s="4" t="s">
        <v>189</v>
      </c>
      <c r="M287" s="4" t="s">
        <v>463</v>
      </c>
      <c r="N287" s="4" t="s">
        <v>191</v>
      </c>
      <c r="O287" s="4" t="s">
        <v>356</v>
      </c>
      <c r="P287" s="4"/>
      <c r="Q287" s="4"/>
      <c r="R287" s="4">
        <v>13.8</v>
      </c>
      <c r="S287" s="4">
        <v>13.8</v>
      </c>
      <c r="T287" s="4"/>
      <c r="U287" s="4">
        <v>-36.923113880000002</v>
      </c>
      <c r="V287" s="4">
        <v>174.70098404000001</v>
      </c>
      <c r="W287" s="4"/>
      <c r="X287" s="4"/>
      <c r="Y287" s="4"/>
      <c r="Z287" s="4"/>
      <c r="AA287" s="4" t="s">
        <v>171</v>
      </c>
      <c r="AB287" s="3" t="str">
        <f>HYPERLINK("https://sitebase.nzcomms.co.nz/spm/spmcandidateview/AKL-006-013-B/","AKL-006-013-B")</f>
        <v>AKL-006-013-B</v>
      </c>
      <c r="AC287" s="4"/>
      <c r="AD287" s="4"/>
      <c r="AE287" s="4"/>
      <c r="AF287" s="4"/>
      <c r="AG287" s="4"/>
      <c r="AH287" s="4" t="s">
        <v>395</v>
      </c>
      <c r="AI287" s="4"/>
      <c r="AJ287" s="4"/>
      <c r="AK287" s="4"/>
      <c r="AL287" s="4"/>
      <c r="AM287" s="4"/>
      <c r="AN287" s="5">
        <v>39695</v>
      </c>
      <c r="AO287" s="4">
        <v>5</v>
      </c>
      <c r="AP287" s="5">
        <v>39799</v>
      </c>
      <c r="AQ287" s="5">
        <v>40102</v>
      </c>
      <c r="AR287" s="4"/>
      <c r="AS287" s="4"/>
      <c r="AT287" s="5">
        <v>39899</v>
      </c>
      <c r="AU287" s="5">
        <v>39899</v>
      </c>
      <c r="AV287" s="4">
        <v>3</v>
      </c>
      <c r="AW287" s="5">
        <v>39899</v>
      </c>
      <c r="AX287" s="5">
        <v>39902</v>
      </c>
      <c r="AY287" s="4"/>
      <c r="AZ287" s="5">
        <v>39850</v>
      </c>
      <c r="BA287" s="4"/>
      <c r="BB287" s="5">
        <v>39871</v>
      </c>
      <c r="BC287" s="4"/>
      <c r="BD287" s="4"/>
      <c r="BE287" s="5">
        <v>39855</v>
      </c>
      <c r="BF287" s="5">
        <v>39848</v>
      </c>
      <c r="BG287" s="4"/>
      <c r="BH287" s="5">
        <v>39717</v>
      </c>
      <c r="BI287" s="4"/>
      <c r="BJ287" s="5">
        <v>39728</v>
      </c>
      <c r="BK287" s="4">
        <v>2</v>
      </c>
      <c r="BL287" s="4">
        <v>4</v>
      </c>
      <c r="BM287" s="5">
        <v>39804</v>
      </c>
      <c r="BN287" s="5">
        <v>39804</v>
      </c>
      <c r="BO287" s="5">
        <v>39933</v>
      </c>
      <c r="BP287" s="4"/>
      <c r="BQ287" s="4"/>
      <c r="BR287" s="4"/>
      <c r="BS287" s="4"/>
      <c r="BT287" s="5">
        <v>39923</v>
      </c>
      <c r="BU287" s="5">
        <v>39923</v>
      </c>
      <c r="BV287" s="5">
        <v>39946</v>
      </c>
      <c r="BW287" s="5">
        <v>39946</v>
      </c>
      <c r="BX287" s="4"/>
      <c r="BY287" s="5">
        <v>39953</v>
      </c>
      <c r="BZ287" s="5">
        <v>39952</v>
      </c>
      <c r="CA287" s="4"/>
      <c r="CB287" s="4"/>
      <c r="CC287" s="4"/>
      <c r="CD287" s="4"/>
      <c r="CE287" s="4"/>
      <c r="CF287" s="4"/>
      <c r="CG287" s="4"/>
      <c r="CH287" s="4"/>
      <c r="CI287" s="5">
        <v>39955</v>
      </c>
      <c r="CJ287" s="5">
        <v>39955</v>
      </c>
      <c r="CK287" s="5">
        <v>39955</v>
      </c>
      <c r="CL287" s="4"/>
      <c r="CM287" s="4"/>
      <c r="CN287" s="4"/>
      <c r="CO287" s="4"/>
      <c r="CP287" s="4" t="s">
        <v>1014</v>
      </c>
      <c r="CQ287" s="4"/>
      <c r="CR287" s="5">
        <v>39955</v>
      </c>
      <c r="CS287" s="4"/>
      <c r="CT287" s="4"/>
      <c r="CU287" s="4"/>
      <c r="CV287" s="4"/>
      <c r="CW287" s="5">
        <v>39926</v>
      </c>
      <c r="CX287" s="5">
        <v>39933</v>
      </c>
      <c r="CY287" s="4"/>
      <c r="CZ287" s="4"/>
      <c r="DA287" s="4"/>
      <c r="DB287" s="4"/>
      <c r="DC287" s="4"/>
      <c r="DD287" s="4"/>
      <c r="DE287" s="4"/>
      <c r="DF287" s="4"/>
      <c r="DG287" s="4"/>
      <c r="DH287" s="4"/>
      <c r="DI287" s="4"/>
      <c r="DJ287" s="4" t="b">
        <v>0</v>
      </c>
      <c r="DK287" s="4"/>
      <c r="DL287" s="4">
        <v>2661924</v>
      </c>
      <c r="DM287" s="4">
        <v>6474014</v>
      </c>
      <c r="DN287" s="4" t="s">
        <v>1015</v>
      </c>
      <c r="DO287" s="4"/>
      <c r="DP287" s="4"/>
      <c r="DQ287" s="4" t="s">
        <v>148</v>
      </c>
      <c r="DR287" s="4"/>
      <c r="DS287" s="4"/>
      <c r="DT287" s="5">
        <v>41863</v>
      </c>
      <c r="DU287" s="4"/>
      <c r="DV287" s="4"/>
      <c r="DW287" s="4"/>
      <c r="DX287" s="4"/>
      <c r="DY287" s="5">
        <v>39923</v>
      </c>
      <c r="DZ287" s="5">
        <v>39923</v>
      </c>
      <c r="EA287" s="4"/>
      <c r="EB287" s="4"/>
      <c r="EC287" s="4"/>
      <c r="ED287" s="4"/>
      <c r="EE287" s="4"/>
      <c r="EF287" s="4"/>
      <c r="EG287" s="4"/>
      <c r="EH287" s="4"/>
      <c r="EI287" s="5">
        <v>39675</v>
      </c>
    </row>
    <row r="288" spans="1:139" hidden="1" x14ac:dyDescent="0.2">
      <c r="A288">
        <f>VLOOKUP(B288,Sheet1!$A$1:$B$18,2,FALSE)</f>
        <v>0</v>
      </c>
      <c r="B288" t="str">
        <f t="shared" si="4"/>
        <v>AKL</v>
      </c>
      <c r="C288" s="2">
        <v>287</v>
      </c>
      <c r="D288" s="3" t="str">
        <f>HYPERLINK("https://sitebase.nzcomms.co.nz/spm/spmnominalview/AKL-007-112/","AKL-007-112")</f>
        <v>AKL-007-112</v>
      </c>
      <c r="E288" s="4"/>
      <c r="F288" s="3" t="str">
        <f>HYPERLINK("https://sitebase.nzcomms.co.nz/spm/spmcandidateview/AKL-007-112-A/","AKL-007-112-A")</f>
        <v>AKL-007-112-A</v>
      </c>
      <c r="G288" s="4" t="s">
        <v>1016</v>
      </c>
      <c r="H288" s="4" t="s">
        <v>745</v>
      </c>
      <c r="I288" s="4"/>
      <c r="J288" s="4" t="s">
        <v>139</v>
      </c>
      <c r="K288" s="4" t="s">
        <v>141</v>
      </c>
      <c r="L288" s="4" t="s">
        <v>325</v>
      </c>
      <c r="M288" s="4" t="s">
        <v>324</v>
      </c>
      <c r="N288" s="4" t="s">
        <v>364</v>
      </c>
      <c r="O288" s="4"/>
      <c r="P288" s="4"/>
      <c r="Q288" s="4"/>
      <c r="R288" s="4"/>
      <c r="S288" s="4"/>
      <c r="T288" s="4"/>
      <c r="U288" s="4">
        <v>-36.848351770000001</v>
      </c>
      <c r="V288" s="4">
        <v>174.76167298999999</v>
      </c>
      <c r="W288" s="4"/>
      <c r="X288" s="4"/>
      <c r="Y288" s="4"/>
      <c r="Z288" s="4"/>
      <c r="AA288" s="4" t="s">
        <v>217</v>
      </c>
      <c r="AB288" s="4" t="s">
        <v>478</v>
      </c>
      <c r="AC288" s="4"/>
      <c r="AD288" s="4"/>
      <c r="AE288" s="4"/>
      <c r="AF288" s="4"/>
      <c r="AG288" s="4"/>
      <c r="AH288" s="4" t="s">
        <v>1017</v>
      </c>
      <c r="AI288" s="4"/>
      <c r="AJ288" s="4"/>
      <c r="AK288" s="4"/>
      <c r="AL288" s="4"/>
      <c r="AM288" s="4"/>
      <c r="AN288" s="5">
        <v>39356</v>
      </c>
      <c r="AO288" s="4">
        <v>1</v>
      </c>
      <c r="AP288" s="4"/>
      <c r="AQ288" s="5">
        <v>39356</v>
      </c>
      <c r="AR288" s="4"/>
      <c r="AS288" s="4"/>
      <c r="AT288" s="5">
        <v>39414</v>
      </c>
      <c r="AU288" s="5">
        <v>39414</v>
      </c>
      <c r="AV288" s="4">
        <v>1</v>
      </c>
      <c r="AW288" s="5">
        <v>39414</v>
      </c>
      <c r="AX288" s="5">
        <v>39414</v>
      </c>
      <c r="AY288" s="4"/>
      <c r="AZ288" s="4"/>
      <c r="BA288" s="4"/>
      <c r="BB288" s="5">
        <v>39414</v>
      </c>
      <c r="BC288" s="4"/>
      <c r="BD288" s="4"/>
      <c r="BE288" s="5">
        <v>39414</v>
      </c>
      <c r="BF288" s="5">
        <v>39414</v>
      </c>
      <c r="BG288" s="4"/>
      <c r="BH288" s="5">
        <v>39356</v>
      </c>
      <c r="BI288" s="4"/>
      <c r="BJ288" s="5">
        <v>39345</v>
      </c>
      <c r="BK288" s="4">
        <v>1</v>
      </c>
      <c r="BL288" s="4">
        <v>1</v>
      </c>
      <c r="BM288" s="5">
        <v>39345</v>
      </c>
      <c r="BN288" s="5">
        <v>39345</v>
      </c>
      <c r="BO288" s="4"/>
      <c r="BP288" s="4"/>
      <c r="BQ288" s="4"/>
      <c r="BR288" s="4"/>
      <c r="BS288" s="4"/>
      <c r="BT288" s="4"/>
      <c r="BU288" s="5">
        <v>39415</v>
      </c>
      <c r="BV288" s="5">
        <v>39421</v>
      </c>
      <c r="BW288" s="5">
        <v>39421</v>
      </c>
      <c r="BX288" s="4"/>
      <c r="BY288" s="5">
        <v>39427</v>
      </c>
      <c r="BZ288" s="5">
        <v>39427</v>
      </c>
      <c r="CA288" s="4"/>
      <c r="CB288" s="4"/>
      <c r="CC288" s="4"/>
      <c r="CD288" s="4"/>
      <c r="CE288" s="4"/>
      <c r="CF288" s="4"/>
      <c r="CG288" s="4"/>
      <c r="CH288" s="4"/>
      <c r="CI288" s="5">
        <v>39436</v>
      </c>
      <c r="CJ288" s="4"/>
      <c r="CK288" s="5">
        <v>39436</v>
      </c>
      <c r="CL288" s="4"/>
      <c r="CM288" s="4"/>
      <c r="CN288" s="4"/>
      <c r="CO288" s="4"/>
      <c r="CP288" s="4" t="s">
        <v>405</v>
      </c>
      <c r="CQ288" s="4"/>
      <c r="CR288" s="5">
        <v>39436</v>
      </c>
      <c r="CS288" s="4"/>
      <c r="CT288" s="4"/>
      <c r="CU288" s="4"/>
      <c r="CV288" s="4"/>
      <c r="CW288" s="4"/>
      <c r="CX288" s="4"/>
      <c r="CY288" s="4"/>
      <c r="CZ288" s="4"/>
      <c r="DA288" s="4"/>
      <c r="DB288" s="4"/>
      <c r="DC288" s="4"/>
      <c r="DD288" s="4"/>
      <c r="DE288" s="4"/>
      <c r="DF288" s="4"/>
      <c r="DG288" s="4"/>
      <c r="DH288" s="4"/>
      <c r="DI288" s="4"/>
      <c r="DJ288" s="4" t="b">
        <v>0</v>
      </c>
      <c r="DK288" s="4"/>
      <c r="DL288" s="4">
        <v>2667500</v>
      </c>
      <c r="DM288" s="4">
        <v>6482200</v>
      </c>
      <c r="DN288" s="4" t="s">
        <v>1018</v>
      </c>
      <c r="DO288" s="4"/>
      <c r="DP288" s="4"/>
      <c r="DQ288" s="4" t="s">
        <v>328</v>
      </c>
      <c r="DR288" s="4"/>
      <c r="DS288" s="4"/>
      <c r="DT288" s="4"/>
      <c r="DU288" s="4"/>
      <c r="DV288" s="4"/>
      <c r="DW288" s="4"/>
      <c r="DX288" s="4"/>
      <c r="DY288" s="4"/>
      <c r="DZ288" s="5">
        <v>39415</v>
      </c>
      <c r="EA288" s="4"/>
      <c r="EB288" s="4"/>
      <c r="EC288" s="4"/>
      <c r="ED288" s="4"/>
      <c r="EE288" s="4"/>
      <c r="EF288" s="4"/>
      <c r="EG288" s="4"/>
      <c r="EH288" s="4"/>
      <c r="EI288" s="5">
        <v>39386</v>
      </c>
    </row>
    <row r="289" spans="1:139" hidden="1" x14ac:dyDescent="0.2">
      <c r="A289">
        <f>VLOOKUP(B289,Sheet1!$A$1:$B$18,2,FALSE)</f>
        <v>0</v>
      </c>
      <c r="B289" t="str">
        <f t="shared" si="4"/>
        <v>AKL</v>
      </c>
      <c r="C289" s="2">
        <v>288</v>
      </c>
      <c r="D289" s="3" t="str">
        <f>HYPERLINK("https://sitebase.nzcomms.co.nz/spm/spmnominalview/AKL-007-113/","AKL-007-113")</f>
        <v>AKL-007-113</v>
      </c>
      <c r="E289" s="4"/>
      <c r="F289" s="3" t="str">
        <f>HYPERLINK("https://sitebase.nzcomms.co.nz/spm/spmcandidateview/AKL-007-113-A/","AKL-007-113-A")</f>
        <v>AKL-007-113-A</v>
      </c>
      <c r="G289" s="4" t="s">
        <v>1019</v>
      </c>
      <c r="H289" s="4" t="s">
        <v>745</v>
      </c>
      <c r="I289" s="4">
        <v>3</v>
      </c>
      <c r="J289" s="4" t="s">
        <v>139</v>
      </c>
      <c r="K289" s="4" t="s">
        <v>141</v>
      </c>
      <c r="L289" s="4" t="s">
        <v>181</v>
      </c>
      <c r="M289" s="4" t="s">
        <v>324</v>
      </c>
      <c r="N289" s="4" t="s">
        <v>364</v>
      </c>
      <c r="O289" s="4"/>
      <c r="P289" s="4"/>
      <c r="Q289" s="4"/>
      <c r="R289" s="4"/>
      <c r="S289" s="4"/>
      <c r="T289" s="4"/>
      <c r="U289" s="4">
        <v>-36.880563440000003</v>
      </c>
      <c r="V289" s="4">
        <v>174.80134712</v>
      </c>
      <c r="W289" s="4"/>
      <c r="X289" s="4"/>
      <c r="Y289" s="4"/>
      <c r="Z289" s="4"/>
      <c r="AA289" s="4" t="s">
        <v>171</v>
      </c>
      <c r="AB289" s="3" t="str">
        <f>HYPERLINK("https://sitebase.nzcomms.co.nz/spm/spmcandidateview/AKL-007-106-A/","AKL-007-106-A")</f>
        <v>AKL-007-106-A</v>
      </c>
      <c r="AC289" s="4" t="b">
        <v>0</v>
      </c>
      <c r="AD289" s="4" t="b">
        <v>0</v>
      </c>
      <c r="AE289" s="4"/>
      <c r="AF289" s="4"/>
      <c r="AG289" s="4" t="b">
        <v>0</v>
      </c>
      <c r="AH289" s="4" t="s">
        <v>360</v>
      </c>
      <c r="AI289" s="4"/>
      <c r="AJ289" s="4"/>
      <c r="AK289" s="4"/>
      <c r="AL289" s="4"/>
      <c r="AM289" s="4"/>
      <c r="AN289" s="5">
        <v>39492</v>
      </c>
      <c r="AO289" s="4">
        <v>3</v>
      </c>
      <c r="AP289" s="4"/>
      <c r="AQ289" s="5">
        <v>40780</v>
      </c>
      <c r="AR289" s="4"/>
      <c r="AS289" s="4"/>
      <c r="AT289" s="5">
        <v>39448</v>
      </c>
      <c r="AU289" s="5">
        <v>39448</v>
      </c>
      <c r="AV289" s="4">
        <v>1</v>
      </c>
      <c r="AW289" s="5">
        <v>39448</v>
      </c>
      <c r="AX289" s="5">
        <v>39448</v>
      </c>
      <c r="AY289" s="4"/>
      <c r="AZ289" s="4"/>
      <c r="BA289" s="4"/>
      <c r="BB289" s="5">
        <v>39629</v>
      </c>
      <c r="BC289" s="4"/>
      <c r="BD289" s="4"/>
      <c r="BE289" s="5">
        <v>39629</v>
      </c>
      <c r="BF289" s="5">
        <v>39629</v>
      </c>
      <c r="BG289" s="4"/>
      <c r="BH289" s="5">
        <v>39497</v>
      </c>
      <c r="BI289" s="4"/>
      <c r="BJ289" s="5">
        <v>39626</v>
      </c>
      <c r="BK289" s="4">
        <v>4</v>
      </c>
      <c r="BL289" s="4">
        <v>1</v>
      </c>
      <c r="BM289" s="5">
        <v>39738</v>
      </c>
      <c r="BN289" s="5">
        <v>39738</v>
      </c>
      <c r="BO289" s="4"/>
      <c r="BP289" s="4"/>
      <c r="BQ289" s="4"/>
      <c r="BR289" s="4"/>
      <c r="BS289" s="4"/>
      <c r="BT289" s="4"/>
      <c r="BU289" s="5">
        <v>39737</v>
      </c>
      <c r="BV289" s="5">
        <v>39749</v>
      </c>
      <c r="BW289" s="5">
        <v>39749</v>
      </c>
      <c r="BX289" s="4"/>
      <c r="BY289" s="5">
        <v>39773</v>
      </c>
      <c r="BZ289" s="5">
        <v>39766</v>
      </c>
      <c r="CA289" s="4"/>
      <c r="CB289" s="4"/>
      <c r="CC289" s="4"/>
      <c r="CD289" s="4"/>
      <c r="CE289" s="4"/>
      <c r="CF289" s="4"/>
      <c r="CG289" s="4"/>
      <c r="CH289" s="4"/>
      <c r="CI289" s="5">
        <v>39773</v>
      </c>
      <c r="CJ289" s="4"/>
      <c r="CK289" s="5">
        <v>39773</v>
      </c>
      <c r="CL289" s="4"/>
      <c r="CM289" s="4"/>
      <c r="CN289" s="4"/>
      <c r="CO289" s="4"/>
      <c r="CP289" s="4" t="s">
        <v>1020</v>
      </c>
      <c r="CQ289" s="4"/>
      <c r="CR289" s="4"/>
      <c r="CS289" s="4"/>
      <c r="CT289" s="4"/>
      <c r="CU289" s="4"/>
      <c r="CV289" s="4"/>
      <c r="CW289" s="4"/>
      <c r="CX289" s="4"/>
      <c r="CY289" s="4"/>
      <c r="CZ289" s="4"/>
      <c r="DA289" s="4"/>
      <c r="DB289" s="4"/>
      <c r="DC289" s="4"/>
      <c r="DD289" s="4"/>
      <c r="DE289" s="4"/>
      <c r="DF289" s="4"/>
      <c r="DG289" s="4"/>
      <c r="DH289" s="4"/>
      <c r="DI289" s="4"/>
      <c r="DJ289" s="4" t="b">
        <v>0</v>
      </c>
      <c r="DK289" s="4"/>
      <c r="DL289" s="4">
        <v>2670963</v>
      </c>
      <c r="DM289" s="4">
        <v>6478553</v>
      </c>
      <c r="DN289" s="4" t="s">
        <v>1021</v>
      </c>
      <c r="DO289" s="4"/>
      <c r="DP289" s="4"/>
      <c r="DQ289" s="4" t="s">
        <v>328</v>
      </c>
      <c r="DR289" s="4"/>
      <c r="DS289" s="4"/>
      <c r="DT289" s="4"/>
      <c r="DU289" s="4"/>
      <c r="DV289" s="4"/>
      <c r="DW289" s="4"/>
      <c r="DX289" s="4"/>
      <c r="DY289" s="4"/>
      <c r="DZ289" s="5">
        <v>39724</v>
      </c>
      <c r="EA289" s="4"/>
      <c r="EB289" s="4"/>
      <c r="EC289" s="4"/>
      <c r="ED289" s="4"/>
      <c r="EE289" s="4"/>
      <c r="EF289" s="4"/>
      <c r="EG289" s="4"/>
      <c r="EH289" s="4"/>
      <c r="EI289" s="5">
        <v>39386</v>
      </c>
    </row>
    <row r="290" spans="1:139" hidden="1" x14ac:dyDescent="0.2">
      <c r="A290">
        <f>VLOOKUP(B290,Sheet1!$A$1:$B$18,2,FALSE)</f>
        <v>0</v>
      </c>
      <c r="B290" t="str">
        <f t="shared" si="4"/>
        <v>AKL</v>
      </c>
      <c r="C290" s="2">
        <v>289</v>
      </c>
      <c r="D290" s="3" t="str">
        <f>HYPERLINK("https://sitebase.nzcomms.co.nz/spm/spmnominalview/AKL-007-114/","AKL-007-114")</f>
        <v>AKL-007-114</v>
      </c>
      <c r="E290" s="4"/>
      <c r="F290" s="3" t="str">
        <f>HYPERLINK("https://sitebase.nzcomms.co.nz/spm/spmcandidateview/AKL-007-114-D/","AKL-007-114-D")</f>
        <v>AKL-007-114-D</v>
      </c>
      <c r="G290" s="4" t="s">
        <v>1022</v>
      </c>
      <c r="H290" s="4" t="s">
        <v>745</v>
      </c>
      <c r="I290" s="4">
        <v>3</v>
      </c>
      <c r="J290" s="4" t="s">
        <v>139</v>
      </c>
      <c r="K290" s="4" t="s">
        <v>141</v>
      </c>
      <c r="L290" s="4" t="s">
        <v>181</v>
      </c>
      <c r="M290" s="4" t="s">
        <v>324</v>
      </c>
      <c r="N290" s="4"/>
      <c r="O290" s="4"/>
      <c r="P290" s="4"/>
      <c r="Q290" s="4"/>
      <c r="R290" s="4"/>
      <c r="S290" s="4"/>
      <c r="T290" s="4"/>
      <c r="U290" s="4">
        <v>-36.91536584</v>
      </c>
      <c r="V290" s="4">
        <v>174.81618220999999</v>
      </c>
      <c r="W290" s="4"/>
      <c r="X290" s="4"/>
      <c r="Y290" s="4"/>
      <c r="Z290" s="4"/>
      <c r="AA290" s="4" t="s">
        <v>171</v>
      </c>
      <c r="AB290" s="3" t="str">
        <f>HYPERLINK("https://sitebase.nzcomms.co.nz/spm/spmcandidateview/AKL-007-112-A/","AKL-007-112-A")</f>
        <v>AKL-007-112-A</v>
      </c>
      <c r="AC290" s="4" t="b">
        <v>0</v>
      </c>
      <c r="AD290" s="4" t="b">
        <v>0</v>
      </c>
      <c r="AE290" s="4"/>
      <c r="AF290" s="4"/>
      <c r="AG290" s="4" t="b">
        <v>0</v>
      </c>
      <c r="AH290" s="4"/>
      <c r="AI290" s="4"/>
      <c r="AJ290" s="4"/>
      <c r="AK290" s="4"/>
      <c r="AL290" s="4"/>
      <c r="AM290" s="4"/>
      <c r="AN290" s="5">
        <v>39927</v>
      </c>
      <c r="AO290" s="4">
        <v>5</v>
      </c>
      <c r="AP290" s="5">
        <v>39933</v>
      </c>
      <c r="AQ290" s="5">
        <v>41002</v>
      </c>
      <c r="AR290" s="4"/>
      <c r="AS290" s="4"/>
      <c r="AT290" s="5">
        <v>39948</v>
      </c>
      <c r="AU290" s="5">
        <v>39951</v>
      </c>
      <c r="AV290" s="4">
        <v>1</v>
      </c>
      <c r="AW290" s="5">
        <v>39981</v>
      </c>
      <c r="AX290" s="5">
        <v>40071</v>
      </c>
      <c r="AY290" s="4"/>
      <c r="AZ290" s="5">
        <v>39939</v>
      </c>
      <c r="BA290" s="4"/>
      <c r="BB290" s="5">
        <v>39969</v>
      </c>
      <c r="BC290" s="4"/>
      <c r="BD290" s="4"/>
      <c r="BE290" s="5">
        <v>39969</v>
      </c>
      <c r="BF290" s="5">
        <v>39975</v>
      </c>
      <c r="BG290" s="5">
        <v>39920</v>
      </c>
      <c r="BH290" s="5">
        <v>39933</v>
      </c>
      <c r="BI290" s="4"/>
      <c r="BJ290" s="5">
        <v>39940</v>
      </c>
      <c r="BK290" s="4">
        <v>2</v>
      </c>
      <c r="BL290" s="4">
        <v>1</v>
      </c>
      <c r="BM290" s="5">
        <v>39939</v>
      </c>
      <c r="BN290" s="5">
        <v>39953</v>
      </c>
      <c r="BO290" s="4"/>
      <c r="BP290" s="4"/>
      <c r="BQ290" s="4"/>
      <c r="BR290" s="4"/>
      <c r="BS290" s="4"/>
      <c r="BT290" s="5">
        <v>39965</v>
      </c>
      <c r="BU290" s="5">
        <v>39958</v>
      </c>
      <c r="BV290" s="5">
        <v>39988</v>
      </c>
      <c r="BW290" s="5">
        <v>39988</v>
      </c>
      <c r="BX290" s="4"/>
      <c r="BY290" s="5">
        <v>40011</v>
      </c>
      <c r="BZ290" s="5">
        <v>40003</v>
      </c>
      <c r="CA290" s="4"/>
      <c r="CB290" s="4"/>
      <c r="CC290" s="4"/>
      <c r="CD290" s="4"/>
      <c r="CE290" s="4"/>
      <c r="CF290" s="4"/>
      <c r="CG290" s="4"/>
      <c r="CH290" s="4"/>
      <c r="CI290" s="5">
        <v>40003</v>
      </c>
      <c r="CJ290" s="5">
        <v>40011</v>
      </c>
      <c r="CK290" s="5">
        <v>40003</v>
      </c>
      <c r="CL290" s="4"/>
      <c r="CM290" s="4"/>
      <c r="CN290" s="4"/>
      <c r="CO290" s="4"/>
      <c r="CP290" s="4" t="s">
        <v>1023</v>
      </c>
      <c r="CQ290" s="4"/>
      <c r="CR290" s="5">
        <v>40011</v>
      </c>
      <c r="CS290" s="4"/>
      <c r="CT290" s="4"/>
      <c r="CU290" s="4"/>
      <c r="CV290" s="4"/>
      <c r="CW290" s="4"/>
      <c r="CX290" s="4"/>
      <c r="CY290" s="4"/>
      <c r="CZ290" s="4"/>
      <c r="DA290" s="4"/>
      <c r="DB290" s="4"/>
      <c r="DC290" s="4"/>
      <c r="DD290" s="4"/>
      <c r="DE290" s="4"/>
      <c r="DF290" s="4"/>
      <c r="DG290" s="4"/>
      <c r="DH290" s="4"/>
      <c r="DI290" s="4"/>
      <c r="DJ290" s="4" t="b">
        <v>0</v>
      </c>
      <c r="DK290" s="4"/>
      <c r="DL290" s="4">
        <v>2672204</v>
      </c>
      <c r="DM290" s="4">
        <v>6474664</v>
      </c>
      <c r="DN290" s="4" t="s">
        <v>1024</v>
      </c>
      <c r="DO290" s="4"/>
      <c r="DP290" s="4"/>
      <c r="DQ290" s="4" t="s">
        <v>328</v>
      </c>
      <c r="DR290" s="4"/>
      <c r="DS290" s="4"/>
      <c r="DT290" s="4"/>
      <c r="DU290" s="4"/>
      <c r="DV290" s="4"/>
      <c r="DW290" s="4"/>
      <c r="DX290" s="4"/>
      <c r="DY290" s="5">
        <v>39965</v>
      </c>
      <c r="DZ290" s="5">
        <v>39958</v>
      </c>
      <c r="EA290" s="4"/>
      <c r="EB290" s="4"/>
      <c r="EC290" s="4"/>
      <c r="ED290" s="4"/>
      <c r="EE290" s="4"/>
      <c r="EF290" s="4"/>
      <c r="EG290" s="4"/>
      <c r="EH290" s="4"/>
      <c r="EI290" s="5">
        <v>39909</v>
      </c>
    </row>
    <row r="291" spans="1:139" hidden="1" x14ac:dyDescent="0.2">
      <c r="A291">
        <f>VLOOKUP(B291,Sheet1!$A$1:$B$18,2,FALSE)</f>
        <v>0</v>
      </c>
      <c r="B291" t="str">
        <f t="shared" si="4"/>
        <v>AKL</v>
      </c>
      <c r="C291" s="2">
        <v>290</v>
      </c>
      <c r="D291" s="3" t="str">
        <f>HYPERLINK("https://sitebase.nzcomms.co.nz/spm/spmnominalview/AKL-007-116/","AKL-007-116")</f>
        <v>AKL-007-116</v>
      </c>
      <c r="E291" s="4" t="s">
        <v>1025</v>
      </c>
      <c r="F291" s="3" t="str">
        <f>HYPERLINK("https://sitebase.nzcomms.co.nz/spm/spmcandidateview/AKL-007-116-E/","AKL-007-116-E")</f>
        <v>AKL-007-116-E</v>
      </c>
      <c r="G291" s="4" t="s">
        <v>1026</v>
      </c>
      <c r="H291" s="4" t="s">
        <v>745</v>
      </c>
      <c r="I291" s="4">
        <v>22</v>
      </c>
      <c r="J291" s="4" t="s">
        <v>1027</v>
      </c>
      <c r="K291" s="4" t="s">
        <v>141</v>
      </c>
      <c r="L291" s="4" t="s">
        <v>189</v>
      </c>
      <c r="M291" s="4" t="s">
        <v>592</v>
      </c>
      <c r="N291" s="4" t="s">
        <v>364</v>
      </c>
      <c r="O291" s="4"/>
      <c r="P291" s="4"/>
      <c r="Q291" s="4"/>
      <c r="R291" s="4"/>
      <c r="S291" s="4"/>
      <c r="T291" s="4"/>
      <c r="U291" s="4">
        <v>-36.780893040000002</v>
      </c>
      <c r="V291" s="4">
        <v>174.99380794999999</v>
      </c>
      <c r="W291" s="4"/>
      <c r="X291" s="4"/>
      <c r="Y291" s="4"/>
      <c r="Z291" s="4"/>
      <c r="AA291" s="4" t="s">
        <v>145</v>
      </c>
      <c r="AB291" s="3" t="str">
        <f>HYPERLINK("https://sitebase.nzcomms.co.nz/spm/spmcandidateview/AKL-007-192-A/","AKL-007-192-A")</f>
        <v>AKL-007-192-A</v>
      </c>
      <c r="AC291" s="4" t="b">
        <v>1</v>
      </c>
      <c r="AD291" s="4" t="b">
        <v>0</v>
      </c>
      <c r="AE291" s="5">
        <v>40253</v>
      </c>
      <c r="AF291" s="4"/>
      <c r="AG291" s="4" t="b">
        <v>0</v>
      </c>
      <c r="AH291" s="4"/>
      <c r="AI291" s="5">
        <v>41974</v>
      </c>
      <c r="AJ291" s="5">
        <v>41975</v>
      </c>
      <c r="AK291" s="5">
        <v>41976</v>
      </c>
      <c r="AL291" s="5">
        <v>41976</v>
      </c>
      <c r="AM291" s="5">
        <v>41992</v>
      </c>
      <c r="AN291" s="5">
        <v>41988</v>
      </c>
      <c r="AO291" s="4">
        <v>1</v>
      </c>
      <c r="AP291" s="5">
        <v>42020</v>
      </c>
      <c r="AQ291" s="5">
        <v>41988</v>
      </c>
      <c r="AR291" s="4"/>
      <c r="AS291" s="5">
        <v>42017</v>
      </c>
      <c r="AT291" s="5">
        <v>42124</v>
      </c>
      <c r="AU291" s="5">
        <v>42123</v>
      </c>
      <c r="AV291" s="4"/>
      <c r="AW291" s="5">
        <v>42124</v>
      </c>
      <c r="AX291" s="5">
        <v>42123</v>
      </c>
      <c r="AY291" s="4" t="s">
        <v>183</v>
      </c>
      <c r="AZ291" s="5">
        <v>41992</v>
      </c>
      <c r="BA291" s="5">
        <v>41992</v>
      </c>
      <c r="BB291" s="5">
        <v>42055</v>
      </c>
      <c r="BC291" s="5">
        <v>42033</v>
      </c>
      <c r="BD291" s="4">
        <v>1</v>
      </c>
      <c r="BE291" s="5">
        <v>42062</v>
      </c>
      <c r="BF291" s="5">
        <v>42033</v>
      </c>
      <c r="BG291" s="5">
        <v>42017</v>
      </c>
      <c r="BH291" s="5">
        <v>42017</v>
      </c>
      <c r="BI291" s="5">
        <v>42048</v>
      </c>
      <c r="BJ291" s="5">
        <v>42040</v>
      </c>
      <c r="BK291" s="4">
        <v>1</v>
      </c>
      <c r="BL291" s="4"/>
      <c r="BM291" s="5">
        <v>42055</v>
      </c>
      <c r="BN291" s="5">
        <v>42040</v>
      </c>
      <c r="BO291" s="4"/>
      <c r="BP291" s="4"/>
      <c r="BQ291" s="4"/>
      <c r="BR291" s="4"/>
      <c r="BS291" s="4"/>
      <c r="BT291" s="5">
        <v>42142</v>
      </c>
      <c r="BU291" s="5">
        <v>42143</v>
      </c>
      <c r="BV291" s="5">
        <v>42143</v>
      </c>
      <c r="BW291" s="5">
        <v>42143</v>
      </c>
      <c r="BX291" s="5">
        <v>42143</v>
      </c>
      <c r="BY291" s="5">
        <v>42143</v>
      </c>
      <c r="BZ291" s="5">
        <v>42143</v>
      </c>
      <c r="CA291" s="5">
        <v>42142</v>
      </c>
      <c r="CB291" s="5">
        <v>42143</v>
      </c>
      <c r="CC291" s="4"/>
      <c r="CD291" s="4"/>
      <c r="CE291" s="4"/>
      <c r="CF291" s="4"/>
      <c r="CG291" s="4"/>
      <c r="CH291" s="4"/>
      <c r="CI291" s="4"/>
      <c r="CJ291" s="5">
        <v>42150</v>
      </c>
      <c r="CK291" s="5">
        <v>42151</v>
      </c>
      <c r="CL291" s="4"/>
      <c r="CM291" s="4"/>
      <c r="CN291" s="4"/>
      <c r="CO291" s="4"/>
      <c r="CP291" s="4" t="s">
        <v>1028</v>
      </c>
      <c r="CQ291" s="4"/>
      <c r="CR291" s="4"/>
      <c r="CS291" s="4"/>
      <c r="CT291" s="4"/>
      <c r="CU291" s="4"/>
      <c r="CV291" s="4"/>
      <c r="CW291" s="4"/>
      <c r="CX291" s="4"/>
      <c r="CY291" s="4"/>
      <c r="CZ291" s="4"/>
      <c r="DA291" s="5">
        <v>42146</v>
      </c>
      <c r="DB291" s="5">
        <v>42149</v>
      </c>
      <c r="DC291" s="5">
        <v>42017</v>
      </c>
      <c r="DD291" s="4" t="s">
        <v>586</v>
      </c>
      <c r="DE291" s="4"/>
      <c r="DF291" s="5">
        <v>42139</v>
      </c>
      <c r="DG291" s="5">
        <v>42143</v>
      </c>
      <c r="DH291" s="4" t="s">
        <v>174</v>
      </c>
      <c r="DI291" s="5">
        <v>42143</v>
      </c>
      <c r="DJ291" s="4" t="b">
        <v>0</v>
      </c>
      <c r="DK291" s="4"/>
      <c r="DL291" s="4">
        <v>2688370</v>
      </c>
      <c r="DM291" s="4">
        <v>6489235</v>
      </c>
      <c r="DN291" s="4" t="s">
        <v>1029</v>
      </c>
      <c r="DO291" s="4"/>
      <c r="DP291" s="4"/>
      <c r="DQ291" s="4" t="s">
        <v>148</v>
      </c>
      <c r="DR291" s="4"/>
      <c r="DS291" s="4"/>
      <c r="DT291" s="4"/>
      <c r="DU291" s="4" t="s">
        <v>1030</v>
      </c>
      <c r="DV291" s="4"/>
      <c r="DW291" s="4"/>
      <c r="DX291" s="4"/>
      <c r="DY291" s="4"/>
      <c r="DZ291" s="4"/>
      <c r="EA291" s="4"/>
      <c r="EB291" s="4"/>
      <c r="EC291" s="4"/>
      <c r="ED291" s="4"/>
      <c r="EE291" s="4"/>
      <c r="EF291" s="4"/>
      <c r="EG291" s="4"/>
      <c r="EH291" s="4"/>
      <c r="EI291" s="5">
        <v>41976</v>
      </c>
    </row>
    <row r="292" spans="1:139" hidden="1" x14ac:dyDescent="0.2">
      <c r="A292">
        <f>VLOOKUP(B292,Sheet1!$A$1:$B$18,2,FALSE)</f>
        <v>0</v>
      </c>
      <c r="B292" t="str">
        <f t="shared" si="4"/>
        <v>AKL</v>
      </c>
      <c r="C292" s="2">
        <v>291</v>
      </c>
      <c r="D292" s="3" t="str">
        <f>HYPERLINK("https://sitebase.nzcomms.co.nz/spm/spmnominalview/AKL-007-117/","AKL-007-117")</f>
        <v>AKL-007-117</v>
      </c>
      <c r="E292" s="4" t="s">
        <v>1031</v>
      </c>
      <c r="F292" s="3" t="str">
        <f>HYPERLINK("https://sitebase.nzcomms.co.nz/spm/spmcandidateview/AKL-007-117-B/","AKL-007-117-B")</f>
        <v>AKL-007-117-B</v>
      </c>
      <c r="G292" s="4" t="s">
        <v>1032</v>
      </c>
      <c r="H292" s="4" t="s">
        <v>745</v>
      </c>
      <c r="I292" s="4">
        <v>12</v>
      </c>
      <c r="J292" s="4" t="s">
        <v>584</v>
      </c>
      <c r="K292" s="4" t="s">
        <v>141</v>
      </c>
      <c r="L292" s="4" t="s">
        <v>189</v>
      </c>
      <c r="M292" s="4" t="s">
        <v>592</v>
      </c>
      <c r="N292" s="4" t="s">
        <v>364</v>
      </c>
      <c r="O292" s="4" t="s">
        <v>168</v>
      </c>
      <c r="P292" s="4"/>
      <c r="Q292" s="4"/>
      <c r="R292" s="4"/>
      <c r="S292" s="4"/>
      <c r="T292" s="4"/>
      <c r="U292" s="4">
        <v>-36.78156998</v>
      </c>
      <c r="V292" s="4">
        <v>175.00837213</v>
      </c>
      <c r="W292" s="4"/>
      <c r="X292" s="5">
        <v>40262</v>
      </c>
      <c r="Y292" s="4"/>
      <c r="Z292" s="5">
        <v>40274</v>
      </c>
      <c r="AA292" s="4" t="s">
        <v>145</v>
      </c>
      <c r="AB292" s="3" t="str">
        <f>HYPERLINK("https://sitebase.nzcomms.co.nz/spm/spmcandidateview/AKL-007-192-A/","AKL-007-192-A")</f>
        <v>AKL-007-192-A</v>
      </c>
      <c r="AC292" s="4" t="b">
        <v>1</v>
      </c>
      <c r="AD292" s="4" t="b">
        <v>0</v>
      </c>
      <c r="AE292" s="5">
        <v>40253</v>
      </c>
      <c r="AF292" s="4"/>
      <c r="AG292" s="4" t="b">
        <v>0</v>
      </c>
      <c r="AH292" s="4"/>
      <c r="AI292" s="5">
        <v>41862</v>
      </c>
      <c r="AJ292" s="5">
        <v>41863</v>
      </c>
      <c r="AK292" s="5">
        <v>41871</v>
      </c>
      <c r="AL292" s="5">
        <v>41872</v>
      </c>
      <c r="AM292" s="5">
        <v>41887</v>
      </c>
      <c r="AN292" s="5">
        <v>41883</v>
      </c>
      <c r="AO292" s="4">
        <v>3</v>
      </c>
      <c r="AP292" s="5">
        <v>41894</v>
      </c>
      <c r="AQ292" s="5">
        <v>41928</v>
      </c>
      <c r="AR292" s="5">
        <v>41943</v>
      </c>
      <c r="AS292" s="5">
        <v>41941</v>
      </c>
      <c r="AT292" s="5">
        <v>41950</v>
      </c>
      <c r="AU292" s="5">
        <v>41961</v>
      </c>
      <c r="AV292" s="4"/>
      <c r="AW292" s="5">
        <v>41957</v>
      </c>
      <c r="AX292" s="5">
        <v>41961</v>
      </c>
      <c r="AY292" s="4" t="s">
        <v>183</v>
      </c>
      <c r="AZ292" s="5">
        <v>41891</v>
      </c>
      <c r="BA292" s="5">
        <v>41890</v>
      </c>
      <c r="BB292" s="5">
        <v>41950</v>
      </c>
      <c r="BC292" s="5">
        <v>41941</v>
      </c>
      <c r="BD292" s="4">
        <v>3</v>
      </c>
      <c r="BE292" s="5">
        <v>41957</v>
      </c>
      <c r="BF292" s="5">
        <v>41941</v>
      </c>
      <c r="BG292" s="5">
        <v>41933</v>
      </c>
      <c r="BH292" s="5">
        <v>41912</v>
      </c>
      <c r="BI292" s="5">
        <v>41936</v>
      </c>
      <c r="BJ292" s="5">
        <v>41936</v>
      </c>
      <c r="BK292" s="4">
        <v>1</v>
      </c>
      <c r="BL292" s="4"/>
      <c r="BM292" s="5">
        <v>41943</v>
      </c>
      <c r="BN292" s="5">
        <v>41936</v>
      </c>
      <c r="BO292" s="4"/>
      <c r="BP292" s="4"/>
      <c r="BQ292" s="4"/>
      <c r="BR292" s="4"/>
      <c r="BS292" s="4"/>
      <c r="BT292" s="5">
        <v>41967</v>
      </c>
      <c r="BU292" s="5">
        <v>41957</v>
      </c>
      <c r="BV292" s="5">
        <v>41991</v>
      </c>
      <c r="BW292" s="5">
        <v>41989</v>
      </c>
      <c r="BX292" s="5">
        <v>41989</v>
      </c>
      <c r="BY292" s="5">
        <v>41991</v>
      </c>
      <c r="BZ292" s="5">
        <v>41989</v>
      </c>
      <c r="CA292" s="5">
        <v>41991</v>
      </c>
      <c r="CB292" s="5">
        <v>41989</v>
      </c>
      <c r="CC292" s="4"/>
      <c r="CD292" s="4"/>
      <c r="CE292" s="4"/>
      <c r="CF292" s="4"/>
      <c r="CG292" s="4"/>
      <c r="CH292" s="4"/>
      <c r="CI292" s="4"/>
      <c r="CJ292" s="5">
        <v>41992</v>
      </c>
      <c r="CK292" s="5">
        <v>41992</v>
      </c>
      <c r="CL292" s="4"/>
      <c r="CM292" s="4"/>
      <c r="CN292" s="4"/>
      <c r="CO292" s="4"/>
      <c r="CP292" s="4" t="s">
        <v>1033</v>
      </c>
      <c r="CQ292" s="4"/>
      <c r="CR292" s="4"/>
      <c r="CS292" s="4"/>
      <c r="CT292" s="4"/>
      <c r="CU292" s="4"/>
      <c r="CV292" s="4"/>
      <c r="CW292" s="4"/>
      <c r="CX292" s="4"/>
      <c r="CY292" s="4"/>
      <c r="CZ292" s="4"/>
      <c r="DA292" s="5">
        <v>41991</v>
      </c>
      <c r="DB292" s="5">
        <v>41992</v>
      </c>
      <c r="DC292" s="5">
        <v>41890</v>
      </c>
      <c r="DD292" s="4" t="s">
        <v>573</v>
      </c>
      <c r="DE292" s="4"/>
      <c r="DF292" s="5">
        <v>41985</v>
      </c>
      <c r="DG292" s="5">
        <v>41985</v>
      </c>
      <c r="DH292" s="4" t="s">
        <v>174</v>
      </c>
      <c r="DI292" s="4"/>
      <c r="DJ292" s="4" t="b">
        <v>0</v>
      </c>
      <c r="DK292" s="4"/>
      <c r="DL292" s="4">
        <v>2689668</v>
      </c>
      <c r="DM292" s="4">
        <v>6489130</v>
      </c>
      <c r="DN292" s="4" t="s">
        <v>1034</v>
      </c>
      <c r="DO292" s="4"/>
      <c r="DP292" s="4"/>
      <c r="DQ292" s="4" t="s">
        <v>148</v>
      </c>
      <c r="DR292" s="4"/>
      <c r="DS292" s="4"/>
      <c r="DT292" s="4"/>
      <c r="DU292" s="4"/>
      <c r="DV292" s="4"/>
      <c r="DW292" s="4"/>
      <c r="DX292" s="4"/>
      <c r="DY292" s="4"/>
      <c r="DZ292" s="4"/>
      <c r="EA292" s="4"/>
      <c r="EB292" s="4"/>
      <c r="EC292" s="4"/>
      <c r="ED292" s="4"/>
      <c r="EE292" s="4"/>
      <c r="EF292" s="4"/>
      <c r="EG292" s="4"/>
      <c r="EH292" s="4"/>
      <c r="EI292" s="5">
        <v>41872</v>
      </c>
    </row>
    <row r="293" spans="1:139" hidden="1" x14ac:dyDescent="0.2">
      <c r="A293">
        <f>VLOOKUP(B293,Sheet1!$A$1:$B$18,2,FALSE)</f>
        <v>0</v>
      </c>
      <c r="B293" t="str">
        <f t="shared" si="4"/>
        <v>AKL</v>
      </c>
      <c r="C293" s="2">
        <v>292</v>
      </c>
      <c r="D293" s="3" t="str">
        <f>HYPERLINK("https://sitebase.nzcomms.co.nz/spm/spmnominalview/AKL-007-118/","AKL-007-118")</f>
        <v>AKL-007-118</v>
      </c>
      <c r="E293" s="4" t="s">
        <v>1035</v>
      </c>
      <c r="F293" s="4"/>
      <c r="G293" s="4"/>
      <c r="H293" s="4" t="s">
        <v>745</v>
      </c>
      <c r="I293" s="4"/>
      <c r="J293" s="4" t="s">
        <v>196</v>
      </c>
      <c r="K293" s="4"/>
      <c r="L293" s="4"/>
      <c r="M293" s="4"/>
      <c r="N293" s="4"/>
      <c r="O293" s="4"/>
      <c r="P293" s="4"/>
      <c r="Q293" s="4"/>
      <c r="R293" s="4"/>
      <c r="S293" s="4"/>
      <c r="T293" s="4"/>
      <c r="U293" s="4"/>
      <c r="V293" s="4"/>
      <c r="W293" s="4"/>
      <c r="X293" s="4"/>
      <c r="Y293" s="4"/>
      <c r="Z293" s="4"/>
      <c r="AA293" s="4"/>
      <c r="AB293" s="4"/>
      <c r="AC293" s="4"/>
      <c r="AD293" s="4"/>
      <c r="AE293" s="4"/>
      <c r="AF293" s="4"/>
      <c r="AG293" s="4" t="b">
        <v>0</v>
      </c>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t="s">
        <v>1036</v>
      </c>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row>
    <row r="294" spans="1:139" hidden="1" x14ac:dyDescent="0.2">
      <c r="A294">
        <f>VLOOKUP(B294,Sheet1!$A$1:$B$18,2,FALSE)</f>
        <v>0</v>
      </c>
      <c r="B294" t="str">
        <f t="shared" si="4"/>
        <v>AKL</v>
      </c>
      <c r="C294" s="2">
        <v>293</v>
      </c>
      <c r="D294" s="3" t="str">
        <f>HYPERLINK("https://sitebase.nzcomms.co.nz/spm/spmnominalview/AKL-007-119/","AKL-007-119")</f>
        <v>AKL-007-119</v>
      </c>
      <c r="E294" s="4" t="s">
        <v>1037</v>
      </c>
      <c r="F294" s="4"/>
      <c r="G294" s="4"/>
      <c r="H294" s="4" t="s">
        <v>745</v>
      </c>
      <c r="I294" s="4"/>
      <c r="J294" s="4" t="s">
        <v>196</v>
      </c>
      <c r="K294" s="4"/>
      <c r="L294" s="4"/>
      <c r="M294" s="4"/>
      <c r="N294" s="4"/>
      <c r="O294" s="4"/>
      <c r="P294" s="4"/>
      <c r="Q294" s="4"/>
      <c r="R294" s="4"/>
      <c r="S294" s="4"/>
      <c r="T294" s="4"/>
      <c r="U294" s="4"/>
      <c r="V294" s="4"/>
      <c r="W294" s="4"/>
      <c r="X294" s="4"/>
      <c r="Y294" s="4"/>
      <c r="Z294" s="4"/>
      <c r="AA294" s="4"/>
      <c r="AB294" s="4"/>
      <c r="AC294" s="4"/>
      <c r="AD294" s="4"/>
      <c r="AE294" s="4"/>
      <c r="AF294" s="4"/>
      <c r="AG294" s="4" t="b">
        <v>0</v>
      </c>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t="s">
        <v>1038</v>
      </c>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row>
    <row r="295" spans="1:139" hidden="1" x14ac:dyDescent="0.2">
      <c r="A295">
        <f>VLOOKUP(B295,Sheet1!$A$1:$B$18,2,FALSE)</f>
        <v>0</v>
      </c>
      <c r="B295" t="str">
        <f t="shared" si="4"/>
        <v>AKL</v>
      </c>
      <c r="C295" s="2">
        <v>294</v>
      </c>
      <c r="D295" s="3" t="str">
        <f>HYPERLINK("https://sitebase.nzcomms.co.nz/spm/spmnominalview/AKL-007-122/","AKL-007-122")</f>
        <v>AKL-007-122</v>
      </c>
      <c r="E295" s="4" t="s">
        <v>1039</v>
      </c>
      <c r="F295" s="3" t="str">
        <f>HYPERLINK("https://sitebase.nzcomms.co.nz/spm/spmcandidateview/AKL-007-122-A/","AKL-007-122-A")</f>
        <v>AKL-007-122-A</v>
      </c>
      <c r="G295" s="4" t="s">
        <v>1040</v>
      </c>
      <c r="H295" s="4" t="s">
        <v>745</v>
      </c>
      <c r="I295" s="4"/>
      <c r="J295" s="4" t="s">
        <v>139</v>
      </c>
      <c r="K295" s="4" t="s">
        <v>141</v>
      </c>
      <c r="L295" s="4" t="s">
        <v>325</v>
      </c>
      <c r="M295" s="4" t="s">
        <v>463</v>
      </c>
      <c r="N295" s="4" t="s">
        <v>364</v>
      </c>
      <c r="O295" s="4" t="s">
        <v>356</v>
      </c>
      <c r="P295" s="4"/>
      <c r="Q295" s="4"/>
      <c r="R295" s="4">
        <v>6.3</v>
      </c>
      <c r="S295" s="4">
        <v>6.3</v>
      </c>
      <c r="T295" s="4"/>
      <c r="U295" s="4">
        <v>-36.845392490000002</v>
      </c>
      <c r="V295" s="4">
        <v>174.81695199000001</v>
      </c>
      <c r="W295" s="4"/>
      <c r="X295" s="4"/>
      <c r="Y295" s="4"/>
      <c r="Z295" s="4"/>
      <c r="AA295" s="4" t="s">
        <v>171</v>
      </c>
      <c r="AB295" s="3" t="str">
        <f>HYPERLINK("https://sitebase.nzcomms.co.nz/spm/spmcandidateview/AKL-007-112-A/","AKL-007-112-A")</f>
        <v>AKL-007-112-A</v>
      </c>
      <c r="AC295" s="4"/>
      <c r="AD295" s="4"/>
      <c r="AE295" s="4"/>
      <c r="AF295" s="4"/>
      <c r="AG295" s="4"/>
      <c r="AH295" s="4"/>
      <c r="AI295" s="4"/>
      <c r="AJ295" s="4"/>
      <c r="AK295" s="4"/>
      <c r="AL295" s="4"/>
      <c r="AM295" s="4"/>
      <c r="AN295" s="5">
        <v>39689</v>
      </c>
      <c r="AO295" s="4">
        <v>7</v>
      </c>
      <c r="AP295" s="5">
        <v>40038</v>
      </c>
      <c r="AQ295" s="5">
        <v>40046</v>
      </c>
      <c r="AR295" s="4"/>
      <c r="AS295" s="4"/>
      <c r="AT295" s="5">
        <v>39899</v>
      </c>
      <c r="AU295" s="5">
        <v>39899</v>
      </c>
      <c r="AV295" s="4">
        <v>3</v>
      </c>
      <c r="AW295" s="5">
        <v>40074</v>
      </c>
      <c r="AX295" s="5">
        <v>40073</v>
      </c>
      <c r="AY295" s="4"/>
      <c r="AZ295" s="5">
        <v>39715</v>
      </c>
      <c r="BA295" s="4"/>
      <c r="BB295" s="5">
        <v>39933</v>
      </c>
      <c r="BC295" s="4"/>
      <c r="BD295" s="4"/>
      <c r="BE295" s="5">
        <v>39933</v>
      </c>
      <c r="BF295" s="5">
        <v>39937</v>
      </c>
      <c r="BG295" s="5">
        <v>39801</v>
      </c>
      <c r="BH295" s="5">
        <v>39786</v>
      </c>
      <c r="BI295" s="4"/>
      <c r="BJ295" s="5">
        <v>39801</v>
      </c>
      <c r="BK295" s="4">
        <v>3</v>
      </c>
      <c r="BL295" s="4">
        <v>6</v>
      </c>
      <c r="BM295" s="5">
        <v>40053</v>
      </c>
      <c r="BN295" s="5">
        <v>40056</v>
      </c>
      <c r="BO295" s="4"/>
      <c r="BP295" s="4"/>
      <c r="BQ295" s="4"/>
      <c r="BR295" s="4"/>
      <c r="BS295" s="4"/>
      <c r="BT295" s="5">
        <v>40077</v>
      </c>
      <c r="BU295" s="5">
        <v>40077</v>
      </c>
      <c r="BV295" s="5">
        <v>40130</v>
      </c>
      <c r="BW295" s="5">
        <v>40130</v>
      </c>
      <c r="BX295" s="4"/>
      <c r="BY295" s="5">
        <v>40135</v>
      </c>
      <c r="BZ295" s="5">
        <v>40135</v>
      </c>
      <c r="CA295" s="4"/>
      <c r="CB295" s="4"/>
      <c r="CC295" s="4"/>
      <c r="CD295" s="4"/>
      <c r="CE295" s="4"/>
      <c r="CF295" s="4"/>
      <c r="CG295" s="4"/>
      <c r="CH295" s="4"/>
      <c r="CI295" s="5">
        <v>40137</v>
      </c>
      <c r="CJ295" s="5">
        <v>40137</v>
      </c>
      <c r="CK295" s="5">
        <v>40137</v>
      </c>
      <c r="CL295" s="4"/>
      <c r="CM295" s="4"/>
      <c r="CN295" s="4"/>
      <c r="CO295" s="4"/>
      <c r="CP295" s="4" t="s">
        <v>157</v>
      </c>
      <c r="CQ295" s="4"/>
      <c r="CR295" s="5">
        <v>40137</v>
      </c>
      <c r="CS295" s="4"/>
      <c r="CT295" s="4"/>
      <c r="CU295" s="4"/>
      <c r="CV295" s="4"/>
      <c r="CW295" s="4"/>
      <c r="CX295" s="4"/>
      <c r="CY295" s="4"/>
      <c r="CZ295" s="4"/>
      <c r="DA295" s="4"/>
      <c r="DB295" s="4"/>
      <c r="DC295" s="4"/>
      <c r="DD295" s="4"/>
      <c r="DE295" s="4"/>
      <c r="DF295" s="4"/>
      <c r="DG295" s="4"/>
      <c r="DH295" s="4"/>
      <c r="DI295" s="4"/>
      <c r="DJ295" s="4" t="b">
        <v>0</v>
      </c>
      <c r="DK295" s="4"/>
      <c r="DL295" s="4">
        <v>2672436</v>
      </c>
      <c r="DM295" s="4">
        <v>6482426</v>
      </c>
      <c r="DN295" s="4" t="s">
        <v>1041</v>
      </c>
      <c r="DO295" s="4"/>
      <c r="DP295" s="4"/>
      <c r="DQ295" s="4" t="s">
        <v>148</v>
      </c>
      <c r="DR295" s="4"/>
      <c r="DS295" s="4"/>
      <c r="DT295" s="5">
        <v>41863</v>
      </c>
      <c r="DU295" s="4"/>
      <c r="DV295" s="4"/>
      <c r="DW295" s="4"/>
      <c r="DX295" s="4"/>
      <c r="DY295" s="5">
        <v>40077</v>
      </c>
      <c r="DZ295" s="5">
        <v>40077</v>
      </c>
      <c r="EA295" s="4"/>
      <c r="EB295" s="4"/>
      <c r="EC295" s="4"/>
      <c r="ED295" s="4"/>
      <c r="EE295" s="4"/>
      <c r="EF295" s="4"/>
      <c r="EG295" s="4"/>
      <c r="EH295" s="4"/>
      <c r="EI295" s="5">
        <v>39625</v>
      </c>
    </row>
    <row r="296" spans="1:139" hidden="1" x14ac:dyDescent="0.2">
      <c r="A296">
        <f>VLOOKUP(B296,Sheet1!$A$1:$B$18,2,FALSE)</f>
        <v>0</v>
      </c>
      <c r="B296" t="str">
        <f t="shared" si="4"/>
        <v>AKL</v>
      </c>
      <c r="C296" s="2">
        <v>295</v>
      </c>
      <c r="D296" s="3" t="str">
        <f>HYPERLINK("https://sitebase.nzcomms.co.nz/spm/spmnominalview/AKL-007-123/","AKL-007-123")</f>
        <v>AKL-007-123</v>
      </c>
      <c r="E296" s="4" t="s">
        <v>1042</v>
      </c>
      <c r="F296" s="3" t="str">
        <f>HYPERLINK("https://sitebase.nzcomms.co.nz/spm/spmcandidateview/AKL-007-123-C/","AKL-007-123-C")</f>
        <v>AKL-007-123-C</v>
      </c>
      <c r="G296" s="4" t="s">
        <v>1042</v>
      </c>
      <c r="H296" s="4" t="s">
        <v>745</v>
      </c>
      <c r="I296" s="4"/>
      <c r="J296" s="4" t="s">
        <v>139</v>
      </c>
      <c r="K296" s="4" t="s">
        <v>141</v>
      </c>
      <c r="L296" s="4" t="s">
        <v>181</v>
      </c>
      <c r="M296" s="4" t="s">
        <v>378</v>
      </c>
      <c r="N296" s="4" t="s">
        <v>364</v>
      </c>
      <c r="O296" s="4" t="s">
        <v>144</v>
      </c>
      <c r="P296" s="4"/>
      <c r="Q296" s="4"/>
      <c r="R296" s="4">
        <v>15</v>
      </c>
      <c r="S296" s="4">
        <v>15</v>
      </c>
      <c r="T296" s="4"/>
      <c r="U296" s="4">
        <v>-36.849641310000003</v>
      </c>
      <c r="V296" s="4">
        <v>174.75394510000001</v>
      </c>
      <c r="W296" s="4"/>
      <c r="X296" s="4"/>
      <c r="Y296" s="4"/>
      <c r="Z296" s="4"/>
      <c r="AA296" s="4" t="s">
        <v>171</v>
      </c>
      <c r="AB296" s="3" t="str">
        <f>HYPERLINK("https://sitebase.nzcomms.co.nz/spm/spmcandidateview/AKL-007-144-A/","AKL-007-144-A")</f>
        <v>AKL-007-144-A</v>
      </c>
      <c r="AC296" s="4"/>
      <c r="AD296" s="4"/>
      <c r="AE296" s="4"/>
      <c r="AF296" s="4"/>
      <c r="AG296" s="4"/>
      <c r="AH296" s="4"/>
      <c r="AI296" s="4"/>
      <c r="AJ296" s="4"/>
      <c r="AK296" s="4"/>
      <c r="AL296" s="4"/>
      <c r="AM296" s="4"/>
      <c r="AN296" s="5">
        <v>39952</v>
      </c>
      <c r="AO296" s="4">
        <v>4</v>
      </c>
      <c r="AP296" s="5">
        <v>39947</v>
      </c>
      <c r="AQ296" s="5">
        <v>42355</v>
      </c>
      <c r="AR296" s="4"/>
      <c r="AS296" s="4"/>
      <c r="AT296" s="5">
        <v>39962</v>
      </c>
      <c r="AU296" s="5">
        <v>39962</v>
      </c>
      <c r="AV296" s="4">
        <v>1</v>
      </c>
      <c r="AW296" s="5">
        <v>39962</v>
      </c>
      <c r="AX296" s="5">
        <v>39962</v>
      </c>
      <c r="AY296" s="4"/>
      <c r="AZ296" s="5">
        <v>39954</v>
      </c>
      <c r="BA296" s="4"/>
      <c r="BB296" s="5">
        <v>39983</v>
      </c>
      <c r="BC296" s="4"/>
      <c r="BD296" s="4"/>
      <c r="BE296" s="5">
        <v>39983</v>
      </c>
      <c r="BF296" s="5">
        <v>39955</v>
      </c>
      <c r="BG296" s="5">
        <v>42398</v>
      </c>
      <c r="BH296" s="5">
        <v>39958</v>
      </c>
      <c r="BI296" s="4"/>
      <c r="BJ296" s="5">
        <v>39979</v>
      </c>
      <c r="BK296" s="4">
        <v>1</v>
      </c>
      <c r="BL296" s="4">
        <v>1</v>
      </c>
      <c r="BM296" s="5">
        <v>39979</v>
      </c>
      <c r="BN296" s="5">
        <v>39979</v>
      </c>
      <c r="BO296" s="4"/>
      <c r="BP296" s="4"/>
      <c r="BQ296" s="4"/>
      <c r="BR296" s="4"/>
      <c r="BS296" s="4"/>
      <c r="BT296" s="5">
        <v>39989</v>
      </c>
      <c r="BU296" s="5">
        <v>39989</v>
      </c>
      <c r="BV296" s="5">
        <v>40043</v>
      </c>
      <c r="BW296" s="5">
        <v>40043</v>
      </c>
      <c r="BX296" s="4"/>
      <c r="BY296" s="5">
        <v>40053</v>
      </c>
      <c r="BZ296" s="5">
        <v>40056</v>
      </c>
      <c r="CA296" s="4"/>
      <c r="CB296" s="4"/>
      <c r="CC296" s="4"/>
      <c r="CD296" s="4"/>
      <c r="CE296" s="4"/>
      <c r="CF296" s="4"/>
      <c r="CG296" s="4"/>
      <c r="CH296" s="4"/>
      <c r="CI296" s="5">
        <v>40057</v>
      </c>
      <c r="CJ296" s="5">
        <v>40057</v>
      </c>
      <c r="CK296" s="5">
        <v>40057</v>
      </c>
      <c r="CL296" s="4"/>
      <c r="CM296" s="4"/>
      <c r="CN296" s="4"/>
      <c r="CO296" s="4"/>
      <c r="CP296" s="4"/>
      <c r="CQ296" s="4"/>
      <c r="CR296" s="5">
        <v>40057</v>
      </c>
      <c r="CS296" s="4"/>
      <c r="CT296" s="4"/>
      <c r="CU296" s="4"/>
      <c r="CV296" s="4"/>
      <c r="CW296" s="4"/>
      <c r="CX296" s="4"/>
      <c r="CY296" s="4"/>
      <c r="CZ296" s="4"/>
      <c r="DA296" s="4"/>
      <c r="DB296" s="4"/>
      <c r="DC296" s="4"/>
      <c r="DD296" s="4"/>
      <c r="DE296" s="4"/>
      <c r="DF296" s="4"/>
      <c r="DG296" s="4"/>
      <c r="DH296" s="4"/>
      <c r="DI296" s="4"/>
      <c r="DJ296" s="4" t="b">
        <v>0</v>
      </c>
      <c r="DK296" s="4"/>
      <c r="DL296" s="4">
        <v>2666808</v>
      </c>
      <c r="DM296" s="4">
        <v>6482071</v>
      </c>
      <c r="DN296" s="4" t="s">
        <v>1043</v>
      </c>
      <c r="DO296" s="4"/>
      <c r="DP296" s="4"/>
      <c r="DQ296" s="4" t="s">
        <v>148</v>
      </c>
      <c r="DR296" s="4"/>
      <c r="DS296" s="4"/>
      <c r="DT296" s="5">
        <v>41806</v>
      </c>
      <c r="DU296" s="4"/>
      <c r="DV296" s="4"/>
      <c r="DW296" s="4"/>
      <c r="DX296" s="4"/>
      <c r="DY296" s="5">
        <v>39989</v>
      </c>
      <c r="DZ296" s="5">
        <v>39989</v>
      </c>
      <c r="EA296" s="4"/>
      <c r="EB296" s="4"/>
      <c r="EC296" s="4"/>
      <c r="ED296" s="4"/>
      <c r="EE296" s="4"/>
      <c r="EF296" s="4"/>
      <c r="EG296" s="4"/>
      <c r="EH296" s="4"/>
      <c r="EI296" s="5">
        <v>39945</v>
      </c>
    </row>
    <row r="297" spans="1:139" hidden="1" x14ac:dyDescent="0.2">
      <c r="A297">
        <f>VLOOKUP(B297,Sheet1!$A$1:$B$18,2,FALSE)</f>
        <v>0</v>
      </c>
      <c r="B297" t="str">
        <f t="shared" si="4"/>
        <v>AKL</v>
      </c>
      <c r="C297" s="2">
        <v>296</v>
      </c>
      <c r="D297" s="3" t="str">
        <f>HYPERLINK("https://sitebase.nzcomms.co.nz/spm/spmnominalview/AKL-007-124/","AKL-007-124")</f>
        <v>AKL-007-124</v>
      </c>
      <c r="E297" s="4"/>
      <c r="F297" s="3" t="str">
        <f>HYPERLINK("https://sitebase.nzcomms.co.nz/spm/spmcandidateview/AKL-007-124-E/","AKL-007-124-E")</f>
        <v>AKL-007-124-E</v>
      </c>
      <c r="G297" s="4" t="s">
        <v>1044</v>
      </c>
      <c r="H297" s="4" t="s">
        <v>745</v>
      </c>
      <c r="I297" s="4"/>
      <c r="J297" s="4" t="s">
        <v>139</v>
      </c>
      <c r="K297" s="4" t="s">
        <v>141</v>
      </c>
      <c r="L297" s="4" t="s">
        <v>181</v>
      </c>
      <c r="M297" s="4" t="s">
        <v>378</v>
      </c>
      <c r="N297" s="4" t="s">
        <v>364</v>
      </c>
      <c r="O297" s="4" t="s">
        <v>144</v>
      </c>
      <c r="P297" s="4"/>
      <c r="Q297" s="4"/>
      <c r="R297" s="4">
        <v>9.6999999999999993</v>
      </c>
      <c r="S297" s="4">
        <v>9.6999999999999993</v>
      </c>
      <c r="T297" s="4"/>
      <c r="U297" s="4">
        <v>-36.85527038</v>
      </c>
      <c r="V297" s="4">
        <v>174.73094986999999</v>
      </c>
      <c r="W297" s="4"/>
      <c r="X297" s="4"/>
      <c r="Y297" s="4"/>
      <c r="Z297" s="4"/>
      <c r="AA297" s="4" t="s">
        <v>171</v>
      </c>
      <c r="AB297" s="3" t="str">
        <f>HYPERLINK("https://sitebase.nzcomms.co.nz/spm/spmcandidateview/AKL-007-112-A/","AKL-007-112-A")</f>
        <v>AKL-007-112-A</v>
      </c>
      <c r="AC297" s="4"/>
      <c r="AD297" s="4"/>
      <c r="AE297" s="4"/>
      <c r="AF297" s="4"/>
      <c r="AG297" s="4"/>
      <c r="AH297" s="4" t="s">
        <v>365</v>
      </c>
      <c r="AI297" s="4"/>
      <c r="AJ297" s="4"/>
      <c r="AK297" s="4"/>
      <c r="AL297" s="4"/>
      <c r="AM297" s="5">
        <v>39843</v>
      </c>
      <c r="AN297" s="5">
        <v>39843</v>
      </c>
      <c r="AO297" s="4">
        <v>1</v>
      </c>
      <c r="AP297" s="5">
        <v>39843</v>
      </c>
      <c r="AQ297" s="5">
        <v>39843</v>
      </c>
      <c r="AR297" s="4"/>
      <c r="AS297" s="4"/>
      <c r="AT297" s="5">
        <v>39806</v>
      </c>
      <c r="AU297" s="5">
        <v>39826</v>
      </c>
      <c r="AV297" s="4">
        <v>1</v>
      </c>
      <c r="AW297" s="5">
        <v>39885</v>
      </c>
      <c r="AX297" s="5">
        <v>39892</v>
      </c>
      <c r="AY297" s="4"/>
      <c r="AZ297" s="5">
        <v>39857</v>
      </c>
      <c r="BA297" s="4"/>
      <c r="BB297" s="5">
        <v>39927</v>
      </c>
      <c r="BC297" s="4"/>
      <c r="BD297" s="4"/>
      <c r="BE297" s="5">
        <v>39927</v>
      </c>
      <c r="BF297" s="5">
        <v>39926</v>
      </c>
      <c r="BG297" s="5">
        <v>39854</v>
      </c>
      <c r="BH297" s="5">
        <v>39860</v>
      </c>
      <c r="BI297" s="4"/>
      <c r="BJ297" s="5">
        <v>39883</v>
      </c>
      <c r="BK297" s="4">
        <v>1</v>
      </c>
      <c r="BL297" s="4">
        <v>1</v>
      </c>
      <c r="BM297" s="5">
        <v>39891</v>
      </c>
      <c r="BN297" s="5">
        <v>39883</v>
      </c>
      <c r="BO297" s="4"/>
      <c r="BP297" s="4"/>
      <c r="BQ297" s="4"/>
      <c r="BR297" s="4"/>
      <c r="BS297" s="4"/>
      <c r="BT297" s="5">
        <v>39930</v>
      </c>
      <c r="BU297" s="5">
        <v>39930</v>
      </c>
      <c r="BV297" s="5">
        <v>39955</v>
      </c>
      <c r="BW297" s="5">
        <v>39955</v>
      </c>
      <c r="BX297" s="4"/>
      <c r="BY297" s="5">
        <v>39976</v>
      </c>
      <c r="BZ297" s="5">
        <v>39976</v>
      </c>
      <c r="CA297" s="4"/>
      <c r="CB297" s="4"/>
      <c r="CC297" s="4"/>
      <c r="CD297" s="4"/>
      <c r="CE297" s="4"/>
      <c r="CF297" s="4"/>
      <c r="CG297" s="4"/>
      <c r="CH297" s="4"/>
      <c r="CI297" s="5">
        <v>39976</v>
      </c>
      <c r="CJ297" s="5">
        <v>39980</v>
      </c>
      <c r="CK297" s="5">
        <v>39976</v>
      </c>
      <c r="CL297" s="4"/>
      <c r="CM297" s="4"/>
      <c r="CN297" s="4"/>
      <c r="CO297" s="4"/>
      <c r="CP297" s="4" t="s">
        <v>1045</v>
      </c>
      <c r="CQ297" s="4"/>
      <c r="CR297" s="5">
        <v>39980</v>
      </c>
      <c r="CS297" s="4"/>
      <c r="CT297" s="4"/>
      <c r="CU297" s="4"/>
      <c r="CV297" s="4"/>
      <c r="CW297" s="4"/>
      <c r="CX297" s="4"/>
      <c r="CY297" s="4"/>
      <c r="CZ297" s="4"/>
      <c r="DA297" s="4"/>
      <c r="DB297" s="4"/>
      <c r="DC297" s="4"/>
      <c r="DD297" s="4"/>
      <c r="DE297" s="4"/>
      <c r="DF297" s="4"/>
      <c r="DG297" s="4"/>
      <c r="DH297" s="4"/>
      <c r="DI297" s="4"/>
      <c r="DJ297" s="4" t="b">
        <v>0</v>
      </c>
      <c r="DK297" s="4"/>
      <c r="DL297" s="4">
        <v>2664745</v>
      </c>
      <c r="DM297" s="4">
        <v>6481488</v>
      </c>
      <c r="DN297" s="4" t="s">
        <v>1046</v>
      </c>
      <c r="DO297" s="4"/>
      <c r="DP297" s="4"/>
      <c r="DQ297" s="4" t="s">
        <v>148</v>
      </c>
      <c r="DR297" s="4"/>
      <c r="DS297" s="4"/>
      <c r="DT297" s="5">
        <v>41806</v>
      </c>
      <c r="DU297" s="4"/>
      <c r="DV297" s="4"/>
      <c r="DW297" s="4"/>
      <c r="DX297" s="4"/>
      <c r="DY297" s="5">
        <v>39930</v>
      </c>
      <c r="DZ297" s="5">
        <v>39930</v>
      </c>
      <c r="EA297" s="4"/>
      <c r="EB297" s="4"/>
      <c r="EC297" s="4"/>
      <c r="ED297" s="4"/>
      <c r="EE297" s="4"/>
      <c r="EF297" s="4"/>
      <c r="EG297" s="4"/>
      <c r="EH297" s="4"/>
      <c r="EI297" s="5">
        <v>39828</v>
      </c>
    </row>
    <row r="298" spans="1:139" hidden="1" x14ac:dyDescent="0.2">
      <c r="A298">
        <f>VLOOKUP(B298,Sheet1!$A$1:$B$18,2,FALSE)</f>
        <v>0</v>
      </c>
      <c r="B298" t="str">
        <f t="shared" si="4"/>
        <v>AKL</v>
      </c>
      <c r="C298" s="2">
        <v>297</v>
      </c>
      <c r="D298" s="3" t="str">
        <f>HYPERLINK("https://sitebase.nzcomms.co.nz/spm/spmnominalview/AKL-007-125/","AKL-007-125")</f>
        <v>AKL-007-125</v>
      </c>
      <c r="E298" s="4" t="s">
        <v>1047</v>
      </c>
      <c r="F298" s="4"/>
      <c r="G298" s="4"/>
      <c r="H298" s="4" t="s">
        <v>745</v>
      </c>
      <c r="I298" s="4"/>
      <c r="J298" s="4" t="s">
        <v>196</v>
      </c>
      <c r="K298" s="4"/>
      <c r="L298" s="4"/>
      <c r="M298" s="4"/>
      <c r="N298" s="4"/>
      <c r="O298" s="4"/>
      <c r="P298" s="4"/>
      <c r="Q298" s="4"/>
      <c r="R298" s="4"/>
      <c r="S298" s="4"/>
      <c r="T298" s="4"/>
      <c r="U298" s="4"/>
      <c r="V298" s="4"/>
      <c r="W298" s="4"/>
      <c r="X298" s="4"/>
      <c r="Y298" s="4"/>
      <c r="Z298" s="4"/>
      <c r="AA298" s="4"/>
      <c r="AB298" s="4"/>
      <c r="AC298" s="4"/>
      <c r="AD298" s="4"/>
      <c r="AE298" s="4"/>
      <c r="AF298" s="4"/>
      <c r="AG298" s="4" t="b">
        <v>0</v>
      </c>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t="s">
        <v>1048</v>
      </c>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row>
    <row r="299" spans="1:139" hidden="1" x14ac:dyDescent="0.2">
      <c r="A299">
        <f>VLOOKUP(B299,Sheet1!$A$1:$B$18,2,FALSE)</f>
        <v>0</v>
      </c>
      <c r="B299" t="str">
        <f t="shared" si="4"/>
        <v>AKL</v>
      </c>
      <c r="C299" s="2">
        <v>298</v>
      </c>
      <c r="D299" s="3" t="str">
        <f>HYPERLINK("https://sitebase.nzcomms.co.nz/spm/spmnominalview/AKL-007-126/","AKL-007-126")</f>
        <v>AKL-007-126</v>
      </c>
      <c r="E299" s="4"/>
      <c r="F299" s="3" t="str">
        <f>HYPERLINK("https://sitebase.nzcomms.co.nz/spm/spmcandidateview/AKL-007-126-F/","AKL-007-126-F")</f>
        <v>AKL-007-126-F</v>
      </c>
      <c r="G299" s="4" t="s">
        <v>1049</v>
      </c>
      <c r="H299" s="4" t="s">
        <v>745</v>
      </c>
      <c r="I299" s="4"/>
      <c r="J299" s="4" t="s">
        <v>139</v>
      </c>
      <c r="K299" s="4" t="s">
        <v>141</v>
      </c>
      <c r="L299" s="4" t="s">
        <v>189</v>
      </c>
      <c r="M299" s="4" t="s">
        <v>463</v>
      </c>
      <c r="N299" s="4" t="s">
        <v>191</v>
      </c>
      <c r="O299" s="4" t="s">
        <v>356</v>
      </c>
      <c r="P299" s="4"/>
      <c r="Q299" s="4"/>
      <c r="R299" s="4">
        <v>9.8000000000000007</v>
      </c>
      <c r="S299" s="4">
        <v>9.8000000000000007</v>
      </c>
      <c r="T299" s="4"/>
      <c r="U299" s="4">
        <v>-36.890240009999999</v>
      </c>
      <c r="V299" s="4">
        <v>174.76139384000001</v>
      </c>
      <c r="W299" s="4"/>
      <c r="X299" s="4"/>
      <c r="Y299" s="4"/>
      <c r="Z299" s="4"/>
      <c r="AA299" s="4" t="s">
        <v>152</v>
      </c>
      <c r="AB299" s="3" t="str">
        <f>HYPERLINK("https://sitebase.nzcomms.co.nz/spm/spmcandidateview/AKL-007-106-A/","AKL-007-106-A")</f>
        <v>AKL-007-106-A</v>
      </c>
      <c r="AC299" s="4"/>
      <c r="AD299" s="4"/>
      <c r="AE299" s="4"/>
      <c r="AF299" s="4"/>
      <c r="AG299" s="4"/>
      <c r="AH299" s="4"/>
      <c r="AI299" s="4"/>
      <c r="AJ299" s="4"/>
      <c r="AK299" s="4"/>
      <c r="AL299" s="4"/>
      <c r="AM299" s="4"/>
      <c r="AN299" s="5">
        <v>39898</v>
      </c>
      <c r="AO299" s="4">
        <v>5</v>
      </c>
      <c r="AP299" s="5">
        <v>39899</v>
      </c>
      <c r="AQ299" s="5">
        <v>39979</v>
      </c>
      <c r="AR299" s="4"/>
      <c r="AS299" s="4"/>
      <c r="AT299" s="5">
        <v>39969</v>
      </c>
      <c r="AU299" s="5">
        <v>39962</v>
      </c>
      <c r="AV299" s="4"/>
      <c r="AW299" s="5">
        <v>39969</v>
      </c>
      <c r="AX299" s="5">
        <v>39972</v>
      </c>
      <c r="AY299" s="4"/>
      <c r="AZ299" s="5">
        <v>39876</v>
      </c>
      <c r="BA299" s="4"/>
      <c r="BB299" s="5">
        <v>40001</v>
      </c>
      <c r="BC299" s="4"/>
      <c r="BD299" s="4"/>
      <c r="BE299" s="5">
        <v>40001</v>
      </c>
      <c r="BF299" s="5">
        <v>39994</v>
      </c>
      <c r="BG299" s="5">
        <v>39896</v>
      </c>
      <c r="BH299" s="5">
        <v>39904</v>
      </c>
      <c r="BI299" s="4"/>
      <c r="BJ299" s="5">
        <v>39920</v>
      </c>
      <c r="BK299" s="4">
        <v>2</v>
      </c>
      <c r="BL299" s="4">
        <v>5</v>
      </c>
      <c r="BM299" s="5">
        <v>39920</v>
      </c>
      <c r="BN299" s="5">
        <v>40017</v>
      </c>
      <c r="BO299" s="5">
        <v>39981</v>
      </c>
      <c r="BP299" s="4"/>
      <c r="BQ299" s="4"/>
      <c r="BR299" s="4"/>
      <c r="BS299" s="4"/>
      <c r="BT299" s="5">
        <v>40028</v>
      </c>
      <c r="BU299" s="5">
        <v>40023</v>
      </c>
      <c r="BV299" s="5">
        <v>40040</v>
      </c>
      <c r="BW299" s="5">
        <v>40043</v>
      </c>
      <c r="BX299" s="4"/>
      <c r="BY299" s="5">
        <v>40040</v>
      </c>
      <c r="BZ299" s="5">
        <v>40043</v>
      </c>
      <c r="CA299" s="4"/>
      <c r="CB299" s="4"/>
      <c r="CC299" s="4"/>
      <c r="CD299" s="4"/>
      <c r="CE299" s="4"/>
      <c r="CF299" s="4"/>
      <c r="CG299" s="4"/>
      <c r="CH299" s="4"/>
      <c r="CI299" s="5">
        <v>40046</v>
      </c>
      <c r="CJ299" s="5">
        <v>40046</v>
      </c>
      <c r="CK299" s="5">
        <v>40046</v>
      </c>
      <c r="CL299" s="4"/>
      <c r="CM299" s="4"/>
      <c r="CN299" s="4"/>
      <c r="CO299" s="4"/>
      <c r="CP299" s="4"/>
      <c r="CQ299" s="4"/>
      <c r="CR299" s="5">
        <v>40046</v>
      </c>
      <c r="CS299" s="4"/>
      <c r="CT299" s="4"/>
      <c r="CU299" s="4"/>
      <c r="CV299" s="4"/>
      <c r="CW299" s="5">
        <v>39976</v>
      </c>
      <c r="CX299" s="5">
        <v>39981</v>
      </c>
      <c r="CY299" s="4"/>
      <c r="CZ299" s="4"/>
      <c r="DA299" s="4"/>
      <c r="DB299" s="4"/>
      <c r="DC299" s="4"/>
      <c r="DD299" s="4"/>
      <c r="DE299" s="4"/>
      <c r="DF299" s="4"/>
      <c r="DG299" s="4"/>
      <c r="DH299" s="4"/>
      <c r="DI299" s="4"/>
      <c r="DJ299" s="4" t="b">
        <v>0</v>
      </c>
      <c r="DK299" s="4"/>
      <c r="DL299" s="4">
        <v>2667380</v>
      </c>
      <c r="DM299" s="4">
        <v>6477553</v>
      </c>
      <c r="DN299" s="4" t="s">
        <v>1050</v>
      </c>
      <c r="DO299" s="4"/>
      <c r="DP299" s="4"/>
      <c r="DQ299" s="4" t="s">
        <v>148</v>
      </c>
      <c r="DR299" s="4"/>
      <c r="DS299" s="4"/>
      <c r="DT299" s="5">
        <v>41806</v>
      </c>
      <c r="DU299" s="4"/>
      <c r="DV299" s="4"/>
      <c r="DW299" s="4"/>
      <c r="DX299" s="4"/>
      <c r="DY299" s="5">
        <v>40028</v>
      </c>
      <c r="DZ299" s="5">
        <v>40023</v>
      </c>
      <c r="EA299" s="4"/>
      <c r="EB299" s="4"/>
      <c r="EC299" s="4"/>
      <c r="ED299" s="4"/>
      <c r="EE299" s="4"/>
      <c r="EF299" s="4"/>
      <c r="EG299" s="4"/>
      <c r="EH299" s="4"/>
      <c r="EI299" s="5">
        <v>39896</v>
      </c>
    </row>
    <row r="300" spans="1:139" hidden="1" x14ac:dyDescent="0.2">
      <c r="A300">
        <f>VLOOKUP(B300,Sheet1!$A$1:$B$18,2,FALSE)</f>
        <v>0</v>
      </c>
      <c r="B300" t="str">
        <f t="shared" si="4"/>
        <v>AKL</v>
      </c>
      <c r="C300" s="2">
        <v>299</v>
      </c>
      <c r="D300" s="3" t="str">
        <f>HYPERLINK("https://sitebase.nzcomms.co.nz/spm/spmnominalview/AKL-007-127/","AKL-007-127")</f>
        <v>AKL-007-127</v>
      </c>
      <c r="E300" s="4"/>
      <c r="F300" s="3" t="str">
        <f>HYPERLINK("https://sitebase.nzcomms.co.nz/spm/spmcandidateview/AKL-007-127-E/","AKL-007-127-E")</f>
        <v>AKL-007-127-E</v>
      </c>
      <c r="G300" s="4" t="s">
        <v>1051</v>
      </c>
      <c r="H300" s="4" t="s">
        <v>745</v>
      </c>
      <c r="I300" s="4"/>
      <c r="J300" s="4" t="s">
        <v>139</v>
      </c>
      <c r="K300" s="4" t="s">
        <v>141</v>
      </c>
      <c r="L300" s="4" t="s">
        <v>181</v>
      </c>
      <c r="M300" s="4" t="s">
        <v>378</v>
      </c>
      <c r="N300" s="4" t="s">
        <v>364</v>
      </c>
      <c r="O300" s="4" t="s">
        <v>144</v>
      </c>
      <c r="P300" s="4"/>
      <c r="Q300" s="4"/>
      <c r="R300" s="4">
        <v>11.2</v>
      </c>
      <c r="S300" s="4">
        <v>11.2</v>
      </c>
      <c r="T300" s="4"/>
      <c r="U300" s="4">
        <v>-36.893571170000001</v>
      </c>
      <c r="V300" s="4">
        <v>174.74509544</v>
      </c>
      <c r="W300" s="4"/>
      <c r="X300" s="4"/>
      <c r="Y300" s="4"/>
      <c r="Z300" s="4"/>
      <c r="AA300" s="4" t="s">
        <v>171</v>
      </c>
      <c r="AB300" s="3" t="str">
        <f>HYPERLINK("https://sitebase.nzcomms.co.nz/spm/spmcandidateview/AKL-007-015-C/","AKL-007-015-C")</f>
        <v>AKL-007-015-C</v>
      </c>
      <c r="AC300" s="4"/>
      <c r="AD300" s="4"/>
      <c r="AE300" s="4"/>
      <c r="AF300" s="4"/>
      <c r="AG300" s="4"/>
      <c r="AH300" s="4" t="s">
        <v>395</v>
      </c>
      <c r="AI300" s="4"/>
      <c r="AJ300" s="4"/>
      <c r="AK300" s="4"/>
      <c r="AL300" s="4"/>
      <c r="AM300" s="4"/>
      <c r="AN300" s="5">
        <v>39826</v>
      </c>
      <c r="AO300" s="4">
        <v>3</v>
      </c>
      <c r="AP300" s="5">
        <v>39885</v>
      </c>
      <c r="AQ300" s="5">
        <v>39889</v>
      </c>
      <c r="AR300" s="4"/>
      <c r="AS300" s="4"/>
      <c r="AT300" s="4"/>
      <c r="AU300" s="5">
        <v>39654</v>
      </c>
      <c r="AV300" s="4"/>
      <c r="AW300" s="5">
        <v>39969</v>
      </c>
      <c r="AX300" s="5">
        <v>39972</v>
      </c>
      <c r="AY300" s="4"/>
      <c r="AZ300" s="5">
        <v>39833</v>
      </c>
      <c r="BA300" s="4"/>
      <c r="BB300" s="5">
        <v>39918</v>
      </c>
      <c r="BC300" s="4"/>
      <c r="BD300" s="4"/>
      <c r="BE300" s="5">
        <v>39920</v>
      </c>
      <c r="BF300" s="5">
        <v>39897</v>
      </c>
      <c r="BG300" s="5">
        <v>39832</v>
      </c>
      <c r="BH300" s="5">
        <v>39836</v>
      </c>
      <c r="BI300" s="4"/>
      <c r="BJ300" s="5">
        <v>39904</v>
      </c>
      <c r="BK300" s="4">
        <v>1</v>
      </c>
      <c r="BL300" s="4">
        <v>1</v>
      </c>
      <c r="BM300" s="5">
        <v>39899</v>
      </c>
      <c r="BN300" s="5">
        <v>39904</v>
      </c>
      <c r="BO300" s="4"/>
      <c r="BP300" s="4"/>
      <c r="BQ300" s="4"/>
      <c r="BR300" s="4"/>
      <c r="BS300" s="4"/>
      <c r="BT300" s="5">
        <v>39972</v>
      </c>
      <c r="BU300" s="5">
        <v>39972</v>
      </c>
      <c r="BV300" s="5">
        <v>39990</v>
      </c>
      <c r="BW300" s="5">
        <v>39990</v>
      </c>
      <c r="BX300" s="4"/>
      <c r="BY300" s="5">
        <v>40004</v>
      </c>
      <c r="BZ300" s="5">
        <v>40009</v>
      </c>
      <c r="CA300" s="4"/>
      <c r="CB300" s="4"/>
      <c r="CC300" s="4"/>
      <c r="CD300" s="4"/>
      <c r="CE300" s="4"/>
      <c r="CF300" s="4"/>
      <c r="CG300" s="4"/>
      <c r="CH300" s="4"/>
      <c r="CI300" s="5">
        <v>40016</v>
      </c>
      <c r="CJ300" s="5">
        <v>40016</v>
      </c>
      <c r="CK300" s="5">
        <v>40016</v>
      </c>
      <c r="CL300" s="4"/>
      <c r="CM300" s="4"/>
      <c r="CN300" s="4"/>
      <c r="CO300" s="4"/>
      <c r="CP300" s="4" t="s">
        <v>1052</v>
      </c>
      <c r="CQ300" s="4"/>
      <c r="CR300" s="5">
        <v>40016</v>
      </c>
      <c r="CS300" s="4"/>
      <c r="CT300" s="4"/>
      <c r="CU300" s="4"/>
      <c r="CV300" s="4"/>
      <c r="CW300" s="4"/>
      <c r="CX300" s="4"/>
      <c r="CY300" s="4"/>
      <c r="CZ300" s="4"/>
      <c r="DA300" s="4"/>
      <c r="DB300" s="4"/>
      <c r="DC300" s="4"/>
      <c r="DD300" s="4"/>
      <c r="DE300" s="4"/>
      <c r="DF300" s="4"/>
      <c r="DG300" s="4"/>
      <c r="DH300" s="4"/>
      <c r="DI300" s="4"/>
      <c r="DJ300" s="4" t="b">
        <v>0</v>
      </c>
      <c r="DK300" s="4"/>
      <c r="DL300" s="4">
        <v>2665920</v>
      </c>
      <c r="DM300" s="4">
        <v>6477213</v>
      </c>
      <c r="DN300" s="4" t="s">
        <v>1053</v>
      </c>
      <c r="DO300" s="4"/>
      <c r="DP300" s="4"/>
      <c r="DQ300" s="4" t="s">
        <v>148</v>
      </c>
      <c r="DR300" s="4"/>
      <c r="DS300" s="4"/>
      <c r="DT300" s="5">
        <v>41806</v>
      </c>
      <c r="DU300" s="4"/>
      <c r="DV300" s="4"/>
      <c r="DW300" s="4"/>
      <c r="DX300" s="4"/>
      <c r="DY300" s="5">
        <v>39972</v>
      </c>
      <c r="DZ300" s="5">
        <v>39972</v>
      </c>
      <c r="EA300" s="4"/>
      <c r="EB300" s="4"/>
      <c r="EC300" s="4"/>
      <c r="ED300" s="4"/>
      <c r="EE300" s="4"/>
      <c r="EF300" s="4"/>
      <c r="EG300" s="4"/>
      <c r="EH300" s="4"/>
      <c r="EI300" s="5">
        <v>39644</v>
      </c>
    </row>
    <row r="301" spans="1:139" hidden="1" x14ac:dyDescent="0.2">
      <c r="A301">
        <f>VLOOKUP(B301,Sheet1!$A$1:$B$18,2,FALSE)</f>
        <v>0</v>
      </c>
      <c r="B301" t="str">
        <f t="shared" si="4"/>
        <v>AKL</v>
      </c>
      <c r="C301" s="2">
        <v>300</v>
      </c>
      <c r="D301" s="3" t="str">
        <f>HYPERLINK("https://sitebase.nzcomms.co.nz/spm/spmnominalview/AKL-007-128/","AKL-007-128")</f>
        <v>AKL-007-128</v>
      </c>
      <c r="E301" s="4"/>
      <c r="F301" s="3" t="str">
        <f>HYPERLINK("https://sitebase.nzcomms.co.nz/spm/spmcandidateview/AKL-007-128-C/","AKL-007-128-C")</f>
        <v>AKL-007-128-C</v>
      </c>
      <c r="G301" s="4" t="s">
        <v>1054</v>
      </c>
      <c r="H301" s="4" t="s">
        <v>745</v>
      </c>
      <c r="I301" s="4"/>
      <c r="J301" s="4" t="s">
        <v>139</v>
      </c>
      <c r="K301" s="4" t="s">
        <v>141</v>
      </c>
      <c r="L301" s="4" t="s">
        <v>181</v>
      </c>
      <c r="M301" s="4" t="s">
        <v>378</v>
      </c>
      <c r="N301" s="4" t="s">
        <v>364</v>
      </c>
      <c r="O301" s="4" t="s">
        <v>144</v>
      </c>
      <c r="P301" s="4"/>
      <c r="Q301" s="4"/>
      <c r="R301" s="4">
        <v>11</v>
      </c>
      <c r="S301" s="4">
        <v>11</v>
      </c>
      <c r="T301" s="4"/>
      <c r="U301" s="4">
        <v>-36.891583670000003</v>
      </c>
      <c r="V301" s="4">
        <v>174.73595617000001</v>
      </c>
      <c r="W301" s="4"/>
      <c r="X301" s="4"/>
      <c r="Y301" s="4"/>
      <c r="Z301" s="4"/>
      <c r="AA301" s="4" t="s">
        <v>171</v>
      </c>
      <c r="AB301" s="3" t="str">
        <f>HYPERLINK("https://sitebase.nzcomms.co.nz/spm/spmcandidateview/AKL-007-071-A/","AKL-007-071-A")</f>
        <v>AKL-007-071-A</v>
      </c>
      <c r="AC301" s="4"/>
      <c r="AD301" s="4"/>
      <c r="AE301" s="4"/>
      <c r="AF301" s="4"/>
      <c r="AG301" s="4"/>
      <c r="AH301" s="4" t="s">
        <v>395</v>
      </c>
      <c r="AI301" s="4"/>
      <c r="AJ301" s="4"/>
      <c r="AK301" s="4"/>
      <c r="AL301" s="4"/>
      <c r="AM301" s="4"/>
      <c r="AN301" s="5">
        <v>39707</v>
      </c>
      <c r="AO301" s="4">
        <v>3</v>
      </c>
      <c r="AP301" s="5">
        <v>39792</v>
      </c>
      <c r="AQ301" s="5">
        <v>39896</v>
      </c>
      <c r="AR301" s="4"/>
      <c r="AS301" s="4"/>
      <c r="AT301" s="4"/>
      <c r="AU301" s="5">
        <v>39654</v>
      </c>
      <c r="AV301" s="4">
        <v>2</v>
      </c>
      <c r="AW301" s="4"/>
      <c r="AX301" s="5">
        <v>39654</v>
      </c>
      <c r="AY301" s="4"/>
      <c r="AZ301" s="4"/>
      <c r="BA301" s="4"/>
      <c r="BB301" s="5">
        <v>39780</v>
      </c>
      <c r="BC301" s="4"/>
      <c r="BD301" s="4"/>
      <c r="BE301" s="5">
        <v>39780</v>
      </c>
      <c r="BF301" s="5">
        <v>39776</v>
      </c>
      <c r="BG301" s="4"/>
      <c r="BH301" s="5">
        <v>39717</v>
      </c>
      <c r="BI301" s="4"/>
      <c r="BJ301" s="5">
        <v>39742</v>
      </c>
      <c r="BK301" s="4">
        <v>3</v>
      </c>
      <c r="BL301" s="4">
        <v>3</v>
      </c>
      <c r="BM301" s="5">
        <v>39899</v>
      </c>
      <c r="BN301" s="5">
        <v>39904</v>
      </c>
      <c r="BO301" s="4"/>
      <c r="BP301" s="4"/>
      <c r="BQ301" s="4"/>
      <c r="BR301" s="4"/>
      <c r="BS301" s="4"/>
      <c r="BT301" s="4"/>
      <c r="BU301" s="5">
        <v>39790</v>
      </c>
      <c r="BV301" s="5">
        <v>39834</v>
      </c>
      <c r="BW301" s="5">
        <v>39834</v>
      </c>
      <c r="BX301" s="4"/>
      <c r="BY301" s="5">
        <v>39871</v>
      </c>
      <c r="BZ301" s="5">
        <v>39871</v>
      </c>
      <c r="CA301" s="4"/>
      <c r="CB301" s="4"/>
      <c r="CC301" s="4"/>
      <c r="CD301" s="4"/>
      <c r="CE301" s="4"/>
      <c r="CF301" s="4"/>
      <c r="CG301" s="4"/>
      <c r="CH301" s="4"/>
      <c r="CI301" s="5">
        <v>39899</v>
      </c>
      <c r="CJ301" s="5">
        <v>39903</v>
      </c>
      <c r="CK301" s="5">
        <v>39899</v>
      </c>
      <c r="CL301" s="4"/>
      <c r="CM301" s="4"/>
      <c r="CN301" s="4"/>
      <c r="CO301" s="4"/>
      <c r="CP301" s="4" t="s">
        <v>1055</v>
      </c>
      <c r="CQ301" s="4"/>
      <c r="CR301" s="5">
        <v>39903</v>
      </c>
      <c r="CS301" s="4"/>
      <c r="CT301" s="4"/>
      <c r="CU301" s="4"/>
      <c r="CV301" s="4"/>
      <c r="CW301" s="4"/>
      <c r="CX301" s="4"/>
      <c r="CY301" s="4"/>
      <c r="CZ301" s="4"/>
      <c r="DA301" s="4"/>
      <c r="DB301" s="4"/>
      <c r="DC301" s="4"/>
      <c r="DD301" s="4"/>
      <c r="DE301" s="4"/>
      <c r="DF301" s="4"/>
      <c r="DG301" s="4"/>
      <c r="DH301" s="4"/>
      <c r="DI301" s="4"/>
      <c r="DJ301" s="4" t="b">
        <v>0</v>
      </c>
      <c r="DK301" s="4"/>
      <c r="DL301" s="4">
        <v>2665110</v>
      </c>
      <c r="DM301" s="4">
        <v>6477450</v>
      </c>
      <c r="DN301" s="4" t="s">
        <v>1056</v>
      </c>
      <c r="DO301" s="4"/>
      <c r="DP301" s="4"/>
      <c r="DQ301" s="4" t="s">
        <v>148</v>
      </c>
      <c r="DR301" s="4"/>
      <c r="DS301" s="4"/>
      <c r="DT301" s="5">
        <v>41806</v>
      </c>
      <c r="DU301" s="4"/>
      <c r="DV301" s="4"/>
      <c r="DW301" s="4"/>
      <c r="DX301" s="4"/>
      <c r="DY301" s="4"/>
      <c r="DZ301" s="5">
        <v>39785</v>
      </c>
      <c r="EA301" s="4"/>
      <c r="EB301" s="4"/>
      <c r="EC301" s="4"/>
      <c r="ED301" s="4"/>
      <c r="EE301" s="4"/>
      <c r="EF301" s="4"/>
      <c r="EG301" s="4"/>
      <c r="EH301" s="4"/>
      <c r="EI301" s="5">
        <v>39651</v>
      </c>
    </row>
    <row r="302" spans="1:139" hidden="1" x14ac:dyDescent="0.2">
      <c r="A302">
        <f>VLOOKUP(B302,Sheet1!$A$1:$B$18,2,FALSE)</f>
        <v>0</v>
      </c>
      <c r="B302" t="str">
        <f t="shared" si="4"/>
        <v>AKL</v>
      </c>
      <c r="C302" s="2">
        <v>301</v>
      </c>
      <c r="D302" s="3" t="str">
        <f>HYPERLINK("https://sitebase.nzcomms.co.nz/spm/spmnominalview/AKL-007-129/","AKL-007-129")</f>
        <v>AKL-007-129</v>
      </c>
      <c r="E302" s="4"/>
      <c r="F302" s="3" t="str">
        <f>HYPERLINK("https://sitebase.nzcomms.co.nz/spm/spmcandidateview/AKL-007-129-B/","AKL-007-129-B")</f>
        <v>AKL-007-129-B</v>
      </c>
      <c r="G302" s="4" t="s">
        <v>1057</v>
      </c>
      <c r="H302" s="4" t="s">
        <v>745</v>
      </c>
      <c r="I302" s="4">
        <v>3</v>
      </c>
      <c r="J302" s="4" t="s">
        <v>139</v>
      </c>
      <c r="K302" s="4" t="s">
        <v>141</v>
      </c>
      <c r="L302" s="4" t="s">
        <v>150</v>
      </c>
      <c r="M302" s="4" t="s">
        <v>354</v>
      </c>
      <c r="N302" s="4" t="s">
        <v>156</v>
      </c>
      <c r="O302" s="4" t="s">
        <v>144</v>
      </c>
      <c r="P302" s="4"/>
      <c r="Q302" s="4"/>
      <c r="R302" s="4">
        <v>21.2</v>
      </c>
      <c r="S302" s="4">
        <v>21.2</v>
      </c>
      <c r="T302" s="4"/>
      <c r="U302" s="4">
        <v>-36.871053689999997</v>
      </c>
      <c r="V302" s="4">
        <v>174.71069327000001</v>
      </c>
      <c r="W302" s="4"/>
      <c r="X302" s="4"/>
      <c r="Y302" s="4"/>
      <c r="Z302" s="4"/>
      <c r="AA302" s="4" t="s">
        <v>171</v>
      </c>
      <c r="AB302" s="3" t="str">
        <f>HYPERLINK("https://sitebase.nzcomms.co.nz/spm/spmcandidateview/AKL-007-008-A/","AKL-007-008-A")</f>
        <v>AKL-007-008-A</v>
      </c>
      <c r="AC302" s="4" t="b">
        <v>0</v>
      </c>
      <c r="AD302" s="4" t="b">
        <v>0</v>
      </c>
      <c r="AE302" s="4"/>
      <c r="AF302" s="4"/>
      <c r="AG302" s="4" t="b">
        <v>0</v>
      </c>
      <c r="AH302" s="4"/>
      <c r="AI302" s="4"/>
      <c r="AJ302" s="4"/>
      <c r="AK302" s="4"/>
      <c r="AL302" s="4"/>
      <c r="AM302" s="4"/>
      <c r="AN302" s="5">
        <v>39902</v>
      </c>
      <c r="AO302" s="4">
        <v>4</v>
      </c>
      <c r="AP302" s="5">
        <v>39903</v>
      </c>
      <c r="AQ302" s="5">
        <v>42255</v>
      </c>
      <c r="AR302" s="4"/>
      <c r="AS302" s="4"/>
      <c r="AT302" s="5">
        <v>39906</v>
      </c>
      <c r="AU302" s="5">
        <v>39896</v>
      </c>
      <c r="AV302" s="4"/>
      <c r="AW302" s="5">
        <v>39918</v>
      </c>
      <c r="AX302" s="5">
        <v>39918</v>
      </c>
      <c r="AY302" s="4"/>
      <c r="AZ302" s="5">
        <v>39910</v>
      </c>
      <c r="BA302" s="4"/>
      <c r="BB302" s="5">
        <v>39962</v>
      </c>
      <c r="BC302" s="4"/>
      <c r="BD302" s="4"/>
      <c r="BE302" s="5">
        <v>39962</v>
      </c>
      <c r="BF302" s="5">
        <v>39967</v>
      </c>
      <c r="BG302" s="5">
        <v>39909</v>
      </c>
      <c r="BH302" s="5">
        <v>39897</v>
      </c>
      <c r="BI302" s="4"/>
      <c r="BJ302" s="5">
        <v>39924</v>
      </c>
      <c r="BK302" s="4">
        <v>1</v>
      </c>
      <c r="BL302" s="4">
        <v>1</v>
      </c>
      <c r="BM302" s="5">
        <v>39945</v>
      </c>
      <c r="BN302" s="5">
        <v>39924</v>
      </c>
      <c r="BO302" s="5">
        <v>39931</v>
      </c>
      <c r="BP302" s="4"/>
      <c r="BQ302" s="4"/>
      <c r="BR302" s="4"/>
      <c r="BS302" s="4"/>
      <c r="BT302" s="5">
        <v>39972</v>
      </c>
      <c r="BU302" s="5">
        <v>39974</v>
      </c>
      <c r="BV302" s="5">
        <v>39993</v>
      </c>
      <c r="BW302" s="5">
        <v>39994</v>
      </c>
      <c r="BX302" s="4"/>
      <c r="BY302" s="5">
        <v>39993</v>
      </c>
      <c r="BZ302" s="5">
        <v>39993</v>
      </c>
      <c r="CA302" s="4"/>
      <c r="CB302" s="4"/>
      <c r="CC302" s="4"/>
      <c r="CD302" s="4"/>
      <c r="CE302" s="4"/>
      <c r="CF302" s="4"/>
      <c r="CG302" s="4"/>
      <c r="CH302" s="4"/>
      <c r="CI302" s="5">
        <v>39994</v>
      </c>
      <c r="CJ302" s="5">
        <v>40024</v>
      </c>
      <c r="CK302" s="5">
        <v>39994</v>
      </c>
      <c r="CL302" s="4"/>
      <c r="CM302" s="4"/>
      <c r="CN302" s="4"/>
      <c r="CO302" s="4"/>
      <c r="CP302" s="4" t="s">
        <v>1058</v>
      </c>
      <c r="CQ302" s="4"/>
      <c r="CR302" s="5">
        <v>40024</v>
      </c>
      <c r="CS302" s="4"/>
      <c r="CT302" s="4"/>
      <c r="CU302" s="4"/>
      <c r="CV302" s="4"/>
      <c r="CW302" s="4"/>
      <c r="CX302" s="5">
        <v>39931</v>
      </c>
      <c r="CY302" s="4"/>
      <c r="CZ302" s="4"/>
      <c r="DA302" s="4"/>
      <c r="DB302" s="4"/>
      <c r="DC302" s="4"/>
      <c r="DD302" s="4"/>
      <c r="DE302" s="4"/>
      <c r="DF302" s="4"/>
      <c r="DG302" s="4"/>
      <c r="DH302" s="4"/>
      <c r="DI302" s="4"/>
      <c r="DJ302" s="4" t="b">
        <v>0</v>
      </c>
      <c r="DK302" s="4"/>
      <c r="DL302" s="4">
        <v>2662904</v>
      </c>
      <c r="DM302" s="4">
        <v>6479773</v>
      </c>
      <c r="DN302" s="4" t="s">
        <v>1059</v>
      </c>
      <c r="DO302" s="4"/>
      <c r="DP302" s="4"/>
      <c r="DQ302" s="4" t="s">
        <v>148</v>
      </c>
      <c r="DR302" s="4"/>
      <c r="DS302" s="4"/>
      <c r="DT302" s="5">
        <v>41806</v>
      </c>
      <c r="DU302" s="4"/>
      <c r="DV302" s="4"/>
      <c r="DW302" s="4"/>
      <c r="DX302" s="4"/>
      <c r="DY302" s="5">
        <v>39972</v>
      </c>
      <c r="DZ302" s="5">
        <v>39974</v>
      </c>
      <c r="EA302" s="4"/>
      <c r="EB302" s="4"/>
      <c r="EC302" s="4"/>
      <c r="ED302" s="4"/>
      <c r="EE302" s="4"/>
      <c r="EF302" s="4"/>
      <c r="EG302" s="4"/>
      <c r="EH302" s="4"/>
      <c r="EI302" s="5">
        <v>39888</v>
      </c>
    </row>
    <row r="303" spans="1:139" hidden="1" x14ac:dyDescent="0.2">
      <c r="A303">
        <f>VLOOKUP(B303,Sheet1!$A$1:$B$18,2,FALSE)</f>
        <v>0</v>
      </c>
      <c r="B303" t="str">
        <f t="shared" si="4"/>
        <v>AKL</v>
      </c>
      <c r="C303" s="2">
        <v>302</v>
      </c>
      <c r="D303" s="3" t="str">
        <f>HYPERLINK("https://sitebase.nzcomms.co.nz/spm/spmnominalview/AKL-007-130/","AKL-007-130")</f>
        <v>AKL-007-130</v>
      </c>
      <c r="E303" s="4" t="s">
        <v>1060</v>
      </c>
      <c r="F303" s="4"/>
      <c r="G303" s="4"/>
      <c r="H303" s="4" t="s">
        <v>745</v>
      </c>
      <c r="I303" s="4"/>
      <c r="J303" s="4" t="s">
        <v>196</v>
      </c>
      <c r="K303" s="4"/>
      <c r="L303" s="4"/>
      <c r="M303" s="4"/>
      <c r="N303" s="4"/>
      <c r="O303" s="4"/>
      <c r="P303" s="4"/>
      <c r="Q303" s="4"/>
      <c r="R303" s="4"/>
      <c r="S303" s="4"/>
      <c r="T303" s="4"/>
      <c r="U303" s="4"/>
      <c r="V303" s="4"/>
      <c r="W303" s="4"/>
      <c r="X303" s="4"/>
      <c r="Y303" s="4"/>
      <c r="Z303" s="4"/>
      <c r="AA303" s="4"/>
      <c r="AB303" s="4"/>
      <c r="AC303" s="4"/>
      <c r="AD303" s="4"/>
      <c r="AE303" s="4"/>
      <c r="AF303" s="4"/>
      <c r="AG303" s="4" t="b">
        <v>0</v>
      </c>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t="s">
        <v>1061</v>
      </c>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row>
    <row r="304" spans="1:139" hidden="1" x14ac:dyDescent="0.2">
      <c r="A304">
        <f>VLOOKUP(B304,Sheet1!$A$1:$B$18,2,FALSE)</f>
        <v>0</v>
      </c>
      <c r="B304" t="str">
        <f t="shared" si="4"/>
        <v>AKL</v>
      </c>
      <c r="C304" s="2">
        <v>303</v>
      </c>
      <c r="D304" s="3" t="str">
        <f>HYPERLINK("https://sitebase.nzcomms.co.nz/spm/spmnominalview/AKL-007-131/","AKL-007-131")</f>
        <v>AKL-007-131</v>
      </c>
      <c r="E304" s="4"/>
      <c r="F304" s="3" t="str">
        <f>HYPERLINK("https://sitebase.nzcomms.co.nz/spm/spmcandidateview/AKL-007-131-A/","AKL-007-131-A")</f>
        <v>AKL-007-131-A</v>
      </c>
      <c r="G304" s="4" t="s">
        <v>1062</v>
      </c>
      <c r="H304" s="4" t="s">
        <v>745</v>
      </c>
      <c r="I304" s="4"/>
      <c r="J304" s="4" t="s">
        <v>139</v>
      </c>
      <c r="K304" s="4" t="s">
        <v>141</v>
      </c>
      <c r="L304" s="4" t="s">
        <v>181</v>
      </c>
      <c r="M304" s="4" t="s">
        <v>378</v>
      </c>
      <c r="N304" s="4" t="s">
        <v>364</v>
      </c>
      <c r="O304" s="4" t="s">
        <v>144</v>
      </c>
      <c r="P304" s="4"/>
      <c r="Q304" s="4"/>
      <c r="R304" s="4">
        <v>15.2</v>
      </c>
      <c r="S304" s="4">
        <v>15.2</v>
      </c>
      <c r="T304" s="4"/>
      <c r="U304" s="4">
        <v>-36.849846200000002</v>
      </c>
      <c r="V304" s="4">
        <v>174.83015678999999</v>
      </c>
      <c r="W304" s="4"/>
      <c r="X304" s="4"/>
      <c r="Y304" s="4"/>
      <c r="Z304" s="4"/>
      <c r="AA304" s="4"/>
      <c r="AB304" s="4"/>
      <c r="AC304" s="4"/>
      <c r="AD304" s="4"/>
      <c r="AE304" s="4"/>
      <c r="AF304" s="4"/>
      <c r="AG304" s="4"/>
      <c r="AH304" s="4"/>
      <c r="AI304" s="4"/>
      <c r="AJ304" s="4"/>
      <c r="AK304" s="4"/>
      <c r="AL304" s="4"/>
      <c r="AM304" s="4"/>
      <c r="AN304" s="5">
        <v>39710</v>
      </c>
      <c r="AO304" s="4">
        <v>7</v>
      </c>
      <c r="AP304" s="5">
        <v>39905</v>
      </c>
      <c r="AQ304" s="5">
        <v>39911</v>
      </c>
      <c r="AR304" s="4"/>
      <c r="AS304" s="4"/>
      <c r="AT304" s="4"/>
      <c r="AU304" s="5">
        <v>39764</v>
      </c>
      <c r="AV304" s="4">
        <v>3</v>
      </c>
      <c r="AW304" s="5">
        <v>39933</v>
      </c>
      <c r="AX304" s="5">
        <v>39988</v>
      </c>
      <c r="AY304" s="4"/>
      <c r="AZ304" s="5">
        <v>39721</v>
      </c>
      <c r="BA304" s="4"/>
      <c r="BB304" s="5">
        <v>39934</v>
      </c>
      <c r="BC304" s="4"/>
      <c r="BD304" s="4"/>
      <c r="BE304" s="5">
        <v>39934</v>
      </c>
      <c r="BF304" s="5">
        <v>39937</v>
      </c>
      <c r="BG304" s="5">
        <v>39899</v>
      </c>
      <c r="BH304" s="5">
        <v>39770</v>
      </c>
      <c r="BI304" s="4"/>
      <c r="BJ304" s="5">
        <v>39785</v>
      </c>
      <c r="BK304" s="4">
        <v>2</v>
      </c>
      <c r="BL304" s="4">
        <v>6</v>
      </c>
      <c r="BM304" s="5">
        <v>39933</v>
      </c>
      <c r="BN304" s="5">
        <v>39931</v>
      </c>
      <c r="BO304" s="4"/>
      <c r="BP304" s="4"/>
      <c r="BQ304" s="4"/>
      <c r="BR304" s="4"/>
      <c r="BS304" s="4"/>
      <c r="BT304" s="5">
        <v>39937</v>
      </c>
      <c r="BU304" s="5">
        <v>39937</v>
      </c>
      <c r="BV304" s="5">
        <v>39969</v>
      </c>
      <c r="BW304" s="5">
        <v>39962</v>
      </c>
      <c r="BX304" s="4"/>
      <c r="BY304" s="5">
        <v>39983</v>
      </c>
      <c r="BZ304" s="5">
        <v>39983</v>
      </c>
      <c r="CA304" s="4"/>
      <c r="CB304" s="4"/>
      <c r="CC304" s="4"/>
      <c r="CD304" s="4"/>
      <c r="CE304" s="4"/>
      <c r="CF304" s="4"/>
      <c r="CG304" s="4"/>
      <c r="CH304" s="4"/>
      <c r="CI304" s="5">
        <v>39997</v>
      </c>
      <c r="CJ304" s="5">
        <v>40000</v>
      </c>
      <c r="CK304" s="5">
        <v>39997</v>
      </c>
      <c r="CL304" s="4"/>
      <c r="CM304" s="4"/>
      <c r="CN304" s="4"/>
      <c r="CO304" s="4"/>
      <c r="CP304" s="4" t="s">
        <v>1063</v>
      </c>
      <c r="CQ304" s="4"/>
      <c r="CR304" s="5">
        <v>40000</v>
      </c>
      <c r="CS304" s="4"/>
      <c r="CT304" s="4"/>
      <c r="CU304" s="4"/>
      <c r="CV304" s="4"/>
      <c r="CW304" s="4"/>
      <c r="CX304" s="4"/>
      <c r="CY304" s="4"/>
      <c r="CZ304" s="4"/>
      <c r="DA304" s="4"/>
      <c r="DB304" s="4"/>
      <c r="DC304" s="4"/>
      <c r="DD304" s="4"/>
      <c r="DE304" s="4"/>
      <c r="DF304" s="4"/>
      <c r="DG304" s="4"/>
      <c r="DH304" s="4"/>
      <c r="DI304" s="4"/>
      <c r="DJ304" s="4" t="b">
        <v>0</v>
      </c>
      <c r="DK304" s="4"/>
      <c r="DL304" s="4">
        <v>2673603</v>
      </c>
      <c r="DM304" s="4">
        <v>6481907</v>
      </c>
      <c r="DN304" s="4" t="s">
        <v>1064</v>
      </c>
      <c r="DO304" s="4"/>
      <c r="DP304" s="4"/>
      <c r="DQ304" s="4" t="s">
        <v>148</v>
      </c>
      <c r="DR304" s="4"/>
      <c r="DS304" s="4"/>
      <c r="DT304" s="5">
        <v>41863</v>
      </c>
      <c r="DU304" s="4"/>
      <c r="DV304" s="4"/>
      <c r="DW304" s="4"/>
      <c r="DX304" s="4"/>
      <c r="DY304" s="5">
        <v>39937</v>
      </c>
      <c r="DZ304" s="5">
        <v>39937</v>
      </c>
      <c r="EA304" s="4"/>
      <c r="EB304" s="4"/>
      <c r="EC304" s="4"/>
      <c r="ED304" s="4"/>
      <c r="EE304" s="4"/>
      <c r="EF304" s="4"/>
      <c r="EG304" s="4"/>
      <c r="EH304" s="4"/>
      <c r="EI304" s="5">
        <v>39679</v>
      </c>
    </row>
    <row r="305" spans="1:139" hidden="1" x14ac:dyDescent="0.2">
      <c r="A305">
        <f>VLOOKUP(B305,Sheet1!$A$1:$B$18,2,FALSE)</f>
        <v>0</v>
      </c>
      <c r="B305" t="str">
        <f t="shared" si="4"/>
        <v>AKL</v>
      </c>
      <c r="C305" s="2">
        <v>304</v>
      </c>
      <c r="D305" s="3" t="str">
        <f>HYPERLINK("https://sitebase.nzcomms.co.nz/spm/spmnominalview/AKL-007-132/","AKL-007-132")</f>
        <v>AKL-007-132</v>
      </c>
      <c r="E305" s="4"/>
      <c r="F305" s="3" t="str">
        <f>HYPERLINK("https://sitebase.nzcomms.co.nz/spm/spmcandidateview/AKL-007-132-C/","AKL-007-132-C")</f>
        <v>AKL-007-132-C</v>
      </c>
      <c r="G305" s="4" t="s">
        <v>1065</v>
      </c>
      <c r="H305" s="4" t="s">
        <v>745</v>
      </c>
      <c r="I305" s="4"/>
      <c r="J305" s="4" t="s">
        <v>139</v>
      </c>
      <c r="K305" s="4" t="s">
        <v>141</v>
      </c>
      <c r="L305" s="4" t="s">
        <v>189</v>
      </c>
      <c r="M305" s="4" t="s">
        <v>463</v>
      </c>
      <c r="N305" s="4" t="s">
        <v>191</v>
      </c>
      <c r="O305" s="4" t="s">
        <v>356</v>
      </c>
      <c r="P305" s="4"/>
      <c r="Q305" s="4"/>
      <c r="R305" s="4"/>
      <c r="S305" s="4">
        <v>15</v>
      </c>
      <c r="T305" s="4"/>
      <c r="U305" s="4">
        <v>-36.907423369999997</v>
      </c>
      <c r="V305" s="4">
        <v>174.71390768000001</v>
      </c>
      <c r="W305" s="4"/>
      <c r="X305" s="4"/>
      <c r="Y305" s="4"/>
      <c r="Z305" s="4"/>
      <c r="AA305" s="4"/>
      <c r="AB305" s="4"/>
      <c r="AC305" s="4"/>
      <c r="AD305" s="4"/>
      <c r="AE305" s="4"/>
      <c r="AF305" s="4"/>
      <c r="AG305" s="4"/>
      <c r="AH305" s="4"/>
      <c r="AI305" s="5">
        <v>40107</v>
      </c>
      <c r="AJ305" s="5">
        <v>40107</v>
      </c>
      <c r="AK305" s="4"/>
      <c r="AL305" s="4"/>
      <c r="AM305" s="4"/>
      <c r="AN305" s="5">
        <v>40115</v>
      </c>
      <c r="AO305" s="4">
        <v>1</v>
      </c>
      <c r="AP305" s="5">
        <v>40116</v>
      </c>
      <c r="AQ305" s="5">
        <v>40115</v>
      </c>
      <c r="AR305" s="4"/>
      <c r="AS305" s="4"/>
      <c r="AT305" s="5">
        <v>40158</v>
      </c>
      <c r="AU305" s="5">
        <v>40161</v>
      </c>
      <c r="AV305" s="4"/>
      <c r="AW305" s="5">
        <v>40214</v>
      </c>
      <c r="AX305" s="4"/>
      <c r="AY305" s="4"/>
      <c r="AZ305" s="5">
        <v>40121</v>
      </c>
      <c r="BA305" s="4"/>
      <c r="BB305" s="5">
        <v>40121</v>
      </c>
      <c r="BC305" s="4"/>
      <c r="BD305" s="4"/>
      <c r="BE305" s="5">
        <v>40121</v>
      </c>
      <c r="BF305" s="5">
        <v>40121</v>
      </c>
      <c r="BG305" s="5">
        <v>40133</v>
      </c>
      <c r="BH305" s="5">
        <v>40127</v>
      </c>
      <c r="BI305" s="4"/>
      <c r="BJ305" s="5">
        <v>40147</v>
      </c>
      <c r="BK305" s="4">
        <v>1</v>
      </c>
      <c r="BL305" s="4">
        <v>1</v>
      </c>
      <c r="BM305" s="5">
        <v>40147</v>
      </c>
      <c r="BN305" s="5">
        <v>40147</v>
      </c>
      <c r="BO305" s="5">
        <v>40141</v>
      </c>
      <c r="BP305" s="4"/>
      <c r="BQ305" s="4"/>
      <c r="BR305" s="4"/>
      <c r="BS305" s="4"/>
      <c r="BT305" s="5">
        <v>40196</v>
      </c>
      <c r="BU305" s="5">
        <v>40196</v>
      </c>
      <c r="BV305" s="5">
        <v>40214</v>
      </c>
      <c r="BW305" s="5">
        <v>40213</v>
      </c>
      <c r="BX305" s="4"/>
      <c r="BY305" s="5">
        <v>40214</v>
      </c>
      <c r="BZ305" s="5">
        <v>40213</v>
      </c>
      <c r="CA305" s="4"/>
      <c r="CB305" s="4"/>
      <c r="CC305" s="4"/>
      <c r="CD305" s="4"/>
      <c r="CE305" s="4"/>
      <c r="CF305" s="4"/>
      <c r="CG305" s="4"/>
      <c r="CH305" s="4"/>
      <c r="CI305" s="5">
        <v>40218</v>
      </c>
      <c r="CJ305" s="5">
        <v>40219</v>
      </c>
      <c r="CK305" s="5">
        <v>40218</v>
      </c>
      <c r="CL305" s="4"/>
      <c r="CM305" s="4"/>
      <c r="CN305" s="4"/>
      <c r="CO305" s="4"/>
      <c r="CP305" s="4" t="s">
        <v>1066</v>
      </c>
      <c r="CQ305" s="4"/>
      <c r="CR305" s="5">
        <v>40219</v>
      </c>
      <c r="CS305" s="4"/>
      <c r="CT305" s="4"/>
      <c r="CU305" s="4"/>
      <c r="CV305" s="4"/>
      <c r="CW305" s="5">
        <v>40147</v>
      </c>
      <c r="CX305" s="5">
        <v>40141</v>
      </c>
      <c r="CY305" s="4"/>
      <c r="CZ305" s="4"/>
      <c r="DA305" s="4"/>
      <c r="DB305" s="4"/>
      <c r="DC305" s="4"/>
      <c r="DD305" s="4"/>
      <c r="DE305" s="4"/>
      <c r="DF305" s="4"/>
      <c r="DG305" s="4"/>
      <c r="DH305" s="4"/>
      <c r="DI305" s="4"/>
      <c r="DJ305" s="4" t="b">
        <v>0</v>
      </c>
      <c r="DK305" s="4"/>
      <c r="DL305" s="4">
        <v>2663110</v>
      </c>
      <c r="DM305" s="4">
        <v>6475732</v>
      </c>
      <c r="DN305" s="4" t="s">
        <v>1067</v>
      </c>
      <c r="DO305" s="4"/>
      <c r="DP305" s="4"/>
      <c r="DQ305" s="4" t="s">
        <v>148</v>
      </c>
      <c r="DR305" s="4"/>
      <c r="DS305" s="4"/>
      <c r="DT305" s="5">
        <v>41806</v>
      </c>
      <c r="DU305" s="4"/>
      <c r="DV305" s="4"/>
      <c r="DW305" s="4"/>
      <c r="DX305" s="4"/>
      <c r="DY305" s="5">
        <v>40196</v>
      </c>
      <c r="DZ305" s="5">
        <v>40196</v>
      </c>
      <c r="EA305" s="4"/>
      <c r="EB305" s="4"/>
      <c r="EC305" s="4"/>
      <c r="ED305" s="4"/>
      <c r="EE305" s="4"/>
      <c r="EF305" s="4"/>
      <c r="EG305" s="4"/>
      <c r="EH305" s="4"/>
      <c r="EI305" s="5">
        <v>40107</v>
      </c>
    </row>
    <row r="306" spans="1:139" hidden="1" x14ac:dyDescent="0.2">
      <c r="A306">
        <f>VLOOKUP(B306,Sheet1!$A$1:$B$18,2,FALSE)</f>
        <v>0</v>
      </c>
      <c r="B306" t="str">
        <f t="shared" si="4"/>
        <v>AKL</v>
      </c>
      <c r="C306" s="2">
        <v>305</v>
      </c>
      <c r="D306" s="3" t="str">
        <f>HYPERLINK("https://sitebase.nzcomms.co.nz/spm/spmnominalview/AKL-007-133/","AKL-007-133")</f>
        <v>AKL-007-133</v>
      </c>
      <c r="E306" s="4"/>
      <c r="F306" s="3" t="str">
        <f>HYPERLINK("https://sitebase.nzcomms.co.nz/spm/spmcandidateview/AKL-007-133-A/","AKL-007-133-A")</f>
        <v>AKL-007-133-A</v>
      </c>
      <c r="G306" s="4" t="s">
        <v>1068</v>
      </c>
      <c r="H306" s="4" t="s">
        <v>745</v>
      </c>
      <c r="I306" s="4"/>
      <c r="J306" s="4" t="s">
        <v>139</v>
      </c>
      <c r="K306" s="4" t="s">
        <v>141</v>
      </c>
      <c r="L306" s="4" t="s">
        <v>181</v>
      </c>
      <c r="M306" s="4" t="s">
        <v>378</v>
      </c>
      <c r="N306" s="4" t="s">
        <v>364</v>
      </c>
      <c r="O306" s="4" t="s">
        <v>356</v>
      </c>
      <c r="P306" s="4"/>
      <c r="Q306" s="4"/>
      <c r="R306" s="4">
        <v>16.7</v>
      </c>
      <c r="S306" s="4">
        <v>16.7</v>
      </c>
      <c r="T306" s="4"/>
      <c r="U306" s="4">
        <v>-36.895072599999999</v>
      </c>
      <c r="V306" s="4">
        <v>174.69261666</v>
      </c>
      <c r="W306" s="4"/>
      <c r="X306" s="4"/>
      <c r="Y306" s="4"/>
      <c r="Z306" s="4"/>
      <c r="AA306" s="4"/>
      <c r="AB306" s="4"/>
      <c r="AC306" s="4"/>
      <c r="AD306" s="4"/>
      <c r="AE306" s="4"/>
      <c r="AF306" s="4"/>
      <c r="AG306" s="4"/>
      <c r="AH306" s="4"/>
      <c r="AI306" s="4"/>
      <c r="AJ306" s="4"/>
      <c r="AK306" s="4"/>
      <c r="AL306" s="4"/>
      <c r="AM306" s="4"/>
      <c r="AN306" s="5">
        <v>39787</v>
      </c>
      <c r="AO306" s="4">
        <v>5</v>
      </c>
      <c r="AP306" s="5">
        <v>39843</v>
      </c>
      <c r="AQ306" s="5">
        <v>39898</v>
      </c>
      <c r="AR306" s="4"/>
      <c r="AS306" s="4"/>
      <c r="AT306" s="5">
        <v>39931</v>
      </c>
      <c r="AU306" s="5">
        <v>39938</v>
      </c>
      <c r="AV306" s="4">
        <v>5</v>
      </c>
      <c r="AW306" s="5">
        <v>39933</v>
      </c>
      <c r="AX306" s="5">
        <v>39988</v>
      </c>
      <c r="AY306" s="4"/>
      <c r="AZ306" s="5">
        <v>39806</v>
      </c>
      <c r="BA306" s="4"/>
      <c r="BB306" s="5">
        <v>39933</v>
      </c>
      <c r="BC306" s="4"/>
      <c r="BD306" s="4"/>
      <c r="BE306" s="5">
        <v>39933</v>
      </c>
      <c r="BF306" s="5">
        <v>39937</v>
      </c>
      <c r="BG306" s="5">
        <v>39821</v>
      </c>
      <c r="BH306" s="5">
        <v>39806</v>
      </c>
      <c r="BI306" s="4"/>
      <c r="BJ306" s="5">
        <v>39843</v>
      </c>
      <c r="BK306" s="4">
        <v>3</v>
      </c>
      <c r="BL306" s="4">
        <v>5</v>
      </c>
      <c r="BM306" s="5">
        <v>39912</v>
      </c>
      <c r="BN306" s="5">
        <v>39904</v>
      </c>
      <c r="BO306" s="4"/>
      <c r="BP306" s="4"/>
      <c r="BQ306" s="4"/>
      <c r="BR306" s="4"/>
      <c r="BS306" s="4"/>
      <c r="BT306" s="5">
        <v>39944</v>
      </c>
      <c r="BU306" s="5">
        <v>39944</v>
      </c>
      <c r="BV306" s="5">
        <v>39962</v>
      </c>
      <c r="BW306" s="5">
        <v>39962</v>
      </c>
      <c r="BX306" s="4"/>
      <c r="BY306" s="5">
        <v>39983</v>
      </c>
      <c r="BZ306" s="5">
        <v>39983</v>
      </c>
      <c r="CA306" s="4"/>
      <c r="CB306" s="4"/>
      <c r="CC306" s="4"/>
      <c r="CD306" s="4"/>
      <c r="CE306" s="4"/>
      <c r="CF306" s="4"/>
      <c r="CG306" s="4"/>
      <c r="CH306" s="4"/>
      <c r="CI306" s="5">
        <v>39992</v>
      </c>
      <c r="CJ306" s="5">
        <v>39994</v>
      </c>
      <c r="CK306" s="5">
        <v>39992</v>
      </c>
      <c r="CL306" s="4"/>
      <c r="CM306" s="4"/>
      <c r="CN306" s="4"/>
      <c r="CO306" s="4"/>
      <c r="CP306" s="4" t="s">
        <v>157</v>
      </c>
      <c r="CQ306" s="4"/>
      <c r="CR306" s="5">
        <v>39994</v>
      </c>
      <c r="CS306" s="4"/>
      <c r="CT306" s="4"/>
      <c r="CU306" s="4"/>
      <c r="CV306" s="4"/>
      <c r="CW306" s="4"/>
      <c r="CX306" s="4"/>
      <c r="CY306" s="4"/>
      <c r="CZ306" s="4"/>
      <c r="DA306" s="4"/>
      <c r="DB306" s="4"/>
      <c r="DC306" s="4"/>
      <c r="DD306" s="4"/>
      <c r="DE306" s="4"/>
      <c r="DF306" s="4"/>
      <c r="DG306" s="4"/>
      <c r="DH306" s="4"/>
      <c r="DI306" s="4"/>
      <c r="DJ306" s="4" t="b">
        <v>0</v>
      </c>
      <c r="DK306" s="4"/>
      <c r="DL306" s="4">
        <v>2661240</v>
      </c>
      <c r="DM306" s="4">
        <v>6477140</v>
      </c>
      <c r="DN306" s="4" t="s">
        <v>1069</v>
      </c>
      <c r="DO306" s="4"/>
      <c r="DP306" s="4"/>
      <c r="DQ306" s="4" t="s">
        <v>148</v>
      </c>
      <c r="DR306" s="4"/>
      <c r="DS306" s="4"/>
      <c r="DT306" s="5">
        <v>41806</v>
      </c>
      <c r="DU306" s="4"/>
      <c r="DV306" s="4"/>
      <c r="DW306" s="4"/>
      <c r="DX306" s="4"/>
      <c r="DY306" s="5">
        <v>39940</v>
      </c>
      <c r="DZ306" s="5">
        <v>39940</v>
      </c>
      <c r="EA306" s="4"/>
      <c r="EB306" s="4"/>
      <c r="EC306" s="4"/>
      <c r="ED306" s="4"/>
      <c r="EE306" s="4"/>
      <c r="EF306" s="4"/>
      <c r="EG306" s="4"/>
      <c r="EH306" s="4"/>
      <c r="EI306" s="5">
        <v>39700</v>
      </c>
    </row>
    <row r="307" spans="1:139" hidden="1" x14ac:dyDescent="0.2">
      <c r="A307">
        <f>VLOOKUP(B307,Sheet1!$A$1:$B$18,2,FALSE)</f>
        <v>0</v>
      </c>
      <c r="B307" t="str">
        <f t="shared" si="4"/>
        <v>AKL</v>
      </c>
      <c r="C307" s="2">
        <v>306</v>
      </c>
      <c r="D307" s="3" t="str">
        <f>HYPERLINK("https://sitebase.nzcomms.co.nz/spm/spmnominalview/AKL-007-134/","AKL-007-134")</f>
        <v>AKL-007-134</v>
      </c>
      <c r="E307" s="4"/>
      <c r="F307" s="3" t="str">
        <f>HYPERLINK("https://sitebase.nzcomms.co.nz/spm/spmcandidateview/AKL-007-134-A/","AKL-007-134-A")</f>
        <v>AKL-007-134-A</v>
      </c>
      <c r="G307" s="4" t="s">
        <v>1070</v>
      </c>
      <c r="H307" s="4" t="s">
        <v>745</v>
      </c>
      <c r="I307" s="4"/>
      <c r="J307" s="4" t="s">
        <v>139</v>
      </c>
      <c r="K307" s="4" t="s">
        <v>141</v>
      </c>
      <c r="L307" s="4" t="s">
        <v>325</v>
      </c>
      <c r="M307" s="4" t="s">
        <v>354</v>
      </c>
      <c r="N307" s="4" t="s">
        <v>364</v>
      </c>
      <c r="O307" s="4" t="s">
        <v>356</v>
      </c>
      <c r="P307" s="4"/>
      <c r="Q307" s="4"/>
      <c r="R307" s="4">
        <v>6</v>
      </c>
      <c r="S307" s="4">
        <v>6</v>
      </c>
      <c r="T307" s="4"/>
      <c r="U307" s="4">
        <v>-36.868873370000003</v>
      </c>
      <c r="V307" s="4">
        <v>174.74633385999999</v>
      </c>
      <c r="W307" s="4"/>
      <c r="X307" s="4"/>
      <c r="Y307" s="4"/>
      <c r="Z307" s="4"/>
      <c r="AA307" s="4" t="s">
        <v>446</v>
      </c>
      <c r="AB307" s="4" t="s">
        <v>1071</v>
      </c>
      <c r="AC307" s="4"/>
      <c r="AD307" s="4"/>
      <c r="AE307" s="4"/>
      <c r="AF307" s="4"/>
      <c r="AG307" s="4"/>
      <c r="AH307" s="4"/>
      <c r="AI307" s="4"/>
      <c r="AJ307" s="4"/>
      <c r="AK307" s="4"/>
      <c r="AL307" s="4"/>
      <c r="AM307" s="4"/>
      <c r="AN307" s="5">
        <v>39728</v>
      </c>
      <c r="AO307" s="4">
        <v>4</v>
      </c>
      <c r="AP307" s="5">
        <v>39860</v>
      </c>
      <c r="AQ307" s="5">
        <v>39860</v>
      </c>
      <c r="AR307" s="4"/>
      <c r="AS307" s="4"/>
      <c r="AT307" s="5">
        <v>39884</v>
      </c>
      <c r="AU307" s="5">
        <v>39855</v>
      </c>
      <c r="AV307" s="4">
        <v>4</v>
      </c>
      <c r="AW307" s="5">
        <v>39903</v>
      </c>
      <c r="AX307" s="5">
        <v>39912</v>
      </c>
      <c r="AY307" s="4"/>
      <c r="AZ307" s="4"/>
      <c r="BA307" s="4"/>
      <c r="BB307" s="5">
        <v>39913</v>
      </c>
      <c r="BC307" s="4"/>
      <c r="BD307" s="4"/>
      <c r="BE307" s="5">
        <v>39913</v>
      </c>
      <c r="BF307" s="5">
        <v>39911</v>
      </c>
      <c r="BG307" s="5">
        <v>39857</v>
      </c>
      <c r="BH307" s="5">
        <v>39860</v>
      </c>
      <c r="BI307" s="4"/>
      <c r="BJ307" s="5">
        <v>39888</v>
      </c>
      <c r="BK307" s="4">
        <v>1</v>
      </c>
      <c r="BL307" s="4">
        <v>3</v>
      </c>
      <c r="BM307" s="5">
        <v>39892</v>
      </c>
      <c r="BN307" s="5">
        <v>39888</v>
      </c>
      <c r="BO307" s="4"/>
      <c r="BP307" s="4"/>
      <c r="BQ307" s="4"/>
      <c r="BR307" s="4"/>
      <c r="BS307" s="4"/>
      <c r="BT307" s="5">
        <v>39919</v>
      </c>
      <c r="BU307" s="5">
        <v>39919</v>
      </c>
      <c r="BV307" s="5">
        <v>39941</v>
      </c>
      <c r="BW307" s="5">
        <v>39932</v>
      </c>
      <c r="BX307" s="4"/>
      <c r="BY307" s="5">
        <v>39955</v>
      </c>
      <c r="BZ307" s="5">
        <v>39955</v>
      </c>
      <c r="CA307" s="4"/>
      <c r="CB307" s="4"/>
      <c r="CC307" s="4"/>
      <c r="CD307" s="4"/>
      <c r="CE307" s="4"/>
      <c r="CF307" s="4"/>
      <c r="CG307" s="4"/>
      <c r="CH307" s="4"/>
      <c r="CI307" s="5">
        <v>39955</v>
      </c>
      <c r="CJ307" s="5">
        <v>39962</v>
      </c>
      <c r="CK307" s="5">
        <v>39955</v>
      </c>
      <c r="CL307" s="4"/>
      <c r="CM307" s="4"/>
      <c r="CN307" s="4"/>
      <c r="CO307" s="4"/>
      <c r="CP307" s="4" t="s">
        <v>1072</v>
      </c>
      <c r="CQ307" s="4"/>
      <c r="CR307" s="5">
        <v>39962</v>
      </c>
      <c r="CS307" s="4"/>
      <c r="CT307" s="4"/>
      <c r="CU307" s="4"/>
      <c r="CV307" s="4"/>
      <c r="CW307" s="4"/>
      <c r="CX307" s="4"/>
      <c r="CY307" s="4"/>
      <c r="CZ307" s="4"/>
      <c r="DA307" s="4"/>
      <c r="DB307" s="4"/>
      <c r="DC307" s="4"/>
      <c r="DD307" s="4"/>
      <c r="DE307" s="4"/>
      <c r="DF307" s="4"/>
      <c r="DG307" s="4"/>
      <c r="DH307" s="4"/>
      <c r="DI307" s="4"/>
      <c r="DJ307" s="4" t="b">
        <v>0</v>
      </c>
      <c r="DK307" s="4"/>
      <c r="DL307" s="4">
        <v>2666086</v>
      </c>
      <c r="DM307" s="4">
        <v>6479951</v>
      </c>
      <c r="DN307" s="4" t="s">
        <v>1073</v>
      </c>
      <c r="DO307" s="4"/>
      <c r="DP307" s="4"/>
      <c r="DQ307" s="4" t="s">
        <v>148</v>
      </c>
      <c r="DR307" s="4"/>
      <c r="DS307" s="4"/>
      <c r="DT307" s="5">
        <v>41806</v>
      </c>
      <c r="DU307" s="4"/>
      <c r="DV307" s="4"/>
      <c r="DW307" s="4"/>
      <c r="DX307" s="4"/>
      <c r="DY307" s="5">
        <v>39917</v>
      </c>
      <c r="DZ307" s="5">
        <v>39917</v>
      </c>
      <c r="EA307" s="4"/>
      <c r="EB307" s="4"/>
      <c r="EC307" s="4"/>
      <c r="ED307" s="4"/>
      <c r="EE307" s="4"/>
      <c r="EF307" s="4"/>
      <c r="EG307" s="4"/>
      <c r="EH307" s="4"/>
      <c r="EI307" s="5">
        <v>39707</v>
      </c>
    </row>
    <row r="308" spans="1:139" hidden="1" x14ac:dyDescent="0.2">
      <c r="A308">
        <f>VLOOKUP(B308,Sheet1!$A$1:$B$18,2,FALSE)</f>
        <v>0</v>
      </c>
      <c r="B308" t="str">
        <f t="shared" si="4"/>
        <v>AKL</v>
      </c>
      <c r="C308" s="2">
        <v>307</v>
      </c>
      <c r="D308" s="3" t="str">
        <f>HYPERLINK("https://sitebase.nzcomms.co.nz/spm/spmnominalview/AKL-007-135/","AKL-007-135")</f>
        <v>AKL-007-135</v>
      </c>
      <c r="E308" s="4"/>
      <c r="F308" s="3" t="str">
        <f>HYPERLINK("https://sitebase.nzcomms.co.nz/spm/spmcandidateview/AKL-007-135-G/","AKL-007-135-G")</f>
        <v>AKL-007-135-G</v>
      </c>
      <c r="G308" s="4" t="s">
        <v>1074</v>
      </c>
      <c r="H308" s="4" t="s">
        <v>745</v>
      </c>
      <c r="I308" s="4"/>
      <c r="J308" s="4" t="s">
        <v>139</v>
      </c>
      <c r="K308" s="4" t="s">
        <v>141</v>
      </c>
      <c r="L308" s="4" t="s">
        <v>181</v>
      </c>
      <c r="M308" s="4" t="s">
        <v>571</v>
      </c>
      <c r="N308" s="4" t="s">
        <v>364</v>
      </c>
      <c r="O308" s="4" t="s">
        <v>144</v>
      </c>
      <c r="P308" s="4"/>
      <c r="Q308" s="4"/>
      <c r="R308" s="4">
        <v>12.7</v>
      </c>
      <c r="S308" s="4">
        <v>12.7</v>
      </c>
      <c r="T308" s="4"/>
      <c r="U308" s="4">
        <v>-36.878393670000001</v>
      </c>
      <c r="V308" s="4">
        <v>174.7500412</v>
      </c>
      <c r="W308" s="4"/>
      <c r="X308" s="4"/>
      <c r="Y308" s="4"/>
      <c r="Z308" s="4"/>
      <c r="AA308" s="4" t="s">
        <v>171</v>
      </c>
      <c r="AB308" s="3" t="str">
        <f>HYPERLINK("https://sitebase.nzcomms.co.nz/spm/spmcandidateview/AKL-007-015-C/","AKL-007-015-C")</f>
        <v>AKL-007-015-C</v>
      </c>
      <c r="AC308" s="4"/>
      <c r="AD308" s="4"/>
      <c r="AE308" s="4"/>
      <c r="AF308" s="4"/>
      <c r="AG308" s="4"/>
      <c r="AH308" s="4"/>
      <c r="AI308" s="4"/>
      <c r="AJ308" s="4"/>
      <c r="AK308" s="4"/>
      <c r="AL308" s="4"/>
      <c r="AM308" s="4"/>
      <c r="AN308" s="5">
        <v>39947</v>
      </c>
      <c r="AO308" s="4">
        <v>2</v>
      </c>
      <c r="AP308" s="5">
        <v>39954</v>
      </c>
      <c r="AQ308" s="5">
        <v>39954</v>
      </c>
      <c r="AR308" s="4"/>
      <c r="AS308" s="4"/>
      <c r="AT308" s="5">
        <v>39965</v>
      </c>
      <c r="AU308" s="5">
        <v>39959</v>
      </c>
      <c r="AV308" s="4">
        <v>1</v>
      </c>
      <c r="AW308" s="5">
        <v>39965</v>
      </c>
      <c r="AX308" s="5">
        <v>39959</v>
      </c>
      <c r="AY308" s="4" t="s">
        <v>183</v>
      </c>
      <c r="AZ308" s="5">
        <v>39955</v>
      </c>
      <c r="BA308" s="5">
        <v>41061</v>
      </c>
      <c r="BB308" s="5">
        <v>39990</v>
      </c>
      <c r="BC308" s="4"/>
      <c r="BD308" s="4">
        <v>2</v>
      </c>
      <c r="BE308" s="5">
        <v>39990</v>
      </c>
      <c r="BF308" s="5">
        <v>39988</v>
      </c>
      <c r="BG308" s="5">
        <v>39954</v>
      </c>
      <c r="BH308" s="5">
        <v>39958</v>
      </c>
      <c r="BI308" s="4"/>
      <c r="BJ308" s="5">
        <v>39980</v>
      </c>
      <c r="BK308" s="4">
        <v>1</v>
      </c>
      <c r="BL308" s="4">
        <v>2</v>
      </c>
      <c r="BM308" s="5">
        <v>39979</v>
      </c>
      <c r="BN308" s="5">
        <v>39980</v>
      </c>
      <c r="BO308" s="4"/>
      <c r="BP308" s="4"/>
      <c r="BQ308" s="4"/>
      <c r="BR308" s="4"/>
      <c r="BS308" s="4"/>
      <c r="BT308" s="5">
        <v>39993</v>
      </c>
      <c r="BU308" s="5">
        <v>39989</v>
      </c>
      <c r="BV308" s="5">
        <v>40039</v>
      </c>
      <c r="BW308" s="5">
        <v>40039</v>
      </c>
      <c r="BX308" s="4"/>
      <c r="BY308" s="5">
        <v>40046</v>
      </c>
      <c r="BZ308" s="5">
        <v>40046</v>
      </c>
      <c r="CA308" s="4"/>
      <c r="CB308" s="4"/>
      <c r="CC308" s="4"/>
      <c r="CD308" s="4"/>
      <c r="CE308" s="4"/>
      <c r="CF308" s="4"/>
      <c r="CG308" s="4"/>
      <c r="CH308" s="4"/>
      <c r="CI308" s="5">
        <v>40050</v>
      </c>
      <c r="CJ308" s="5">
        <v>40050</v>
      </c>
      <c r="CK308" s="5">
        <v>40050</v>
      </c>
      <c r="CL308" s="4"/>
      <c r="CM308" s="4"/>
      <c r="CN308" s="4"/>
      <c r="CO308" s="4"/>
      <c r="CP308" s="4" t="s">
        <v>1075</v>
      </c>
      <c r="CQ308" s="4"/>
      <c r="CR308" s="5">
        <v>40050</v>
      </c>
      <c r="CS308" s="4"/>
      <c r="CT308" s="4"/>
      <c r="CU308" s="4"/>
      <c r="CV308" s="4"/>
      <c r="CW308" s="4"/>
      <c r="CX308" s="4"/>
      <c r="CY308" s="4"/>
      <c r="CZ308" s="4"/>
      <c r="DA308" s="4"/>
      <c r="DB308" s="4"/>
      <c r="DC308" s="4"/>
      <c r="DD308" s="4"/>
      <c r="DE308" s="4"/>
      <c r="DF308" s="4"/>
      <c r="DG308" s="4"/>
      <c r="DH308" s="4"/>
      <c r="DI308" s="4"/>
      <c r="DJ308" s="4" t="b">
        <v>0</v>
      </c>
      <c r="DK308" s="4"/>
      <c r="DL308" s="4">
        <v>2666395</v>
      </c>
      <c r="DM308" s="4">
        <v>6478888</v>
      </c>
      <c r="DN308" s="4" t="s">
        <v>1076</v>
      </c>
      <c r="DO308" s="4"/>
      <c r="DP308" s="4" t="s">
        <v>1077</v>
      </c>
      <c r="DQ308" s="4" t="s">
        <v>148</v>
      </c>
      <c r="DR308" s="4"/>
      <c r="DS308" s="4"/>
      <c r="DT308" s="5">
        <v>41806</v>
      </c>
      <c r="DU308" s="4"/>
      <c r="DV308" s="4"/>
      <c r="DW308" s="4"/>
      <c r="DX308" s="4"/>
      <c r="DY308" s="5">
        <v>39993</v>
      </c>
      <c r="DZ308" s="5">
        <v>39989</v>
      </c>
      <c r="EA308" s="4"/>
      <c r="EB308" s="4"/>
      <c r="EC308" s="4"/>
      <c r="ED308" s="4"/>
      <c r="EE308" s="4"/>
      <c r="EF308" s="4"/>
      <c r="EG308" s="4"/>
      <c r="EH308" s="4"/>
      <c r="EI308" s="5">
        <v>39945</v>
      </c>
    </row>
    <row r="309" spans="1:139" hidden="1" x14ac:dyDescent="0.2">
      <c r="A309">
        <f>VLOOKUP(B309,Sheet1!$A$1:$B$18,2,FALSE)</f>
        <v>0</v>
      </c>
      <c r="B309" t="str">
        <f t="shared" si="4"/>
        <v>AKL</v>
      </c>
      <c r="C309" s="2">
        <v>308</v>
      </c>
      <c r="D309" s="3" t="str">
        <f>HYPERLINK("https://sitebase.nzcomms.co.nz/spm/spmnominalview/AKL-007-136/","AKL-007-136")</f>
        <v>AKL-007-136</v>
      </c>
      <c r="E309" s="4"/>
      <c r="F309" s="3" t="str">
        <f>HYPERLINK("https://sitebase.nzcomms.co.nz/spm/spmcandidateview/AKL-007-136-E/","AKL-007-136-E")</f>
        <v>AKL-007-136-E</v>
      </c>
      <c r="G309" s="4" t="s">
        <v>1078</v>
      </c>
      <c r="H309" s="4" t="s">
        <v>745</v>
      </c>
      <c r="I309" s="4"/>
      <c r="J309" s="4" t="s">
        <v>139</v>
      </c>
      <c r="K309" s="4" t="s">
        <v>141</v>
      </c>
      <c r="L309" s="4" t="s">
        <v>150</v>
      </c>
      <c r="M309" s="4" t="s">
        <v>354</v>
      </c>
      <c r="N309" s="4" t="s">
        <v>246</v>
      </c>
      <c r="O309" s="4" t="s">
        <v>144</v>
      </c>
      <c r="P309" s="4"/>
      <c r="Q309" s="4"/>
      <c r="R309" s="4">
        <v>15</v>
      </c>
      <c r="S309" s="4">
        <v>15</v>
      </c>
      <c r="T309" s="4"/>
      <c r="U309" s="4">
        <v>-36.873348110000002</v>
      </c>
      <c r="V309" s="4">
        <v>174.7366533</v>
      </c>
      <c r="W309" s="4"/>
      <c r="X309" s="4"/>
      <c r="Y309" s="4"/>
      <c r="Z309" s="4"/>
      <c r="AA309" s="4"/>
      <c r="AB309" s="4"/>
      <c r="AC309" s="4"/>
      <c r="AD309" s="4"/>
      <c r="AE309" s="4"/>
      <c r="AF309" s="4"/>
      <c r="AG309" s="4"/>
      <c r="AH309" s="4"/>
      <c r="AI309" s="4"/>
      <c r="AJ309" s="4"/>
      <c r="AK309" s="4"/>
      <c r="AL309" s="4"/>
      <c r="AM309" s="4"/>
      <c r="AN309" s="5">
        <v>39779</v>
      </c>
      <c r="AO309" s="4">
        <v>1</v>
      </c>
      <c r="AP309" s="5">
        <v>39779</v>
      </c>
      <c r="AQ309" s="5">
        <v>39779</v>
      </c>
      <c r="AR309" s="4"/>
      <c r="AS309" s="4"/>
      <c r="AT309" s="5">
        <v>39843</v>
      </c>
      <c r="AU309" s="5">
        <v>39836</v>
      </c>
      <c r="AV309" s="4">
        <v>1</v>
      </c>
      <c r="AW309" s="5">
        <v>39905</v>
      </c>
      <c r="AX309" s="5">
        <v>39911</v>
      </c>
      <c r="AY309" s="4"/>
      <c r="AZ309" s="5">
        <v>39793</v>
      </c>
      <c r="BA309" s="4"/>
      <c r="BB309" s="5">
        <v>39871</v>
      </c>
      <c r="BC309" s="4"/>
      <c r="BD309" s="4"/>
      <c r="BE309" s="5">
        <v>39871</v>
      </c>
      <c r="BF309" s="5">
        <v>39863</v>
      </c>
      <c r="BG309" s="5">
        <v>39805</v>
      </c>
      <c r="BH309" s="5">
        <v>39829</v>
      </c>
      <c r="BI309" s="4"/>
      <c r="BJ309" s="5">
        <v>39829</v>
      </c>
      <c r="BK309" s="4">
        <v>1</v>
      </c>
      <c r="BL309" s="4">
        <v>1</v>
      </c>
      <c r="BM309" s="5">
        <v>39840</v>
      </c>
      <c r="BN309" s="5">
        <v>39829</v>
      </c>
      <c r="BO309" s="5">
        <v>39862</v>
      </c>
      <c r="BP309" s="4"/>
      <c r="BQ309" s="4"/>
      <c r="BR309" s="4"/>
      <c r="BS309" s="4"/>
      <c r="BT309" s="5">
        <v>39909</v>
      </c>
      <c r="BU309" s="5">
        <v>39911</v>
      </c>
      <c r="BV309" s="5">
        <v>39933</v>
      </c>
      <c r="BW309" s="5">
        <v>39931</v>
      </c>
      <c r="BX309" s="4"/>
      <c r="BY309" s="5">
        <v>39941</v>
      </c>
      <c r="BZ309" s="5">
        <v>39931</v>
      </c>
      <c r="CA309" s="4"/>
      <c r="CB309" s="4"/>
      <c r="CC309" s="4"/>
      <c r="CD309" s="4"/>
      <c r="CE309" s="4"/>
      <c r="CF309" s="4"/>
      <c r="CG309" s="4"/>
      <c r="CH309" s="4"/>
      <c r="CI309" s="5">
        <v>39933</v>
      </c>
      <c r="CJ309" s="5">
        <v>39934</v>
      </c>
      <c r="CK309" s="5">
        <v>39933</v>
      </c>
      <c r="CL309" s="4"/>
      <c r="CM309" s="4"/>
      <c r="CN309" s="4"/>
      <c r="CO309" s="4"/>
      <c r="CP309" s="4" t="s">
        <v>1079</v>
      </c>
      <c r="CQ309" s="4"/>
      <c r="CR309" s="5">
        <v>39934</v>
      </c>
      <c r="CS309" s="4"/>
      <c r="CT309" s="4"/>
      <c r="CU309" s="4"/>
      <c r="CV309" s="4"/>
      <c r="CW309" s="5">
        <v>39862</v>
      </c>
      <c r="CX309" s="5">
        <v>39862</v>
      </c>
      <c r="CY309" s="4"/>
      <c r="CZ309" s="4"/>
      <c r="DA309" s="4"/>
      <c r="DB309" s="4"/>
      <c r="DC309" s="4"/>
      <c r="DD309" s="4"/>
      <c r="DE309" s="4"/>
      <c r="DF309" s="4"/>
      <c r="DG309" s="4"/>
      <c r="DH309" s="4"/>
      <c r="DI309" s="4"/>
      <c r="DJ309" s="4" t="b">
        <v>0</v>
      </c>
      <c r="DK309" s="4"/>
      <c r="DL309" s="4">
        <v>2665213</v>
      </c>
      <c r="DM309" s="4">
        <v>6479472</v>
      </c>
      <c r="DN309" s="4" t="s">
        <v>1080</v>
      </c>
      <c r="DO309" s="4"/>
      <c r="DP309" s="4"/>
      <c r="DQ309" s="4" t="s">
        <v>148</v>
      </c>
      <c r="DR309" s="4"/>
      <c r="DS309" s="4"/>
      <c r="DT309" s="5">
        <v>41806</v>
      </c>
      <c r="DU309" s="4"/>
      <c r="DV309" s="4"/>
      <c r="DW309" s="4"/>
      <c r="DX309" s="4"/>
      <c r="DY309" s="5">
        <v>39909</v>
      </c>
      <c r="DZ309" s="5">
        <v>39909</v>
      </c>
      <c r="EA309" s="4"/>
      <c r="EB309" s="4"/>
      <c r="EC309" s="4"/>
      <c r="ED309" s="4"/>
      <c r="EE309" s="4"/>
      <c r="EF309" s="4"/>
      <c r="EG309" s="4"/>
      <c r="EH309" s="4"/>
      <c r="EI309" s="5">
        <v>39729</v>
      </c>
    </row>
    <row r="310" spans="1:139" hidden="1" x14ac:dyDescent="0.2">
      <c r="A310">
        <f>VLOOKUP(B310,Sheet1!$A$1:$B$18,2,FALSE)</f>
        <v>0</v>
      </c>
      <c r="B310" t="str">
        <f t="shared" si="4"/>
        <v>AKL</v>
      </c>
      <c r="C310" s="2">
        <v>309</v>
      </c>
      <c r="D310" s="3" t="str">
        <f>HYPERLINK("https://sitebase.nzcomms.co.nz/spm/spmnominalview/AKL-007-137/","AKL-007-137")</f>
        <v>AKL-007-137</v>
      </c>
      <c r="E310" s="4" t="s">
        <v>1081</v>
      </c>
      <c r="F310" s="3" t="str">
        <f>HYPERLINK("https://sitebase.nzcomms.co.nz/spm/spmcandidateview/AKL-007-137-B/","AKL-007-137-B")</f>
        <v>AKL-007-137-B</v>
      </c>
      <c r="G310" s="4" t="s">
        <v>1082</v>
      </c>
      <c r="H310" s="4" t="s">
        <v>745</v>
      </c>
      <c r="I310" s="4">
        <v>3</v>
      </c>
      <c r="J310" s="4" t="s">
        <v>194</v>
      </c>
      <c r="K310" s="4" t="s">
        <v>141</v>
      </c>
      <c r="L310" s="4" t="s">
        <v>189</v>
      </c>
      <c r="M310" s="4" t="s">
        <v>571</v>
      </c>
      <c r="N310" s="4" t="s">
        <v>191</v>
      </c>
      <c r="O310" s="4" t="s">
        <v>356</v>
      </c>
      <c r="P310" s="4" t="s">
        <v>182</v>
      </c>
      <c r="Q310" s="4" t="s">
        <v>192</v>
      </c>
      <c r="R310" s="4">
        <v>9</v>
      </c>
      <c r="S310" s="4">
        <v>10.8</v>
      </c>
      <c r="T310" s="4">
        <v>1</v>
      </c>
      <c r="U310" s="4">
        <v>-36.851791249999998</v>
      </c>
      <c r="V310" s="4">
        <v>174.79610192999999</v>
      </c>
      <c r="W310" s="4"/>
      <c r="X310" s="4"/>
      <c r="Y310" s="4"/>
      <c r="Z310" s="4"/>
      <c r="AA310" s="4" t="s">
        <v>171</v>
      </c>
      <c r="AB310" s="3" t="str">
        <f>HYPERLINK("https://sitebase.nzcomms.co.nz/spm/spmcandidateview/AKL-007-113-A/","AKL-007-113-A")</f>
        <v>AKL-007-113-A</v>
      </c>
      <c r="AC310" s="4" t="b">
        <v>0</v>
      </c>
      <c r="AD310" s="4" t="b">
        <v>0</v>
      </c>
      <c r="AE310" s="4"/>
      <c r="AF310" s="4"/>
      <c r="AG310" s="4" t="b">
        <v>0</v>
      </c>
      <c r="AH310" s="4"/>
      <c r="AI310" s="4"/>
      <c r="AJ310" s="5">
        <v>40591</v>
      </c>
      <c r="AK310" s="4"/>
      <c r="AL310" s="5">
        <v>40591</v>
      </c>
      <c r="AM310" s="4"/>
      <c r="AN310" s="5">
        <v>39940</v>
      </c>
      <c r="AO310" s="4">
        <v>6</v>
      </c>
      <c r="AP310" s="5">
        <v>40214</v>
      </c>
      <c r="AQ310" s="5">
        <v>40724</v>
      </c>
      <c r="AR310" s="5">
        <v>40058</v>
      </c>
      <c r="AS310" s="5">
        <v>40064</v>
      </c>
      <c r="AT310" s="5">
        <v>40093</v>
      </c>
      <c r="AU310" s="5">
        <v>40072</v>
      </c>
      <c r="AV310" s="4">
        <v>1</v>
      </c>
      <c r="AW310" s="5">
        <v>40249</v>
      </c>
      <c r="AX310" s="5">
        <v>40249</v>
      </c>
      <c r="AY310" s="4" t="s">
        <v>193</v>
      </c>
      <c r="AZ310" s="5">
        <v>39962</v>
      </c>
      <c r="BA310" s="5">
        <v>39968</v>
      </c>
      <c r="BB310" s="5">
        <v>40032</v>
      </c>
      <c r="BC310" s="5">
        <v>40024</v>
      </c>
      <c r="BD310" s="4">
        <v>1</v>
      </c>
      <c r="BE310" s="5">
        <v>40221</v>
      </c>
      <c r="BF310" s="5">
        <v>40227</v>
      </c>
      <c r="BG310" s="5">
        <v>40221</v>
      </c>
      <c r="BH310" s="5">
        <v>39958</v>
      </c>
      <c r="BI310" s="4"/>
      <c r="BJ310" s="5">
        <v>39981</v>
      </c>
      <c r="BK310" s="4">
        <v>6</v>
      </c>
      <c r="BL310" s="4"/>
      <c r="BM310" s="5">
        <v>40086</v>
      </c>
      <c r="BN310" s="5">
        <v>40767</v>
      </c>
      <c r="BO310" s="5">
        <v>40777</v>
      </c>
      <c r="BP310" s="4"/>
      <c r="BQ310" s="4"/>
      <c r="BR310" s="4"/>
      <c r="BS310" s="4"/>
      <c r="BT310" s="5">
        <v>40707</v>
      </c>
      <c r="BU310" s="5">
        <v>40707</v>
      </c>
      <c r="BV310" s="5">
        <v>40725</v>
      </c>
      <c r="BW310" s="5">
        <v>40770</v>
      </c>
      <c r="BX310" s="5">
        <v>40766</v>
      </c>
      <c r="BY310" s="5">
        <v>40786</v>
      </c>
      <c r="BZ310" s="5">
        <v>40787</v>
      </c>
      <c r="CA310" s="4"/>
      <c r="CB310" s="4"/>
      <c r="CC310" s="4"/>
      <c r="CD310" s="4"/>
      <c r="CE310" s="4"/>
      <c r="CF310" s="4"/>
      <c r="CG310" s="4"/>
      <c r="CH310" s="4"/>
      <c r="CI310" s="5">
        <v>40800</v>
      </c>
      <c r="CJ310" s="5">
        <v>40844</v>
      </c>
      <c r="CK310" s="5">
        <v>40802</v>
      </c>
      <c r="CL310" s="5">
        <v>40844</v>
      </c>
      <c r="CM310" s="5">
        <v>40823</v>
      </c>
      <c r="CN310" s="5">
        <v>40913</v>
      </c>
      <c r="CO310" s="5">
        <v>40974</v>
      </c>
      <c r="CP310" s="4" t="s">
        <v>712</v>
      </c>
      <c r="CQ310" s="4"/>
      <c r="CR310" s="5">
        <v>40786</v>
      </c>
      <c r="CS310" s="5">
        <v>40703</v>
      </c>
      <c r="CT310" s="5">
        <v>40703</v>
      </c>
      <c r="CU310" s="5">
        <v>40707</v>
      </c>
      <c r="CV310" s="5">
        <v>40777</v>
      </c>
      <c r="CW310" s="5">
        <v>40060</v>
      </c>
      <c r="CX310" s="5">
        <v>40777</v>
      </c>
      <c r="CY310" s="5">
        <v>40725</v>
      </c>
      <c r="CZ310" s="5">
        <v>40770</v>
      </c>
      <c r="DA310" s="4"/>
      <c r="DB310" s="4"/>
      <c r="DC310" s="4"/>
      <c r="DD310" s="4"/>
      <c r="DE310" s="4"/>
      <c r="DF310" s="4"/>
      <c r="DG310" s="4"/>
      <c r="DH310" s="4"/>
      <c r="DI310" s="5">
        <v>40766</v>
      </c>
      <c r="DJ310" s="4" t="b">
        <v>0</v>
      </c>
      <c r="DK310" s="4"/>
      <c r="DL310" s="4">
        <v>2670562</v>
      </c>
      <c r="DM310" s="4">
        <v>6481755</v>
      </c>
      <c r="DN310" s="4" t="s">
        <v>1083</v>
      </c>
      <c r="DO310" s="4"/>
      <c r="DP310" s="4"/>
      <c r="DQ310" s="4" t="s">
        <v>148</v>
      </c>
      <c r="DR310" s="4"/>
      <c r="DS310" s="4"/>
      <c r="DT310" s="5">
        <v>41863</v>
      </c>
      <c r="DU310" s="4"/>
      <c r="DV310" s="4"/>
      <c r="DW310" s="4"/>
      <c r="DX310" s="4"/>
      <c r="DY310" s="5">
        <v>40252</v>
      </c>
      <c r="DZ310" s="5">
        <v>40252</v>
      </c>
      <c r="EA310" s="4"/>
      <c r="EB310" s="4"/>
      <c r="EC310" s="4"/>
      <c r="ED310" s="4"/>
      <c r="EE310" s="4"/>
      <c r="EF310" s="4"/>
      <c r="EG310" s="5">
        <v>40802</v>
      </c>
      <c r="EH310" s="5">
        <v>40809</v>
      </c>
      <c r="EI310" s="5">
        <v>39920</v>
      </c>
    </row>
    <row r="311" spans="1:139" hidden="1" x14ac:dyDescent="0.2">
      <c r="A311">
        <f>VLOOKUP(B311,Sheet1!$A$1:$B$18,2,FALSE)</f>
        <v>0</v>
      </c>
      <c r="B311" t="str">
        <f t="shared" si="4"/>
        <v>AKL</v>
      </c>
      <c r="C311" s="2">
        <v>310</v>
      </c>
      <c r="D311" s="3" t="str">
        <f>HYPERLINK("https://sitebase.nzcomms.co.nz/spm/spmnominalview/AKL-007-140/","AKL-007-140")</f>
        <v>AKL-007-140</v>
      </c>
      <c r="E311" s="4"/>
      <c r="F311" s="3" t="str">
        <f>HYPERLINK("https://sitebase.nzcomms.co.nz/spm/spmcandidateview/AKL-007-140-C/","AKL-007-140-C")</f>
        <v>AKL-007-140-C</v>
      </c>
      <c r="G311" s="4" t="s">
        <v>1084</v>
      </c>
      <c r="H311" s="4" t="s">
        <v>745</v>
      </c>
      <c r="I311" s="4"/>
      <c r="J311" s="4" t="s">
        <v>139</v>
      </c>
      <c r="K311" s="4" t="s">
        <v>141</v>
      </c>
      <c r="L311" s="4" t="s">
        <v>325</v>
      </c>
      <c r="M311" s="4" t="s">
        <v>463</v>
      </c>
      <c r="N311" s="4" t="s">
        <v>364</v>
      </c>
      <c r="O311" s="4" t="s">
        <v>356</v>
      </c>
      <c r="P311" s="4"/>
      <c r="Q311" s="4"/>
      <c r="R311" s="4">
        <v>6</v>
      </c>
      <c r="S311" s="4">
        <v>6</v>
      </c>
      <c r="T311" s="4"/>
      <c r="U311" s="4">
        <v>-36.851648169999997</v>
      </c>
      <c r="V311" s="4">
        <v>174.76947306</v>
      </c>
      <c r="W311" s="4"/>
      <c r="X311" s="4"/>
      <c r="Y311" s="4"/>
      <c r="Z311" s="4"/>
      <c r="AA311" s="4" t="s">
        <v>152</v>
      </c>
      <c r="AB311" s="3" t="str">
        <f>HYPERLINK("https://sitebase.nzcomms.co.nz/spm/spmcandidateview/AKL-007-106-A/","AKL-007-106-A")</f>
        <v>AKL-007-106-A</v>
      </c>
      <c r="AC311" s="4"/>
      <c r="AD311" s="4"/>
      <c r="AE311" s="4"/>
      <c r="AF311" s="4"/>
      <c r="AG311" s="4"/>
      <c r="AH311" s="4"/>
      <c r="AI311" s="4"/>
      <c r="AJ311" s="4"/>
      <c r="AK311" s="4"/>
      <c r="AL311" s="4"/>
      <c r="AM311" s="5">
        <v>39848</v>
      </c>
      <c r="AN311" s="5">
        <v>39848</v>
      </c>
      <c r="AO311" s="4">
        <v>4</v>
      </c>
      <c r="AP311" s="5">
        <v>39906</v>
      </c>
      <c r="AQ311" s="5">
        <v>42138</v>
      </c>
      <c r="AR311" s="4"/>
      <c r="AS311" s="4"/>
      <c r="AT311" s="5">
        <v>39969</v>
      </c>
      <c r="AU311" s="5">
        <v>39962</v>
      </c>
      <c r="AV311" s="4"/>
      <c r="AW311" s="5">
        <v>39969</v>
      </c>
      <c r="AX311" s="5">
        <v>39972</v>
      </c>
      <c r="AY311" s="4"/>
      <c r="AZ311" s="5">
        <v>39878</v>
      </c>
      <c r="BA311" s="4"/>
      <c r="BB311" s="5">
        <v>39913</v>
      </c>
      <c r="BC311" s="4"/>
      <c r="BD311" s="4"/>
      <c r="BE311" s="5">
        <v>39913</v>
      </c>
      <c r="BF311" s="5">
        <v>39925</v>
      </c>
      <c r="BG311" s="5">
        <v>39861</v>
      </c>
      <c r="BH311" s="5">
        <v>39860</v>
      </c>
      <c r="BI311" s="4"/>
      <c r="BJ311" s="5">
        <v>39910</v>
      </c>
      <c r="BK311" s="4">
        <v>2</v>
      </c>
      <c r="BL311" s="4">
        <v>3</v>
      </c>
      <c r="BM311" s="5">
        <v>39906</v>
      </c>
      <c r="BN311" s="5">
        <v>39930</v>
      </c>
      <c r="BO311" s="4"/>
      <c r="BP311" s="4"/>
      <c r="BQ311" s="4"/>
      <c r="BR311" s="4"/>
      <c r="BS311" s="4"/>
      <c r="BT311" s="5">
        <v>39955</v>
      </c>
      <c r="BU311" s="5">
        <v>39955</v>
      </c>
      <c r="BV311" s="5">
        <v>39969</v>
      </c>
      <c r="BW311" s="5">
        <v>39961</v>
      </c>
      <c r="BX311" s="4"/>
      <c r="BY311" s="5">
        <v>39974</v>
      </c>
      <c r="BZ311" s="5">
        <v>39972</v>
      </c>
      <c r="CA311" s="4"/>
      <c r="CB311" s="4"/>
      <c r="CC311" s="4"/>
      <c r="CD311" s="4"/>
      <c r="CE311" s="4"/>
      <c r="CF311" s="4"/>
      <c r="CG311" s="4"/>
      <c r="CH311" s="4"/>
      <c r="CI311" s="5">
        <v>39984</v>
      </c>
      <c r="CJ311" s="5">
        <v>39982</v>
      </c>
      <c r="CK311" s="5">
        <v>39984</v>
      </c>
      <c r="CL311" s="4"/>
      <c r="CM311" s="4"/>
      <c r="CN311" s="4"/>
      <c r="CO311" s="4"/>
      <c r="CP311" s="4" t="s">
        <v>1085</v>
      </c>
      <c r="CQ311" s="4"/>
      <c r="CR311" s="5">
        <v>39982</v>
      </c>
      <c r="CS311" s="4"/>
      <c r="CT311" s="4"/>
      <c r="CU311" s="4"/>
      <c r="CV311" s="4"/>
      <c r="CW311" s="4"/>
      <c r="CX311" s="4"/>
      <c r="CY311" s="4"/>
      <c r="CZ311" s="4"/>
      <c r="DA311" s="4"/>
      <c r="DB311" s="4"/>
      <c r="DC311" s="4"/>
      <c r="DD311" s="4"/>
      <c r="DE311" s="4"/>
      <c r="DF311" s="4"/>
      <c r="DG311" s="4"/>
      <c r="DH311" s="4"/>
      <c r="DI311" s="4"/>
      <c r="DJ311" s="4" t="b">
        <v>0</v>
      </c>
      <c r="DK311" s="4"/>
      <c r="DL311" s="4">
        <v>2668188</v>
      </c>
      <c r="DM311" s="4">
        <v>6481820</v>
      </c>
      <c r="DN311" s="4" t="s">
        <v>1086</v>
      </c>
      <c r="DO311" s="4"/>
      <c r="DP311" s="4"/>
      <c r="DQ311" s="4" t="s">
        <v>148</v>
      </c>
      <c r="DR311" s="4"/>
      <c r="DS311" s="4"/>
      <c r="DT311" s="5">
        <v>41806</v>
      </c>
      <c r="DU311" s="4"/>
      <c r="DV311" s="4"/>
      <c r="DW311" s="4"/>
      <c r="DX311" s="4"/>
      <c r="DY311" s="5">
        <v>39955</v>
      </c>
      <c r="DZ311" s="5">
        <v>39955</v>
      </c>
      <c r="EA311" s="4"/>
      <c r="EB311" s="4"/>
      <c r="EC311" s="4"/>
      <c r="ED311" s="4"/>
      <c r="EE311" s="4"/>
      <c r="EF311" s="4"/>
      <c r="EG311" s="4"/>
      <c r="EH311" s="4"/>
      <c r="EI311" s="5">
        <v>39825</v>
      </c>
    </row>
    <row r="312" spans="1:139" hidden="1" x14ac:dyDescent="0.2">
      <c r="A312">
        <f>VLOOKUP(B312,Sheet1!$A$1:$B$18,2,FALSE)</f>
        <v>0</v>
      </c>
      <c r="B312" t="str">
        <f t="shared" si="4"/>
        <v>AKL</v>
      </c>
      <c r="C312" s="2">
        <v>311</v>
      </c>
      <c r="D312" s="3" t="str">
        <f>HYPERLINK("https://sitebase.nzcomms.co.nz/spm/spmnominalview/AKL-007-142/","AKL-007-142")</f>
        <v>AKL-007-142</v>
      </c>
      <c r="E312" s="4"/>
      <c r="F312" s="3" t="str">
        <f>HYPERLINK("https://sitebase.nzcomms.co.nz/spm/spmcandidateview/AKL-007-142-A/","AKL-007-142-A")</f>
        <v>AKL-007-142-A</v>
      </c>
      <c r="G312" s="4" t="s">
        <v>1087</v>
      </c>
      <c r="H312" s="4" t="s">
        <v>745</v>
      </c>
      <c r="I312" s="4"/>
      <c r="J312" s="4" t="s">
        <v>139</v>
      </c>
      <c r="K312" s="4" t="s">
        <v>141</v>
      </c>
      <c r="L312" s="4" t="s">
        <v>189</v>
      </c>
      <c r="M312" s="4" t="s">
        <v>463</v>
      </c>
      <c r="N312" s="4" t="s">
        <v>191</v>
      </c>
      <c r="O312" s="4" t="s">
        <v>356</v>
      </c>
      <c r="P312" s="4"/>
      <c r="Q312" s="4"/>
      <c r="R312" s="4">
        <v>13</v>
      </c>
      <c r="S312" s="4">
        <v>13</v>
      </c>
      <c r="T312" s="4"/>
      <c r="U312" s="4">
        <v>-36.881089179999996</v>
      </c>
      <c r="V312" s="4">
        <v>174.80117005</v>
      </c>
      <c r="W312" s="4"/>
      <c r="X312" s="4"/>
      <c r="Y312" s="4"/>
      <c r="Z312" s="4"/>
      <c r="AA312" s="4" t="s">
        <v>152</v>
      </c>
      <c r="AB312" s="3" t="str">
        <f>HYPERLINK("https://sitebase.nzcomms.co.nz/spm/spmcandidateview/AKL-007-106-A/","AKL-007-106-A")</f>
        <v>AKL-007-106-A</v>
      </c>
      <c r="AC312" s="4"/>
      <c r="AD312" s="4"/>
      <c r="AE312" s="4"/>
      <c r="AF312" s="4"/>
      <c r="AG312" s="4"/>
      <c r="AH312" s="4"/>
      <c r="AI312" s="4"/>
      <c r="AJ312" s="4"/>
      <c r="AK312" s="4"/>
      <c r="AL312" s="4"/>
      <c r="AM312" s="5">
        <v>39868</v>
      </c>
      <c r="AN312" s="5">
        <v>39868</v>
      </c>
      <c r="AO312" s="4">
        <v>1</v>
      </c>
      <c r="AP312" s="5">
        <v>39868</v>
      </c>
      <c r="AQ312" s="5">
        <v>39868</v>
      </c>
      <c r="AR312" s="4"/>
      <c r="AS312" s="4"/>
      <c r="AT312" s="5">
        <v>39969</v>
      </c>
      <c r="AU312" s="5">
        <v>39962</v>
      </c>
      <c r="AV312" s="4"/>
      <c r="AW312" s="5">
        <v>39969</v>
      </c>
      <c r="AX312" s="5">
        <v>39987</v>
      </c>
      <c r="AY312" s="4"/>
      <c r="AZ312" s="5">
        <v>39871</v>
      </c>
      <c r="BA312" s="4"/>
      <c r="BB312" s="5">
        <v>39903</v>
      </c>
      <c r="BC312" s="4"/>
      <c r="BD312" s="4"/>
      <c r="BE312" s="5">
        <v>39903</v>
      </c>
      <c r="BF312" s="5">
        <v>39869</v>
      </c>
      <c r="BG312" s="5">
        <v>39862</v>
      </c>
      <c r="BH312" s="5">
        <v>39862</v>
      </c>
      <c r="BI312" s="4"/>
      <c r="BJ312" s="5">
        <v>39888</v>
      </c>
      <c r="BK312" s="4">
        <v>1</v>
      </c>
      <c r="BL312" s="4">
        <v>1</v>
      </c>
      <c r="BM312" s="5">
        <v>39884</v>
      </c>
      <c r="BN312" s="5">
        <v>39888</v>
      </c>
      <c r="BO312" s="5">
        <v>39959</v>
      </c>
      <c r="BP312" s="4"/>
      <c r="BQ312" s="4"/>
      <c r="BR312" s="4"/>
      <c r="BS312" s="4"/>
      <c r="BT312" s="5">
        <v>39958</v>
      </c>
      <c r="BU312" s="5">
        <v>39958</v>
      </c>
      <c r="BV312" s="5">
        <v>39990</v>
      </c>
      <c r="BW312" s="5">
        <v>39990</v>
      </c>
      <c r="BX312" s="4"/>
      <c r="BY312" s="5">
        <v>39994</v>
      </c>
      <c r="BZ312" s="5">
        <v>39994</v>
      </c>
      <c r="CA312" s="4"/>
      <c r="CB312" s="4"/>
      <c r="CC312" s="4"/>
      <c r="CD312" s="4"/>
      <c r="CE312" s="4"/>
      <c r="CF312" s="4"/>
      <c r="CG312" s="4"/>
      <c r="CH312" s="4"/>
      <c r="CI312" s="5">
        <v>39994</v>
      </c>
      <c r="CJ312" s="5">
        <v>39997</v>
      </c>
      <c r="CK312" s="5">
        <v>39994</v>
      </c>
      <c r="CL312" s="4"/>
      <c r="CM312" s="4"/>
      <c r="CN312" s="4"/>
      <c r="CO312" s="4"/>
      <c r="CP312" s="4" t="s">
        <v>1088</v>
      </c>
      <c r="CQ312" s="4"/>
      <c r="CR312" s="5">
        <v>39997</v>
      </c>
      <c r="CS312" s="4"/>
      <c r="CT312" s="4"/>
      <c r="CU312" s="4"/>
      <c r="CV312" s="4"/>
      <c r="CW312" s="5">
        <v>39955</v>
      </c>
      <c r="CX312" s="5">
        <v>39959</v>
      </c>
      <c r="CY312" s="4"/>
      <c r="CZ312" s="4"/>
      <c r="DA312" s="4"/>
      <c r="DB312" s="4"/>
      <c r="DC312" s="4"/>
      <c r="DD312" s="4"/>
      <c r="DE312" s="4"/>
      <c r="DF312" s="4"/>
      <c r="DG312" s="4"/>
      <c r="DH312" s="4"/>
      <c r="DI312" s="4"/>
      <c r="DJ312" s="4" t="b">
        <v>0</v>
      </c>
      <c r="DK312" s="4"/>
      <c r="DL312" s="4">
        <v>2670946</v>
      </c>
      <c r="DM312" s="4">
        <v>6478495</v>
      </c>
      <c r="DN312" s="4" t="s">
        <v>1089</v>
      </c>
      <c r="DO312" s="4"/>
      <c r="DP312" s="4"/>
      <c r="DQ312" s="4" t="s">
        <v>148</v>
      </c>
      <c r="DR312" s="4"/>
      <c r="DS312" s="4"/>
      <c r="DT312" s="5">
        <v>41863</v>
      </c>
      <c r="DU312" s="4"/>
      <c r="DV312" s="4"/>
      <c r="DW312" s="4"/>
      <c r="DX312" s="4"/>
      <c r="DY312" s="5">
        <v>39958</v>
      </c>
      <c r="DZ312" s="5">
        <v>39958</v>
      </c>
      <c r="EA312" s="4"/>
      <c r="EB312" s="4"/>
      <c r="EC312" s="4"/>
      <c r="ED312" s="4"/>
      <c r="EE312" s="4"/>
      <c r="EF312" s="4"/>
      <c r="EG312" s="4"/>
      <c r="EH312" s="4"/>
      <c r="EI312" s="5">
        <v>39825</v>
      </c>
    </row>
    <row r="313" spans="1:139" hidden="1" x14ac:dyDescent="0.2">
      <c r="A313">
        <f>VLOOKUP(B313,Sheet1!$A$1:$B$18,2,FALSE)</f>
        <v>0</v>
      </c>
      <c r="B313" t="str">
        <f t="shared" si="4"/>
        <v>AKL</v>
      </c>
      <c r="C313" s="2">
        <v>312</v>
      </c>
      <c r="D313" s="3" t="str">
        <f>HYPERLINK("https://sitebase.nzcomms.co.nz/spm/spmnominalview/AKL-007-143/","AKL-007-143")</f>
        <v>AKL-007-143</v>
      </c>
      <c r="E313" s="4"/>
      <c r="F313" s="3" t="str">
        <f>HYPERLINK("https://sitebase.nzcomms.co.nz/spm/spmcandidateview/AKL-007-143-A/","AKL-007-143-A")</f>
        <v>AKL-007-143-A</v>
      </c>
      <c r="G313" s="4" t="s">
        <v>1090</v>
      </c>
      <c r="H313" s="4" t="s">
        <v>745</v>
      </c>
      <c r="I313" s="4"/>
      <c r="J313" s="4" t="s">
        <v>139</v>
      </c>
      <c r="K313" s="4" t="s">
        <v>141</v>
      </c>
      <c r="L313" s="4" t="s">
        <v>189</v>
      </c>
      <c r="M313" s="4" t="s">
        <v>463</v>
      </c>
      <c r="N313" s="4" t="s">
        <v>274</v>
      </c>
      <c r="O313" s="4" t="s">
        <v>144</v>
      </c>
      <c r="P313" s="4"/>
      <c r="Q313" s="4"/>
      <c r="R313" s="4">
        <v>13.8</v>
      </c>
      <c r="S313" s="4">
        <v>13.8</v>
      </c>
      <c r="T313" s="4"/>
      <c r="U313" s="4">
        <v>-36.880102960000002</v>
      </c>
      <c r="V313" s="4">
        <v>174.8126445</v>
      </c>
      <c r="W313" s="4"/>
      <c r="X313" s="4"/>
      <c r="Y313" s="4"/>
      <c r="Z313" s="4"/>
      <c r="AA313" s="4" t="s">
        <v>152</v>
      </c>
      <c r="AB313" s="3" t="str">
        <f>HYPERLINK("https://sitebase.nzcomms.co.nz/spm/spmcandidateview/AKL-007-106-A/","AKL-007-106-A")</f>
        <v>AKL-007-106-A</v>
      </c>
      <c r="AC313" s="4"/>
      <c r="AD313" s="4"/>
      <c r="AE313" s="4"/>
      <c r="AF313" s="4"/>
      <c r="AG313" s="4"/>
      <c r="AH313" s="4"/>
      <c r="AI313" s="4"/>
      <c r="AJ313" s="4"/>
      <c r="AK313" s="4"/>
      <c r="AL313" s="4"/>
      <c r="AM313" s="5">
        <v>39860</v>
      </c>
      <c r="AN313" s="5">
        <v>39860</v>
      </c>
      <c r="AO313" s="4">
        <v>3</v>
      </c>
      <c r="AP313" s="5">
        <v>39860</v>
      </c>
      <c r="AQ313" s="5">
        <v>40018</v>
      </c>
      <c r="AR313" s="4"/>
      <c r="AS313" s="4"/>
      <c r="AT313" s="5">
        <v>39969</v>
      </c>
      <c r="AU313" s="5">
        <v>39962</v>
      </c>
      <c r="AV313" s="4"/>
      <c r="AW313" s="5">
        <v>39969</v>
      </c>
      <c r="AX313" s="4"/>
      <c r="AY313" s="4"/>
      <c r="AZ313" s="5">
        <v>39864</v>
      </c>
      <c r="BA313" s="4"/>
      <c r="BB313" s="5">
        <v>39864</v>
      </c>
      <c r="BC313" s="4"/>
      <c r="BD313" s="4"/>
      <c r="BE313" s="5">
        <v>39864</v>
      </c>
      <c r="BF313" s="5">
        <v>39864</v>
      </c>
      <c r="BG313" s="5">
        <v>39862</v>
      </c>
      <c r="BH313" s="5">
        <v>39862</v>
      </c>
      <c r="BI313" s="4"/>
      <c r="BJ313" s="5">
        <v>39876</v>
      </c>
      <c r="BK313" s="4">
        <v>2</v>
      </c>
      <c r="BL313" s="4">
        <v>2</v>
      </c>
      <c r="BM313" s="5">
        <v>39891</v>
      </c>
      <c r="BN313" s="5">
        <v>39897</v>
      </c>
      <c r="BO313" s="5">
        <v>39959</v>
      </c>
      <c r="BP313" s="4"/>
      <c r="BQ313" s="4"/>
      <c r="BR313" s="4"/>
      <c r="BS313" s="4"/>
      <c r="BT313" s="5">
        <v>39972</v>
      </c>
      <c r="BU313" s="5">
        <v>39972</v>
      </c>
      <c r="BV313" s="5">
        <v>39983</v>
      </c>
      <c r="BW313" s="5">
        <v>39982</v>
      </c>
      <c r="BX313" s="4"/>
      <c r="BY313" s="5">
        <v>39983</v>
      </c>
      <c r="BZ313" s="5">
        <v>39982</v>
      </c>
      <c r="CA313" s="4"/>
      <c r="CB313" s="4"/>
      <c r="CC313" s="4"/>
      <c r="CD313" s="4"/>
      <c r="CE313" s="4"/>
      <c r="CF313" s="4"/>
      <c r="CG313" s="4"/>
      <c r="CH313" s="4"/>
      <c r="CI313" s="5">
        <v>39988</v>
      </c>
      <c r="CJ313" s="5">
        <v>39988</v>
      </c>
      <c r="CK313" s="5">
        <v>39988</v>
      </c>
      <c r="CL313" s="4"/>
      <c r="CM313" s="4"/>
      <c r="CN313" s="4"/>
      <c r="CO313" s="4"/>
      <c r="CP313" s="4" t="s">
        <v>1091</v>
      </c>
      <c r="CQ313" s="4"/>
      <c r="CR313" s="5">
        <v>39994</v>
      </c>
      <c r="CS313" s="4"/>
      <c r="CT313" s="4"/>
      <c r="CU313" s="4"/>
      <c r="CV313" s="4"/>
      <c r="CW313" s="5">
        <v>39955</v>
      </c>
      <c r="CX313" s="5">
        <v>39959</v>
      </c>
      <c r="CY313" s="4"/>
      <c r="CZ313" s="4"/>
      <c r="DA313" s="4"/>
      <c r="DB313" s="4"/>
      <c r="DC313" s="4"/>
      <c r="DD313" s="4"/>
      <c r="DE313" s="4"/>
      <c r="DF313" s="4"/>
      <c r="DG313" s="4"/>
      <c r="DH313" s="4"/>
      <c r="DI313" s="4"/>
      <c r="DJ313" s="4" t="b">
        <v>0</v>
      </c>
      <c r="DK313" s="4"/>
      <c r="DL313" s="4">
        <v>2671971</v>
      </c>
      <c r="DM313" s="4">
        <v>6478583</v>
      </c>
      <c r="DN313" s="4" t="s">
        <v>1092</v>
      </c>
      <c r="DO313" s="4"/>
      <c r="DP313" s="4"/>
      <c r="DQ313" s="4" t="s">
        <v>148</v>
      </c>
      <c r="DR313" s="4"/>
      <c r="DS313" s="4"/>
      <c r="DT313" s="5">
        <v>41863</v>
      </c>
      <c r="DU313" s="4"/>
      <c r="DV313" s="4"/>
      <c r="DW313" s="4"/>
      <c r="DX313" s="4"/>
      <c r="DY313" s="5">
        <v>39972</v>
      </c>
      <c r="DZ313" s="5">
        <v>39972</v>
      </c>
      <c r="EA313" s="4"/>
      <c r="EB313" s="4"/>
      <c r="EC313" s="4"/>
      <c r="ED313" s="4"/>
      <c r="EE313" s="4"/>
      <c r="EF313" s="4"/>
      <c r="EG313" s="4"/>
      <c r="EH313" s="4"/>
      <c r="EI313" s="5">
        <v>39826</v>
      </c>
    </row>
    <row r="314" spans="1:139" hidden="1" x14ac:dyDescent="0.2">
      <c r="A314">
        <f>VLOOKUP(B314,Sheet1!$A$1:$B$18,2,FALSE)</f>
        <v>0</v>
      </c>
      <c r="B314" t="str">
        <f t="shared" si="4"/>
        <v>AKL</v>
      </c>
      <c r="C314" s="2">
        <v>313</v>
      </c>
      <c r="D314" s="3" t="str">
        <f>HYPERLINK("https://sitebase.nzcomms.co.nz/spm/spmnominalview/AKL-007-144/","AKL-007-144")</f>
        <v>AKL-007-144</v>
      </c>
      <c r="E314" s="4"/>
      <c r="F314" s="3" t="str">
        <f>HYPERLINK("https://sitebase.nzcomms.co.nz/spm/spmcandidateview/AKL-007-144-A/","AKL-007-144-A")</f>
        <v>AKL-007-144-A</v>
      </c>
      <c r="G314" s="4" t="s">
        <v>1093</v>
      </c>
      <c r="H314" s="4" t="s">
        <v>745</v>
      </c>
      <c r="I314" s="4"/>
      <c r="J314" s="4" t="s">
        <v>139</v>
      </c>
      <c r="K314" s="4" t="s">
        <v>141</v>
      </c>
      <c r="L314" s="4" t="s">
        <v>181</v>
      </c>
      <c r="M314" s="4" t="s">
        <v>324</v>
      </c>
      <c r="N314" s="4"/>
      <c r="O314" s="4"/>
      <c r="P314" s="4"/>
      <c r="Q314" s="4"/>
      <c r="R314" s="4"/>
      <c r="S314" s="4"/>
      <c r="T314" s="4"/>
      <c r="U314" s="4">
        <v>-36.85856158</v>
      </c>
      <c r="V314" s="4">
        <v>174.75245532</v>
      </c>
      <c r="W314" s="4"/>
      <c r="X314" s="4"/>
      <c r="Y314" s="4"/>
      <c r="Z314" s="4"/>
      <c r="AA314" s="4" t="s">
        <v>171</v>
      </c>
      <c r="AB314" s="3" t="str">
        <f>HYPERLINK("https://sitebase.nzcomms.co.nz/spm/spmcandidateview/AKL-007-041-B/","AKL-007-041-B")</f>
        <v>AKL-007-041-B</v>
      </c>
      <c r="AC314" s="4"/>
      <c r="AD314" s="4"/>
      <c r="AE314" s="4"/>
      <c r="AF314" s="4"/>
      <c r="AG314" s="4"/>
      <c r="AH314" s="4"/>
      <c r="AI314" s="4"/>
      <c r="AJ314" s="4"/>
      <c r="AK314" s="4"/>
      <c r="AL314" s="4"/>
      <c r="AM314" s="4"/>
      <c r="AN314" s="5">
        <v>39918</v>
      </c>
      <c r="AO314" s="4">
        <v>1</v>
      </c>
      <c r="AP314" s="5">
        <v>39918</v>
      </c>
      <c r="AQ314" s="5">
        <v>39918</v>
      </c>
      <c r="AR314" s="4"/>
      <c r="AS314" s="4"/>
      <c r="AT314" s="5">
        <v>39958</v>
      </c>
      <c r="AU314" s="5">
        <v>39955</v>
      </c>
      <c r="AV314" s="4">
        <v>1</v>
      </c>
      <c r="AW314" s="5">
        <v>39958</v>
      </c>
      <c r="AX314" s="5">
        <v>39960</v>
      </c>
      <c r="AY314" s="4"/>
      <c r="AZ314" s="5">
        <v>39918</v>
      </c>
      <c r="BA314" s="4"/>
      <c r="BB314" s="5">
        <v>39961</v>
      </c>
      <c r="BC314" s="4"/>
      <c r="BD314" s="4"/>
      <c r="BE314" s="5">
        <v>39961</v>
      </c>
      <c r="BF314" s="5">
        <v>39961</v>
      </c>
      <c r="BG314" s="5">
        <v>39909</v>
      </c>
      <c r="BH314" s="5">
        <v>39917</v>
      </c>
      <c r="BI314" s="4"/>
      <c r="BJ314" s="5">
        <v>39924</v>
      </c>
      <c r="BK314" s="4">
        <v>2</v>
      </c>
      <c r="BL314" s="4">
        <v>1</v>
      </c>
      <c r="BM314" s="5">
        <v>39925</v>
      </c>
      <c r="BN314" s="5">
        <v>39994</v>
      </c>
      <c r="BO314" s="4"/>
      <c r="BP314" s="4"/>
      <c r="BQ314" s="4"/>
      <c r="BR314" s="4"/>
      <c r="BS314" s="4"/>
      <c r="BT314" s="5">
        <v>39958</v>
      </c>
      <c r="BU314" s="5">
        <v>39958</v>
      </c>
      <c r="BV314" s="5">
        <v>39994</v>
      </c>
      <c r="BW314" s="5">
        <v>39994</v>
      </c>
      <c r="BX314" s="4"/>
      <c r="BY314" s="5">
        <v>40001</v>
      </c>
      <c r="BZ314" s="5">
        <v>40001</v>
      </c>
      <c r="CA314" s="4"/>
      <c r="CB314" s="4"/>
      <c r="CC314" s="4"/>
      <c r="CD314" s="4"/>
      <c r="CE314" s="4"/>
      <c r="CF314" s="4"/>
      <c r="CG314" s="4"/>
      <c r="CH314" s="4"/>
      <c r="CI314" s="5">
        <v>40001</v>
      </c>
      <c r="CJ314" s="5">
        <v>40001</v>
      </c>
      <c r="CK314" s="5">
        <v>40001</v>
      </c>
      <c r="CL314" s="4"/>
      <c r="CM314" s="4"/>
      <c r="CN314" s="4"/>
      <c r="CO314" s="4"/>
      <c r="CP314" s="4" t="s">
        <v>1094</v>
      </c>
      <c r="CQ314" s="4"/>
      <c r="CR314" s="5">
        <v>40001</v>
      </c>
      <c r="CS314" s="4"/>
      <c r="CT314" s="4"/>
      <c r="CU314" s="4"/>
      <c r="CV314" s="4"/>
      <c r="CW314" s="4"/>
      <c r="CX314" s="4"/>
      <c r="CY314" s="4"/>
      <c r="CZ314" s="4"/>
      <c r="DA314" s="4"/>
      <c r="DB314" s="4"/>
      <c r="DC314" s="4"/>
      <c r="DD314" s="4"/>
      <c r="DE314" s="4"/>
      <c r="DF314" s="4"/>
      <c r="DG314" s="4"/>
      <c r="DH314" s="4"/>
      <c r="DI314" s="4"/>
      <c r="DJ314" s="4" t="b">
        <v>0</v>
      </c>
      <c r="DK314" s="4"/>
      <c r="DL314" s="4">
        <v>2666655</v>
      </c>
      <c r="DM314" s="4">
        <v>6481084</v>
      </c>
      <c r="DN314" s="4" t="s">
        <v>1095</v>
      </c>
      <c r="DO314" s="4"/>
      <c r="DP314" s="4"/>
      <c r="DQ314" s="4" t="s">
        <v>328</v>
      </c>
      <c r="DR314" s="4"/>
      <c r="DS314" s="4"/>
      <c r="DT314" s="4"/>
      <c r="DU314" s="4"/>
      <c r="DV314" s="4"/>
      <c r="DW314" s="4"/>
      <c r="DX314" s="4"/>
      <c r="DY314" s="5">
        <v>39958</v>
      </c>
      <c r="DZ314" s="5">
        <v>39958</v>
      </c>
      <c r="EA314" s="4"/>
      <c r="EB314" s="4"/>
      <c r="EC314" s="4"/>
      <c r="ED314" s="4"/>
      <c r="EE314" s="4"/>
      <c r="EF314" s="4"/>
      <c r="EG314" s="4"/>
      <c r="EH314" s="4"/>
      <c r="EI314" s="5">
        <v>39905</v>
      </c>
    </row>
    <row r="315" spans="1:139" hidden="1" x14ac:dyDescent="0.2">
      <c r="A315">
        <f>VLOOKUP(B315,Sheet1!$A$1:$B$18,2,FALSE)</f>
        <v>0</v>
      </c>
      <c r="B315" t="str">
        <f t="shared" si="4"/>
        <v>AKL</v>
      </c>
      <c r="C315" s="2">
        <v>314</v>
      </c>
      <c r="D315" s="3" t="str">
        <f>HYPERLINK("https://sitebase.nzcomms.co.nz/spm/spmnominalview/AKL-007-145/","AKL-007-145")</f>
        <v>AKL-007-145</v>
      </c>
      <c r="E315" s="4"/>
      <c r="F315" s="3" t="str">
        <f>HYPERLINK("https://sitebase.nzcomms.co.nz/spm/spmcandidateview/AKL-007-145-C/","AKL-007-145-C")</f>
        <v>AKL-007-145-C</v>
      </c>
      <c r="G315" s="4" t="s">
        <v>1096</v>
      </c>
      <c r="H315" s="4" t="s">
        <v>745</v>
      </c>
      <c r="I315" s="4"/>
      <c r="J315" s="4" t="s">
        <v>139</v>
      </c>
      <c r="K315" s="4" t="s">
        <v>141</v>
      </c>
      <c r="L315" s="4" t="s">
        <v>189</v>
      </c>
      <c r="M315" s="4" t="s">
        <v>463</v>
      </c>
      <c r="N315" s="4" t="s">
        <v>191</v>
      </c>
      <c r="O315" s="4" t="s">
        <v>356</v>
      </c>
      <c r="P315" s="4"/>
      <c r="Q315" s="4"/>
      <c r="R315" s="4"/>
      <c r="S315" s="4"/>
      <c r="T315" s="4"/>
      <c r="U315" s="4">
        <v>-36.899665429999999</v>
      </c>
      <c r="V315" s="4">
        <v>174.83895677000001</v>
      </c>
      <c r="W315" s="4"/>
      <c r="X315" s="4"/>
      <c r="Y315" s="4"/>
      <c r="Z315" s="4"/>
      <c r="AA315" s="4" t="s">
        <v>171</v>
      </c>
      <c r="AB315" s="3" t="str">
        <f>HYPERLINK("https://sitebase.nzcomms.co.nz/spm/spmcandidateview/AKL-007-103-E/","AKL-007-103-E")</f>
        <v>AKL-007-103-E</v>
      </c>
      <c r="AC315" s="4"/>
      <c r="AD315" s="4"/>
      <c r="AE315" s="4"/>
      <c r="AF315" s="4"/>
      <c r="AG315" s="4"/>
      <c r="AH315" s="4"/>
      <c r="AI315" s="5">
        <v>40042</v>
      </c>
      <c r="AJ315" s="4"/>
      <c r="AK315" s="4"/>
      <c r="AL315" s="4"/>
      <c r="AM315" s="4"/>
      <c r="AN315" s="5">
        <v>40052</v>
      </c>
      <c r="AO315" s="4">
        <v>1</v>
      </c>
      <c r="AP315" s="5">
        <v>40046</v>
      </c>
      <c r="AQ315" s="5">
        <v>40052</v>
      </c>
      <c r="AR315" s="4"/>
      <c r="AS315" s="4"/>
      <c r="AT315" s="5">
        <v>40116</v>
      </c>
      <c r="AU315" s="5">
        <v>40114</v>
      </c>
      <c r="AV315" s="4"/>
      <c r="AW315" s="5">
        <v>40137</v>
      </c>
      <c r="AX315" s="4"/>
      <c r="AY315" s="4"/>
      <c r="AZ315" s="5">
        <v>40053</v>
      </c>
      <c r="BA315" s="4"/>
      <c r="BB315" s="5">
        <v>40053</v>
      </c>
      <c r="BC315" s="4"/>
      <c r="BD315" s="4"/>
      <c r="BE315" s="5">
        <v>40053</v>
      </c>
      <c r="BF315" s="5">
        <v>40053</v>
      </c>
      <c r="BG315" s="5">
        <v>40065</v>
      </c>
      <c r="BH315" s="5">
        <v>40073</v>
      </c>
      <c r="BI315" s="4"/>
      <c r="BJ315" s="5">
        <v>40079</v>
      </c>
      <c r="BK315" s="4">
        <v>1</v>
      </c>
      <c r="BL315" s="4"/>
      <c r="BM315" s="5">
        <v>40086</v>
      </c>
      <c r="BN315" s="5">
        <v>40079</v>
      </c>
      <c r="BO315" s="5">
        <v>40142</v>
      </c>
      <c r="BP315" s="4"/>
      <c r="BQ315" s="4"/>
      <c r="BR315" s="4"/>
      <c r="BS315" s="4"/>
      <c r="BT315" s="5">
        <v>40128</v>
      </c>
      <c r="BU315" s="5">
        <v>40128</v>
      </c>
      <c r="BV315" s="5">
        <v>40149</v>
      </c>
      <c r="BW315" s="5">
        <v>40149</v>
      </c>
      <c r="BX315" s="4"/>
      <c r="BY315" s="5">
        <v>40150</v>
      </c>
      <c r="BZ315" s="5">
        <v>40150</v>
      </c>
      <c r="CA315" s="4"/>
      <c r="CB315" s="4"/>
      <c r="CC315" s="4"/>
      <c r="CD315" s="4"/>
      <c r="CE315" s="4"/>
      <c r="CF315" s="4"/>
      <c r="CG315" s="4"/>
      <c r="CH315" s="4"/>
      <c r="CI315" s="5">
        <v>40151</v>
      </c>
      <c r="CJ315" s="5">
        <v>40151</v>
      </c>
      <c r="CK315" s="5">
        <v>40151</v>
      </c>
      <c r="CL315" s="4"/>
      <c r="CM315" s="4"/>
      <c r="CN315" s="4"/>
      <c r="CO315" s="4"/>
      <c r="CP315" s="4" t="s">
        <v>1097</v>
      </c>
      <c r="CQ315" s="4"/>
      <c r="CR315" s="5">
        <v>40151</v>
      </c>
      <c r="CS315" s="4"/>
      <c r="CT315" s="4"/>
      <c r="CU315" s="4"/>
      <c r="CV315" s="4"/>
      <c r="CW315" s="5">
        <v>40128</v>
      </c>
      <c r="CX315" s="5">
        <v>40142</v>
      </c>
      <c r="CY315" s="4"/>
      <c r="CZ315" s="4"/>
      <c r="DA315" s="4"/>
      <c r="DB315" s="4"/>
      <c r="DC315" s="4"/>
      <c r="DD315" s="4"/>
      <c r="DE315" s="4"/>
      <c r="DF315" s="4"/>
      <c r="DG315" s="4"/>
      <c r="DH315" s="4"/>
      <c r="DI315" s="4"/>
      <c r="DJ315" s="4" t="b">
        <v>0</v>
      </c>
      <c r="DK315" s="4"/>
      <c r="DL315" s="4">
        <v>2674270</v>
      </c>
      <c r="DM315" s="4">
        <v>6476363</v>
      </c>
      <c r="DN315" s="4" t="s">
        <v>1098</v>
      </c>
      <c r="DO315" s="4"/>
      <c r="DP315" s="4"/>
      <c r="DQ315" s="4" t="s">
        <v>148</v>
      </c>
      <c r="DR315" s="4"/>
      <c r="DS315" s="4"/>
      <c r="DT315" s="5">
        <v>41863</v>
      </c>
      <c r="DU315" s="4"/>
      <c r="DV315" s="4"/>
      <c r="DW315" s="4"/>
      <c r="DX315" s="4"/>
      <c r="DY315" s="4"/>
      <c r="DZ315" s="5">
        <v>40128</v>
      </c>
      <c r="EA315" s="4"/>
      <c r="EB315" s="4"/>
      <c r="EC315" s="4"/>
      <c r="ED315" s="4"/>
      <c r="EE315" s="4"/>
      <c r="EF315" s="4"/>
      <c r="EG315" s="4"/>
      <c r="EH315" s="4"/>
      <c r="EI315" s="5">
        <v>40051</v>
      </c>
    </row>
    <row r="316" spans="1:139" hidden="1" x14ac:dyDescent="0.2">
      <c r="A316">
        <f>VLOOKUP(B316,Sheet1!$A$1:$B$18,2,FALSE)</f>
        <v>0</v>
      </c>
      <c r="B316" t="str">
        <f t="shared" si="4"/>
        <v>AKL</v>
      </c>
      <c r="C316" s="2">
        <v>315</v>
      </c>
      <c r="D316" s="3" t="str">
        <f>HYPERLINK("https://sitebase.nzcomms.co.nz/spm/spmnominalview/AKL-007-146/","AKL-007-146")</f>
        <v>AKL-007-146</v>
      </c>
      <c r="E316" s="4"/>
      <c r="F316" s="3" t="str">
        <f>HYPERLINK("https://sitebase.nzcomms.co.nz/spm/spmcandidateview/AKL-007-146-A/","AKL-007-146-A")</f>
        <v>AKL-007-146-A</v>
      </c>
      <c r="G316" s="4" t="s">
        <v>1099</v>
      </c>
      <c r="H316" s="4" t="s">
        <v>745</v>
      </c>
      <c r="I316" s="4"/>
      <c r="J316" s="4" t="s">
        <v>139</v>
      </c>
      <c r="K316" s="4" t="s">
        <v>141</v>
      </c>
      <c r="L316" s="4" t="s">
        <v>181</v>
      </c>
      <c r="M316" s="4" t="s">
        <v>463</v>
      </c>
      <c r="N316" s="4" t="s">
        <v>364</v>
      </c>
      <c r="O316" s="4" t="s">
        <v>144</v>
      </c>
      <c r="P316" s="4"/>
      <c r="Q316" s="4"/>
      <c r="R316" s="4">
        <v>31.1</v>
      </c>
      <c r="S316" s="4">
        <v>31.1</v>
      </c>
      <c r="T316" s="4"/>
      <c r="U316" s="4">
        <v>-36.858377140000002</v>
      </c>
      <c r="V316" s="4">
        <v>174.76040295000001</v>
      </c>
      <c r="W316" s="4"/>
      <c r="X316" s="4"/>
      <c r="Y316" s="4"/>
      <c r="Z316" s="4"/>
      <c r="AA316" s="4" t="s">
        <v>171</v>
      </c>
      <c r="AB316" s="3" t="str">
        <f>HYPERLINK("https://sitebase.nzcomms.co.nz/spm/spmcandidateview/AKL-007-041-B/","AKL-007-041-B")</f>
        <v>AKL-007-041-B</v>
      </c>
      <c r="AC316" s="4"/>
      <c r="AD316" s="4"/>
      <c r="AE316" s="4"/>
      <c r="AF316" s="4"/>
      <c r="AG316" s="4"/>
      <c r="AH316" s="4"/>
      <c r="AI316" s="4"/>
      <c r="AJ316" s="4"/>
      <c r="AK316" s="4"/>
      <c r="AL316" s="4"/>
      <c r="AM316" s="4"/>
      <c r="AN316" s="5">
        <v>39969</v>
      </c>
      <c r="AO316" s="4">
        <v>4</v>
      </c>
      <c r="AP316" s="5">
        <v>39962</v>
      </c>
      <c r="AQ316" s="5">
        <v>42144</v>
      </c>
      <c r="AR316" s="4"/>
      <c r="AS316" s="4"/>
      <c r="AT316" s="5">
        <v>39994</v>
      </c>
      <c r="AU316" s="5">
        <v>39990</v>
      </c>
      <c r="AV316" s="4">
        <v>3</v>
      </c>
      <c r="AW316" s="5">
        <v>40035</v>
      </c>
      <c r="AX316" s="5">
        <v>40035</v>
      </c>
      <c r="AY316" s="4"/>
      <c r="AZ316" s="5">
        <v>39969</v>
      </c>
      <c r="BA316" s="4"/>
      <c r="BB316" s="5">
        <v>40009</v>
      </c>
      <c r="BC316" s="4"/>
      <c r="BD316" s="4"/>
      <c r="BE316" s="5">
        <v>40046</v>
      </c>
      <c r="BF316" s="5">
        <v>40050</v>
      </c>
      <c r="BG316" s="5">
        <v>39988</v>
      </c>
      <c r="BH316" s="5">
        <v>39982</v>
      </c>
      <c r="BI316" s="4"/>
      <c r="BJ316" s="5">
        <v>40010</v>
      </c>
      <c r="BK316" s="4">
        <v>4</v>
      </c>
      <c r="BL316" s="4"/>
      <c r="BM316" s="5">
        <v>40009</v>
      </c>
      <c r="BN316" s="5">
        <v>42299</v>
      </c>
      <c r="BO316" s="4"/>
      <c r="BP316" s="4"/>
      <c r="BQ316" s="4"/>
      <c r="BR316" s="4"/>
      <c r="BS316" s="4"/>
      <c r="BT316" s="5">
        <v>40035</v>
      </c>
      <c r="BU316" s="5">
        <v>40037</v>
      </c>
      <c r="BV316" s="5">
        <v>40067</v>
      </c>
      <c r="BW316" s="5">
        <v>40067</v>
      </c>
      <c r="BX316" s="4"/>
      <c r="BY316" s="5">
        <v>40078</v>
      </c>
      <c r="BZ316" s="5">
        <v>40079</v>
      </c>
      <c r="CA316" s="4"/>
      <c r="CB316" s="4"/>
      <c r="CC316" s="4"/>
      <c r="CD316" s="4"/>
      <c r="CE316" s="4"/>
      <c r="CF316" s="4"/>
      <c r="CG316" s="4"/>
      <c r="CH316" s="4"/>
      <c r="CI316" s="5">
        <v>40081</v>
      </c>
      <c r="CJ316" s="5">
        <v>40081</v>
      </c>
      <c r="CK316" s="5">
        <v>40081</v>
      </c>
      <c r="CL316" s="4"/>
      <c r="CM316" s="4"/>
      <c r="CN316" s="4"/>
      <c r="CO316" s="4"/>
      <c r="CP316" s="4" t="s">
        <v>1100</v>
      </c>
      <c r="CQ316" s="4"/>
      <c r="CR316" s="5">
        <v>40081</v>
      </c>
      <c r="CS316" s="4"/>
      <c r="CT316" s="4"/>
      <c r="CU316" s="4"/>
      <c r="CV316" s="4"/>
      <c r="CW316" s="4"/>
      <c r="CX316" s="4"/>
      <c r="CY316" s="4"/>
      <c r="CZ316" s="4"/>
      <c r="DA316" s="4"/>
      <c r="DB316" s="4"/>
      <c r="DC316" s="4"/>
      <c r="DD316" s="4"/>
      <c r="DE316" s="4"/>
      <c r="DF316" s="4"/>
      <c r="DG316" s="4"/>
      <c r="DH316" s="4"/>
      <c r="DI316" s="4"/>
      <c r="DJ316" s="4" t="b">
        <v>0</v>
      </c>
      <c r="DK316" s="4"/>
      <c r="DL316" s="4">
        <v>2667364</v>
      </c>
      <c r="DM316" s="4">
        <v>6481090</v>
      </c>
      <c r="DN316" s="4" t="s">
        <v>1101</v>
      </c>
      <c r="DO316" s="4"/>
      <c r="DP316" s="4"/>
      <c r="DQ316" s="4" t="s">
        <v>148</v>
      </c>
      <c r="DR316" s="4"/>
      <c r="DS316" s="4"/>
      <c r="DT316" s="5">
        <v>41806</v>
      </c>
      <c r="DU316" s="4"/>
      <c r="DV316" s="4"/>
      <c r="DW316" s="4"/>
      <c r="DX316" s="4"/>
      <c r="DY316" s="5">
        <v>40035</v>
      </c>
      <c r="DZ316" s="5">
        <v>40037</v>
      </c>
      <c r="EA316" s="4"/>
      <c r="EB316" s="4"/>
      <c r="EC316" s="4"/>
      <c r="ED316" s="4"/>
      <c r="EE316" s="4"/>
      <c r="EF316" s="4"/>
      <c r="EG316" s="4"/>
      <c r="EH316" s="4"/>
      <c r="EI316" s="5">
        <v>39954</v>
      </c>
    </row>
    <row r="317" spans="1:139" hidden="1" x14ac:dyDescent="0.2">
      <c r="A317">
        <f>VLOOKUP(B317,Sheet1!$A$1:$B$18,2,FALSE)</f>
        <v>0</v>
      </c>
      <c r="B317" t="str">
        <f t="shared" si="4"/>
        <v>AKL</v>
      </c>
      <c r="C317" s="2">
        <v>316</v>
      </c>
      <c r="D317" s="3" t="str">
        <f>HYPERLINK("https://sitebase.nzcomms.co.nz/spm/spmnominalview/AKL-007-147/","AKL-007-147")</f>
        <v>AKL-007-147</v>
      </c>
      <c r="E317" s="4"/>
      <c r="F317" s="3" t="str">
        <f>HYPERLINK("https://sitebase.nzcomms.co.nz/spm/spmcandidateview/AKL-007-147-A/","AKL-007-147-A")</f>
        <v>AKL-007-147-A</v>
      </c>
      <c r="G317" s="4" t="s">
        <v>1102</v>
      </c>
      <c r="H317" s="4" t="s">
        <v>745</v>
      </c>
      <c r="I317" s="4"/>
      <c r="J317" s="4" t="s">
        <v>139</v>
      </c>
      <c r="K317" s="4" t="s">
        <v>141</v>
      </c>
      <c r="L317" s="4" t="s">
        <v>181</v>
      </c>
      <c r="M317" s="4" t="s">
        <v>378</v>
      </c>
      <c r="N317" s="4" t="s">
        <v>364</v>
      </c>
      <c r="O317" s="4" t="s">
        <v>144</v>
      </c>
      <c r="P317" s="4"/>
      <c r="Q317" s="4"/>
      <c r="R317" s="4">
        <v>17.5</v>
      </c>
      <c r="S317" s="4">
        <v>17.5</v>
      </c>
      <c r="T317" s="4"/>
      <c r="U317" s="4">
        <v>-36.865919570000003</v>
      </c>
      <c r="V317" s="4">
        <v>174.76049401</v>
      </c>
      <c r="W317" s="4"/>
      <c r="X317" s="4"/>
      <c r="Y317" s="4"/>
      <c r="Z317" s="4"/>
      <c r="AA317" s="4" t="s">
        <v>171</v>
      </c>
      <c r="AB317" s="3" t="str">
        <f>HYPERLINK("https://sitebase.nzcomms.co.nz/spm/spmcandidateview/AKL-007-015-C/","AKL-007-015-C")</f>
        <v>AKL-007-015-C</v>
      </c>
      <c r="AC317" s="4"/>
      <c r="AD317" s="4"/>
      <c r="AE317" s="4"/>
      <c r="AF317" s="4"/>
      <c r="AG317" s="4"/>
      <c r="AH317" s="4"/>
      <c r="AI317" s="4"/>
      <c r="AJ317" s="4"/>
      <c r="AK317" s="4"/>
      <c r="AL317" s="4"/>
      <c r="AM317" s="4"/>
      <c r="AN317" s="5">
        <v>39952</v>
      </c>
      <c r="AO317" s="4">
        <v>2</v>
      </c>
      <c r="AP317" s="5">
        <v>39953</v>
      </c>
      <c r="AQ317" s="5">
        <v>39980</v>
      </c>
      <c r="AR317" s="4"/>
      <c r="AS317" s="4"/>
      <c r="AT317" s="5">
        <v>39969</v>
      </c>
      <c r="AU317" s="5">
        <v>39962</v>
      </c>
      <c r="AV317" s="4">
        <v>1</v>
      </c>
      <c r="AW317" s="5">
        <v>39969</v>
      </c>
      <c r="AX317" s="5">
        <v>39962</v>
      </c>
      <c r="AY317" s="4"/>
      <c r="AZ317" s="5">
        <v>39955</v>
      </c>
      <c r="BA317" s="4"/>
      <c r="BB317" s="5">
        <v>39994</v>
      </c>
      <c r="BC317" s="4"/>
      <c r="BD317" s="4"/>
      <c r="BE317" s="5">
        <v>39994</v>
      </c>
      <c r="BF317" s="5">
        <v>39994</v>
      </c>
      <c r="BG317" s="5">
        <v>39950</v>
      </c>
      <c r="BH317" s="5">
        <v>39958</v>
      </c>
      <c r="BI317" s="4"/>
      <c r="BJ317" s="5">
        <v>39980</v>
      </c>
      <c r="BK317" s="4">
        <v>1</v>
      </c>
      <c r="BL317" s="4">
        <v>1</v>
      </c>
      <c r="BM317" s="5">
        <v>39979</v>
      </c>
      <c r="BN317" s="5">
        <v>39980</v>
      </c>
      <c r="BO317" s="4"/>
      <c r="BP317" s="4"/>
      <c r="BQ317" s="4"/>
      <c r="BR317" s="4"/>
      <c r="BS317" s="4"/>
      <c r="BT317" s="5">
        <v>40014</v>
      </c>
      <c r="BU317" s="5">
        <v>40015</v>
      </c>
      <c r="BV317" s="5">
        <v>40044</v>
      </c>
      <c r="BW317" s="5">
        <v>40044</v>
      </c>
      <c r="BX317" s="4"/>
      <c r="BY317" s="5">
        <v>40050</v>
      </c>
      <c r="BZ317" s="5">
        <v>40056</v>
      </c>
      <c r="CA317" s="4"/>
      <c r="CB317" s="4"/>
      <c r="CC317" s="4"/>
      <c r="CD317" s="4"/>
      <c r="CE317" s="4"/>
      <c r="CF317" s="4"/>
      <c r="CG317" s="4"/>
      <c r="CH317" s="4"/>
      <c r="CI317" s="5">
        <v>40056</v>
      </c>
      <c r="CJ317" s="5">
        <v>40056</v>
      </c>
      <c r="CK317" s="5">
        <v>40056</v>
      </c>
      <c r="CL317" s="4"/>
      <c r="CM317" s="4"/>
      <c r="CN317" s="4"/>
      <c r="CO317" s="4"/>
      <c r="CP317" s="4" t="s">
        <v>1103</v>
      </c>
      <c r="CQ317" s="4"/>
      <c r="CR317" s="5">
        <v>40056</v>
      </c>
      <c r="CS317" s="4"/>
      <c r="CT317" s="4"/>
      <c r="CU317" s="4"/>
      <c r="CV317" s="4"/>
      <c r="CW317" s="4"/>
      <c r="CX317" s="4"/>
      <c r="CY317" s="4"/>
      <c r="CZ317" s="4"/>
      <c r="DA317" s="4"/>
      <c r="DB317" s="4"/>
      <c r="DC317" s="4"/>
      <c r="DD317" s="4"/>
      <c r="DE317" s="4"/>
      <c r="DF317" s="4"/>
      <c r="DG317" s="4"/>
      <c r="DH317" s="4"/>
      <c r="DI317" s="4"/>
      <c r="DJ317" s="4" t="b">
        <v>0</v>
      </c>
      <c r="DK317" s="4"/>
      <c r="DL317" s="4">
        <v>2667355</v>
      </c>
      <c r="DM317" s="4">
        <v>6480253</v>
      </c>
      <c r="DN317" s="4" t="s">
        <v>1104</v>
      </c>
      <c r="DO317" s="4"/>
      <c r="DP317" s="4"/>
      <c r="DQ317" s="4" t="s">
        <v>148</v>
      </c>
      <c r="DR317" s="4"/>
      <c r="DS317" s="4"/>
      <c r="DT317" s="5">
        <v>41806</v>
      </c>
      <c r="DU317" s="4"/>
      <c r="DV317" s="4"/>
      <c r="DW317" s="4"/>
      <c r="DX317" s="4"/>
      <c r="DY317" s="5">
        <v>40014</v>
      </c>
      <c r="DZ317" s="5">
        <v>40015</v>
      </c>
      <c r="EA317" s="4"/>
      <c r="EB317" s="4"/>
      <c r="EC317" s="4"/>
      <c r="ED317" s="4"/>
      <c r="EE317" s="4"/>
      <c r="EF317" s="4"/>
      <c r="EG317" s="4"/>
      <c r="EH317" s="4"/>
      <c r="EI317" s="5">
        <v>39944</v>
      </c>
    </row>
    <row r="318" spans="1:139" hidden="1" x14ac:dyDescent="0.2">
      <c r="A318">
        <f>VLOOKUP(B318,Sheet1!$A$1:$B$18,2,FALSE)</f>
        <v>0</v>
      </c>
      <c r="B318" t="str">
        <f t="shared" si="4"/>
        <v>AKL</v>
      </c>
      <c r="C318" s="2">
        <v>317</v>
      </c>
      <c r="D318" s="3" t="str">
        <f>HYPERLINK("https://sitebase.nzcomms.co.nz/spm/spmnominalview/AKL-007-148/","AKL-007-148")</f>
        <v>AKL-007-148</v>
      </c>
      <c r="E318" s="4"/>
      <c r="F318" s="4"/>
      <c r="G318" s="4"/>
      <c r="H318" s="4" t="s">
        <v>745</v>
      </c>
      <c r="I318" s="4"/>
      <c r="J318" s="4" t="s">
        <v>139</v>
      </c>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row>
    <row r="319" spans="1:139" hidden="1" x14ac:dyDescent="0.2">
      <c r="A319">
        <f>VLOOKUP(B319,Sheet1!$A$1:$B$18,2,FALSE)</f>
        <v>0</v>
      </c>
      <c r="B319" t="str">
        <f t="shared" si="4"/>
        <v>AKL</v>
      </c>
      <c r="C319" s="2">
        <v>318</v>
      </c>
      <c r="D319" s="3" t="str">
        <f>HYPERLINK("https://sitebase.nzcomms.co.nz/spm/spmnominalview/AKL-007-149/","AKL-007-149")</f>
        <v>AKL-007-149</v>
      </c>
      <c r="E319" s="4" t="s">
        <v>1105</v>
      </c>
      <c r="F319" s="4"/>
      <c r="G319" s="4"/>
      <c r="H319" s="4" t="s">
        <v>745</v>
      </c>
      <c r="I319" s="4"/>
      <c r="J319" s="4" t="s">
        <v>196</v>
      </c>
      <c r="K319" s="4"/>
      <c r="L319" s="4"/>
      <c r="M319" s="4"/>
      <c r="N319" s="4"/>
      <c r="O319" s="4"/>
      <c r="P319" s="4"/>
      <c r="Q319" s="4"/>
      <c r="R319" s="4"/>
      <c r="S319" s="4"/>
      <c r="T319" s="4"/>
      <c r="U319" s="4"/>
      <c r="V319" s="4"/>
      <c r="W319" s="4"/>
      <c r="X319" s="4"/>
      <c r="Y319" s="4"/>
      <c r="Z319" s="4"/>
      <c r="AA319" s="4"/>
      <c r="AB319" s="4"/>
      <c r="AC319" s="4"/>
      <c r="AD319" s="4"/>
      <c r="AE319" s="4"/>
      <c r="AF319" s="4"/>
      <c r="AG319" s="4" t="b">
        <v>0</v>
      </c>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t="s">
        <v>1106</v>
      </c>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row>
    <row r="320" spans="1:139" hidden="1" x14ac:dyDescent="0.2">
      <c r="A320">
        <f>VLOOKUP(B320,Sheet1!$A$1:$B$18,2,FALSE)</f>
        <v>0</v>
      </c>
      <c r="B320" t="str">
        <f t="shared" si="4"/>
        <v>AKL</v>
      </c>
      <c r="C320" s="2">
        <v>319</v>
      </c>
      <c r="D320" s="3" t="str">
        <f>HYPERLINK("https://sitebase.nzcomms.co.nz/spm/spmnominalview/AKL-007-150/","AKL-007-150")</f>
        <v>AKL-007-150</v>
      </c>
      <c r="E320" s="4" t="s">
        <v>1107</v>
      </c>
      <c r="F320" s="4"/>
      <c r="G320" s="4"/>
      <c r="H320" s="4" t="s">
        <v>745</v>
      </c>
      <c r="I320" s="4"/>
      <c r="J320" s="4" t="s">
        <v>196</v>
      </c>
      <c r="K320" s="4"/>
      <c r="L320" s="4"/>
      <c r="M320" s="4"/>
      <c r="N320" s="4"/>
      <c r="O320" s="4"/>
      <c r="P320" s="4"/>
      <c r="Q320" s="4"/>
      <c r="R320" s="4"/>
      <c r="S320" s="4"/>
      <c r="T320" s="4"/>
      <c r="U320" s="4"/>
      <c r="V320" s="4"/>
      <c r="W320" s="4"/>
      <c r="X320" s="4"/>
      <c r="Y320" s="4"/>
      <c r="Z320" s="4"/>
      <c r="AA320" s="4"/>
      <c r="AB320" s="4"/>
      <c r="AC320" s="4"/>
      <c r="AD320" s="4"/>
      <c r="AE320" s="4"/>
      <c r="AF320" s="4"/>
      <c r="AG320" s="4" t="b">
        <v>0</v>
      </c>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t="s">
        <v>1108</v>
      </c>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row>
    <row r="321" spans="1:139" hidden="1" x14ac:dyDescent="0.2">
      <c r="A321">
        <f>VLOOKUP(B321,Sheet1!$A$1:$B$18,2,FALSE)</f>
        <v>0</v>
      </c>
      <c r="B321" t="str">
        <f t="shared" si="4"/>
        <v>AKL</v>
      </c>
      <c r="C321" s="2">
        <v>320</v>
      </c>
      <c r="D321" s="3" t="str">
        <f>HYPERLINK("https://sitebase.nzcomms.co.nz/spm/spmnominalview/AKL-007-151/","AKL-007-151")</f>
        <v>AKL-007-151</v>
      </c>
      <c r="E321" s="4" t="s">
        <v>1109</v>
      </c>
      <c r="F321" s="4"/>
      <c r="G321" s="4"/>
      <c r="H321" s="4" t="s">
        <v>745</v>
      </c>
      <c r="I321" s="4"/>
      <c r="J321" s="4" t="s">
        <v>196</v>
      </c>
      <c r="K321" s="4"/>
      <c r="L321" s="4"/>
      <c r="M321" s="4"/>
      <c r="N321" s="4"/>
      <c r="O321" s="4"/>
      <c r="P321" s="4"/>
      <c r="Q321" s="4"/>
      <c r="R321" s="4"/>
      <c r="S321" s="4"/>
      <c r="T321" s="4"/>
      <c r="U321" s="4"/>
      <c r="V321" s="4"/>
      <c r="W321" s="4"/>
      <c r="X321" s="4"/>
      <c r="Y321" s="4"/>
      <c r="Z321" s="4"/>
      <c r="AA321" s="4"/>
      <c r="AB321" s="4"/>
      <c r="AC321" s="4"/>
      <c r="AD321" s="4"/>
      <c r="AE321" s="4"/>
      <c r="AF321" s="4"/>
      <c r="AG321" s="4" t="b">
        <v>0</v>
      </c>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t="s">
        <v>1110</v>
      </c>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row>
    <row r="322" spans="1:139" hidden="1" x14ac:dyDescent="0.2">
      <c r="A322">
        <f>VLOOKUP(B322,Sheet1!$A$1:$B$18,2,FALSE)</f>
        <v>0</v>
      </c>
      <c r="B322" t="str">
        <f t="shared" si="4"/>
        <v>AKL</v>
      </c>
      <c r="C322" s="2">
        <v>321</v>
      </c>
      <c r="D322" s="3" t="str">
        <f>HYPERLINK("https://sitebase.nzcomms.co.nz/spm/spmnominalview/AKL-007-152/","AKL-007-152")</f>
        <v>AKL-007-152</v>
      </c>
      <c r="E322" s="4" t="s">
        <v>1111</v>
      </c>
      <c r="F322" s="4"/>
      <c r="G322" s="4"/>
      <c r="H322" s="4" t="s">
        <v>745</v>
      </c>
      <c r="I322" s="4"/>
      <c r="J322" s="4" t="s">
        <v>196</v>
      </c>
      <c r="K322" s="4"/>
      <c r="L322" s="4"/>
      <c r="M322" s="4"/>
      <c r="N322" s="4"/>
      <c r="O322" s="4"/>
      <c r="P322" s="4"/>
      <c r="Q322" s="4"/>
      <c r="R322" s="4"/>
      <c r="S322" s="4"/>
      <c r="T322" s="4"/>
      <c r="U322" s="4"/>
      <c r="V322" s="4"/>
      <c r="W322" s="4"/>
      <c r="X322" s="4"/>
      <c r="Y322" s="4"/>
      <c r="Z322" s="4"/>
      <c r="AA322" s="4"/>
      <c r="AB322" s="4"/>
      <c r="AC322" s="4"/>
      <c r="AD322" s="4"/>
      <c r="AE322" s="4"/>
      <c r="AF322" s="4"/>
      <c r="AG322" s="4" t="b">
        <v>0</v>
      </c>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t="s">
        <v>1112</v>
      </c>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row>
    <row r="323" spans="1:139" hidden="1" x14ac:dyDescent="0.2">
      <c r="A323">
        <f>VLOOKUP(B323,Sheet1!$A$1:$B$18,2,FALSE)</f>
        <v>0</v>
      </c>
      <c r="B323" t="str">
        <f t="shared" ref="B323:B386" si="5">LEFT(D323,3)</f>
        <v>AKL</v>
      </c>
      <c r="C323" s="2">
        <v>322</v>
      </c>
      <c r="D323" s="3" t="str">
        <f>HYPERLINK("https://sitebase.nzcomms.co.nz/spm/spmnominalview/AKL-007-153/","AKL-007-153")</f>
        <v>AKL-007-153</v>
      </c>
      <c r="E323" s="4"/>
      <c r="F323" s="4"/>
      <c r="G323" s="4"/>
      <c r="H323" s="4" t="s">
        <v>745</v>
      </c>
      <c r="I323" s="4"/>
      <c r="J323" s="4" t="s">
        <v>196</v>
      </c>
      <c r="K323" s="4"/>
      <c r="L323" s="4"/>
      <c r="M323" s="4"/>
      <c r="N323" s="4"/>
      <c r="O323" s="4"/>
      <c r="P323" s="4"/>
      <c r="Q323" s="4"/>
      <c r="R323" s="4"/>
      <c r="S323" s="4"/>
      <c r="T323" s="4"/>
      <c r="U323" s="4"/>
      <c r="V323" s="4"/>
      <c r="W323" s="4"/>
      <c r="X323" s="4"/>
      <c r="Y323" s="4"/>
      <c r="Z323" s="4"/>
      <c r="AA323" s="4"/>
      <c r="AB323" s="4"/>
      <c r="AC323" s="4"/>
      <c r="AD323" s="4"/>
      <c r="AE323" s="4"/>
      <c r="AF323" s="4"/>
      <c r="AG323" s="4" t="b">
        <v>0</v>
      </c>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row>
    <row r="324" spans="1:139" hidden="1" x14ac:dyDescent="0.2">
      <c r="A324">
        <f>VLOOKUP(B324,Sheet1!$A$1:$B$18,2,FALSE)</f>
        <v>0</v>
      </c>
      <c r="B324" t="str">
        <f t="shared" si="5"/>
        <v>AKL</v>
      </c>
      <c r="C324" s="2">
        <v>323</v>
      </c>
      <c r="D324" s="3" t="str">
        <f>HYPERLINK("https://sitebase.nzcomms.co.nz/spm/spmnominalview/AKL-007-154/","AKL-007-154")</f>
        <v>AKL-007-154</v>
      </c>
      <c r="E324" s="4"/>
      <c r="F324" s="4"/>
      <c r="G324" s="4"/>
      <c r="H324" s="4" t="s">
        <v>745</v>
      </c>
      <c r="I324" s="4"/>
      <c r="J324" s="4" t="s">
        <v>196</v>
      </c>
      <c r="K324" s="4"/>
      <c r="L324" s="4"/>
      <c r="M324" s="4"/>
      <c r="N324" s="4"/>
      <c r="O324" s="4"/>
      <c r="P324" s="4"/>
      <c r="Q324" s="4"/>
      <c r="R324" s="4"/>
      <c r="S324" s="4"/>
      <c r="T324" s="4"/>
      <c r="U324" s="4"/>
      <c r="V324" s="4"/>
      <c r="W324" s="4"/>
      <c r="X324" s="4"/>
      <c r="Y324" s="4"/>
      <c r="Z324" s="4"/>
      <c r="AA324" s="4"/>
      <c r="AB324" s="4"/>
      <c r="AC324" s="4"/>
      <c r="AD324" s="4"/>
      <c r="AE324" s="4"/>
      <c r="AF324" s="4"/>
      <c r="AG324" s="4" t="b">
        <v>0</v>
      </c>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row>
    <row r="325" spans="1:139" hidden="1" x14ac:dyDescent="0.2">
      <c r="A325">
        <f>VLOOKUP(B325,Sheet1!$A$1:$B$18,2,FALSE)</f>
        <v>0</v>
      </c>
      <c r="B325" t="str">
        <f t="shared" si="5"/>
        <v>AKL</v>
      </c>
      <c r="C325" s="2">
        <v>324</v>
      </c>
      <c r="D325" s="3" t="str">
        <f>HYPERLINK("https://sitebase.nzcomms.co.nz/spm/spmnominalview/AKL-007-155/","AKL-007-155")</f>
        <v>AKL-007-155</v>
      </c>
      <c r="E325" s="4" t="s">
        <v>1113</v>
      </c>
      <c r="F325" s="4"/>
      <c r="G325" s="4"/>
      <c r="H325" s="4" t="s">
        <v>745</v>
      </c>
      <c r="I325" s="4"/>
      <c r="J325" s="4" t="s">
        <v>196</v>
      </c>
      <c r="K325" s="4"/>
      <c r="L325" s="4"/>
      <c r="M325" s="4"/>
      <c r="N325" s="4"/>
      <c r="O325" s="4"/>
      <c r="P325" s="4"/>
      <c r="Q325" s="4"/>
      <c r="R325" s="4"/>
      <c r="S325" s="4"/>
      <c r="T325" s="4"/>
      <c r="U325" s="4"/>
      <c r="V325" s="4"/>
      <c r="W325" s="4"/>
      <c r="X325" s="4"/>
      <c r="Y325" s="4"/>
      <c r="Z325" s="4"/>
      <c r="AA325" s="4"/>
      <c r="AB325" s="4"/>
      <c r="AC325" s="4"/>
      <c r="AD325" s="4"/>
      <c r="AE325" s="4"/>
      <c r="AF325" s="4"/>
      <c r="AG325" s="4" t="b">
        <v>0</v>
      </c>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t="s">
        <v>1114</v>
      </c>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row>
    <row r="326" spans="1:139" hidden="1" x14ac:dyDescent="0.2">
      <c r="A326">
        <f>VLOOKUP(B326,Sheet1!$A$1:$B$18,2,FALSE)</f>
        <v>0</v>
      </c>
      <c r="B326" t="str">
        <f t="shared" si="5"/>
        <v>AKL</v>
      </c>
      <c r="C326" s="2">
        <v>325</v>
      </c>
      <c r="D326" s="3" t="str">
        <f>HYPERLINK("https://sitebase.nzcomms.co.nz/spm/spmnominalview/AKL-007-156/","AKL-007-156")</f>
        <v>AKL-007-156</v>
      </c>
      <c r="E326" s="4" t="s">
        <v>1115</v>
      </c>
      <c r="F326" s="4"/>
      <c r="G326" s="4"/>
      <c r="H326" s="4" t="s">
        <v>745</v>
      </c>
      <c r="I326" s="4"/>
      <c r="J326" s="4" t="s">
        <v>196</v>
      </c>
      <c r="K326" s="4"/>
      <c r="L326" s="4"/>
      <c r="M326" s="4"/>
      <c r="N326" s="4"/>
      <c r="O326" s="4"/>
      <c r="P326" s="4"/>
      <c r="Q326" s="4"/>
      <c r="R326" s="4"/>
      <c r="S326" s="4"/>
      <c r="T326" s="4"/>
      <c r="U326" s="4"/>
      <c r="V326" s="4"/>
      <c r="W326" s="4"/>
      <c r="X326" s="4"/>
      <c r="Y326" s="4"/>
      <c r="Z326" s="4"/>
      <c r="AA326" s="4"/>
      <c r="AB326" s="4"/>
      <c r="AC326" s="4"/>
      <c r="AD326" s="4"/>
      <c r="AE326" s="4"/>
      <c r="AF326" s="4"/>
      <c r="AG326" s="4" t="b">
        <v>0</v>
      </c>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t="s">
        <v>1116</v>
      </c>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row>
    <row r="327" spans="1:139" hidden="1" x14ac:dyDescent="0.2">
      <c r="A327">
        <f>VLOOKUP(B327,Sheet1!$A$1:$B$18,2,FALSE)</f>
        <v>0</v>
      </c>
      <c r="B327" t="str">
        <f t="shared" si="5"/>
        <v>AKL</v>
      </c>
      <c r="C327" s="2">
        <v>326</v>
      </c>
      <c r="D327" s="3" t="str">
        <f>HYPERLINK("https://sitebase.nzcomms.co.nz/spm/spmnominalview/AKL-007-157/","AKL-007-157")</f>
        <v>AKL-007-157</v>
      </c>
      <c r="E327" s="4" t="s">
        <v>1117</v>
      </c>
      <c r="F327" s="4"/>
      <c r="G327" s="4"/>
      <c r="H327" s="4" t="s">
        <v>745</v>
      </c>
      <c r="I327" s="4"/>
      <c r="J327" s="4" t="s">
        <v>196</v>
      </c>
      <c r="K327" s="4"/>
      <c r="L327" s="4"/>
      <c r="M327" s="4"/>
      <c r="N327" s="4"/>
      <c r="O327" s="4"/>
      <c r="P327" s="4"/>
      <c r="Q327" s="4"/>
      <c r="R327" s="4"/>
      <c r="S327" s="4"/>
      <c r="T327" s="4"/>
      <c r="U327" s="4"/>
      <c r="V327" s="4"/>
      <c r="W327" s="4"/>
      <c r="X327" s="4"/>
      <c r="Y327" s="4"/>
      <c r="Z327" s="4"/>
      <c r="AA327" s="4"/>
      <c r="AB327" s="4"/>
      <c r="AC327" s="4"/>
      <c r="AD327" s="4"/>
      <c r="AE327" s="4"/>
      <c r="AF327" s="4"/>
      <c r="AG327" s="4" t="b">
        <v>0</v>
      </c>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t="s">
        <v>1118</v>
      </c>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row>
    <row r="328" spans="1:139" hidden="1" x14ac:dyDescent="0.2">
      <c r="A328">
        <f>VLOOKUP(B328,Sheet1!$A$1:$B$18,2,FALSE)</f>
        <v>0</v>
      </c>
      <c r="B328" t="str">
        <f t="shared" si="5"/>
        <v>AKL</v>
      </c>
      <c r="C328" s="2">
        <v>327</v>
      </c>
      <c r="D328" s="3" t="str">
        <f>HYPERLINK("https://sitebase.nzcomms.co.nz/spm/spmnominalview/AKL-007-158/","AKL-007-158")</f>
        <v>AKL-007-158</v>
      </c>
      <c r="E328" s="4"/>
      <c r="F328" s="4"/>
      <c r="G328" s="4"/>
      <c r="H328" s="4" t="s">
        <v>745</v>
      </c>
      <c r="I328" s="4"/>
      <c r="J328" s="4" t="s">
        <v>196</v>
      </c>
      <c r="K328" s="4"/>
      <c r="L328" s="4"/>
      <c r="M328" s="4"/>
      <c r="N328" s="4"/>
      <c r="O328" s="4"/>
      <c r="P328" s="4"/>
      <c r="Q328" s="4"/>
      <c r="R328" s="4"/>
      <c r="S328" s="4"/>
      <c r="T328" s="4"/>
      <c r="U328" s="4"/>
      <c r="V328" s="4"/>
      <c r="W328" s="4"/>
      <c r="X328" s="4"/>
      <c r="Y328" s="4"/>
      <c r="Z328" s="4"/>
      <c r="AA328" s="4"/>
      <c r="AB328" s="4"/>
      <c r="AC328" s="4"/>
      <c r="AD328" s="4"/>
      <c r="AE328" s="4"/>
      <c r="AF328" s="4"/>
      <c r="AG328" s="4" t="b">
        <v>0</v>
      </c>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row>
    <row r="329" spans="1:139" hidden="1" x14ac:dyDescent="0.2">
      <c r="A329">
        <f>VLOOKUP(B329,Sheet1!$A$1:$B$18,2,FALSE)</f>
        <v>0</v>
      </c>
      <c r="B329" t="str">
        <f t="shared" si="5"/>
        <v>AKL</v>
      </c>
      <c r="C329" s="2">
        <v>328</v>
      </c>
      <c r="D329" s="3" t="str">
        <f>HYPERLINK("https://sitebase.nzcomms.co.nz/spm/spmnominalview/AKL-007-159/","AKL-007-159")</f>
        <v>AKL-007-159</v>
      </c>
      <c r="E329" s="4" t="s">
        <v>1119</v>
      </c>
      <c r="F329" s="4"/>
      <c r="G329" s="4"/>
      <c r="H329" s="4" t="s">
        <v>745</v>
      </c>
      <c r="I329" s="4"/>
      <c r="J329" s="4" t="s">
        <v>196</v>
      </c>
      <c r="K329" s="4"/>
      <c r="L329" s="4"/>
      <c r="M329" s="4"/>
      <c r="N329" s="4"/>
      <c r="O329" s="4"/>
      <c r="P329" s="4"/>
      <c r="Q329" s="4"/>
      <c r="R329" s="4"/>
      <c r="S329" s="4"/>
      <c r="T329" s="4"/>
      <c r="U329" s="4"/>
      <c r="V329" s="4"/>
      <c r="W329" s="4"/>
      <c r="X329" s="4"/>
      <c r="Y329" s="4"/>
      <c r="Z329" s="4"/>
      <c r="AA329" s="4"/>
      <c r="AB329" s="4"/>
      <c r="AC329" s="4"/>
      <c r="AD329" s="4"/>
      <c r="AE329" s="4"/>
      <c r="AF329" s="4"/>
      <c r="AG329" s="4" t="b">
        <v>0</v>
      </c>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row>
    <row r="330" spans="1:139" hidden="1" x14ac:dyDescent="0.2">
      <c r="A330">
        <f>VLOOKUP(B330,Sheet1!$A$1:$B$18,2,FALSE)</f>
        <v>0</v>
      </c>
      <c r="B330" t="str">
        <f t="shared" si="5"/>
        <v>AKL</v>
      </c>
      <c r="C330" s="2">
        <v>329</v>
      </c>
      <c r="D330" s="3" t="str">
        <f>HYPERLINK("https://sitebase.nzcomms.co.nz/spm/spmnominalview/AKL-007-160/","AKL-007-160")</f>
        <v>AKL-007-160</v>
      </c>
      <c r="E330" s="4" t="s">
        <v>1120</v>
      </c>
      <c r="F330" s="4"/>
      <c r="G330" s="4"/>
      <c r="H330" s="4" t="s">
        <v>745</v>
      </c>
      <c r="I330" s="4"/>
      <c r="J330" s="4" t="s">
        <v>196</v>
      </c>
      <c r="K330" s="4"/>
      <c r="L330" s="4"/>
      <c r="M330" s="4"/>
      <c r="N330" s="4"/>
      <c r="O330" s="4"/>
      <c r="P330" s="4"/>
      <c r="Q330" s="4"/>
      <c r="R330" s="4"/>
      <c r="S330" s="4"/>
      <c r="T330" s="4"/>
      <c r="U330" s="4"/>
      <c r="V330" s="4"/>
      <c r="W330" s="4"/>
      <c r="X330" s="4"/>
      <c r="Y330" s="4"/>
      <c r="Z330" s="4"/>
      <c r="AA330" s="4"/>
      <c r="AB330" s="4"/>
      <c r="AC330" s="4"/>
      <c r="AD330" s="4"/>
      <c r="AE330" s="4"/>
      <c r="AF330" s="4"/>
      <c r="AG330" s="4" t="b">
        <v>0</v>
      </c>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t="s">
        <v>1121</v>
      </c>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row>
    <row r="331" spans="1:139" hidden="1" x14ac:dyDescent="0.2">
      <c r="A331">
        <f>VLOOKUP(B331,Sheet1!$A$1:$B$18,2,FALSE)</f>
        <v>0</v>
      </c>
      <c r="B331" t="str">
        <f t="shared" si="5"/>
        <v>AKL</v>
      </c>
      <c r="C331" s="2">
        <v>330</v>
      </c>
      <c r="D331" s="3" t="str">
        <f>HYPERLINK("https://sitebase.nzcomms.co.nz/spm/spmnominalview/AKL-007-161/","AKL-007-161")</f>
        <v>AKL-007-161</v>
      </c>
      <c r="E331" s="4" t="s">
        <v>1122</v>
      </c>
      <c r="F331" s="4"/>
      <c r="G331" s="4"/>
      <c r="H331" s="4" t="s">
        <v>745</v>
      </c>
      <c r="I331" s="4"/>
      <c r="J331" s="4" t="s">
        <v>196</v>
      </c>
      <c r="K331" s="4"/>
      <c r="L331" s="4"/>
      <c r="M331" s="4"/>
      <c r="N331" s="4"/>
      <c r="O331" s="4"/>
      <c r="P331" s="4"/>
      <c r="Q331" s="4"/>
      <c r="R331" s="4"/>
      <c r="S331" s="4"/>
      <c r="T331" s="4"/>
      <c r="U331" s="4"/>
      <c r="V331" s="4"/>
      <c r="W331" s="4"/>
      <c r="X331" s="4"/>
      <c r="Y331" s="4"/>
      <c r="Z331" s="4"/>
      <c r="AA331" s="4"/>
      <c r="AB331" s="4"/>
      <c r="AC331" s="4"/>
      <c r="AD331" s="4"/>
      <c r="AE331" s="4"/>
      <c r="AF331" s="4"/>
      <c r="AG331" s="4" t="b">
        <v>0</v>
      </c>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row>
    <row r="332" spans="1:139" hidden="1" x14ac:dyDescent="0.2">
      <c r="A332">
        <f>VLOOKUP(B332,Sheet1!$A$1:$B$18,2,FALSE)</f>
        <v>0</v>
      </c>
      <c r="B332" t="str">
        <f t="shared" si="5"/>
        <v>AKL</v>
      </c>
      <c r="C332" s="2">
        <v>331</v>
      </c>
      <c r="D332" s="3" t="str">
        <f>HYPERLINK("https://sitebase.nzcomms.co.nz/spm/spmnominalview/AKL-007-162/","AKL-007-162")</f>
        <v>AKL-007-162</v>
      </c>
      <c r="E332" s="4" t="s">
        <v>1123</v>
      </c>
      <c r="F332" s="3" t="str">
        <f>HYPERLINK("https://sitebase.nzcomms.co.nz/spm/spmcandidateview/AKL-007-162-A/","AKL-007-162-A")</f>
        <v>AKL-007-162-A</v>
      </c>
      <c r="G332" s="4" t="s">
        <v>1123</v>
      </c>
      <c r="H332" s="4" t="s">
        <v>745</v>
      </c>
      <c r="I332" s="4">
        <v>2</v>
      </c>
      <c r="J332" s="4" t="s">
        <v>180</v>
      </c>
      <c r="K332" s="4" t="s">
        <v>141</v>
      </c>
      <c r="L332" s="4" t="s">
        <v>1124</v>
      </c>
      <c r="M332" s="4" t="s">
        <v>166</v>
      </c>
      <c r="N332" s="4" t="s">
        <v>364</v>
      </c>
      <c r="O332" s="4" t="s">
        <v>144</v>
      </c>
      <c r="P332" s="4" t="s">
        <v>169</v>
      </c>
      <c r="Q332" s="4" t="s">
        <v>170</v>
      </c>
      <c r="R332" s="4"/>
      <c r="S332" s="4"/>
      <c r="T332" s="4">
        <v>1</v>
      </c>
      <c r="U332" s="4">
        <v>-36.849014029999999</v>
      </c>
      <c r="V332" s="4">
        <v>174.76195902000001</v>
      </c>
      <c r="W332" s="4"/>
      <c r="X332" s="4"/>
      <c r="Y332" s="4"/>
      <c r="Z332" s="4"/>
      <c r="AA332" s="4" t="s">
        <v>1125</v>
      </c>
      <c r="AB332" s="3" t="str">
        <f>HYPERLINK("https://sitebase.nzcomms.co.nz/spm/spmcandidateview/AKL-007-112-A/","AKL-007-112-A")</f>
        <v>AKL-007-112-A</v>
      </c>
      <c r="AC332" s="4" t="b">
        <v>1</v>
      </c>
      <c r="AD332" s="4" t="b">
        <v>1</v>
      </c>
      <c r="AE332" s="5">
        <v>41080</v>
      </c>
      <c r="AF332" s="4"/>
      <c r="AG332" s="4" t="b">
        <v>1</v>
      </c>
      <c r="AH332" s="4"/>
      <c r="AI332" s="5">
        <v>40218</v>
      </c>
      <c r="AJ332" s="5">
        <v>41080</v>
      </c>
      <c r="AK332" s="4"/>
      <c r="AL332" s="5">
        <v>41183</v>
      </c>
      <c r="AM332" s="4"/>
      <c r="AN332" s="5">
        <v>40261</v>
      </c>
      <c r="AO332" s="4">
        <v>2</v>
      </c>
      <c r="AP332" s="5">
        <v>40261</v>
      </c>
      <c r="AQ332" s="5">
        <v>41214</v>
      </c>
      <c r="AR332" s="5">
        <v>41326</v>
      </c>
      <c r="AS332" s="5">
        <v>41323</v>
      </c>
      <c r="AT332" s="5">
        <v>41376</v>
      </c>
      <c r="AU332" s="5">
        <v>41368</v>
      </c>
      <c r="AV332" s="4"/>
      <c r="AW332" s="5">
        <v>41383</v>
      </c>
      <c r="AX332" s="5">
        <v>41382</v>
      </c>
      <c r="AY332" s="4" t="s">
        <v>172</v>
      </c>
      <c r="AZ332" s="4"/>
      <c r="BA332" s="5">
        <v>41213</v>
      </c>
      <c r="BB332" s="4"/>
      <c r="BC332" s="5">
        <v>41213</v>
      </c>
      <c r="BD332" s="4">
        <v>1</v>
      </c>
      <c r="BE332" s="4"/>
      <c r="BF332" s="5">
        <v>41213</v>
      </c>
      <c r="BG332" s="4"/>
      <c r="BH332" s="4"/>
      <c r="BI332" s="5">
        <v>40480</v>
      </c>
      <c r="BJ332" s="5">
        <v>40274</v>
      </c>
      <c r="BK332" s="4">
        <v>2</v>
      </c>
      <c r="BL332" s="4"/>
      <c r="BM332" s="5">
        <v>40480</v>
      </c>
      <c r="BN332" s="5">
        <v>41214</v>
      </c>
      <c r="BO332" s="4"/>
      <c r="BP332" s="4"/>
      <c r="BQ332" s="4"/>
      <c r="BR332" s="4"/>
      <c r="BS332" s="4"/>
      <c r="BT332" s="5">
        <v>41352</v>
      </c>
      <c r="BU332" s="5">
        <v>41352</v>
      </c>
      <c r="BV332" s="5">
        <v>41394</v>
      </c>
      <c r="BW332" s="5">
        <v>41397</v>
      </c>
      <c r="BX332" s="5">
        <v>41376</v>
      </c>
      <c r="BY332" s="5">
        <v>41409</v>
      </c>
      <c r="BZ332" s="5">
        <v>41409</v>
      </c>
      <c r="CA332" s="5">
        <v>41386</v>
      </c>
      <c r="CB332" s="5">
        <v>41395</v>
      </c>
      <c r="CC332" s="4"/>
      <c r="CD332" s="4"/>
      <c r="CE332" s="4"/>
      <c r="CF332" s="4"/>
      <c r="CG332" s="4"/>
      <c r="CH332" s="4"/>
      <c r="CI332" s="5">
        <v>41409</v>
      </c>
      <c r="CJ332" s="5">
        <v>41418</v>
      </c>
      <c r="CK332" s="5">
        <v>41409</v>
      </c>
      <c r="CL332" s="5">
        <v>41447</v>
      </c>
      <c r="CM332" s="5">
        <v>41422</v>
      </c>
      <c r="CN332" s="5">
        <v>41537</v>
      </c>
      <c r="CO332" s="5">
        <v>41557</v>
      </c>
      <c r="CP332" s="4" t="s">
        <v>1126</v>
      </c>
      <c r="CQ332" s="4" t="s">
        <v>230</v>
      </c>
      <c r="CR332" s="5">
        <v>41409</v>
      </c>
      <c r="CS332" s="4"/>
      <c r="CT332" s="4"/>
      <c r="CU332" s="4"/>
      <c r="CV332" s="4"/>
      <c r="CW332" s="4"/>
      <c r="CX332" s="4"/>
      <c r="CY332" s="5">
        <v>41387</v>
      </c>
      <c r="CZ332" s="5">
        <v>41387</v>
      </c>
      <c r="DA332" s="5">
        <v>41418</v>
      </c>
      <c r="DB332" s="5">
        <v>41409</v>
      </c>
      <c r="DC332" s="4"/>
      <c r="DD332" s="4"/>
      <c r="DE332" s="4" t="s">
        <v>194</v>
      </c>
      <c r="DF332" s="5">
        <v>41253</v>
      </c>
      <c r="DG332" s="5">
        <v>41214</v>
      </c>
      <c r="DH332" s="4" t="s">
        <v>174</v>
      </c>
      <c r="DI332" s="5">
        <v>41383</v>
      </c>
      <c r="DJ332" s="4" t="b">
        <v>0</v>
      </c>
      <c r="DK332" s="4"/>
      <c r="DL332" s="4">
        <v>2667524</v>
      </c>
      <c r="DM332" s="4">
        <v>6482126</v>
      </c>
      <c r="DN332" s="4" t="s">
        <v>1127</v>
      </c>
      <c r="DO332" s="4"/>
      <c r="DP332" s="4"/>
      <c r="DQ332" s="4" t="s">
        <v>148</v>
      </c>
      <c r="DR332" s="4"/>
      <c r="DS332" s="4"/>
      <c r="DT332" s="4"/>
      <c r="DU332" s="4"/>
      <c r="DV332" s="4"/>
      <c r="DW332" s="4"/>
      <c r="DX332" s="4"/>
      <c r="DY332" s="4"/>
      <c r="DZ332" s="4"/>
      <c r="EA332" s="4"/>
      <c r="EB332" s="4"/>
      <c r="EC332" s="4"/>
      <c r="ED332" s="4"/>
      <c r="EE332" s="4"/>
      <c r="EF332" s="4"/>
      <c r="EG332" s="5">
        <v>41411</v>
      </c>
      <c r="EH332" s="5">
        <v>41410</v>
      </c>
      <c r="EI332" s="5">
        <v>40260</v>
      </c>
    </row>
    <row r="333" spans="1:139" hidden="1" x14ac:dyDescent="0.2">
      <c r="A333">
        <f>VLOOKUP(B333,Sheet1!$A$1:$B$18,2,FALSE)</f>
        <v>0</v>
      </c>
      <c r="B333" t="str">
        <f t="shared" si="5"/>
        <v>AKL</v>
      </c>
      <c r="C333" s="2">
        <v>332</v>
      </c>
      <c r="D333" s="3" t="str">
        <f>HYPERLINK("https://sitebase.nzcomms.co.nz/spm/spmnominalview/AKL-007-163/","AKL-007-163")</f>
        <v>AKL-007-163</v>
      </c>
      <c r="E333" s="4" t="s">
        <v>1128</v>
      </c>
      <c r="F333" s="3" t="str">
        <f>HYPERLINK("https://sitebase.nzcomms.co.nz/spm/spmcandidateview/AKL-007-163-C/","AKL-007-163-C")</f>
        <v>AKL-007-163-C</v>
      </c>
      <c r="G333" s="4" t="s">
        <v>1128</v>
      </c>
      <c r="H333" s="4" t="s">
        <v>745</v>
      </c>
      <c r="I333" s="4">
        <v>3</v>
      </c>
      <c r="J333" s="4" t="s">
        <v>194</v>
      </c>
      <c r="K333" s="4" t="s">
        <v>141</v>
      </c>
      <c r="L333" s="4" t="s">
        <v>325</v>
      </c>
      <c r="M333" s="4" t="s">
        <v>368</v>
      </c>
      <c r="N333" s="4" t="s">
        <v>364</v>
      </c>
      <c r="O333" s="4" t="s">
        <v>144</v>
      </c>
      <c r="P333" s="4" t="s">
        <v>182</v>
      </c>
      <c r="Q333" s="4" t="s">
        <v>170</v>
      </c>
      <c r="R333" s="4"/>
      <c r="S333" s="4"/>
      <c r="T333" s="4">
        <v>1</v>
      </c>
      <c r="U333" s="4">
        <v>-36.872597839999997</v>
      </c>
      <c r="V333" s="4">
        <v>174.74399362</v>
      </c>
      <c r="W333" s="4"/>
      <c r="X333" s="4"/>
      <c r="Y333" s="4"/>
      <c r="Z333" s="4"/>
      <c r="AA333" s="4"/>
      <c r="AB333" s="4"/>
      <c r="AC333" s="4" t="b">
        <v>0</v>
      </c>
      <c r="AD333" s="4" t="b">
        <v>0</v>
      </c>
      <c r="AE333" s="4"/>
      <c r="AF333" s="4"/>
      <c r="AG333" s="4" t="b">
        <v>0</v>
      </c>
      <c r="AH333" s="4"/>
      <c r="AI333" s="4"/>
      <c r="AJ333" s="5">
        <v>40627</v>
      </c>
      <c r="AK333" s="4"/>
      <c r="AL333" s="5">
        <v>40627</v>
      </c>
      <c r="AM333" s="4"/>
      <c r="AN333" s="5">
        <v>40414</v>
      </c>
      <c r="AO333" s="4">
        <v>3</v>
      </c>
      <c r="AP333" s="5">
        <v>40416</v>
      </c>
      <c r="AQ333" s="5">
        <v>40612</v>
      </c>
      <c r="AR333" s="5">
        <v>40417</v>
      </c>
      <c r="AS333" s="5">
        <v>40417</v>
      </c>
      <c r="AT333" s="5">
        <v>40417</v>
      </c>
      <c r="AU333" s="5">
        <v>40418</v>
      </c>
      <c r="AV333" s="4"/>
      <c r="AW333" s="5">
        <v>40427</v>
      </c>
      <c r="AX333" s="5">
        <v>40443</v>
      </c>
      <c r="AY333" s="4" t="s">
        <v>183</v>
      </c>
      <c r="AZ333" s="5">
        <v>40424</v>
      </c>
      <c r="BA333" s="5">
        <v>40660</v>
      </c>
      <c r="BB333" s="5">
        <v>40464</v>
      </c>
      <c r="BC333" s="5">
        <v>40676</v>
      </c>
      <c r="BD333" s="4">
        <v>3</v>
      </c>
      <c r="BE333" s="5">
        <v>40687</v>
      </c>
      <c r="BF333" s="5">
        <v>40676</v>
      </c>
      <c r="BG333" s="4"/>
      <c r="BH333" s="4"/>
      <c r="BI333" s="4"/>
      <c r="BJ333" s="5">
        <v>40710</v>
      </c>
      <c r="BK333" s="4">
        <v>1</v>
      </c>
      <c r="BL333" s="4"/>
      <c r="BM333" s="4"/>
      <c r="BN333" s="5">
        <v>40710</v>
      </c>
      <c r="BO333" s="5">
        <v>40728</v>
      </c>
      <c r="BP333" s="4"/>
      <c r="BQ333" s="4"/>
      <c r="BR333" s="4"/>
      <c r="BS333" s="4"/>
      <c r="BT333" s="5">
        <v>40716</v>
      </c>
      <c r="BU333" s="5">
        <v>40716</v>
      </c>
      <c r="BV333" s="5">
        <v>40732</v>
      </c>
      <c r="BW333" s="5">
        <v>40744</v>
      </c>
      <c r="BX333" s="5">
        <v>40738</v>
      </c>
      <c r="BY333" s="5">
        <v>40745</v>
      </c>
      <c r="BZ333" s="5">
        <v>40751</v>
      </c>
      <c r="CA333" s="4"/>
      <c r="CB333" s="4"/>
      <c r="CC333" s="4"/>
      <c r="CD333" s="4"/>
      <c r="CE333" s="4"/>
      <c r="CF333" s="4"/>
      <c r="CG333" s="4"/>
      <c r="CH333" s="4"/>
      <c r="CI333" s="5">
        <v>40755</v>
      </c>
      <c r="CJ333" s="5">
        <v>40756</v>
      </c>
      <c r="CK333" s="5">
        <v>40771</v>
      </c>
      <c r="CL333" s="5">
        <v>40756</v>
      </c>
      <c r="CM333" s="5">
        <v>40779</v>
      </c>
      <c r="CN333" s="5">
        <v>40848</v>
      </c>
      <c r="CO333" s="5">
        <v>40871</v>
      </c>
      <c r="CP333" s="4" t="s">
        <v>1129</v>
      </c>
      <c r="CQ333" s="4"/>
      <c r="CR333" s="5">
        <v>40745</v>
      </c>
      <c r="CS333" s="5">
        <v>40702</v>
      </c>
      <c r="CT333" s="5">
        <v>40702</v>
      </c>
      <c r="CU333" s="5">
        <v>40707</v>
      </c>
      <c r="CV333" s="5">
        <v>40707</v>
      </c>
      <c r="CW333" s="5">
        <v>40756</v>
      </c>
      <c r="CX333" s="5">
        <v>40728</v>
      </c>
      <c r="CY333" s="5">
        <v>40739</v>
      </c>
      <c r="CZ333" s="5">
        <v>40746</v>
      </c>
      <c r="DA333" s="4"/>
      <c r="DB333" s="4"/>
      <c r="DC333" s="4"/>
      <c r="DD333" s="4"/>
      <c r="DE333" s="4"/>
      <c r="DF333" s="4"/>
      <c r="DG333" s="4"/>
      <c r="DH333" s="4"/>
      <c r="DI333" s="5">
        <v>40732</v>
      </c>
      <c r="DJ333" s="4" t="b">
        <v>0</v>
      </c>
      <c r="DK333" s="4"/>
      <c r="DL333" s="4">
        <v>2665869</v>
      </c>
      <c r="DM333" s="4">
        <v>6479542</v>
      </c>
      <c r="DN333" s="4" t="s">
        <v>1130</v>
      </c>
      <c r="DO333" s="4"/>
      <c r="DP333" s="4" t="s">
        <v>1131</v>
      </c>
      <c r="DQ333" s="4" t="s">
        <v>148</v>
      </c>
      <c r="DR333" s="4"/>
      <c r="DS333" s="4"/>
      <c r="DT333" s="5">
        <v>41806</v>
      </c>
      <c r="DU333" s="4"/>
      <c r="DV333" s="4"/>
      <c r="DW333" s="4"/>
      <c r="DX333" s="4"/>
      <c r="DY333" s="4"/>
      <c r="DZ333" s="4"/>
      <c r="EA333" s="4"/>
      <c r="EB333" s="4"/>
      <c r="EC333" s="4"/>
      <c r="ED333" s="4"/>
      <c r="EE333" s="4"/>
      <c r="EF333" s="4"/>
      <c r="EG333" s="5">
        <v>40756</v>
      </c>
      <c r="EH333" s="5">
        <v>40758</v>
      </c>
      <c r="EI333" s="4"/>
    </row>
    <row r="334" spans="1:139" hidden="1" x14ac:dyDescent="0.2">
      <c r="A334">
        <f>VLOOKUP(B334,Sheet1!$A$1:$B$18,2,FALSE)</f>
        <v>0</v>
      </c>
      <c r="B334" t="str">
        <f t="shared" si="5"/>
        <v>AKL</v>
      </c>
      <c r="C334" s="2">
        <v>333</v>
      </c>
      <c r="D334" s="3" t="str">
        <f>HYPERLINK("https://sitebase.nzcomms.co.nz/spm/spmnominalview/AKL-007-164/","AKL-007-164")</f>
        <v>AKL-007-164</v>
      </c>
      <c r="E334" s="4" t="s">
        <v>1132</v>
      </c>
      <c r="F334" s="3" t="str">
        <f>HYPERLINK("https://sitebase.nzcomms.co.nz/spm/spmcandidateview/AKL-007-164-A/","AKL-007-164-A")</f>
        <v>AKL-007-164-A</v>
      </c>
      <c r="G334" s="4" t="s">
        <v>1133</v>
      </c>
      <c r="H334" s="4" t="s">
        <v>745</v>
      </c>
      <c r="I334" s="4">
        <v>3</v>
      </c>
      <c r="J334" s="4" t="s">
        <v>317</v>
      </c>
      <c r="K334" s="4" t="s">
        <v>141</v>
      </c>
      <c r="L334" s="4" t="s">
        <v>325</v>
      </c>
      <c r="M334" s="4" t="s">
        <v>1134</v>
      </c>
      <c r="N334" s="4" t="s">
        <v>364</v>
      </c>
      <c r="O334" s="4"/>
      <c r="P334" s="4" t="s">
        <v>182</v>
      </c>
      <c r="Q334" s="4" t="s">
        <v>170</v>
      </c>
      <c r="R334" s="4"/>
      <c r="S334" s="4"/>
      <c r="T334" s="4"/>
      <c r="U334" s="4">
        <v>-36.849586129999999</v>
      </c>
      <c r="V334" s="4">
        <v>174.75291193000001</v>
      </c>
      <c r="W334" s="4"/>
      <c r="X334" s="4"/>
      <c r="Y334" s="4"/>
      <c r="Z334" s="4"/>
      <c r="AA334" s="4"/>
      <c r="AB334" s="4"/>
      <c r="AC334" s="4" t="b">
        <v>0</v>
      </c>
      <c r="AD334" s="4" t="b">
        <v>0</v>
      </c>
      <c r="AE334" s="4"/>
      <c r="AF334" s="4"/>
      <c r="AG334" s="4" t="b">
        <v>0</v>
      </c>
      <c r="AH334" s="4"/>
      <c r="AI334" s="5">
        <v>40735</v>
      </c>
      <c r="AJ334" s="5">
        <v>40735</v>
      </c>
      <c r="AK334" s="4"/>
      <c r="AL334" s="4"/>
      <c r="AM334" s="4"/>
      <c r="AN334" s="5">
        <v>40774</v>
      </c>
      <c r="AO334" s="4">
        <v>1</v>
      </c>
      <c r="AP334" s="4"/>
      <c r="AQ334" s="5">
        <v>40774</v>
      </c>
      <c r="AR334" s="5">
        <v>40816</v>
      </c>
      <c r="AS334" s="4"/>
      <c r="AT334" s="5">
        <v>40816</v>
      </c>
      <c r="AU334" s="5">
        <v>41219</v>
      </c>
      <c r="AV334" s="4"/>
      <c r="AW334" s="5">
        <v>40833</v>
      </c>
      <c r="AX334" s="5">
        <v>41219</v>
      </c>
      <c r="AY334" s="4"/>
      <c r="AZ334" s="5">
        <v>40798</v>
      </c>
      <c r="BA334" s="4"/>
      <c r="BB334" s="5">
        <v>40847</v>
      </c>
      <c r="BC334" s="4"/>
      <c r="BD334" s="4"/>
      <c r="BE334" s="4"/>
      <c r="BF334" s="4"/>
      <c r="BG334" s="4"/>
      <c r="BH334" s="4"/>
      <c r="BI334" s="4"/>
      <c r="BJ334" s="5">
        <v>40774</v>
      </c>
      <c r="BK334" s="4">
        <v>1</v>
      </c>
      <c r="BL334" s="4"/>
      <c r="BM334" s="4"/>
      <c r="BN334" s="5">
        <v>40774</v>
      </c>
      <c r="BO334" s="4"/>
      <c r="BP334" s="4"/>
      <c r="BQ334" s="4"/>
      <c r="BR334" s="4"/>
      <c r="BS334" s="4"/>
      <c r="BT334" s="4"/>
      <c r="BU334" s="4"/>
      <c r="BV334" s="4"/>
      <c r="BW334" s="4"/>
      <c r="BX334" s="4"/>
      <c r="BY334" s="4"/>
      <c r="BZ334" s="4"/>
      <c r="CA334" s="4"/>
      <c r="CB334" s="4"/>
      <c r="CC334" s="4"/>
      <c r="CD334" s="4"/>
      <c r="CE334" s="4"/>
      <c r="CF334" s="4"/>
      <c r="CG334" s="4"/>
      <c r="CH334" s="4"/>
      <c r="CI334" s="4"/>
      <c r="CJ334" s="4"/>
      <c r="CK334" s="5">
        <v>40854</v>
      </c>
      <c r="CL334" s="4"/>
      <c r="CM334" s="4"/>
      <c r="CN334" s="4"/>
      <c r="CO334" s="4"/>
      <c r="CP334" s="4" t="s">
        <v>1135</v>
      </c>
      <c r="CQ334" s="4"/>
      <c r="CR334" s="4"/>
      <c r="CS334" s="4"/>
      <c r="CT334" s="4"/>
      <c r="CU334" s="4"/>
      <c r="CV334" s="4"/>
      <c r="CW334" s="4"/>
      <c r="CX334" s="4"/>
      <c r="CY334" s="4"/>
      <c r="CZ334" s="4"/>
      <c r="DA334" s="4"/>
      <c r="DB334" s="4"/>
      <c r="DC334" s="4"/>
      <c r="DD334" s="4"/>
      <c r="DE334" s="4"/>
      <c r="DF334" s="4"/>
      <c r="DG334" s="4"/>
      <c r="DH334" s="4"/>
      <c r="DI334" s="4"/>
      <c r="DJ334" s="4" t="b">
        <v>0</v>
      </c>
      <c r="DK334" s="4"/>
      <c r="DL334" s="4">
        <v>2666716</v>
      </c>
      <c r="DM334" s="4">
        <v>6482079</v>
      </c>
      <c r="DN334" s="4" t="s">
        <v>1136</v>
      </c>
      <c r="DO334" s="4"/>
      <c r="DP334" s="4"/>
      <c r="DQ334" s="4" t="s">
        <v>740</v>
      </c>
      <c r="DR334" s="4"/>
      <c r="DS334" s="4"/>
      <c r="DT334" s="4"/>
      <c r="DU334" s="4"/>
      <c r="DV334" s="4"/>
      <c r="DW334" s="4"/>
      <c r="DX334" s="4"/>
      <c r="DY334" s="4"/>
      <c r="DZ334" s="4"/>
      <c r="EA334" s="4"/>
      <c r="EB334" s="4"/>
      <c r="EC334" s="4"/>
      <c r="ED334" s="4"/>
      <c r="EE334" s="4"/>
      <c r="EF334" s="4"/>
      <c r="EG334" s="4"/>
      <c r="EH334" s="4"/>
      <c r="EI334" s="4"/>
    </row>
    <row r="335" spans="1:139" hidden="1" x14ac:dyDescent="0.2">
      <c r="A335">
        <f>VLOOKUP(B335,Sheet1!$A$1:$B$18,2,FALSE)</f>
        <v>0</v>
      </c>
      <c r="B335" t="str">
        <f t="shared" si="5"/>
        <v>AKL</v>
      </c>
      <c r="C335" s="2">
        <v>334</v>
      </c>
      <c r="D335" s="3" t="str">
        <f>HYPERLINK("https://sitebase.nzcomms.co.nz/spm/spmnominalview/AKL-007-165/","AKL-007-165")</f>
        <v>AKL-007-165</v>
      </c>
      <c r="E335" s="4" t="s">
        <v>1137</v>
      </c>
      <c r="F335" s="3" t="str">
        <f>HYPERLINK("https://sitebase.nzcomms.co.nz/spm/spmcandidateview/AKL-007-165-A/","AKL-007-165-A")</f>
        <v>AKL-007-165-A</v>
      </c>
      <c r="G335" s="4" t="s">
        <v>1137</v>
      </c>
      <c r="H335" s="4" t="s">
        <v>745</v>
      </c>
      <c r="I335" s="4">
        <v>3</v>
      </c>
      <c r="J335" s="4" t="s">
        <v>317</v>
      </c>
      <c r="K335" s="4" t="s">
        <v>141</v>
      </c>
      <c r="L335" s="4" t="s">
        <v>325</v>
      </c>
      <c r="M335" s="4" t="s">
        <v>1134</v>
      </c>
      <c r="N335" s="4" t="s">
        <v>364</v>
      </c>
      <c r="O335" s="4"/>
      <c r="P335" s="4"/>
      <c r="Q335" s="4" t="s">
        <v>170</v>
      </c>
      <c r="R335" s="4"/>
      <c r="S335" s="4"/>
      <c r="T335" s="4"/>
      <c r="U335" s="4"/>
      <c r="V335" s="4"/>
      <c r="W335" s="4"/>
      <c r="X335" s="4"/>
      <c r="Y335" s="4"/>
      <c r="Z335" s="4"/>
      <c r="AA335" s="4"/>
      <c r="AB335" s="4"/>
      <c r="AC335" s="4" t="b">
        <v>0</v>
      </c>
      <c r="AD335" s="4" t="b">
        <v>0</v>
      </c>
      <c r="AE335" s="4"/>
      <c r="AF335" s="4"/>
      <c r="AG335" s="4" t="b">
        <v>0</v>
      </c>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t="s">
        <v>1138</v>
      </c>
      <c r="CQ335" s="4"/>
      <c r="CR335" s="4"/>
      <c r="CS335" s="4"/>
      <c r="CT335" s="4"/>
      <c r="CU335" s="4"/>
      <c r="CV335" s="4"/>
      <c r="CW335" s="4"/>
      <c r="CX335" s="4"/>
      <c r="CY335" s="4"/>
      <c r="CZ335" s="4"/>
      <c r="DA335" s="4"/>
      <c r="DB335" s="4"/>
      <c r="DC335" s="4"/>
      <c r="DD335" s="4"/>
      <c r="DE335" s="4"/>
      <c r="DF335" s="4"/>
      <c r="DG335" s="4"/>
      <c r="DH335" s="4" t="s">
        <v>240</v>
      </c>
      <c r="DI335" s="4"/>
      <c r="DJ335" s="4" t="b">
        <v>0</v>
      </c>
      <c r="DK335" s="4"/>
      <c r="DL335" s="4"/>
      <c r="DM335" s="4"/>
      <c r="DN335" s="4" t="s">
        <v>1139</v>
      </c>
      <c r="DO335" s="4"/>
      <c r="DP335" s="4"/>
      <c r="DQ335" s="4" t="s">
        <v>148</v>
      </c>
      <c r="DR335" s="4" t="s">
        <v>255</v>
      </c>
      <c r="DS335" s="4"/>
      <c r="DT335" s="4"/>
      <c r="DU335" s="4"/>
      <c r="DV335" s="4"/>
      <c r="DW335" s="4"/>
      <c r="DX335" s="4"/>
      <c r="DY335" s="4"/>
      <c r="DZ335" s="4"/>
      <c r="EA335" s="4"/>
      <c r="EB335" s="4"/>
      <c r="EC335" s="4"/>
      <c r="ED335" s="4"/>
      <c r="EE335" s="4"/>
      <c r="EF335" s="4"/>
      <c r="EG335" s="4"/>
      <c r="EH335" s="4"/>
      <c r="EI335" s="4"/>
    </row>
    <row r="336" spans="1:139" hidden="1" x14ac:dyDescent="0.2">
      <c r="A336">
        <f>VLOOKUP(B336,Sheet1!$A$1:$B$18,2,FALSE)</f>
        <v>0</v>
      </c>
      <c r="B336" t="str">
        <f t="shared" si="5"/>
        <v>AKL</v>
      </c>
      <c r="C336" s="2">
        <v>335</v>
      </c>
      <c r="D336" s="3" t="str">
        <f>HYPERLINK("https://sitebase.nzcomms.co.nz/spm/spmnominalview/AKL-007-166/","AKL-007-166")</f>
        <v>AKL-007-166</v>
      </c>
      <c r="E336" s="4" t="s">
        <v>1140</v>
      </c>
      <c r="F336" s="3" t="str">
        <f>HYPERLINK("https://sitebase.nzcomms.co.nz/spm/spmcandidateview/AKL-007-166-A/","AKL-007-166-A")</f>
        <v>AKL-007-166-A</v>
      </c>
      <c r="G336" s="4" t="s">
        <v>1141</v>
      </c>
      <c r="H336" s="4" t="s">
        <v>745</v>
      </c>
      <c r="I336" s="4"/>
      <c r="J336" s="4" t="s">
        <v>317</v>
      </c>
      <c r="K336" s="4" t="s">
        <v>141</v>
      </c>
      <c r="L336" s="4" t="s">
        <v>1124</v>
      </c>
      <c r="M336" s="4" t="s">
        <v>1134</v>
      </c>
      <c r="N336" s="4" t="s">
        <v>181</v>
      </c>
      <c r="O336" s="4"/>
      <c r="P336" s="4"/>
      <c r="Q336" s="4" t="s">
        <v>192</v>
      </c>
      <c r="R336" s="4"/>
      <c r="S336" s="4"/>
      <c r="T336" s="4">
        <v>1</v>
      </c>
      <c r="U336" s="4">
        <v>-36.86503347</v>
      </c>
      <c r="V336" s="4">
        <v>174.76504808000001</v>
      </c>
      <c r="W336" s="4"/>
      <c r="X336" s="4"/>
      <c r="Y336" s="4"/>
      <c r="Z336" s="4"/>
      <c r="AA336" s="4"/>
      <c r="AB336" s="4"/>
      <c r="AC336" s="4"/>
      <c r="AD336" s="4"/>
      <c r="AE336" s="4"/>
      <c r="AF336" s="4"/>
      <c r="AG336" s="4"/>
      <c r="AH336" s="4"/>
      <c r="AI336" s="4"/>
      <c r="AJ336" s="4"/>
      <c r="AK336" s="4"/>
      <c r="AL336" s="4"/>
      <c r="AM336" s="4"/>
      <c r="AN336" s="5">
        <v>40458</v>
      </c>
      <c r="AO336" s="4">
        <v>1</v>
      </c>
      <c r="AP336" s="4"/>
      <c r="AQ336" s="5">
        <v>40458</v>
      </c>
      <c r="AR336" s="4"/>
      <c r="AS336" s="4"/>
      <c r="AT336" s="4"/>
      <c r="AU336" s="4"/>
      <c r="AV336" s="4"/>
      <c r="AW336" s="4"/>
      <c r="AX336" s="4"/>
      <c r="AY336" s="4"/>
      <c r="AZ336" s="4"/>
      <c r="BA336" s="4"/>
      <c r="BB336" s="4"/>
      <c r="BC336" s="4"/>
      <c r="BD336" s="4"/>
      <c r="BE336" s="4"/>
      <c r="BF336" s="4"/>
      <c r="BG336" s="4"/>
      <c r="BH336" s="4"/>
      <c r="BI336" s="4"/>
      <c r="BJ336" s="5">
        <v>40465</v>
      </c>
      <c r="BK336" s="4">
        <v>1</v>
      </c>
      <c r="BL336" s="4">
        <v>1</v>
      </c>
      <c r="BM336" s="4"/>
      <c r="BN336" s="5">
        <v>40465</v>
      </c>
      <c r="BO336" s="4"/>
      <c r="BP336" s="4"/>
      <c r="BQ336" s="4"/>
      <c r="BR336" s="4"/>
      <c r="BS336" s="4"/>
      <c r="BT336" s="4"/>
      <c r="BU336" s="4"/>
      <c r="BV336" s="4"/>
      <c r="BW336" s="4"/>
      <c r="BX336" s="4"/>
      <c r="BY336" s="4"/>
      <c r="BZ336" s="4"/>
      <c r="CA336" s="4"/>
      <c r="CB336" s="4"/>
      <c r="CC336" s="4"/>
      <c r="CD336" s="4"/>
      <c r="CE336" s="4"/>
      <c r="CF336" s="4"/>
      <c r="CG336" s="4"/>
      <c r="CH336" s="4"/>
      <c r="CI336" s="4"/>
      <c r="CJ336" s="4"/>
      <c r="CK336" s="5">
        <v>40319</v>
      </c>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v>2667763</v>
      </c>
      <c r="DM336" s="4">
        <v>6480343</v>
      </c>
      <c r="DN336" s="4" t="s">
        <v>1142</v>
      </c>
      <c r="DO336" s="4"/>
      <c r="DP336" s="4"/>
      <c r="DQ336" s="4" t="s">
        <v>148</v>
      </c>
      <c r="DR336" s="4"/>
      <c r="DS336" s="4"/>
      <c r="DT336" s="4"/>
      <c r="DU336" s="4"/>
      <c r="DV336" s="4"/>
      <c r="DW336" s="4"/>
      <c r="DX336" s="4"/>
      <c r="DY336" s="4"/>
      <c r="DZ336" s="4"/>
      <c r="EA336" s="4"/>
      <c r="EB336" s="4"/>
      <c r="EC336" s="4"/>
      <c r="ED336" s="4"/>
      <c r="EE336" s="4"/>
      <c r="EF336" s="4"/>
      <c r="EG336" s="4"/>
      <c r="EH336" s="4"/>
      <c r="EI336" s="4"/>
    </row>
    <row r="337" spans="1:139" hidden="1" x14ac:dyDescent="0.2">
      <c r="A337">
        <f>VLOOKUP(B337,Sheet1!$A$1:$B$18,2,FALSE)</f>
        <v>0</v>
      </c>
      <c r="B337" t="str">
        <f t="shared" si="5"/>
        <v>AKL</v>
      </c>
      <c r="C337" s="2">
        <v>336</v>
      </c>
      <c r="D337" s="3" t="str">
        <f>HYPERLINK("https://sitebase.nzcomms.co.nz/spm/spmnominalview/AKL-007-167/","AKL-007-167")</f>
        <v>AKL-007-167</v>
      </c>
      <c r="E337" s="4" t="s">
        <v>1143</v>
      </c>
      <c r="F337" s="4"/>
      <c r="G337" s="4"/>
      <c r="H337" s="4" t="s">
        <v>745</v>
      </c>
      <c r="I337" s="4"/>
      <c r="J337" s="4" t="s">
        <v>317</v>
      </c>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row>
    <row r="338" spans="1:139" hidden="1" x14ac:dyDescent="0.2">
      <c r="A338">
        <f>VLOOKUP(B338,Sheet1!$A$1:$B$18,2,FALSE)</f>
        <v>0</v>
      </c>
      <c r="B338" t="str">
        <f t="shared" si="5"/>
        <v>AKL</v>
      </c>
      <c r="C338" s="2">
        <v>337</v>
      </c>
      <c r="D338" s="3" t="str">
        <f>HYPERLINK("https://sitebase.nzcomms.co.nz/spm/spmnominalview/AKL-007-168/","AKL-007-168")</f>
        <v>AKL-007-168</v>
      </c>
      <c r="E338" s="4" t="s">
        <v>1144</v>
      </c>
      <c r="F338" s="4"/>
      <c r="G338" s="4"/>
      <c r="H338" s="4" t="s">
        <v>745</v>
      </c>
      <c r="I338" s="4"/>
      <c r="J338" s="4" t="s">
        <v>317</v>
      </c>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row>
    <row r="339" spans="1:139" hidden="1" x14ac:dyDescent="0.2">
      <c r="A339">
        <f>VLOOKUP(B339,Sheet1!$A$1:$B$18,2,FALSE)</f>
        <v>0</v>
      </c>
      <c r="B339" t="str">
        <f t="shared" si="5"/>
        <v>AKL</v>
      </c>
      <c r="C339" s="2">
        <v>338</v>
      </c>
      <c r="D339" s="3" t="str">
        <f>HYPERLINK("https://sitebase.nzcomms.co.nz/spm/spmnominalview/AKL-007-169/","AKL-007-169")</f>
        <v>AKL-007-169</v>
      </c>
      <c r="E339" s="4" t="s">
        <v>1145</v>
      </c>
      <c r="F339" s="4"/>
      <c r="G339" s="4"/>
      <c r="H339" s="4" t="s">
        <v>745</v>
      </c>
      <c r="I339" s="4"/>
      <c r="J339" s="4" t="s">
        <v>317</v>
      </c>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row>
    <row r="340" spans="1:139" hidden="1" x14ac:dyDescent="0.2">
      <c r="A340">
        <f>VLOOKUP(B340,Sheet1!$A$1:$B$18,2,FALSE)</f>
        <v>0</v>
      </c>
      <c r="B340" t="str">
        <f t="shared" si="5"/>
        <v>AKL</v>
      </c>
      <c r="C340" s="2">
        <v>339</v>
      </c>
      <c r="D340" s="3" t="str">
        <f>HYPERLINK("https://sitebase.nzcomms.co.nz/spm/spmnominalview/AKL-007-170/","AKL-007-170")</f>
        <v>AKL-007-170</v>
      </c>
      <c r="E340" s="4" t="s">
        <v>1146</v>
      </c>
      <c r="F340" s="3" t="str">
        <f>HYPERLINK("https://sitebase.nzcomms.co.nz/spm/spmcandidateview/AKL-007-170-B/","AKL-007-170-B")</f>
        <v>AKL-007-170-B</v>
      </c>
      <c r="G340" s="4" t="s">
        <v>1147</v>
      </c>
      <c r="H340" s="4" t="s">
        <v>745</v>
      </c>
      <c r="I340" s="4">
        <v>2</v>
      </c>
      <c r="J340" s="4" t="s">
        <v>194</v>
      </c>
      <c r="K340" s="4" t="s">
        <v>141</v>
      </c>
      <c r="L340" s="4" t="s">
        <v>1124</v>
      </c>
      <c r="M340" s="4" t="s">
        <v>442</v>
      </c>
      <c r="N340" s="4" t="s">
        <v>325</v>
      </c>
      <c r="O340" s="4"/>
      <c r="P340" s="4" t="s">
        <v>182</v>
      </c>
      <c r="Q340" s="4" t="s">
        <v>170</v>
      </c>
      <c r="R340" s="4"/>
      <c r="S340" s="4"/>
      <c r="T340" s="4"/>
      <c r="U340" s="4">
        <v>-36.844037909999997</v>
      </c>
      <c r="V340" s="4">
        <v>174.76748419</v>
      </c>
      <c r="W340" s="4"/>
      <c r="X340" s="5">
        <v>40245</v>
      </c>
      <c r="Y340" s="4"/>
      <c r="Z340" s="4"/>
      <c r="AA340" s="4"/>
      <c r="AB340" s="4"/>
      <c r="AC340" s="4" t="b">
        <v>1</v>
      </c>
      <c r="AD340" s="4" t="b">
        <v>1</v>
      </c>
      <c r="AE340" s="4"/>
      <c r="AF340" s="4"/>
      <c r="AG340" s="4" t="b">
        <v>1</v>
      </c>
      <c r="AH340" s="4"/>
      <c r="AI340" s="5">
        <v>40641</v>
      </c>
      <c r="AJ340" s="5">
        <v>40641</v>
      </c>
      <c r="AK340" s="4"/>
      <c r="AL340" s="5">
        <v>40641</v>
      </c>
      <c r="AM340" s="5">
        <v>40694</v>
      </c>
      <c r="AN340" s="5">
        <v>40690</v>
      </c>
      <c r="AO340" s="4">
        <v>1</v>
      </c>
      <c r="AP340" s="5">
        <v>40697</v>
      </c>
      <c r="AQ340" s="5">
        <v>40690</v>
      </c>
      <c r="AR340" s="5">
        <v>41299</v>
      </c>
      <c r="AS340" s="4"/>
      <c r="AT340" s="5">
        <v>41299</v>
      </c>
      <c r="AU340" s="5">
        <v>41381</v>
      </c>
      <c r="AV340" s="4"/>
      <c r="AW340" s="5">
        <v>41299</v>
      </c>
      <c r="AX340" s="4"/>
      <c r="AY340" s="4" t="s">
        <v>172</v>
      </c>
      <c r="AZ340" s="4"/>
      <c r="BA340" s="5">
        <v>41003</v>
      </c>
      <c r="BB340" s="5">
        <v>40969</v>
      </c>
      <c r="BC340" s="5">
        <v>41033</v>
      </c>
      <c r="BD340" s="4">
        <v>1</v>
      </c>
      <c r="BE340" s="4"/>
      <c r="BF340" s="5">
        <v>41033</v>
      </c>
      <c r="BG340" s="4"/>
      <c r="BH340" s="5">
        <v>40851</v>
      </c>
      <c r="BI340" s="4"/>
      <c r="BJ340" s="4"/>
      <c r="BK340" s="4"/>
      <c r="BL340" s="4"/>
      <c r="BM340" s="4"/>
      <c r="BN340" s="4"/>
      <c r="BO340" s="4"/>
      <c r="BP340" s="4"/>
      <c r="BQ340" s="4"/>
      <c r="BR340" s="4"/>
      <c r="BS340" s="4"/>
      <c r="BT340" s="4"/>
      <c r="BU340" s="5">
        <v>40904</v>
      </c>
      <c r="BV340" s="4"/>
      <c r="BW340" s="5">
        <v>40921</v>
      </c>
      <c r="BX340" s="5">
        <v>40921</v>
      </c>
      <c r="BY340" s="4"/>
      <c r="BZ340" s="5">
        <v>40928</v>
      </c>
      <c r="CA340" s="4"/>
      <c r="CB340" s="5">
        <v>40949</v>
      </c>
      <c r="CC340" s="4"/>
      <c r="CD340" s="4"/>
      <c r="CE340" s="4"/>
      <c r="CF340" s="4"/>
      <c r="CG340" s="4"/>
      <c r="CH340" s="4"/>
      <c r="CI340" s="4"/>
      <c r="CJ340" s="5">
        <v>41018</v>
      </c>
      <c r="CK340" s="5">
        <v>41011</v>
      </c>
      <c r="CL340" s="4"/>
      <c r="CM340" s="5">
        <v>41033</v>
      </c>
      <c r="CN340" s="4"/>
      <c r="CO340" s="5">
        <v>41054</v>
      </c>
      <c r="CP340" s="4" t="s">
        <v>1148</v>
      </c>
      <c r="CQ340" s="4"/>
      <c r="CR340" s="5">
        <v>40571</v>
      </c>
      <c r="CS340" s="4"/>
      <c r="CT340" s="4"/>
      <c r="CU340" s="4"/>
      <c r="CV340" s="4"/>
      <c r="CW340" s="4"/>
      <c r="CX340" s="4"/>
      <c r="CY340" s="4"/>
      <c r="CZ340" s="4"/>
      <c r="DA340" s="4"/>
      <c r="DB340" s="5">
        <v>41004</v>
      </c>
      <c r="DC340" s="4"/>
      <c r="DD340" s="4"/>
      <c r="DE340" s="4"/>
      <c r="DF340" s="4"/>
      <c r="DG340" s="5">
        <v>40949</v>
      </c>
      <c r="DH340" s="4"/>
      <c r="DI340" s="4"/>
      <c r="DJ340" s="4" t="b">
        <v>0</v>
      </c>
      <c r="DK340" s="4"/>
      <c r="DL340" s="4">
        <v>2668028</v>
      </c>
      <c r="DM340" s="4">
        <v>6482668</v>
      </c>
      <c r="DN340" s="4" t="s">
        <v>1149</v>
      </c>
      <c r="DO340" s="4"/>
      <c r="DP340" s="4" t="s">
        <v>1150</v>
      </c>
      <c r="DQ340" s="4" t="s">
        <v>148</v>
      </c>
      <c r="DR340" s="4"/>
      <c r="DS340" s="4"/>
      <c r="DT340" s="4"/>
      <c r="DU340" s="4"/>
      <c r="DV340" s="4"/>
      <c r="DW340" s="4"/>
      <c r="DX340" s="4"/>
      <c r="DY340" s="4"/>
      <c r="DZ340" s="5">
        <v>40851</v>
      </c>
      <c r="EA340" s="4"/>
      <c r="EB340" s="4"/>
      <c r="EC340" s="4"/>
      <c r="ED340" s="4"/>
      <c r="EE340" s="4"/>
      <c r="EF340" s="4"/>
      <c r="EG340" s="4"/>
      <c r="EH340" s="4"/>
      <c r="EI340" s="5">
        <v>40641</v>
      </c>
    </row>
    <row r="341" spans="1:139" hidden="1" x14ac:dyDescent="0.2">
      <c r="A341">
        <f>VLOOKUP(B341,Sheet1!$A$1:$B$18,2,FALSE)</f>
        <v>0</v>
      </c>
      <c r="B341" t="str">
        <f t="shared" si="5"/>
        <v>AKL</v>
      </c>
      <c r="C341" s="2">
        <v>340</v>
      </c>
      <c r="D341" s="3" t="str">
        <f>HYPERLINK("https://sitebase.nzcomms.co.nz/spm/spmnominalview/AKL-007-175/","AKL-007-175")</f>
        <v>AKL-007-175</v>
      </c>
      <c r="E341" s="4" t="s">
        <v>1151</v>
      </c>
      <c r="F341" s="3" t="str">
        <f>HYPERLINK("https://sitebase.nzcomms.co.nz/spm/spmcandidateview/AKL-007-175-F/","AKL-007-175-F")</f>
        <v>AKL-007-175-F</v>
      </c>
      <c r="G341" s="4" t="s">
        <v>1152</v>
      </c>
      <c r="H341" s="4" t="s">
        <v>745</v>
      </c>
      <c r="I341" s="4">
        <v>3</v>
      </c>
      <c r="J341" s="4" t="s">
        <v>194</v>
      </c>
      <c r="K341" s="4" t="s">
        <v>141</v>
      </c>
      <c r="L341" s="4" t="s">
        <v>150</v>
      </c>
      <c r="M341" s="4" t="s">
        <v>368</v>
      </c>
      <c r="N341" s="4" t="s">
        <v>156</v>
      </c>
      <c r="O341" s="4"/>
      <c r="P341" s="4" t="s">
        <v>182</v>
      </c>
      <c r="Q341" s="4" t="s">
        <v>192</v>
      </c>
      <c r="R341" s="4"/>
      <c r="S341" s="4">
        <v>26</v>
      </c>
      <c r="T341" s="4"/>
      <c r="U341" s="4">
        <v>-36.905143340000002</v>
      </c>
      <c r="V341" s="4">
        <v>174.8247921</v>
      </c>
      <c r="W341" s="4"/>
      <c r="X341" s="4"/>
      <c r="Y341" s="4"/>
      <c r="Z341" s="4"/>
      <c r="AA341" s="4"/>
      <c r="AB341" s="4"/>
      <c r="AC341" s="4" t="b">
        <v>0</v>
      </c>
      <c r="AD341" s="4" t="b">
        <v>0</v>
      </c>
      <c r="AE341" s="4"/>
      <c r="AF341" s="4"/>
      <c r="AG341" s="4" t="b">
        <v>0</v>
      </c>
      <c r="AH341" s="4"/>
      <c r="AI341" s="5">
        <v>40814</v>
      </c>
      <c r="AJ341" s="5">
        <v>40814</v>
      </c>
      <c r="AK341" s="5">
        <v>40826</v>
      </c>
      <c r="AL341" s="5">
        <v>40823</v>
      </c>
      <c r="AM341" s="5">
        <v>40851</v>
      </c>
      <c r="AN341" s="5">
        <v>40850</v>
      </c>
      <c r="AO341" s="4">
        <v>1</v>
      </c>
      <c r="AP341" s="5">
        <v>40851</v>
      </c>
      <c r="AQ341" s="5">
        <v>40850</v>
      </c>
      <c r="AR341" s="5">
        <v>40856</v>
      </c>
      <c r="AS341" s="5">
        <v>40849</v>
      </c>
      <c r="AT341" s="5">
        <v>40885</v>
      </c>
      <c r="AU341" s="5">
        <v>40890</v>
      </c>
      <c r="AV341" s="4">
        <v>1</v>
      </c>
      <c r="AW341" s="5">
        <v>40885</v>
      </c>
      <c r="AX341" s="5">
        <v>40890</v>
      </c>
      <c r="AY341" s="4" t="s">
        <v>183</v>
      </c>
      <c r="AZ341" s="5">
        <v>40857</v>
      </c>
      <c r="BA341" s="5">
        <v>40857</v>
      </c>
      <c r="BB341" s="5">
        <v>40945</v>
      </c>
      <c r="BC341" s="5">
        <v>40885</v>
      </c>
      <c r="BD341" s="4">
        <v>1</v>
      </c>
      <c r="BE341" s="5">
        <v>40952</v>
      </c>
      <c r="BF341" s="5">
        <v>40885</v>
      </c>
      <c r="BG341" s="4"/>
      <c r="BH341" s="4"/>
      <c r="BI341" s="5">
        <v>40977</v>
      </c>
      <c r="BJ341" s="5">
        <v>40977</v>
      </c>
      <c r="BK341" s="4">
        <v>2</v>
      </c>
      <c r="BL341" s="4"/>
      <c r="BM341" s="4"/>
      <c r="BN341" s="5">
        <v>41002</v>
      </c>
      <c r="BO341" s="5">
        <v>41017</v>
      </c>
      <c r="BP341" s="4"/>
      <c r="BQ341" s="4"/>
      <c r="BR341" s="4"/>
      <c r="BS341" s="4"/>
      <c r="BT341" s="5">
        <v>41015</v>
      </c>
      <c r="BU341" s="5">
        <v>41009</v>
      </c>
      <c r="BV341" s="5">
        <v>41029</v>
      </c>
      <c r="BW341" s="5">
        <v>41029</v>
      </c>
      <c r="BX341" s="5">
        <v>41036</v>
      </c>
      <c r="BY341" s="5">
        <v>41044</v>
      </c>
      <c r="BZ341" s="5">
        <v>41050</v>
      </c>
      <c r="CA341" s="4"/>
      <c r="CB341" s="4"/>
      <c r="CC341" s="4"/>
      <c r="CD341" s="4"/>
      <c r="CE341" s="4"/>
      <c r="CF341" s="4"/>
      <c r="CG341" s="4"/>
      <c r="CH341" s="4"/>
      <c r="CI341" s="5">
        <v>41045</v>
      </c>
      <c r="CJ341" s="5">
        <v>41057</v>
      </c>
      <c r="CK341" s="5">
        <v>41045</v>
      </c>
      <c r="CL341" s="5">
        <v>41066</v>
      </c>
      <c r="CM341" s="5">
        <v>41060</v>
      </c>
      <c r="CN341" s="5">
        <v>41150</v>
      </c>
      <c r="CO341" s="5">
        <v>41178</v>
      </c>
      <c r="CP341" s="4" t="s">
        <v>1153</v>
      </c>
      <c r="CQ341" s="4"/>
      <c r="CR341" s="5">
        <v>41045</v>
      </c>
      <c r="CS341" s="5">
        <v>41001</v>
      </c>
      <c r="CT341" s="5">
        <v>41001</v>
      </c>
      <c r="CU341" s="5">
        <v>41001</v>
      </c>
      <c r="CV341" s="5">
        <v>41017</v>
      </c>
      <c r="CW341" s="5">
        <v>41016</v>
      </c>
      <c r="CX341" s="5">
        <v>41017</v>
      </c>
      <c r="CY341" s="5">
        <v>41043</v>
      </c>
      <c r="CZ341" s="5">
        <v>41040</v>
      </c>
      <c r="DA341" s="4"/>
      <c r="DB341" s="4"/>
      <c r="DC341" s="4"/>
      <c r="DD341" s="4"/>
      <c r="DE341" s="4"/>
      <c r="DF341" s="4"/>
      <c r="DG341" s="4"/>
      <c r="DH341" s="4"/>
      <c r="DI341" s="5">
        <v>41036</v>
      </c>
      <c r="DJ341" s="4" t="b">
        <v>0</v>
      </c>
      <c r="DK341" s="4"/>
      <c r="DL341" s="4">
        <v>2672995</v>
      </c>
      <c r="DM341" s="4">
        <v>6475782</v>
      </c>
      <c r="DN341" s="4" t="s">
        <v>1154</v>
      </c>
      <c r="DO341" s="4"/>
      <c r="DP341" s="4" t="s">
        <v>1155</v>
      </c>
      <c r="DQ341" s="4" t="s">
        <v>148</v>
      </c>
      <c r="DR341" s="4"/>
      <c r="DS341" s="4"/>
      <c r="DT341" s="5">
        <v>41863</v>
      </c>
      <c r="DU341" s="4"/>
      <c r="DV341" s="4"/>
      <c r="DW341" s="4"/>
      <c r="DX341" s="4"/>
      <c r="DY341" s="4"/>
      <c r="DZ341" s="4"/>
      <c r="EA341" s="4"/>
      <c r="EB341" s="4"/>
      <c r="EC341" s="4"/>
      <c r="ED341" s="4"/>
      <c r="EE341" s="4"/>
      <c r="EF341" s="4"/>
      <c r="EG341" s="5">
        <v>41051</v>
      </c>
      <c r="EH341" s="5">
        <v>41051</v>
      </c>
      <c r="EI341" s="4"/>
    </row>
    <row r="342" spans="1:139" hidden="1" x14ac:dyDescent="0.2">
      <c r="A342">
        <f>VLOOKUP(B342,Sheet1!$A$1:$B$18,2,FALSE)</f>
        <v>0</v>
      </c>
      <c r="B342" t="str">
        <f t="shared" si="5"/>
        <v>AKL</v>
      </c>
      <c r="C342" s="2">
        <v>341</v>
      </c>
      <c r="D342" s="3" t="str">
        <f>HYPERLINK("https://sitebase.nzcomms.co.nz/spm/spmnominalview/AKL-007-176/","AKL-007-176")</f>
        <v>AKL-007-176</v>
      </c>
      <c r="E342" s="4" t="s">
        <v>1156</v>
      </c>
      <c r="F342" s="4"/>
      <c r="G342" s="4"/>
      <c r="H342" s="4" t="s">
        <v>745</v>
      </c>
      <c r="I342" s="4"/>
      <c r="J342" s="4" t="s">
        <v>196</v>
      </c>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row>
    <row r="343" spans="1:139" hidden="1" x14ac:dyDescent="0.2">
      <c r="A343">
        <f>VLOOKUP(B343,Sheet1!$A$1:$B$18,2,FALSE)</f>
        <v>0</v>
      </c>
      <c r="B343" t="str">
        <f t="shared" si="5"/>
        <v>AKL</v>
      </c>
      <c r="C343" s="2">
        <v>342</v>
      </c>
      <c r="D343" s="3" t="str">
        <f>HYPERLINK("https://sitebase.nzcomms.co.nz/spm/spmnominalview/AKL-007-177/","AKL-007-177")</f>
        <v>AKL-007-177</v>
      </c>
      <c r="E343" s="4" t="s">
        <v>1157</v>
      </c>
      <c r="F343" s="3" t="str">
        <f>HYPERLINK("https://sitebase.nzcomms.co.nz/spm/spmcandidateview/AKL-007-177-E/","AKL-007-177-E")</f>
        <v>AKL-007-177-E</v>
      </c>
      <c r="G343" s="4" t="s">
        <v>1157</v>
      </c>
      <c r="H343" s="4" t="s">
        <v>745</v>
      </c>
      <c r="I343" s="4">
        <v>3</v>
      </c>
      <c r="J343" s="4" t="s">
        <v>194</v>
      </c>
      <c r="K343" s="4" t="s">
        <v>141</v>
      </c>
      <c r="L343" s="4" t="s">
        <v>189</v>
      </c>
      <c r="M343" s="4" t="s">
        <v>571</v>
      </c>
      <c r="N343" s="4" t="s">
        <v>1158</v>
      </c>
      <c r="O343" s="4" t="s">
        <v>168</v>
      </c>
      <c r="P343" s="4" t="s">
        <v>182</v>
      </c>
      <c r="Q343" s="4"/>
      <c r="R343" s="4">
        <v>9.9</v>
      </c>
      <c r="S343" s="4">
        <v>12</v>
      </c>
      <c r="T343" s="4"/>
      <c r="U343" s="4">
        <v>-36.892528400000003</v>
      </c>
      <c r="V343" s="4">
        <v>174.82829798</v>
      </c>
      <c r="W343" s="4"/>
      <c r="X343" s="4"/>
      <c r="Y343" s="4"/>
      <c r="Z343" s="4"/>
      <c r="AA343" s="4" t="s">
        <v>171</v>
      </c>
      <c r="AB343" s="3" t="str">
        <f>HYPERLINK("https://sitebase.nzcomms.co.nz/spm/spmcandidateview/AKL-007-114-D/","AKL-007-114-D")</f>
        <v>AKL-007-114-D</v>
      </c>
      <c r="AC343" s="4" t="b">
        <v>0</v>
      </c>
      <c r="AD343" s="4" t="b">
        <v>0</v>
      </c>
      <c r="AE343" s="4"/>
      <c r="AF343" s="4"/>
      <c r="AG343" s="4" t="b">
        <v>0</v>
      </c>
      <c r="AH343" s="4"/>
      <c r="AI343" s="5">
        <v>40794</v>
      </c>
      <c r="AJ343" s="5">
        <v>40792</v>
      </c>
      <c r="AK343" s="5">
        <v>40841</v>
      </c>
      <c r="AL343" s="5">
        <v>40835</v>
      </c>
      <c r="AM343" s="5">
        <v>40856</v>
      </c>
      <c r="AN343" s="5">
        <v>40863</v>
      </c>
      <c r="AO343" s="4">
        <v>2</v>
      </c>
      <c r="AP343" s="5">
        <v>40856</v>
      </c>
      <c r="AQ343" s="5">
        <v>40892</v>
      </c>
      <c r="AR343" s="5">
        <v>40954</v>
      </c>
      <c r="AS343" s="5">
        <v>40948</v>
      </c>
      <c r="AT343" s="5">
        <v>40956</v>
      </c>
      <c r="AU343" s="5">
        <v>40969</v>
      </c>
      <c r="AV343" s="4"/>
      <c r="AW343" s="5">
        <v>40968</v>
      </c>
      <c r="AX343" s="5">
        <v>40969</v>
      </c>
      <c r="AY343" s="4" t="s">
        <v>183</v>
      </c>
      <c r="AZ343" s="5">
        <v>40889</v>
      </c>
      <c r="BA343" s="5">
        <v>40890</v>
      </c>
      <c r="BB343" s="5">
        <v>40961</v>
      </c>
      <c r="BC343" s="5">
        <v>40956</v>
      </c>
      <c r="BD343" s="4">
        <v>1</v>
      </c>
      <c r="BE343" s="5">
        <v>40968</v>
      </c>
      <c r="BF343" s="5">
        <v>40956</v>
      </c>
      <c r="BG343" s="4"/>
      <c r="BH343" s="4"/>
      <c r="BI343" s="5">
        <v>41071</v>
      </c>
      <c r="BJ343" s="5">
        <v>41059</v>
      </c>
      <c r="BK343" s="4">
        <v>1</v>
      </c>
      <c r="BL343" s="4"/>
      <c r="BM343" s="5">
        <v>41071</v>
      </c>
      <c r="BN343" s="5">
        <v>41059</v>
      </c>
      <c r="BO343" s="5">
        <v>41093</v>
      </c>
      <c r="BP343" s="4"/>
      <c r="BQ343" s="4"/>
      <c r="BR343" s="4"/>
      <c r="BS343" s="4"/>
      <c r="BT343" s="5">
        <v>41100</v>
      </c>
      <c r="BU343" s="5">
        <v>41100</v>
      </c>
      <c r="BV343" s="5">
        <v>41106</v>
      </c>
      <c r="BW343" s="5">
        <v>41110</v>
      </c>
      <c r="BX343" s="5">
        <v>41108</v>
      </c>
      <c r="BY343" s="5">
        <v>41114</v>
      </c>
      <c r="BZ343" s="5">
        <v>41114</v>
      </c>
      <c r="CA343" s="4"/>
      <c r="CB343" s="4"/>
      <c r="CC343" s="4"/>
      <c r="CD343" s="4"/>
      <c r="CE343" s="4"/>
      <c r="CF343" s="4"/>
      <c r="CG343" s="4"/>
      <c r="CH343" s="4"/>
      <c r="CI343" s="5">
        <v>41116</v>
      </c>
      <c r="CJ343" s="5">
        <v>41135</v>
      </c>
      <c r="CK343" s="5">
        <v>41135</v>
      </c>
      <c r="CL343" s="5">
        <v>41149</v>
      </c>
      <c r="CM343" s="5">
        <v>41136</v>
      </c>
      <c r="CN343" s="5">
        <v>41376</v>
      </c>
      <c r="CO343" s="5">
        <v>41373</v>
      </c>
      <c r="CP343" s="4"/>
      <c r="CQ343" s="4"/>
      <c r="CR343" s="5">
        <v>41117</v>
      </c>
      <c r="CS343" s="5">
        <v>41093</v>
      </c>
      <c r="CT343" s="5">
        <v>41093</v>
      </c>
      <c r="CU343" s="5">
        <v>41093</v>
      </c>
      <c r="CV343" s="5">
        <v>41093</v>
      </c>
      <c r="CW343" s="5">
        <v>41093</v>
      </c>
      <c r="CX343" s="5">
        <v>41093</v>
      </c>
      <c r="CY343" s="5">
        <v>41109</v>
      </c>
      <c r="CZ343" s="5">
        <v>41109</v>
      </c>
      <c r="DA343" s="4"/>
      <c r="DB343" s="5">
        <v>41127</v>
      </c>
      <c r="DC343" s="4"/>
      <c r="DD343" s="4"/>
      <c r="DE343" s="4"/>
      <c r="DF343" s="4"/>
      <c r="DG343" s="4"/>
      <c r="DH343" s="4" t="s">
        <v>174</v>
      </c>
      <c r="DI343" s="5">
        <v>41108</v>
      </c>
      <c r="DJ343" s="4" t="b">
        <v>0</v>
      </c>
      <c r="DK343" s="4"/>
      <c r="DL343" s="4">
        <v>2673337</v>
      </c>
      <c r="DM343" s="4">
        <v>6477175</v>
      </c>
      <c r="DN343" s="4" t="s">
        <v>1159</v>
      </c>
      <c r="DO343" s="4"/>
      <c r="DP343" s="4" t="s">
        <v>1160</v>
      </c>
      <c r="DQ343" s="4" t="s">
        <v>148</v>
      </c>
      <c r="DR343" s="4"/>
      <c r="DS343" s="4"/>
      <c r="DT343" s="5">
        <v>41863</v>
      </c>
      <c r="DU343" s="4"/>
      <c r="DV343" s="4"/>
      <c r="DW343" s="4"/>
      <c r="DX343" s="4"/>
      <c r="DY343" s="4"/>
      <c r="DZ343" s="4"/>
      <c r="EA343" s="4"/>
      <c r="EB343" s="4"/>
      <c r="EC343" s="4"/>
      <c r="ED343" s="4"/>
      <c r="EE343" s="4"/>
      <c r="EF343" s="4"/>
      <c r="EG343" s="5">
        <v>41124</v>
      </c>
      <c r="EH343" s="5">
        <v>41122</v>
      </c>
      <c r="EI343" s="4"/>
    </row>
    <row r="344" spans="1:139" hidden="1" x14ac:dyDescent="0.2">
      <c r="A344">
        <f>VLOOKUP(B344,Sheet1!$A$1:$B$18,2,FALSE)</f>
        <v>0</v>
      </c>
      <c r="B344" t="str">
        <f t="shared" si="5"/>
        <v>AKL</v>
      </c>
      <c r="C344" s="2">
        <v>343</v>
      </c>
      <c r="D344" s="3" t="str">
        <f>HYPERLINK("https://sitebase.nzcomms.co.nz/spm/spmnominalview/AKL-007-178/","AKL-007-178")</f>
        <v>AKL-007-178</v>
      </c>
      <c r="E344" s="4" t="s">
        <v>1161</v>
      </c>
      <c r="F344" s="3" t="str">
        <f>HYPERLINK("https://sitebase.nzcomms.co.nz/spm/spmcandidateview/AKL-007-178-A/","AKL-007-178-A")</f>
        <v>AKL-007-178-A</v>
      </c>
      <c r="G344" s="4" t="s">
        <v>1162</v>
      </c>
      <c r="H344" s="4" t="s">
        <v>745</v>
      </c>
      <c r="I344" s="4">
        <v>3</v>
      </c>
      <c r="J344" s="4" t="s">
        <v>194</v>
      </c>
      <c r="K344" s="4" t="s">
        <v>141</v>
      </c>
      <c r="L344" s="4" t="s">
        <v>181</v>
      </c>
      <c r="M344" s="4" t="s">
        <v>571</v>
      </c>
      <c r="N344" s="4" t="s">
        <v>364</v>
      </c>
      <c r="O344" s="4"/>
      <c r="P344" s="4" t="s">
        <v>182</v>
      </c>
      <c r="Q344" s="4"/>
      <c r="R344" s="4"/>
      <c r="S344" s="4"/>
      <c r="T344" s="4"/>
      <c r="U344" s="4">
        <v>-36.841521309999997</v>
      </c>
      <c r="V344" s="4">
        <v>174.76814880000001</v>
      </c>
      <c r="W344" s="4"/>
      <c r="X344" s="4"/>
      <c r="Y344" s="4"/>
      <c r="Z344" s="4"/>
      <c r="AA344" s="4"/>
      <c r="AB344" s="4"/>
      <c r="AC344" s="4" t="b">
        <v>0</v>
      </c>
      <c r="AD344" s="4" t="b">
        <v>0</v>
      </c>
      <c r="AE344" s="4"/>
      <c r="AF344" s="4"/>
      <c r="AG344" s="4" t="b">
        <v>0</v>
      </c>
      <c r="AH344" s="4"/>
      <c r="AI344" s="4"/>
      <c r="AJ344" s="5">
        <v>41011</v>
      </c>
      <c r="AK344" s="4"/>
      <c r="AL344" s="5">
        <v>41011</v>
      </c>
      <c r="AM344" s="4"/>
      <c r="AN344" s="5">
        <v>40721</v>
      </c>
      <c r="AO344" s="4">
        <v>5</v>
      </c>
      <c r="AP344" s="4"/>
      <c r="AQ344" s="5">
        <v>42220</v>
      </c>
      <c r="AR344" s="4"/>
      <c r="AS344" s="5">
        <v>40765</v>
      </c>
      <c r="AT344" s="4"/>
      <c r="AU344" s="5">
        <v>40773</v>
      </c>
      <c r="AV344" s="4"/>
      <c r="AW344" s="4"/>
      <c r="AX344" s="5">
        <v>40773</v>
      </c>
      <c r="AY344" s="4" t="s">
        <v>183</v>
      </c>
      <c r="AZ344" s="4"/>
      <c r="BA344" s="5">
        <v>40766</v>
      </c>
      <c r="BB344" s="4"/>
      <c r="BC344" s="5">
        <v>40787</v>
      </c>
      <c r="BD344" s="4">
        <v>3</v>
      </c>
      <c r="BE344" s="4"/>
      <c r="BF344" s="4"/>
      <c r="BG344" s="4"/>
      <c r="BH344" s="4"/>
      <c r="BI344" s="4"/>
      <c r="BJ344" s="5">
        <v>42261</v>
      </c>
      <c r="BK344" s="4">
        <v>3</v>
      </c>
      <c r="BL344" s="4"/>
      <c r="BM344" s="4"/>
      <c r="BN344" s="5">
        <v>42319</v>
      </c>
      <c r="BO344" s="4"/>
      <c r="BP344" s="4"/>
      <c r="BQ344" s="4"/>
      <c r="BR344" s="4"/>
      <c r="BS344" s="4"/>
      <c r="BT344" s="4"/>
      <c r="BU344" s="5">
        <v>40983</v>
      </c>
      <c r="BV344" s="4"/>
      <c r="BW344" s="5">
        <v>40998</v>
      </c>
      <c r="BX344" s="5">
        <v>40998</v>
      </c>
      <c r="BY344" s="4"/>
      <c r="BZ344" s="5">
        <v>40998</v>
      </c>
      <c r="CA344" s="4"/>
      <c r="CB344" s="4"/>
      <c r="CC344" s="4"/>
      <c r="CD344" s="4"/>
      <c r="CE344" s="4"/>
      <c r="CF344" s="4"/>
      <c r="CG344" s="4"/>
      <c r="CH344" s="4"/>
      <c r="CI344" s="4"/>
      <c r="CJ344" s="4"/>
      <c r="CK344" s="5">
        <v>41008</v>
      </c>
      <c r="CL344" s="4"/>
      <c r="CM344" s="5">
        <v>41008</v>
      </c>
      <c r="CN344" s="4"/>
      <c r="CO344" s="5">
        <v>41099</v>
      </c>
      <c r="CP344" s="4"/>
      <c r="CQ344" s="4"/>
      <c r="CR344" s="4"/>
      <c r="CS344" s="4"/>
      <c r="CT344" s="4"/>
      <c r="CU344" s="4"/>
      <c r="CV344" s="4"/>
      <c r="CW344" s="4"/>
      <c r="CX344" s="4"/>
      <c r="CY344" s="4"/>
      <c r="CZ344" s="4"/>
      <c r="DA344" s="4"/>
      <c r="DB344" s="5">
        <v>40998</v>
      </c>
      <c r="DC344" s="4"/>
      <c r="DD344" s="4"/>
      <c r="DE344" s="4"/>
      <c r="DF344" s="4"/>
      <c r="DG344" s="4"/>
      <c r="DH344" s="4" t="s">
        <v>174</v>
      </c>
      <c r="DI344" s="4"/>
      <c r="DJ344" s="4" t="b">
        <v>0</v>
      </c>
      <c r="DK344" s="4"/>
      <c r="DL344" s="4">
        <v>2668093</v>
      </c>
      <c r="DM344" s="4">
        <v>6482946</v>
      </c>
      <c r="DN344" s="4" t="s">
        <v>1163</v>
      </c>
      <c r="DO344" s="4"/>
      <c r="DP344" s="4" t="s">
        <v>1164</v>
      </c>
      <c r="DQ344" s="4" t="s">
        <v>148</v>
      </c>
      <c r="DR344" s="4"/>
      <c r="DS344" s="4"/>
      <c r="DT344" s="5">
        <v>41806</v>
      </c>
      <c r="DU344" s="4"/>
      <c r="DV344" s="4"/>
      <c r="DW344" s="4"/>
      <c r="DX344" s="4"/>
      <c r="DY344" s="4"/>
      <c r="DZ344" s="4"/>
      <c r="EA344" s="4"/>
      <c r="EB344" s="4"/>
      <c r="EC344" s="4"/>
      <c r="ED344" s="4"/>
      <c r="EE344" s="4"/>
      <c r="EF344" s="4"/>
      <c r="EG344" s="4"/>
      <c r="EH344" s="4"/>
      <c r="EI344" s="4"/>
    </row>
    <row r="345" spans="1:139" hidden="1" x14ac:dyDescent="0.2">
      <c r="A345">
        <f>VLOOKUP(B345,Sheet1!$A$1:$B$18,2,FALSE)</f>
        <v>0</v>
      </c>
      <c r="B345" t="str">
        <f t="shared" si="5"/>
        <v>AKL</v>
      </c>
      <c r="C345" s="2">
        <v>344</v>
      </c>
      <c r="D345" s="3" t="str">
        <f>HYPERLINK("https://sitebase.nzcomms.co.nz/spm/spmnominalview/AKL-007-179/","AKL-007-179")</f>
        <v>AKL-007-179</v>
      </c>
      <c r="E345" s="4" t="s">
        <v>1165</v>
      </c>
      <c r="F345" s="4"/>
      <c r="G345" s="4"/>
      <c r="H345" s="4" t="s">
        <v>745</v>
      </c>
      <c r="I345" s="4"/>
      <c r="J345" s="4" t="s">
        <v>722</v>
      </c>
      <c r="K345" s="4"/>
      <c r="L345" s="4"/>
      <c r="M345" s="4"/>
      <c r="N345" s="4"/>
      <c r="O345" s="4"/>
      <c r="P345" s="4"/>
      <c r="Q345" s="4"/>
      <c r="R345" s="4"/>
      <c r="S345" s="4"/>
      <c r="T345" s="4"/>
      <c r="U345" s="4"/>
      <c r="V345" s="4"/>
      <c r="W345" s="4"/>
      <c r="X345" s="4"/>
      <c r="Y345" s="4"/>
      <c r="Z345" s="4"/>
      <c r="AA345" s="4"/>
      <c r="AB345" s="4"/>
      <c r="AC345" s="4"/>
      <c r="AD345" s="4"/>
      <c r="AE345" s="4"/>
      <c r="AF345" s="4"/>
      <c r="AG345" s="4" t="b">
        <v>0</v>
      </c>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row>
    <row r="346" spans="1:139" hidden="1" x14ac:dyDescent="0.2">
      <c r="A346">
        <f>VLOOKUP(B346,Sheet1!$A$1:$B$18,2,FALSE)</f>
        <v>0</v>
      </c>
      <c r="B346" t="str">
        <f t="shared" si="5"/>
        <v>AKL</v>
      </c>
      <c r="C346" s="2">
        <v>345</v>
      </c>
      <c r="D346" s="3" t="str">
        <f>HYPERLINK("https://sitebase.nzcomms.co.nz/spm/spmnominalview/AKL-007-180/","AKL-007-180")</f>
        <v>AKL-007-180</v>
      </c>
      <c r="E346" s="4" t="s">
        <v>1166</v>
      </c>
      <c r="F346" s="3" t="str">
        <f>HYPERLINK("https://sitebase.nzcomms.co.nz/spm/spmcandidateview/AKL-007-180-A/","AKL-007-180-A")</f>
        <v>AKL-007-180-A</v>
      </c>
      <c r="G346" s="4" t="s">
        <v>1167</v>
      </c>
      <c r="H346" s="4" t="s">
        <v>745</v>
      </c>
      <c r="I346" s="4"/>
      <c r="J346" s="4" t="s">
        <v>317</v>
      </c>
      <c r="K346" s="4" t="s">
        <v>141</v>
      </c>
      <c r="L346" s="4" t="s">
        <v>1124</v>
      </c>
      <c r="M346" s="4" t="s">
        <v>738</v>
      </c>
      <c r="N346" s="4" t="s">
        <v>364</v>
      </c>
      <c r="O346" s="4"/>
      <c r="P346" s="4"/>
      <c r="Q346" s="4"/>
      <c r="R346" s="4"/>
      <c r="S346" s="4"/>
      <c r="T346" s="4"/>
      <c r="U346" s="4">
        <v>-36.894396999999998</v>
      </c>
      <c r="V346" s="4">
        <v>174.83817753</v>
      </c>
      <c r="W346" s="4"/>
      <c r="X346" s="4"/>
      <c r="Y346" s="4"/>
      <c r="Z346" s="4"/>
      <c r="AA346" s="4"/>
      <c r="AB346" s="4"/>
      <c r="AC346" s="4"/>
      <c r="AD346" s="4"/>
      <c r="AE346" s="4"/>
      <c r="AF346" s="4"/>
      <c r="AG346" s="4"/>
      <c r="AH346" s="4"/>
      <c r="AI346" s="4"/>
      <c r="AJ346" s="5">
        <v>40956</v>
      </c>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5">
        <v>40961</v>
      </c>
      <c r="BU346" s="4"/>
      <c r="BV346" s="5">
        <v>40961</v>
      </c>
      <c r="BW346" s="4"/>
      <c r="BX346" s="4"/>
      <c r="BY346" s="5">
        <v>40963</v>
      </c>
      <c r="BZ346" s="4"/>
      <c r="CA346" s="4"/>
      <c r="CB346" s="4"/>
      <c r="CC346" s="4"/>
      <c r="CD346" s="4"/>
      <c r="CE346" s="4"/>
      <c r="CF346" s="4"/>
      <c r="CG346" s="4"/>
      <c r="CH346" s="4"/>
      <c r="CI346" s="4"/>
      <c r="CJ346" s="5">
        <v>40963</v>
      </c>
      <c r="CK346" s="5">
        <v>40956</v>
      </c>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5">
        <v>40961</v>
      </c>
      <c r="DJ346" s="4" t="b">
        <v>0</v>
      </c>
      <c r="DK346" s="4"/>
      <c r="DL346" s="4">
        <v>2674213</v>
      </c>
      <c r="DM346" s="4">
        <v>6476949</v>
      </c>
      <c r="DN346" s="4" t="s">
        <v>1168</v>
      </c>
      <c r="DO346" s="4"/>
      <c r="DP346" s="4"/>
      <c r="DQ346" s="4" t="s">
        <v>740</v>
      </c>
      <c r="DR346" s="4"/>
      <c r="DS346" s="4"/>
      <c r="DT346" s="4"/>
      <c r="DU346" s="4"/>
      <c r="DV346" s="4"/>
      <c r="DW346" s="4"/>
      <c r="DX346" s="4"/>
      <c r="DY346" s="4"/>
      <c r="DZ346" s="4"/>
      <c r="EA346" s="4"/>
      <c r="EB346" s="4"/>
      <c r="EC346" s="4"/>
      <c r="ED346" s="4"/>
      <c r="EE346" s="4"/>
      <c r="EF346" s="4"/>
      <c r="EG346" s="4"/>
      <c r="EH346" s="4"/>
      <c r="EI346" s="4"/>
    </row>
    <row r="347" spans="1:139" hidden="1" x14ac:dyDescent="0.2">
      <c r="A347">
        <f>VLOOKUP(B347,Sheet1!$A$1:$B$18,2,FALSE)</f>
        <v>0</v>
      </c>
      <c r="B347" t="str">
        <f t="shared" si="5"/>
        <v>AKL</v>
      </c>
      <c r="C347" s="2">
        <v>346</v>
      </c>
      <c r="D347" s="3" t="str">
        <f>HYPERLINK("https://sitebase.nzcomms.co.nz/spm/spmnominalview/AKL-007-181/","AKL-007-181")</f>
        <v>AKL-007-181</v>
      </c>
      <c r="E347" s="4" t="s">
        <v>1169</v>
      </c>
      <c r="F347" s="4"/>
      <c r="G347" s="4"/>
      <c r="H347" s="4" t="s">
        <v>745</v>
      </c>
      <c r="I347" s="4">
        <v>9</v>
      </c>
      <c r="J347" s="4" t="s">
        <v>317</v>
      </c>
      <c r="K347" s="4"/>
      <c r="L347" s="4"/>
      <c r="M347" s="4"/>
      <c r="N347" s="4"/>
      <c r="O347" s="4"/>
      <c r="P347" s="4"/>
      <c r="Q347" s="4"/>
      <c r="R347" s="4"/>
      <c r="S347" s="4"/>
      <c r="T347" s="4"/>
      <c r="U347" s="4"/>
      <c r="V347" s="4"/>
      <c r="W347" s="4"/>
      <c r="X347" s="4"/>
      <c r="Y347" s="4"/>
      <c r="Z347" s="4"/>
      <c r="AA347" s="4"/>
      <c r="AB347" s="4"/>
      <c r="AC347" s="4"/>
      <c r="AD347" s="4"/>
      <c r="AE347" s="4"/>
      <c r="AF347" s="4"/>
      <c r="AG347" s="4" t="b">
        <v>0</v>
      </c>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row>
    <row r="348" spans="1:139" hidden="1" x14ac:dyDescent="0.2">
      <c r="A348">
        <f>VLOOKUP(B348,Sheet1!$A$1:$B$18,2,FALSE)</f>
        <v>0</v>
      </c>
      <c r="B348" t="str">
        <f t="shared" si="5"/>
        <v>AKL</v>
      </c>
      <c r="C348" s="2">
        <v>347</v>
      </c>
      <c r="D348" s="3" t="str">
        <f>HYPERLINK("https://sitebase.nzcomms.co.nz/spm/spmnominalview/AKL-007-182/","AKL-007-182")</f>
        <v>AKL-007-182</v>
      </c>
      <c r="E348" s="4" t="s">
        <v>1170</v>
      </c>
      <c r="F348" s="3" t="str">
        <f>HYPERLINK("https://sitebase.nzcomms.co.nz/spm/spmcandidateview/AKL-007-182-A/","AKL-007-182-A")</f>
        <v>AKL-007-182-A</v>
      </c>
      <c r="G348" s="4" t="s">
        <v>1171</v>
      </c>
      <c r="H348" s="4" t="s">
        <v>745</v>
      </c>
      <c r="I348" s="4"/>
      <c r="J348" s="4" t="s">
        <v>317</v>
      </c>
      <c r="K348" s="4" t="s">
        <v>141</v>
      </c>
      <c r="L348" s="4" t="s">
        <v>181</v>
      </c>
      <c r="M348" s="4" t="s">
        <v>1172</v>
      </c>
      <c r="N348" s="4" t="s">
        <v>181</v>
      </c>
      <c r="O348" s="4"/>
      <c r="P348" s="4"/>
      <c r="Q348" s="4"/>
      <c r="R348" s="4"/>
      <c r="S348" s="4"/>
      <c r="T348" s="4"/>
      <c r="U348" s="4">
        <v>-36.862333190000001</v>
      </c>
      <c r="V348" s="4">
        <v>174.7587987</v>
      </c>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t="s">
        <v>1173</v>
      </c>
      <c r="CQ348" s="4"/>
      <c r="CR348" s="4"/>
      <c r="CS348" s="4"/>
      <c r="CT348" s="4"/>
      <c r="CU348" s="4"/>
      <c r="CV348" s="4"/>
      <c r="CW348" s="4"/>
      <c r="CX348" s="4"/>
      <c r="CY348" s="4"/>
      <c r="CZ348" s="4"/>
      <c r="DA348" s="4"/>
      <c r="DB348" s="4"/>
      <c r="DC348" s="4"/>
      <c r="DD348" s="4"/>
      <c r="DE348" s="4"/>
      <c r="DF348" s="4"/>
      <c r="DG348" s="4"/>
      <c r="DH348" s="4"/>
      <c r="DI348" s="4"/>
      <c r="DJ348" s="4" t="b">
        <v>0</v>
      </c>
      <c r="DK348" s="4"/>
      <c r="DL348" s="4">
        <v>2667212</v>
      </c>
      <c r="DM348" s="4">
        <v>6480654</v>
      </c>
      <c r="DN348" s="4"/>
      <c r="DO348" s="4"/>
      <c r="DP348" s="4"/>
      <c r="DQ348" s="4"/>
      <c r="DR348" s="4"/>
      <c r="DS348" s="4"/>
      <c r="DT348" s="4"/>
      <c r="DU348" s="4"/>
      <c r="DV348" s="4"/>
      <c r="DW348" s="4"/>
      <c r="DX348" s="4"/>
      <c r="DY348" s="4"/>
      <c r="DZ348" s="4"/>
      <c r="EA348" s="4"/>
      <c r="EB348" s="4"/>
      <c r="EC348" s="4"/>
      <c r="ED348" s="4"/>
      <c r="EE348" s="4"/>
      <c r="EF348" s="4"/>
      <c r="EG348" s="4"/>
      <c r="EH348" s="4"/>
      <c r="EI348" s="4"/>
    </row>
    <row r="349" spans="1:139" hidden="1" x14ac:dyDescent="0.2">
      <c r="A349">
        <f>VLOOKUP(B349,Sheet1!$A$1:$B$18,2,FALSE)</f>
        <v>0</v>
      </c>
      <c r="B349" t="str">
        <f t="shared" si="5"/>
        <v>AKL</v>
      </c>
      <c r="C349" s="2">
        <v>348</v>
      </c>
      <c r="D349" s="3" t="str">
        <f>HYPERLINK("https://sitebase.nzcomms.co.nz/spm/spmnominalview/AKL-007-183/","AKL-007-183")</f>
        <v>AKL-007-183</v>
      </c>
      <c r="E349" s="4" t="s">
        <v>1174</v>
      </c>
      <c r="F349" s="4"/>
      <c r="G349" s="4"/>
      <c r="H349" s="4" t="s">
        <v>745</v>
      </c>
      <c r="I349" s="4"/>
      <c r="J349" s="4" t="s">
        <v>317</v>
      </c>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t="s">
        <v>1175</v>
      </c>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row>
    <row r="350" spans="1:139" hidden="1" x14ac:dyDescent="0.2">
      <c r="A350">
        <f>VLOOKUP(B350,Sheet1!$A$1:$B$18,2,FALSE)</f>
        <v>0</v>
      </c>
      <c r="B350" t="str">
        <f t="shared" si="5"/>
        <v>AKL</v>
      </c>
      <c r="C350" s="2">
        <v>349</v>
      </c>
      <c r="D350" s="3" t="str">
        <f>HYPERLINK("https://sitebase.nzcomms.co.nz/spm/spmnominalview/AKL-007-184/","AKL-007-184")</f>
        <v>AKL-007-184</v>
      </c>
      <c r="E350" s="4" t="s">
        <v>1176</v>
      </c>
      <c r="F350" s="3" t="str">
        <f>HYPERLINK("https://sitebase.nzcomms.co.nz/spm/spmcandidateview/AKL-007-184-A/","AKL-007-184-A")</f>
        <v>AKL-007-184-A</v>
      </c>
      <c r="G350" s="4" t="s">
        <v>1177</v>
      </c>
      <c r="H350" s="4" t="s">
        <v>745</v>
      </c>
      <c r="I350" s="4"/>
      <c r="J350" s="4" t="s">
        <v>317</v>
      </c>
      <c r="K350" s="4" t="s">
        <v>141</v>
      </c>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row>
    <row r="351" spans="1:139" hidden="1" x14ac:dyDescent="0.2">
      <c r="A351">
        <f>VLOOKUP(B351,Sheet1!$A$1:$B$18,2,FALSE)</f>
        <v>0</v>
      </c>
      <c r="B351" t="str">
        <f t="shared" si="5"/>
        <v>AKL</v>
      </c>
      <c r="C351" s="2">
        <v>350</v>
      </c>
      <c r="D351" s="3" t="str">
        <f>HYPERLINK("https://sitebase.nzcomms.co.nz/spm/spmnominalview/AKL-007-185/","AKL-007-185")</f>
        <v>AKL-007-185</v>
      </c>
      <c r="E351" s="4" t="s">
        <v>1178</v>
      </c>
      <c r="F351" s="3" t="str">
        <f>HYPERLINK("https://sitebase.nzcomms.co.nz/spm/spmcandidateview/AKL-007-185-A/","AKL-007-185-A")</f>
        <v>AKL-007-185-A</v>
      </c>
      <c r="G351" s="4" t="s">
        <v>1179</v>
      </c>
      <c r="H351" s="4" t="s">
        <v>745</v>
      </c>
      <c r="I351" s="4"/>
      <c r="J351" s="4" t="s">
        <v>317</v>
      </c>
      <c r="K351" s="4" t="s">
        <v>141</v>
      </c>
      <c r="L351" s="4" t="s">
        <v>142</v>
      </c>
      <c r="M351" s="4" t="s">
        <v>324</v>
      </c>
      <c r="N351" s="4"/>
      <c r="O351" s="4"/>
      <c r="P351" s="4"/>
      <c r="Q351" s="4" t="s">
        <v>142</v>
      </c>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5">
        <v>40969</v>
      </c>
      <c r="CL351" s="4"/>
      <c r="CM351" s="5">
        <v>40969</v>
      </c>
      <c r="CN351" s="4"/>
      <c r="CO351" s="4"/>
      <c r="CP351" s="4" t="s">
        <v>1180</v>
      </c>
      <c r="CQ351" s="4"/>
      <c r="CR351" s="4"/>
      <c r="CS351" s="4"/>
      <c r="CT351" s="4"/>
      <c r="CU351" s="4"/>
      <c r="CV351" s="4"/>
      <c r="CW351" s="4"/>
      <c r="CX351" s="4"/>
      <c r="CY351" s="4"/>
      <c r="CZ351" s="4"/>
      <c r="DA351" s="4"/>
      <c r="DB351" s="4"/>
      <c r="DC351" s="4"/>
      <c r="DD351" s="4"/>
      <c r="DE351" s="4"/>
      <c r="DF351" s="4"/>
      <c r="DG351" s="4"/>
      <c r="DH351" s="4"/>
      <c r="DI351" s="4"/>
      <c r="DJ351" s="4" t="b">
        <v>0</v>
      </c>
      <c r="DK351" s="4"/>
      <c r="DL351" s="4"/>
      <c r="DM351" s="4"/>
      <c r="DN351" s="4" t="s">
        <v>1181</v>
      </c>
      <c r="DO351" s="4"/>
      <c r="DP351" s="4"/>
      <c r="DQ351" s="4" t="s">
        <v>328</v>
      </c>
      <c r="DR351" s="4"/>
      <c r="DS351" s="4"/>
      <c r="DT351" s="4"/>
      <c r="DU351" s="4"/>
      <c r="DV351" s="4"/>
      <c r="DW351" s="4"/>
      <c r="DX351" s="4"/>
      <c r="DY351" s="4"/>
      <c r="DZ351" s="4"/>
      <c r="EA351" s="4"/>
      <c r="EB351" s="4"/>
      <c r="EC351" s="4"/>
      <c r="ED351" s="4"/>
      <c r="EE351" s="4"/>
      <c r="EF351" s="4"/>
      <c r="EG351" s="4"/>
      <c r="EH351" s="4"/>
      <c r="EI351" s="4"/>
    </row>
    <row r="352" spans="1:139" hidden="1" x14ac:dyDescent="0.2">
      <c r="A352">
        <f>VLOOKUP(B352,Sheet1!$A$1:$B$18,2,FALSE)</f>
        <v>0</v>
      </c>
      <c r="B352" t="str">
        <f t="shared" si="5"/>
        <v>AKL</v>
      </c>
      <c r="C352" s="2">
        <v>351</v>
      </c>
      <c r="D352" s="3" t="str">
        <f>HYPERLINK("https://sitebase.nzcomms.co.nz/spm/spmnominalview/AKL-007-186/","AKL-007-186")</f>
        <v>AKL-007-186</v>
      </c>
      <c r="E352" s="4" t="s">
        <v>1182</v>
      </c>
      <c r="F352" s="3" t="str">
        <f>HYPERLINK("https://sitebase.nzcomms.co.nz/spm/spmcandidateview/AKL-007-186-B/","AKL-007-186-B")</f>
        <v>AKL-007-186-B</v>
      </c>
      <c r="G352" s="4" t="s">
        <v>1183</v>
      </c>
      <c r="H352" s="4" t="s">
        <v>745</v>
      </c>
      <c r="I352" s="4">
        <v>12</v>
      </c>
      <c r="J352" s="4" t="s">
        <v>584</v>
      </c>
      <c r="K352" s="4" t="s">
        <v>141</v>
      </c>
      <c r="L352" s="4" t="s">
        <v>150</v>
      </c>
      <c r="M352" s="4" t="s">
        <v>571</v>
      </c>
      <c r="N352" s="4" t="s">
        <v>246</v>
      </c>
      <c r="O352" s="4" t="s">
        <v>144</v>
      </c>
      <c r="P352" s="4" t="s">
        <v>169</v>
      </c>
      <c r="Q352" s="4" t="s">
        <v>192</v>
      </c>
      <c r="R352" s="4"/>
      <c r="S352" s="4">
        <v>15</v>
      </c>
      <c r="T352" s="4"/>
      <c r="U352" s="4">
        <v>-36.889165849999998</v>
      </c>
      <c r="V352" s="4">
        <v>174.79681313</v>
      </c>
      <c r="W352" s="4"/>
      <c r="X352" s="4"/>
      <c r="Y352" s="4"/>
      <c r="Z352" s="4"/>
      <c r="AA352" s="4" t="s">
        <v>145</v>
      </c>
      <c r="AB352" s="3" t="str">
        <f>HYPERLINK("https://sitebase.nzcomms.co.nz/spm/spmcandidateview/AKL-007-192-A/","AKL-007-192-A")</f>
        <v>AKL-007-192-A</v>
      </c>
      <c r="AC352" s="4" t="b">
        <v>0</v>
      </c>
      <c r="AD352" s="4" t="b">
        <v>0</v>
      </c>
      <c r="AE352" s="4"/>
      <c r="AF352" s="4"/>
      <c r="AG352" s="4" t="b">
        <v>0</v>
      </c>
      <c r="AH352" s="4"/>
      <c r="AI352" s="5">
        <v>41499</v>
      </c>
      <c r="AJ352" s="5">
        <v>41499</v>
      </c>
      <c r="AK352" s="5">
        <v>41500</v>
      </c>
      <c r="AL352" s="5">
        <v>41500</v>
      </c>
      <c r="AM352" s="5">
        <v>41515</v>
      </c>
      <c r="AN352" s="5">
        <v>41530</v>
      </c>
      <c r="AO352" s="4">
        <v>3</v>
      </c>
      <c r="AP352" s="5">
        <v>41523</v>
      </c>
      <c r="AQ352" s="5">
        <v>41654</v>
      </c>
      <c r="AR352" s="5">
        <v>41578</v>
      </c>
      <c r="AS352" s="5">
        <v>41626</v>
      </c>
      <c r="AT352" s="5">
        <v>41663</v>
      </c>
      <c r="AU352" s="5">
        <v>41668</v>
      </c>
      <c r="AV352" s="4"/>
      <c r="AW352" s="5">
        <v>41670</v>
      </c>
      <c r="AX352" s="5">
        <v>41668</v>
      </c>
      <c r="AY352" s="4" t="s">
        <v>198</v>
      </c>
      <c r="AZ352" s="5">
        <v>41562</v>
      </c>
      <c r="BA352" s="5">
        <v>41561</v>
      </c>
      <c r="BB352" s="5">
        <v>41597</v>
      </c>
      <c r="BC352" s="5">
        <v>41572</v>
      </c>
      <c r="BD352" s="4">
        <v>2</v>
      </c>
      <c r="BE352" s="5">
        <v>41604</v>
      </c>
      <c r="BF352" s="5">
        <v>41572</v>
      </c>
      <c r="BG352" s="5">
        <v>41582</v>
      </c>
      <c r="BH352" s="5">
        <v>41584</v>
      </c>
      <c r="BI352" s="5">
        <v>41606</v>
      </c>
      <c r="BJ352" s="5">
        <v>41625</v>
      </c>
      <c r="BK352" s="4">
        <v>2</v>
      </c>
      <c r="BL352" s="4"/>
      <c r="BM352" s="5">
        <v>41656</v>
      </c>
      <c r="BN352" s="5">
        <v>41654</v>
      </c>
      <c r="BO352" s="4"/>
      <c r="BP352" s="5">
        <v>41656</v>
      </c>
      <c r="BQ352" s="5">
        <v>41655</v>
      </c>
      <c r="BR352" s="5">
        <v>41656</v>
      </c>
      <c r="BS352" s="4"/>
      <c r="BT352" s="5">
        <v>41687</v>
      </c>
      <c r="BU352" s="5">
        <v>41688</v>
      </c>
      <c r="BV352" s="5">
        <v>41731</v>
      </c>
      <c r="BW352" s="5">
        <v>41731</v>
      </c>
      <c r="BX352" s="5">
        <v>41723</v>
      </c>
      <c r="BY352" s="5">
        <v>41743</v>
      </c>
      <c r="BZ352" s="5">
        <v>41746</v>
      </c>
      <c r="CA352" s="5">
        <v>41743</v>
      </c>
      <c r="CB352" s="5">
        <v>41746</v>
      </c>
      <c r="CC352" s="4"/>
      <c r="CD352" s="4"/>
      <c r="CE352" s="4"/>
      <c r="CF352" s="4"/>
      <c r="CG352" s="4"/>
      <c r="CH352" s="4"/>
      <c r="CI352" s="4"/>
      <c r="CJ352" s="5">
        <v>41759</v>
      </c>
      <c r="CK352" s="5">
        <v>41759</v>
      </c>
      <c r="CL352" s="4"/>
      <c r="CM352" s="4"/>
      <c r="CN352" s="4"/>
      <c r="CO352" s="4"/>
      <c r="CP352" s="4" t="s">
        <v>1184</v>
      </c>
      <c r="CQ352" s="4"/>
      <c r="CR352" s="4"/>
      <c r="CS352" s="4"/>
      <c r="CT352" s="4"/>
      <c r="CU352" s="4"/>
      <c r="CV352" s="4"/>
      <c r="CW352" s="4"/>
      <c r="CX352" s="4"/>
      <c r="CY352" s="4"/>
      <c r="CZ352" s="4"/>
      <c r="DA352" s="5">
        <v>41746</v>
      </c>
      <c r="DB352" s="5">
        <v>41746</v>
      </c>
      <c r="DC352" s="5">
        <v>41561</v>
      </c>
      <c r="DD352" s="4" t="s">
        <v>206</v>
      </c>
      <c r="DE352" s="4" t="s">
        <v>581</v>
      </c>
      <c r="DF352" s="5">
        <v>41731</v>
      </c>
      <c r="DG352" s="5">
        <v>41730</v>
      </c>
      <c r="DH352" s="4" t="s">
        <v>174</v>
      </c>
      <c r="DI352" s="5">
        <v>41722</v>
      </c>
      <c r="DJ352" s="4" t="b">
        <v>1</v>
      </c>
      <c r="DK352" s="5">
        <v>41656</v>
      </c>
      <c r="DL352" s="4">
        <v>2670539</v>
      </c>
      <c r="DM352" s="4">
        <v>6477607</v>
      </c>
      <c r="DN352" s="4" t="s">
        <v>1185</v>
      </c>
      <c r="DO352" s="4"/>
      <c r="DP352" s="4"/>
      <c r="DQ352" s="4" t="s">
        <v>148</v>
      </c>
      <c r="DR352" s="4"/>
      <c r="DS352" s="4"/>
      <c r="DT352" s="5">
        <v>41806</v>
      </c>
      <c r="DU352" s="4"/>
      <c r="DV352" s="4"/>
      <c r="DW352" s="4"/>
      <c r="DX352" s="4"/>
      <c r="DY352" s="5">
        <v>41663</v>
      </c>
      <c r="DZ352" s="5">
        <v>41663</v>
      </c>
      <c r="EA352" s="4"/>
      <c r="EB352" s="4"/>
      <c r="EC352" s="4"/>
      <c r="ED352" s="4"/>
      <c r="EE352" s="4"/>
      <c r="EF352" s="4"/>
      <c r="EG352" s="4"/>
      <c r="EH352" s="4"/>
      <c r="EI352" s="5">
        <v>41500</v>
      </c>
    </row>
    <row r="353" spans="1:139" hidden="1" x14ac:dyDescent="0.2">
      <c r="A353">
        <f>VLOOKUP(B353,Sheet1!$A$1:$B$18,2,FALSE)</f>
        <v>0</v>
      </c>
      <c r="B353" t="str">
        <f t="shared" si="5"/>
        <v>AKL</v>
      </c>
      <c r="C353" s="2">
        <v>352</v>
      </c>
      <c r="D353" s="3" t="str">
        <f>HYPERLINK("https://sitebase.nzcomms.co.nz/spm/spmnominalview/AKL-007-187/","AKL-007-187")</f>
        <v>AKL-007-187</v>
      </c>
      <c r="E353" s="4" t="s">
        <v>1186</v>
      </c>
      <c r="F353" s="3" t="str">
        <f>HYPERLINK("https://sitebase.nzcomms.co.nz/spm/spmcandidateview/AKL-007-187-A/","AKL-007-187-A")</f>
        <v>AKL-007-187-A</v>
      </c>
      <c r="G353" s="4" t="s">
        <v>1187</v>
      </c>
      <c r="H353" s="4" t="s">
        <v>745</v>
      </c>
      <c r="I353" s="4">
        <v>3</v>
      </c>
      <c r="J353" s="4" t="s">
        <v>584</v>
      </c>
      <c r="K353" s="4" t="s">
        <v>141</v>
      </c>
      <c r="L353" s="4" t="s">
        <v>181</v>
      </c>
      <c r="M353" s="4" t="s">
        <v>571</v>
      </c>
      <c r="N353" s="4" t="s">
        <v>181</v>
      </c>
      <c r="O353" s="4" t="s">
        <v>168</v>
      </c>
      <c r="P353" s="4" t="s">
        <v>169</v>
      </c>
      <c r="Q353" s="4" t="s">
        <v>170</v>
      </c>
      <c r="R353" s="4"/>
      <c r="S353" s="4"/>
      <c r="T353" s="4"/>
      <c r="U353" s="4">
        <v>-36.921460719999999</v>
      </c>
      <c r="V353" s="4">
        <v>174.78595394999999</v>
      </c>
      <c r="W353" s="4"/>
      <c r="X353" s="4"/>
      <c r="Y353" s="4"/>
      <c r="Z353" s="4"/>
      <c r="AA353" s="4" t="s">
        <v>171</v>
      </c>
      <c r="AB353" s="3" t="str">
        <f>HYPERLINK("https://sitebase.nzcomms.co.nz/spm/spmcandidateview/AKL-007-114-D/","AKL-007-114-D")</f>
        <v>AKL-007-114-D</v>
      </c>
      <c r="AC353" s="4" t="b">
        <v>0</v>
      </c>
      <c r="AD353" s="4" t="b">
        <v>0</v>
      </c>
      <c r="AE353" s="4"/>
      <c r="AF353" s="4"/>
      <c r="AG353" s="4" t="b">
        <v>0</v>
      </c>
      <c r="AH353" s="4"/>
      <c r="AI353" s="5">
        <v>41669</v>
      </c>
      <c r="AJ353" s="5">
        <v>41669</v>
      </c>
      <c r="AK353" s="5">
        <v>41694</v>
      </c>
      <c r="AL353" s="5">
        <v>41690</v>
      </c>
      <c r="AM353" s="5">
        <v>41745</v>
      </c>
      <c r="AN353" s="5">
        <v>41746</v>
      </c>
      <c r="AO353" s="4">
        <v>1</v>
      </c>
      <c r="AP353" s="5">
        <v>41745</v>
      </c>
      <c r="AQ353" s="5">
        <v>41746</v>
      </c>
      <c r="AR353" s="5">
        <v>41831</v>
      </c>
      <c r="AS353" s="5">
        <v>41829</v>
      </c>
      <c r="AT353" s="5">
        <v>41835</v>
      </c>
      <c r="AU353" s="5">
        <v>41831</v>
      </c>
      <c r="AV353" s="4"/>
      <c r="AW353" s="5">
        <v>41851</v>
      </c>
      <c r="AX353" s="5">
        <v>41843</v>
      </c>
      <c r="AY353" s="4" t="s">
        <v>183</v>
      </c>
      <c r="AZ353" s="5">
        <v>41786</v>
      </c>
      <c r="BA353" s="5">
        <v>41789</v>
      </c>
      <c r="BB353" s="5">
        <v>41816</v>
      </c>
      <c r="BC353" s="5">
        <v>41810</v>
      </c>
      <c r="BD353" s="4">
        <v>1</v>
      </c>
      <c r="BE353" s="5">
        <v>41823</v>
      </c>
      <c r="BF353" s="5">
        <v>41810</v>
      </c>
      <c r="BG353" s="5">
        <v>41786</v>
      </c>
      <c r="BH353" s="4"/>
      <c r="BI353" s="5">
        <v>41813</v>
      </c>
      <c r="BJ353" s="5">
        <v>41820</v>
      </c>
      <c r="BK353" s="4">
        <v>1</v>
      </c>
      <c r="BL353" s="4"/>
      <c r="BM353" s="5">
        <v>41820</v>
      </c>
      <c r="BN353" s="5">
        <v>41820</v>
      </c>
      <c r="BO353" s="4"/>
      <c r="BP353" s="4"/>
      <c r="BQ353" s="4"/>
      <c r="BR353" s="4"/>
      <c r="BS353" s="4"/>
      <c r="BT353" s="5">
        <v>41891</v>
      </c>
      <c r="BU353" s="5">
        <v>41893</v>
      </c>
      <c r="BV353" s="5">
        <v>41901</v>
      </c>
      <c r="BW353" s="5">
        <v>41901</v>
      </c>
      <c r="BX353" s="5">
        <v>41901</v>
      </c>
      <c r="BY353" s="5">
        <v>41913</v>
      </c>
      <c r="BZ353" s="5">
        <v>41913</v>
      </c>
      <c r="CA353" s="4"/>
      <c r="CB353" s="5">
        <v>41913</v>
      </c>
      <c r="CC353" s="4"/>
      <c r="CD353" s="4"/>
      <c r="CE353" s="4"/>
      <c r="CF353" s="4"/>
      <c r="CG353" s="4"/>
      <c r="CH353" s="4"/>
      <c r="CI353" s="4"/>
      <c r="CJ353" s="5">
        <v>41921</v>
      </c>
      <c r="CK353" s="5">
        <v>41922</v>
      </c>
      <c r="CL353" s="4"/>
      <c r="CM353" s="4"/>
      <c r="CN353" s="4"/>
      <c r="CO353" s="4"/>
      <c r="CP353" s="4" t="s">
        <v>1188</v>
      </c>
      <c r="CQ353" s="4"/>
      <c r="CR353" s="4"/>
      <c r="CS353" s="4"/>
      <c r="CT353" s="4"/>
      <c r="CU353" s="4"/>
      <c r="CV353" s="4"/>
      <c r="CW353" s="4"/>
      <c r="CX353" s="4"/>
      <c r="CY353" s="4"/>
      <c r="CZ353" s="4"/>
      <c r="DA353" s="5">
        <v>41914</v>
      </c>
      <c r="DB353" s="5">
        <v>41918</v>
      </c>
      <c r="DC353" s="5">
        <v>41789</v>
      </c>
      <c r="DD353" s="4" t="s">
        <v>586</v>
      </c>
      <c r="DE353" s="4" t="s">
        <v>581</v>
      </c>
      <c r="DF353" s="4"/>
      <c r="DG353" s="4"/>
      <c r="DH353" s="4" t="s">
        <v>174</v>
      </c>
      <c r="DI353" s="5">
        <v>41899</v>
      </c>
      <c r="DJ353" s="4" t="b">
        <v>0</v>
      </c>
      <c r="DK353" s="4"/>
      <c r="DL353" s="4">
        <v>2669497</v>
      </c>
      <c r="DM353" s="4">
        <v>6474044</v>
      </c>
      <c r="DN353" s="4" t="s">
        <v>1189</v>
      </c>
      <c r="DO353" s="4" t="s">
        <v>1190</v>
      </c>
      <c r="DP353" s="4"/>
      <c r="DQ353" s="4" t="s">
        <v>148</v>
      </c>
      <c r="DR353" s="4"/>
      <c r="DS353" s="4"/>
      <c r="DT353" s="5">
        <v>41922</v>
      </c>
      <c r="DU353" s="4"/>
      <c r="DV353" s="4"/>
      <c r="DW353" s="4"/>
      <c r="DX353" s="4"/>
      <c r="DY353" s="4"/>
      <c r="DZ353" s="4"/>
      <c r="EA353" s="4"/>
      <c r="EB353" s="4"/>
      <c r="EC353" s="4"/>
      <c r="ED353" s="4"/>
      <c r="EE353" s="4"/>
      <c r="EF353" s="4"/>
      <c r="EG353" s="4"/>
      <c r="EH353" s="4"/>
      <c r="EI353" s="5">
        <v>41690</v>
      </c>
    </row>
    <row r="354" spans="1:139" hidden="1" x14ac:dyDescent="0.2">
      <c r="A354">
        <f>VLOOKUP(B354,Sheet1!$A$1:$B$18,2,FALSE)</f>
        <v>0</v>
      </c>
      <c r="B354" t="str">
        <f t="shared" si="5"/>
        <v>AKL</v>
      </c>
      <c r="C354" s="2">
        <v>353</v>
      </c>
      <c r="D354" s="3" t="str">
        <f>HYPERLINK("https://sitebase.nzcomms.co.nz/spm/spmnominalview/AKL-007-188/","AKL-007-188")</f>
        <v>AKL-007-188</v>
      </c>
      <c r="E354" s="4" t="s">
        <v>1191</v>
      </c>
      <c r="F354" s="3" t="str">
        <f>HYPERLINK("https://sitebase.nzcomms.co.nz/spm/spmcandidateview/AKL-007-188-A/","AKL-007-188-A")</f>
        <v>AKL-007-188-A</v>
      </c>
      <c r="G354" s="4" t="s">
        <v>1192</v>
      </c>
      <c r="H354" s="4" t="s">
        <v>745</v>
      </c>
      <c r="I354" s="4">
        <v>3</v>
      </c>
      <c r="J354" s="4" t="s">
        <v>584</v>
      </c>
      <c r="K354" s="4" t="s">
        <v>141</v>
      </c>
      <c r="L354" s="4" t="s">
        <v>181</v>
      </c>
      <c r="M354" s="4" t="s">
        <v>1193</v>
      </c>
      <c r="N354" s="4" t="s">
        <v>181</v>
      </c>
      <c r="O354" s="4" t="s">
        <v>168</v>
      </c>
      <c r="P354" s="4" t="s">
        <v>169</v>
      </c>
      <c r="Q354" s="4" t="s">
        <v>170</v>
      </c>
      <c r="R354" s="4"/>
      <c r="S354" s="4"/>
      <c r="T354" s="4"/>
      <c r="U354" s="4">
        <v>-36.849770560000003</v>
      </c>
      <c r="V354" s="4">
        <v>174.76308857000001</v>
      </c>
      <c r="W354" s="4"/>
      <c r="X354" s="4"/>
      <c r="Y354" s="4"/>
      <c r="Z354" s="4"/>
      <c r="AA354" s="4" t="s">
        <v>145</v>
      </c>
      <c r="AB354" s="3" t="str">
        <f>HYPERLINK("https://sitebase.nzcomms.co.nz/spm/spmcandidateview/AKL-007-185-A/","AKL-007-185-A")</f>
        <v>AKL-007-185-A</v>
      </c>
      <c r="AC354" s="4" t="b">
        <v>0</v>
      </c>
      <c r="AD354" s="4" t="b">
        <v>0</v>
      </c>
      <c r="AE354" s="4"/>
      <c r="AF354" s="4"/>
      <c r="AG354" s="4" t="b">
        <v>0</v>
      </c>
      <c r="AH354" s="4"/>
      <c r="AI354" s="5">
        <v>41695</v>
      </c>
      <c r="AJ354" s="5">
        <v>41695</v>
      </c>
      <c r="AK354" s="5">
        <v>41702</v>
      </c>
      <c r="AL354" s="5">
        <v>41696</v>
      </c>
      <c r="AM354" s="5">
        <v>41739</v>
      </c>
      <c r="AN354" s="5">
        <v>41740</v>
      </c>
      <c r="AO354" s="4">
        <v>3</v>
      </c>
      <c r="AP354" s="5">
        <v>41746</v>
      </c>
      <c r="AQ354" s="5">
        <v>42144</v>
      </c>
      <c r="AR354" s="5">
        <v>41774</v>
      </c>
      <c r="AS354" s="5">
        <v>41771</v>
      </c>
      <c r="AT354" s="5">
        <v>41785</v>
      </c>
      <c r="AU354" s="5">
        <v>41782</v>
      </c>
      <c r="AV354" s="4">
        <v>2</v>
      </c>
      <c r="AW354" s="5">
        <v>41796</v>
      </c>
      <c r="AX354" s="5">
        <v>41796</v>
      </c>
      <c r="AY354" s="4" t="s">
        <v>172</v>
      </c>
      <c r="AZ354" s="5">
        <v>41775</v>
      </c>
      <c r="BA354" s="5">
        <v>41775</v>
      </c>
      <c r="BB354" s="5">
        <v>41806</v>
      </c>
      <c r="BC354" s="5">
        <v>41795</v>
      </c>
      <c r="BD354" s="4">
        <v>2</v>
      </c>
      <c r="BE354" s="5">
        <v>41810</v>
      </c>
      <c r="BF354" s="5">
        <v>41795</v>
      </c>
      <c r="BG354" s="5">
        <v>41789</v>
      </c>
      <c r="BH354" s="5">
        <v>41767</v>
      </c>
      <c r="BI354" s="5">
        <v>41810</v>
      </c>
      <c r="BJ354" s="5">
        <v>41814</v>
      </c>
      <c r="BK354" s="4">
        <v>4</v>
      </c>
      <c r="BL354" s="4"/>
      <c r="BM354" s="5">
        <v>41817</v>
      </c>
      <c r="BN354" s="5">
        <v>42319</v>
      </c>
      <c r="BO354" s="4"/>
      <c r="BP354" s="4"/>
      <c r="BQ354" s="4"/>
      <c r="BR354" s="4"/>
      <c r="BS354" s="4"/>
      <c r="BT354" s="5">
        <v>41869</v>
      </c>
      <c r="BU354" s="5">
        <v>41866</v>
      </c>
      <c r="BV354" s="5">
        <v>41887</v>
      </c>
      <c r="BW354" s="5">
        <v>41894</v>
      </c>
      <c r="BX354" s="5">
        <v>41869</v>
      </c>
      <c r="BY354" s="5">
        <v>41898</v>
      </c>
      <c r="BZ354" s="5">
        <v>41900</v>
      </c>
      <c r="CA354" s="5">
        <v>41897</v>
      </c>
      <c r="CB354" s="5">
        <v>41897</v>
      </c>
      <c r="CC354" s="4"/>
      <c r="CD354" s="4"/>
      <c r="CE354" s="4"/>
      <c r="CF354" s="4"/>
      <c r="CG354" s="4"/>
      <c r="CH354" s="4"/>
      <c r="CI354" s="4"/>
      <c r="CJ354" s="5">
        <v>41907</v>
      </c>
      <c r="CK354" s="5">
        <v>41911</v>
      </c>
      <c r="CL354" s="4"/>
      <c r="CM354" s="4"/>
      <c r="CN354" s="4"/>
      <c r="CO354" s="4"/>
      <c r="CP354" s="4" t="s">
        <v>1194</v>
      </c>
      <c r="CQ354" s="4"/>
      <c r="CR354" s="4"/>
      <c r="CS354" s="4"/>
      <c r="CT354" s="4"/>
      <c r="CU354" s="4"/>
      <c r="CV354" s="4"/>
      <c r="CW354" s="4"/>
      <c r="CX354" s="4"/>
      <c r="CY354" s="4"/>
      <c r="CZ354" s="4"/>
      <c r="DA354" s="5">
        <v>41899</v>
      </c>
      <c r="DB354" s="5">
        <v>41904</v>
      </c>
      <c r="DC354" s="5">
        <v>41775</v>
      </c>
      <c r="DD354" s="4" t="s">
        <v>586</v>
      </c>
      <c r="DE354" s="4" t="s">
        <v>581</v>
      </c>
      <c r="DF354" s="5">
        <v>41857</v>
      </c>
      <c r="DG354" s="5">
        <v>41809</v>
      </c>
      <c r="DH354" s="4" t="s">
        <v>174</v>
      </c>
      <c r="DI354" s="5">
        <v>41869</v>
      </c>
      <c r="DJ354" s="4" t="b">
        <v>0</v>
      </c>
      <c r="DK354" s="4"/>
      <c r="DL354" s="4">
        <v>2667623</v>
      </c>
      <c r="DM354" s="4">
        <v>6482040</v>
      </c>
      <c r="DN354" s="4" t="s">
        <v>1195</v>
      </c>
      <c r="DO354" s="4" t="s">
        <v>1196</v>
      </c>
      <c r="DP354" s="4"/>
      <c r="DQ354" s="4" t="s">
        <v>148</v>
      </c>
      <c r="DR354" s="4"/>
      <c r="DS354" s="4"/>
      <c r="DT354" s="5">
        <v>41911</v>
      </c>
      <c r="DU354" s="4"/>
      <c r="DV354" s="4"/>
      <c r="DW354" s="4"/>
      <c r="DX354" s="4"/>
      <c r="DY354" s="4"/>
      <c r="DZ354" s="4"/>
      <c r="EA354" s="4"/>
      <c r="EB354" s="4"/>
      <c r="EC354" s="4"/>
      <c r="ED354" s="4"/>
      <c r="EE354" s="4"/>
      <c r="EF354" s="4"/>
      <c r="EG354" s="4"/>
      <c r="EH354" s="4"/>
      <c r="EI354" s="5">
        <v>41696</v>
      </c>
    </row>
    <row r="355" spans="1:139" hidden="1" x14ac:dyDescent="0.2">
      <c r="A355">
        <f>VLOOKUP(B355,Sheet1!$A$1:$B$18,2,FALSE)</f>
        <v>0</v>
      </c>
      <c r="B355" t="str">
        <f t="shared" si="5"/>
        <v>AKL</v>
      </c>
      <c r="C355" s="2">
        <v>354</v>
      </c>
      <c r="D355" s="3" t="str">
        <f>HYPERLINK("https://sitebase.nzcomms.co.nz/spm/spmnominalview/AKL-007-189/","AKL-007-189")</f>
        <v>AKL-007-189</v>
      </c>
      <c r="E355" s="4" t="s">
        <v>1197</v>
      </c>
      <c r="F355" s="3" t="str">
        <f>HYPERLINK("https://sitebase.nzcomms.co.nz/spm/spmcandidateview/AKL-007-189-I/","AKL-007-189-I")</f>
        <v>AKL-007-189-I</v>
      </c>
      <c r="G355" s="4" t="s">
        <v>1198</v>
      </c>
      <c r="H355" s="4" t="s">
        <v>745</v>
      </c>
      <c r="I355" s="4">
        <v>3</v>
      </c>
      <c r="J355" s="4" t="s">
        <v>584</v>
      </c>
      <c r="K355" s="4" t="s">
        <v>141</v>
      </c>
      <c r="L355" s="4" t="s">
        <v>181</v>
      </c>
      <c r="M355" s="4" t="s">
        <v>571</v>
      </c>
      <c r="N355" s="4" t="s">
        <v>181</v>
      </c>
      <c r="O355" s="4" t="s">
        <v>168</v>
      </c>
      <c r="P355" s="4" t="s">
        <v>169</v>
      </c>
      <c r="Q355" s="4"/>
      <c r="R355" s="4"/>
      <c r="S355" s="4"/>
      <c r="T355" s="4"/>
      <c r="U355" s="4">
        <v>-36.853955239999998</v>
      </c>
      <c r="V355" s="4">
        <v>174.76018945999999</v>
      </c>
      <c r="W355" s="4"/>
      <c r="X355" s="4"/>
      <c r="Y355" s="4"/>
      <c r="Z355" s="4"/>
      <c r="AA355" s="4" t="s">
        <v>145</v>
      </c>
      <c r="AB355" s="3" t="str">
        <f>HYPERLINK("https://sitebase.nzcomms.co.nz/spm/spmcandidateview/AKL-007-185-A/","AKL-007-185-A")</f>
        <v>AKL-007-185-A</v>
      </c>
      <c r="AC355" s="4" t="b">
        <v>0</v>
      </c>
      <c r="AD355" s="4" t="b">
        <v>0</v>
      </c>
      <c r="AE355" s="4"/>
      <c r="AF355" s="4"/>
      <c r="AG355" s="4" t="b">
        <v>0</v>
      </c>
      <c r="AH355" s="4"/>
      <c r="AI355" s="5">
        <v>41820</v>
      </c>
      <c r="AJ355" s="5">
        <v>41810</v>
      </c>
      <c r="AK355" s="4"/>
      <c r="AL355" s="5">
        <v>41813</v>
      </c>
      <c r="AM355" s="5">
        <v>41845</v>
      </c>
      <c r="AN355" s="5">
        <v>41851</v>
      </c>
      <c r="AO355" s="4">
        <v>4</v>
      </c>
      <c r="AP355" s="5">
        <v>41851</v>
      </c>
      <c r="AQ355" s="5">
        <v>42355</v>
      </c>
      <c r="AR355" s="5">
        <v>41866</v>
      </c>
      <c r="AS355" s="5">
        <v>41852</v>
      </c>
      <c r="AT355" s="5">
        <v>41915</v>
      </c>
      <c r="AU355" s="5">
        <v>41935</v>
      </c>
      <c r="AV355" s="4"/>
      <c r="AW355" s="5">
        <v>41920</v>
      </c>
      <c r="AX355" s="5">
        <v>41935</v>
      </c>
      <c r="AY355" s="4" t="s">
        <v>172</v>
      </c>
      <c r="AZ355" s="5">
        <v>41857</v>
      </c>
      <c r="BA355" s="5">
        <v>41858</v>
      </c>
      <c r="BB355" s="5">
        <v>41899</v>
      </c>
      <c r="BC355" s="5">
        <v>41883</v>
      </c>
      <c r="BD355" s="4">
        <v>1</v>
      </c>
      <c r="BE355" s="5">
        <v>41883</v>
      </c>
      <c r="BF355" s="5">
        <v>41883</v>
      </c>
      <c r="BG355" s="5">
        <v>42398</v>
      </c>
      <c r="BH355" s="5">
        <v>41852</v>
      </c>
      <c r="BI355" s="5">
        <v>41873</v>
      </c>
      <c r="BJ355" s="5">
        <v>41883</v>
      </c>
      <c r="BK355" s="4">
        <v>2</v>
      </c>
      <c r="BL355" s="4"/>
      <c r="BM355" s="5">
        <v>41880</v>
      </c>
      <c r="BN355" s="5">
        <v>41950</v>
      </c>
      <c r="BO355" s="4"/>
      <c r="BP355" s="4"/>
      <c r="BQ355" s="4"/>
      <c r="BR355" s="4"/>
      <c r="BS355" s="4"/>
      <c r="BT355" s="5">
        <v>41960</v>
      </c>
      <c r="BU355" s="5">
        <v>41960</v>
      </c>
      <c r="BV355" s="5">
        <v>41981</v>
      </c>
      <c r="BW355" s="5">
        <v>41971</v>
      </c>
      <c r="BX355" s="5">
        <v>41967</v>
      </c>
      <c r="BY355" s="5">
        <v>41983</v>
      </c>
      <c r="BZ355" s="5">
        <v>41983</v>
      </c>
      <c r="CA355" s="5">
        <v>41981</v>
      </c>
      <c r="CB355" s="5">
        <v>41981</v>
      </c>
      <c r="CC355" s="4"/>
      <c r="CD355" s="4"/>
      <c r="CE355" s="4"/>
      <c r="CF355" s="4"/>
      <c r="CG355" s="4"/>
      <c r="CH355" s="4"/>
      <c r="CI355" s="4"/>
      <c r="CJ355" s="5">
        <v>41992</v>
      </c>
      <c r="CK355" s="5">
        <v>41991</v>
      </c>
      <c r="CL355" s="4"/>
      <c r="CM355" s="4"/>
      <c r="CN355" s="4"/>
      <c r="CO355" s="4"/>
      <c r="CP355" s="4"/>
      <c r="CQ355" s="4"/>
      <c r="CR355" s="4"/>
      <c r="CS355" s="4"/>
      <c r="CT355" s="4"/>
      <c r="CU355" s="4"/>
      <c r="CV355" s="4"/>
      <c r="CW355" s="4"/>
      <c r="CX355" s="4"/>
      <c r="CY355" s="4"/>
      <c r="CZ355" s="4"/>
      <c r="DA355" s="5">
        <v>41983</v>
      </c>
      <c r="DB355" s="5">
        <v>41985</v>
      </c>
      <c r="DC355" s="5">
        <v>41858</v>
      </c>
      <c r="DD355" s="4" t="s">
        <v>586</v>
      </c>
      <c r="DE355" s="4" t="s">
        <v>581</v>
      </c>
      <c r="DF355" s="5">
        <v>41974</v>
      </c>
      <c r="DG355" s="5">
        <v>41974</v>
      </c>
      <c r="DH355" s="4" t="s">
        <v>174</v>
      </c>
      <c r="DI355" s="5">
        <v>41977</v>
      </c>
      <c r="DJ355" s="4" t="b">
        <v>0</v>
      </c>
      <c r="DK355" s="4"/>
      <c r="DL355" s="4">
        <v>2667355</v>
      </c>
      <c r="DM355" s="4">
        <v>6481581</v>
      </c>
      <c r="DN355" s="4" t="s">
        <v>1199</v>
      </c>
      <c r="DO355" s="4"/>
      <c r="DP355" s="4"/>
      <c r="DQ355" s="4" t="s">
        <v>148</v>
      </c>
      <c r="DR355" s="4"/>
      <c r="DS355" s="4"/>
      <c r="DT355" s="5">
        <v>41991</v>
      </c>
      <c r="DU355" s="4"/>
      <c r="DV355" s="4"/>
      <c r="DW355" s="4"/>
      <c r="DX355" s="4"/>
      <c r="DY355" s="4"/>
      <c r="DZ355" s="4"/>
      <c r="EA355" s="4"/>
      <c r="EB355" s="4"/>
      <c r="EC355" s="4"/>
      <c r="ED355" s="4"/>
      <c r="EE355" s="4"/>
      <c r="EF355" s="4"/>
      <c r="EG355" s="4"/>
      <c r="EH355" s="4"/>
      <c r="EI355" s="5">
        <v>41813</v>
      </c>
    </row>
    <row r="356" spans="1:139" hidden="1" x14ac:dyDescent="0.2">
      <c r="A356">
        <f>VLOOKUP(B356,Sheet1!$A$1:$B$18,2,FALSE)</f>
        <v>0</v>
      </c>
      <c r="B356" t="str">
        <f t="shared" si="5"/>
        <v>AKL</v>
      </c>
      <c r="C356" s="2">
        <v>355</v>
      </c>
      <c r="D356" s="3" t="str">
        <f>HYPERLINK("https://sitebase.nzcomms.co.nz/spm/spmnominalview/AKL-007-190/","AKL-007-190")</f>
        <v>AKL-007-190</v>
      </c>
      <c r="E356" s="4" t="s">
        <v>1200</v>
      </c>
      <c r="F356" s="3" t="str">
        <f>HYPERLINK("https://sitebase.nzcomms.co.nz/spm/spmcandidateview/AKL-007-190-A/","AKL-007-190-A")</f>
        <v>AKL-007-190-A</v>
      </c>
      <c r="G356" s="4" t="s">
        <v>1201</v>
      </c>
      <c r="H356" s="4" t="s">
        <v>745</v>
      </c>
      <c r="I356" s="4">
        <v>12</v>
      </c>
      <c r="J356" s="4" t="s">
        <v>584</v>
      </c>
      <c r="K356" s="4" t="s">
        <v>141</v>
      </c>
      <c r="L356" s="4" t="s">
        <v>181</v>
      </c>
      <c r="M356" s="4" t="s">
        <v>1193</v>
      </c>
      <c r="N356" s="4" t="s">
        <v>181</v>
      </c>
      <c r="O356" s="4" t="s">
        <v>168</v>
      </c>
      <c r="P356" s="4" t="s">
        <v>182</v>
      </c>
      <c r="Q356" s="4" t="s">
        <v>192</v>
      </c>
      <c r="R356" s="4"/>
      <c r="S356" s="4"/>
      <c r="T356" s="4"/>
      <c r="U356" s="4">
        <v>-36.849447789999999</v>
      </c>
      <c r="V356" s="4">
        <v>174.76134203000001</v>
      </c>
      <c r="W356" s="4"/>
      <c r="X356" s="4"/>
      <c r="Y356" s="4"/>
      <c r="Z356" s="4"/>
      <c r="AA356" s="4" t="s">
        <v>145</v>
      </c>
      <c r="AB356" s="3" t="str">
        <f>HYPERLINK("https://sitebase.nzcomms.co.nz/spm/spmcandidateview/AKL-007-112-A/","AKL-007-112-A")</f>
        <v>AKL-007-112-A</v>
      </c>
      <c r="AC356" s="4" t="b">
        <v>0</v>
      </c>
      <c r="AD356" s="4" t="b">
        <v>0</v>
      </c>
      <c r="AE356" s="4"/>
      <c r="AF356" s="4"/>
      <c r="AG356" s="4" t="b">
        <v>0</v>
      </c>
      <c r="AH356" s="4"/>
      <c r="AI356" s="5">
        <v>41488</v>
      </c>
      <c r="AJ356" s="5">
        <v>41499</v>
      </c>
      <c r="AK356" s="5">
        <v>41495</v>
      </c>
      <c r="AL356" s="5">
        <v>41501</v>
      </c>
      <c r="AM356" s="5">
        <v>41516</v>
      </c>
      <c r="AN356" s="5">
        <v>41530</v>
      </c>
      <c r="AO356" s="4">
        <v>6</v>
      </c>
      <c r="AP356" s="5">
        <v>41674</v>
      </c>
      <c r="AQ356" s="5">
        <v>42240</v>
      </c>
      <c r="AR356" s="5">
        <v>41578</v>
      </c>
      <c r="AS356" s="5">
        <v>41649</v>
      </c>
      <c r="AT356" s="5">
        <v>41726</v>
      </c>
      <c r="AU356" s="5">
        <v>41729</v>
      </c>
      <c r="AV356" s="4"/>
      <c r="AW356" s="5">
        <v>41726</v>
      </c>
      <c r="AX356" s="5">
        <v>41729</v>
      </c>
      <c r="AY356" s="4" t="s">
        <v>172</v>
      </c>
      <c r="AZ356" s="5">
        <v>41562</v>
      </c>
      <c r="BA356" s="5">
        <v>41561</v>
      </c>
      <c r="BB356" s="5">
        <v>41600</v>
      </c>
      <c r="BC356" s="5">
        <v>41583</v>
      </c>
      <c r="BD356" s="4">
        <v>1</v>
      </c>
      <c r="BE356" s="5">
        <v>41607</v>
      </c>
      <c r="BF356" s="5">
        <v>41583</v>
      </c>
      <c r="BG356" s="5">
        <v>41582</v>
      </c>
      <c r="BH356" s="5">
        <v>41584</v>
      </c>
      <c r="BI356" s="5">
        <v>41670</v>
      </c>
      <c r="BJ356" s="5">
        <v>41673</v>
      </c>
      <c r="BK356" s="4">
        <v>6</v>
      </c>
      <c r="BL356" s="4"/>
      <c r="BM356" s="5">
        <v>41684</v>
      </c>
      <c r="BN356" s="5">
        <v>42319</v>
      </c>
      <c r="BO356" s="4"/>
      <c r="BP356" s="4"/>
      <c r="BQ356" s="4"/>
      <c r="BR356" s="4"/>
      <c r="BS356" s="4"/>
      <c r="BT356" s="5">
        <v>41743</v>
      </c>
      <c r="BU356" s="5">
        <v>41743</v>
      </c>
      <c r="BV356" s="5">
        <v>41796</v>
      </c>
      <c r="BW356" s="5">
        <v>41799</v>
      </c>
      <c r="BX356" s="5">
        <v>41793</v>
      </c>
      <c r="BY356" s="5">
        <v>41806</v>
      </c>
      <c r="BZ356" s="5">
        <v>41807</v>
      </c>
      <c r="CA356" s="5">
        <v>41794</v>
      </c>
      <c r="CB356" s="5">
        <v>41793</v>
      </c>
      <c r="CC356" s="4"/>
      <c r="CD356" s="4"/>
      <c r="CE356" s="4"/>
      <c r="CF356" s="4"/>
      <c r="CG356" s="4"/>
      <c r="CH356" s="4"/>
      <c r="CI356" s="4"/>
      <c r="CJ356" s="5">
        <v>41823</v>
      </c>
      <c r="CK356" s="5">
        <v>41822</v>
      </c>
      <c r="CL356" s="4"/>
      <c r="CM356" s="4"/>
      <c r="CN356" s="4"/>
      <c r="CO356" s="4"/>
      <c r="CP356" s="4" t="s">
        <v>1202</v>
      </c>
      <c r="CQ356" s="4"/>
      <c r="CR356" s="4"/>
      <c r="CS356" s="4"/>
      <c r="CT356" s="4"/>
      <c r="CU356" s="4"/>
      <c r="CV356" s="4"/>
      <c r="CW356" s="4"/>
      <c r="CX356" s="4"/>
      <c r="CY356" s="4"/>
      <c r="CZ356" s="4"/>
      <c r="DA356" s="5">
        <v>41820</v>
      </c>
      <c r="DB356" s="5">
        <v>41824</v>
      </c>
      <c r="DC356" s="5">
        <v>41561</v>
      </c>
      <c r="DD356" s="4" t="s">
        <v>586</v>
      </c>
      <c r="DE356" s="4" t="s">
        <v>581</v>
      </c>
      <c r="DF356" s="5">
        <v>41792</v>
      </c>
      <c r="DG356" s="5">
        <v>41793</v>
      </c>
      <c r="DH356" s="4" t="s">
        <v>174</v>
      </c>
      <c r="DI356" s="5">
        <v>41792</v>
      </c>
      <c r="DJ356" s="4" t="b">
        <v>0</v>
      </c>
      <c r="DK356" s="4"/>
      <c r="DL356" s="4">
        <v>2667468</v>
      </c>
      <c r="DM356" s="4">
        <v>6482079</v>
      </c>
      <c r="DN356" s="4" t="s">
        <v>1203</v>
      </c>
      <c r="DO356" s="4"/>
      <c r="DP356" s="4"/>
      <c r="DQ356" s="4" t="s">
        <v>148</v>
      </c>
      <c r="DR356" s="4"/>
      <c r="DS356" s="4"/>
      <c r="DT356" s="5">
        <v>41827</v>
      </c>
      <c r="DU356" s="4"/>
      <c r="DV356" s="4"/>
      <c r="DW356" s="4"/>
      <c r="DX356" s="4"/>
      <c r="DY356" s="5">
        <v>41726</v>
      </c>
      <c r="DZ356" s="5">
        <v>41726</v>
      </c>
      <c r="EA356" s="4"/>
      <c r="EB356" s="4"/>
      <c r="EC356" s="4"/>
      <c r="ED356" s="4"/>
      <c r="EE356" s="4"/>
      <c r="EF356" s="4"/>
      <c r="EG356" s="4"/>
      <c r="EH356" s="4"/>
      <c r="EI356" s="5">
        <v>41501</v>
      </c>
    </row>
    <row r="357" spans="1:139" hidden="1" x14ac:dyDescent="0.2">
      <c r="A357">
        <f>VLOOKUP(B357,Sheet1!$A$1:$B$18,2,FALSE)</f>
        <v>0</v>
      </c>
      <c r="B357" t="str">
        <f t="shared" si="5"/>
        <v>AKL</v>
      </c>
      <c r="C357" s="2">
        <v>356</v>
      </c>
      <c r="D357" s="3" t="str">
        <f>HYPERLINK("https://sitebase.nzcomms.co.nz/spm/spmnominalview/AKL-007-191/","AKL-007-191")</f>
        <v>AKL-007-191</v>
      </c>
      <c r="E357" s="4" t="s">
        <v>1204</v>
      </c>
      <c r="F357" s="3" t="str">
        <f>HYPERLINK("https://sitebase.nzcomms.co.nz/spm/spmcandidateview/AKL-007-191-A/","AKL-007-191-A")</f>
        <v>AKL-007-191-A</v>
      </c>
      <c r="G357" s="4" t="s">
        <v>1204</v>
      </c>
      <c r="H357" s="4" t="s">
        <v>745</v>
      </c>
      <c r="I357" s="4"/>
      <c r="J357" s="4" t="s">
        <v>317</v>
      </c>
      <c r="K357" s="4" t="s">
        <v>141</v>
      </c>
      <c r="L357" s="4" t="s">
        <v>142</v>
      </c>
      <c r="M357" s="4" t="s">
        <v>324</v>
      </c>
      <c r="N357" s="4" t="s">
        <v>142</v>
      </c>
      <c r="O357" s="4"/>
      <c r="P357" s="4"/>
      <c r="Q357" s="4" t="s">
        <v>142</v>
      </c>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5">
        <v>41607</v>
      </c>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t="s">
        <v>1205</v>
      </c>
      <c r="DO357" s="4"/>
      <c r="DP357" s="4"/>
      <c r="DQ357" s="4" t="s">
        <v>328</v>
      </c>
      <c r="DR357" s="4"/>
      <c r="DS357" s="4"/>
      <c r="DT357" s="4"/>
      <c r="DU357" s="4"/>
      <c r="DV357" s="4"/>
      <c r="DW357" s="4"/>
      <c r="DX357" s="4"/>
      <c r="DY357" s="4"/>
      <c r="DZ357" s="4"/>
      <c r="EA357" s="4"/>
      <c r="EB357" s="4"/>
      <c r="EC357" s="4"/>
      <c r="ED357" s="4"/>
      <c r="EE357" s="4"/>
      <c r="EF357" s="4"/>
      <c r="EG357" s="4"/>
      <c r="EH357" s="4"/>
      <c r="EI357" s="4"/>
    </row>
    <row r="358" spans="1:139" hidden="1" x14ac:dyDescent="0.2">
      <c r="A358">
        <f>VLOOKUP(B358,Sheet1!$A$1:$B$18,2,FALSE)</f>
        <v>0</v>
      </c>
      <c r="B358" t="str">
        <f t="shared" si="5"/>
        <v>AKL</v>
      </c>
      <c r="C358" s="2">
        <v>357</v>
      </c>
      <c r="D358" s="3" t="str">
        <f>HYPERLINK("https://sitebase.nzcomms.co.nz/spm/spmnominalview/AKL-007-192/","AKL-007-192")</f>
        <v>AKL-007-192</v>
      </c>
      <c r="E358" s="4" t="s">
        <v>1206</v>
      </c>
      <c r="F358" s="3" t="str">
        <f>HYPERLINK("https://sitebase.nzcomms.co.nz/spm/spmcandidateview/AKL-007-192-A/","AKL-007-192-A")</f>
        <v>AKL-007-192-A</v>
      </c>
      <c r="G358" s="4" t="s">
        <v>1206</v>
      </c>
      <c r="H358" s="4" t="s">
        <v>745</v>
      </c>
      <c r="I358" s="4"/>
      <c r="J358" s="4" t="s">
        <v>317</v>
      </c>
      <c r="K358" s="4" t="s">
        <v>141</v>
      </c>
      <c r="L358" s="4" t="s">
        <v>142</v>
      </c>
      <c r="M358" s="4" t="s">
        <v>324</v>
      </c>
      <c r="N358" s="4" t="s">
        <v>142</v>
      </c>
      <c r="O358" s="4"/>
      <c r="P358" s="4"/>
      <c r="Q358" s="4" t="s">
        <v>142</v>
      </c>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5">
        <v>41607</v>
      </c>
      <c r="CL358" s="4"/>
      <c r="CM358" s="4"/>
      <c r="CN358" s="4"/>
      <c r="CO358" s="4"/>
      <c r="CP358" s="4"/>
      <c r="CQ358" s="4" t="s">
        <v>205</v>
      </c>
      <c r="CR358" s="4"/>
      <c r="CS358" s="4"/>
      <c r="CT358" s="4"/>
      <c r="CU358" s="4"/>
      <c r="CV358" s="4"/>
      <c r="CW358" s="4"/>
      <c r="CX358" s="4"/>
      <c r="CY358" s="4"/>
      <c r="CZ358" s="4"/>
      <c r="DA358" s="4"/>
      <c r="DB358" s="4"/>
      <c r="DC358" s="4"/>
      <c r="DD358" s="4"/>
      <c r="DE358" s="4"/>
      <c r="DF358" s="4"/>
      <c r="DG358" s="4"/>
      <c r="DH358" s="4"/>
      <c r="DI358" s="4"/>
      <c r="DJ358" s="4"/>
      <c r="DK358" s="4"/>
      <c r="DL358" s="4"/>
      <c r="DM358" s="4"/>
      <c r="DN358" s="4" t="s">
        <v>788</v>
      </c>
      <c r="DO358" s="4"/>
      <c r="DP358" s="4"/>
      <c r="DQ358" s="4" t="s">
        <v>328</v>
      </c>
      <c r="DR358" s="4"/>
      <c r="DS358" s="4"/>
      <c r="DT358" s="4"/>
      <c r="DU358" s="4"/>
      <c r="DV358" s="4"/>
      <c r="DW358" s="4"/>
      <c r="DX358" s="4"/>
      <c r="DY358" s="4"/>
      <c r="DZ358" s="4"/>
      <c r="EA358" s="4"/>
      <c r="EB358" s="4"/>
      <c r="EC358" s="4"/>
      <c r="ED358" s="4"/>
      <c r="EE358" s="4"/>
      <c r="EF358" s="4"/>
      <c r="EG358" s="4"/>
      <c r="EH358" s="4"/>
      <c r="EI358" s="4"/>
    </row>
    <row r="359" spans="1:139" hidden="1" x14ac:dyDescent="0.2">
      <c r="A359">
        <f>VLOOKUP(B359,Sheet1!$A$1:$B$18,2,FALSE)</f>
        <v>0</v>
      </c>
      <c r="B359" t="str">
        <f t="shared" si="5"/>
        <v>AKL</v>
      </c>
      <c r="C359" s="2">
        <v>358</v>
      </c>
      <c r="D359" s="3" t="str">
        <f>HYPERLINK("https://sitebase.nzcomms.co.nz/spm/spmnominalview/AKL-007-193/","AKL-007-193")</f>
        <v>AKL-007-193</v>
      </c>
      <c r="E359" s="4" t="s">
        <v>1207</v>
      </c>
      <c r="F359" s="3" t="str">
        <f>HYPERLINK("https://sitebase.nzcomms.co.nz/spm/spmcandidateview/AKL-007-193-A/","AKL-007-193-A")</f>
        <v>AKL-007-193-A</v>
      </c>
      <c r="G359" s="4" t="s">
        <v>1208</v>
      </c>
      <c r="H359" s="4" t="s">
        <v>745</v>
      </c>
      <c r="I359" s="4">
        <v>3</v>
      </c>
      <c r="J359" s="4" t="s">
        <v>584</v>
      </c>
      <c r="K359" s="4" t="s">
        <v>141</v>
      </c>
      <c r="L359" s="4" t="s">
        <v>142</v>
      </c>
      <c r="M359" s="4" t="s">
        <v>571</v>
      </c>
      <c r="N359" s="4" t="s">
        <v>142</v>
      </c>
      <c r="O359" s="4" t="s">
        <v>168</v>
      </c>
      <c r="P359" s="4" t="s">
        <v>169</v>
      </c>
      <c r="Q359" s="4" t="s">
        <v>142</v>
      </c>
      <c r="R359" s="4"/>
      <c r="S359" s="4"/>
      <c r="T359" s="4"/>
      <c r="U359" s="4">
        <v>-36.919624429999999</v>
      </c>
      <c r="V359" s="4">
        <v>174.84295438000001</v>
      </c>
      <c r="W359" s="4"/>
      <c r="X359" s="4"/>
      <c r="Y359" s="4"/>
      <c r="Z359" s="4"/>
      <c r="AA359" s="4" t="s">
        <v>145</v>
      </c>
      <c r="AB359" s="3" t="str">
        <f>HYPERLINK("https://sitebase.nzcomms.co.nz/spm/spmcandidateview/AKL-008-091-A/","AKL-008-091-A")</f>
        <v>AKL-008-091-A</v>
      </c>
      <c r="AC359" s="4" t="b">
        <v>0</v>
      </c>
      <c r="AD359" s="4" t="b">
        <v>0</v>
      </c>
      <c r="AE359" s="4"/>
      <c r="AF359" s="4"/>
      <c r="AG359" s="4" t="b">
        <v>0</v>
      </c>
      <c r="AH359" s="4"/>
      <c r="AI359" s="5">
        <v>41680</v>
      </c>
      <c r="AJ359" s="5">
        <v>41680</v>
      </c>
      <c r="AK359" s="5">
        <v>41681</v>
      </c>
      <c r="AL359" s="5">
        <v>41681</v>
      </c>
      <c r="AM359" s="5">
        <v>41691</v>
      </c>
      <c r="AN359" s="5">
        <v>41696</v>
      </c>
      <c r="AO359" s="4">
        <v>3</v>
      </c>
      <c r="AP359" s="5">
        <v>41696</v>
      </c>
      <c r="AQ359" s="5">
        <v>41767</v>
      </c>
      <c r="AR359" s="5">
        <v>41726</v>
      </c>
      <c r="AS359" s="5">
        <v>41726</v>
      </c>
      <c r="AT359" s="5">
        <v>41838</v>
      </c>
      <c r="AU359" s="5">
        <v>41796</v>
      </c>
      <c r="AV359" s="4">
        <v>3</v>
      </c>
      <c r="AW359" s="5">
        <v>41845</v>
      </c>
      <c r="AX359" s="5">
        <v>41821</v>
      </c>
      <c r="AY359" s="4" t="s">
        <v>247</v>
      </c>
      <c r="AZ359" s="5">
        <v>41736</v>
      </c>
      <c r="BA359" s="5">
        <v>41737</v>
      </c>
      <c r="BB359" s="5">
        <v>41778</v>
      </c>
      <c r="BC359" s="5">
        <v>41774</v>
      </c>
      <c r="BD359" s="4">
        <v>3</v>
      </c>
      <c r="BE359" s="5">
        <v>41785</v>
      </c>
      <c r="BF359" s="5">
        <v>41774</v>
      </c>
      <c r="BG359" s="5">
        <v>41745</v>
      </c>
      <c r="BH359" s="4"/>
      <c r="BI359" s="5">
        <v>41766</v>
      </c>
      <c r="BJ359" s="5">
        <v>41766</v>
      </c>
      <c r="BK359" s="4">
        <v>4</v>
      </c>
      <c r="BL359" s="4"/>
      <c r="BM359" s="5">
        <v>41773</v>
      </c>
      <c r="BN359" s="5">
        <v>41827</v>
      </c>
      <c r="BO359" s="4"/>
      <c r="BP359" s="4"/>
      <c r="BQ359" s="4"/>
      <c r="BR359" s="4"/>
      <c r="BS359" s="4"/>
      <c r="BT359" s="5">
        <v>41800</v>
      </c>
      <c r="BU359" s="5">
        <v>41800</v>
      </c>
      <c r="BV359" s="5">
        <v>41862</v>
      </c>
      <c r="BW359" s="5">
        <v>41868</v>
      </c>
      <c r="BX359" s="5">
        <v>41851</v>
      </c>
      <c r="BY359" s="5">
        <v>41873</v>
      </c>
      <c r="BZ359" s="5">
        <v>41883</v>
      </c>
      <c r="CA359" s="5">
        <v>41873</v>
      </c>
      <c r="CB359" s="5">
        <v>41873</v>
      </c>
      <c r="CC359" s="4"/>
      <c r="CD359" s="4"/>
      <c r="CE359" s="4"/>
      <c r="CF359" s="4"/>
      <c r="CG359" s="4"/>
      <c r="CH359" s="4"/>
      <c r="CI359" s="4"/>
      <c r="CJ359" s="5">
        <v>41943</v>
      </c>
      <c r="CK359" s="5">
        <v>41936</v>
      </c>
      <c r="CL359" s="4"/>
      <c r="CM359" s="4"/>
      <c r="CN359" s="4"/>
      <c r="CO359" s="4"/>
      <c r="CP359" s="4" t="s">
        <v>1209</v>
      </c>
      <c r="CQ359" s="4" t="s">
        <v>230</v>
      </c>
      <c r="CR359" s="4"/>
      <c r="CS359" s="4"/>
      <c r="CT359" s="4"/>
      <c r="CU359" s="4"/>
      <c r="CV359" s="4"/>
      <c r="CW359" s="4"/>
      <c r="CX359" s="4"/>
      <c r="CY359" s="4"/>
      <c r="CZ359" s="4"/>
      <c r="DA359" s="5">
        <v>41904</v>
      </c>
      <c r="DB359" s="5">
        <v>41907</v>
      </c>
      <c r="DC359" s="5">
        <v>41775</v>
      </c>
      <c r="DD359" s="4" t="s">
        <v>586</v>
      </c>
      <c r="DE359" s="4" t="s">
        <v>581</v>
      </c>
      <c r="DF359" s="5">
        <v>41866</v>
      </c>
      <c r="DG359" s="5">
        <v>41869</v>
      </c>
      <c r="DH359" s="4" t="s">
        <v>174</v>
      </c>
      <c r="DI359" s="5">
        <v>41855</v>
      </c>
      <c r="DJ359" s="4" t="b">
        <v>0</v>
      </c>
      <c r="DK359" s="4"/>
      <c r="DL359" s="4">
        <v>2674579</v>
      </c>
      <c r="DM359" s="4">
        <v>6474141</v>
      </c>
      <c r="DN359" s="4" t="s">
        <v>1210</v>
      </c>
      <c r="DO359" s="4" t="s">
        <v>1211</v>
      </c>
      <c r="DP359" s="4"/>
      <c r="DQ359" s="4" t="s">
        <v>148</v>
      </c>
      <c r="DR359" s="4"/>
      <c r="DS359" s="4"/>
      <c r="DT359" s="5">
        <v>41940</v>
      </c>
      <c r="DU359" s="4"/>
      <c r="DV359" s="4"/>
      <c r="DW359" s="4"/>
      <c r="DX359" s="4"/>
      <c r="DY359" s="4"/>
      <c r="DZ359" s="4"/>
      <c r="EA359" s="4"/>
      <c r="EB359" s="4"/>
      <c r="EC359" s="4"/>
      <c r="ED359" s="4"/>
      <c r="EE359" s="4"/>
      <c r="EF359" s="4"/>
      <c r="EG359" s="4"/>
      <c r="EH359" s="4"/>
      <c r="EI359" s="5">
        <v>41681</v>
      </c>
    </row>
    <row r="360" spans="1:139" hidden="1" x14ac:dyDescent="0.2">
      <c r="A360">
        <f>VLOOKUP(B360,Sheet1!$A$1:$B$18,2,FALSE)</f>
        <v>0</v>
      </c>
      <c r="B360" t="str">
        <f t="shared" si="5"/>
        <v>AKL</v>
      </c>
      <c r="C360" s="2">
        <v>359</v>
      </c>
      <c r="D360" s="3" t="str">
        <f>HYPERLINK("https://sitebase.nzcomms.co.nz/spm/spmnominalview/AKL-007-194/","AKL-007-194")</f>
        <v>AKL-007-194</v>
      </c>
      <c r="E360" s="4" t="s">
        <v>1212</v>
      </c>
      <c r="F360" s="3" t="str">
        <f>HYPERLINK("https://sitebase.nzcomms.co.nz/spm/spmcandidateview/AKL-007-194-G/","AKL-007-194-G")</f>
        <v>AKL-007-194-G</v>
      </c>
      <c r="G360" s="4" t="s">
        <v>1213</v>
      </c>
      <c r="H360" s="4" t="s">
        <v>745</v>
      </c>
      <c r="I360" s="4">
        <v>3</v>
      </c>
      <c r="J360" s="4" t="s">
        <v>584</v>
      </c>
      <c r="K360" s="4" t="s">
        <v>141</v>
      </c>
      <c r="L360" s="4" t="s">
        <v>189</v>
      </c>
      <c r="M360" s="4" t="s">
        <v>571</v>
      </c>
      <c r="N360" s="4" t="s">
        <v>274</v>
      </c>
      <c r="O360" s="4" t="s">
        <v>168</v>
      </c>
      <c r="P360" s="4" t="s">
        <v>182</v>
      </c>
      <c r="Q360" s="4" t="s">
        <v>192</v>
      </c>
      <c r="R360" s="4"/>
      <c r="S360" s="4"/>
      <c r="T360" s="4"/>
      <c r="U360" s="4">
        <v>-36.845037670000004</v>
      </c>
      <c r="V360" s="4">
        <v>174.77407009999999</v>
      </c>
      <c r="W360" s="4"/>
      <c r="X360" s="4"/>
      <c r="Y360" s="4"/>
      <c r="Z360" s="4"/>
      <c r="AA360" s="4" t="s">
        <v>145</v>
      </c>
      <c r="AB360" s="3" t="str">
        <f>HYPERLINK("https://sitebase.nzcomms.co.nz/spm/spmcandidateview/AKL-007-185-A/","AKL-007-185-A")</f>
        <v>AKL-007-185-A</v>
      </c>
      <c r="AC360" s="4" t="b">
        <v>0</v>
      </c>
      <c r="AD360" s="4" t="b">
        <v>0</v>
      </c>
      <c r="AE360" s="4"/>
      <c r="AF360" s="4"/>
      <c r="AG360" s="4" t="b">
        <v>0</v>
      </c>
      <c r="AH360" s="4"/>
      <c r="AI360" s="5">
        <v>41673</v>
      </c>
      <c r="AJ360" s="5">
        <v>41673</v>
      </c>
      <c r="AK360" s="5">
        <v>41674</v>
      </c>
      <c r="AL360" s="5">
        <v>41674</v>
      </c>
      <c r="AM360" s="5">
        <v>41708</v>
      </c>
      <c r="AN360" s="5">
        <v>41722</v>
      </c>
      <c r="AO360" s="4">
        <v>6</v>
      </c>
      <c r="AP360" s="5">
        <v>41712</v>
      </c>
      <c r="AQ360" s="5">
        <v>42153</v>
      </c>
      <c r="AR360" s="5">
        <v>41751</v>
      </c>
      <c r="AS360" s="5">
        <v>41773</v>
      </c>
      <c r="AT360" s="5">
        <v>41803</v>
      </c>
      <c r="AU360" s="5">
        <v>41801</v>
      </c>
      <c r="AV360" s="4"/>
      <c r="AW360" s="5">
        <v>41824</v>
      </c>
      <c r="AX360" s="5">
        <v>41821</v>
      </c>
      <c r="AY360" s="4" t="s">
        <v>183</v>
      </c>
      <c r="AZ360" s="5">
        <v>41731</v>
      </c>
      <c r="BA360" s="5">
        <v>41731</v>
      </c>
      <c r="BB360" s="5">
        <v>41766</v>
      </c>
      <c r="BC360" s="5">
        <v>41764</v>
      </c>
      <c r="BD360" s="4">
        <v>1</v>
      </c>
      <c r="BE360" s="4"/>
      <c r="BF360" s="5">
        <v>41764</v>
      </c>
      <c r="BG360" s="5">
        <v>42398</v>
      </c>
      <c r="BH360" s="4"/>
      <c r="BI360" s="5">
        <v>41820</v>
      </c>
      <c r="BJ360" s="5">
        <v>41813</v>
      </c>
      <c r="BK360" s="4">
        <v>1</v>
      </c>
      <c r="BL360" s="4"/>
      <c r="BM360" s="5">
        <v>41820</v>
      </c>
      <c r="BN360" s="5">
        <v>41813</v>
      </c>
      <c r="BO360" s="4"/>
      <c r="BP360" s="4"/>
      <c r="BQ360" s="4"/>
      <c r="BR360" s="4"/>
      <c r="BS360" s="4"/>
      <c r="BT360" s="5">
        <v>41855</v>
      </c>
      <c r="BU360" s="5">
        <v>41855</v>
      </c>
      <c r="BV360" s="5">
        <v>41865</v>
      </c>
      <c r="BW360" s="5">
        <v>41866</v>
      </c>
      <c r="BX360" s="5">
        <v>41866</v>
      </c>
      <c r="BY360" s="5">
        <v>41892</v>
      </c>
      <c r="BZ360" s="5">
        <v>41900</v>
      </c>
      <c r="CA360" s="5">
        <v>41872</v>
      </c>
      <c r="CB360" s="5">
        <v>41872</v>
      </c>
      <c r="CC360" s="4"/>
      <c r="CD360" s="4"/>
      <c r="CE360" s="4"/>
      <c r="CF360" s="4"/>
      <c r="CG360" s="4"/>
      <c r="CH360" s="4"/>
      <c r="CI360" s="4"/>
      <c r="CJ360" s="5">
        <v>41912</v>
      </c>
      <c r="CK360" s="5">
        <v>41919</v>
      </c>
      <c r="CL360" s="4"/>
      <c r="CM360" s="4"/>
      <c r="CN360" s="4"/>
      <c r="CO360" s="4"/>
      <c r="CP360" s="4" t="s">
        <v>1214</v>
      </c>
      <c r="CQ360" s="4"/>
      <c r="CR360" s="4"/>
      <c r="CS360" s="4"/>
      <c r="CT360" s="4"/>
      <c r="CU360" s="4"/>
      <c r="CV360" s="4"/>
      <c r="CW360" s="4"/>
      <c r="CX360" s="4"/>
      <c r="CY360" s="4"/>
      <c r="CZ360" s="4"/>
      <c r="DA360" s="5">
        <v>41900</v>
      </c>
      <c r="DB360" s="5">
        <v>41900</v>
      </c>
      <c r="DC360" s="5">
        <v>41765</v>
      </c>
      <c r="DD360" s="4" t="s">
        <v>586</v>
      </c>
      <c r="DE360" s="4" t="s">
        <v>581</v>
      </c>
      <c r="DF360" s="5">
        <v>41855</v>
      </c>
      <c r="DG360" s="5">
        <v>41842</v>
      </c>
      <c r="DH360" s="4" t="s">
        <v>174</v>
      </c>
      <c r="DI360" s="5">
        <v>41865</v>
      </c>
      <c r="DJ360" s="4" t="b">
        <v>0</v>
      </c>
      <c r="DK360" s="4"/>
      <c r="DL360" s="4">
        <v>2668613</v>
      </c>
      <c r="DM360" s="4">
        <v>6482545</v>
      </c>
      <c r="DN360" s="4" t="s">
        <v>1215</v>
      </c>
      <c r="DO360" s="4"/>
      <c r="DP360" s="4"/>
      <c r="DQ360" s="4" t="s">
        <v>148</v>
      </c>
      <c r="DR360" s="4"/>
      <c r="DS360" s="4"/>
      <c r="DT360" s="5">
        <v>41919</v>
      </c>
      <c r="DU360" s="4"/>
      <c r="DV360" s="4"/>
      <c r="DW360" s="4"/>
      <c r="DX360" s="4"/>
      <c r="DY360" s="4"/>
      <c r="DZ360" s="4"/>
      <c r="EA360" s="4"/>
      <c r="EB360" s="4"/>
      <c r="EC360" s="4"/>
      <c r="ED360" s="4"/>
      <c r="EE360" s="4"/>
      <c r="EF360" s="4"/>
      <c r="EG360" s="4"/>
      <c r="EH360" s="4"/>
      <c r="EI360" s="5">
        <v>41674</v>
      </c>
    </row>
    <row r="361" spans="1:139" hidden="1" x14ac:dyDescent="0.2">
      <c r="A361">
        <f>VLOOKUP(B361,Sheet1!$A$1:$B$18,2,FALSE)</f>
        <v>0</v>
      </c>
      <c r="B361" t="str">
        <f t="shared" si="5"/>
        <v>AKL</v>
      </c>
      <c r="C361" s="2">
        <v>360</v>
      </c>
      <c r="D361" s="3" t="str">
        <f>HYPERLINK("https://sitebase.nzcomms.co.nz/spm/spmnominalview/AKL-007-195/","AKL-007-195")</f>
        <v>AKL-007-195</v>
      </c>
      <c r="E361" s="4" t="s">
        <v>860</v>
      </c>
      <c r="F361" s="3" t="str">
        <f>HYPERLINK("https://sitebase.nzcomms.co.nz/spm/spmcandidateview/AKL-007-195-A/","AKL-007-195-A")</f>
        <v>AKL-007-195-A</v>
      </c>
      <c r="G361" s="4" t="s">
        <v>1216</v>
      </c>
      <c r="H361" s="4" t="s">
        <v>745</v>
      </c>
      <c r="I361" s="4"/>
      <c r="J361" s="4" t="s">
        <v>317</v>
      </c>
      <c r="K361" s="4" t="s">
        <v>141</v>
      </c>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t="s">
        <v>240</v>
      </c>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row>
    <row r="362" spans="1:139" hidden="1" x14ac:dyDescent="0.2">
      <c r="A362">
        <f>VLOOKUP(B362,Sheet1!$A$1:$B$18,2,FALSE)</f>
        <v>0</v>
      </c>
      <c r="B362" t="str">
        <f t="shared" si="5"/>
        <v>AKL</v>
      </c>
      <c r="C362" s="2">
        <v>361</v>
      </c>
      <c r="D362" s="3" t="str">
        <f>HYPERLINK("https://sitebase.nzcomms.co.nz/spm/spmnominalview/AKL-007-196/","AKL-007-196")</f>
        <v>AKL-007-196</v>
      </c>
      <c r="E362" s="4" t="s">
        <v>1217</v>
      </c>
      <c r="F362" s="4"/>
      <c r="G362" s="4"/>
      <c r="H362" s="4" t="s">
        <v>745</v>
      </c>
      <c r="I362" s="4"/>
      <c r="J362" s="4" t="s">
        <v>196</v>
      </c>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row>
    <row r="363" spans="1:139" hidden="1" x14ac:dyDescent="0.2">
      <c r="A363">
        <f>VLOOKUP(B363,Sheet1!$A$1:$B$18,2,FALSE)</f>
        <v>0</v>
      </c>
      <c r="B363" t="str">
        <f t="shared" si="5"/>
        <v>AKL</v>
      </c>
      <c r="C363" s="2">
        <v>362</v>
      </c>
      <c r="D363" s="3" t="str">
        <f>HYPERLINK("https://sitebase.nzcomms.co.nz/spm/spmnominalview/AKL-007-197/","AKL-007-197")</f>
        <v>AKL-007-197</v>
      </c>
      <c r="E363" s="4" t="s">
        <v>1218</v>
      </c>
      <c r="F363" s="3" t="str">
        <f>HYPERLINK("https://sitebase.nzcomms.co.nz/spm/spmcandidateview/AKL-007-197-F/","AKL-007-197-F")</f>
        <v>AKL-007-197-F</v>
      </c>
      <c r="G363" s="4" t="s">
        <v>1219</v>
      </c>
      <c r="H363" s="4" t="s">
        <v>745</v>
      </c>
      <c r="I363" s="4">
        <v>3</v>
      </c>
      <c r="J363" s="4" t="s">
        <v>584</v>
      </c>
      <c r="K363" s="4" t="s">
        <v>141</v>
      </c>
      <c r="L363" s="4" t="s">
        <v>181</v>
      </c>
      <c r="M363" s="4" t="s">
        <v>571</v>
      </c>
      <c r="N363" s="4" t="s">
        <v>181</v>
      </c>
      <c r="O363" s="4" t="s">
        <v>168</v>
      </c>
      <c r="P363" s="4" t="s">
        <v>169</v>
      </c>
      <c r="Q363" s="4"/>
      <c r="R363" s="4"/>
      <c r="S363" s="4"/>
      <c r="T363" s="4"/>
      <c r="U363" s="4">
        <v>-36.840889079999997</v>
      </c>
      <c r="V363" s="4">
        <v>174.75617887999999</v>
      </c>
      <c r="W363" s="4"/>
      <c r="X363" s="4"/>
      <c r="Y363" s="4"/>
      <c r="Z363" s="4"/>
      <c r="AA363" s="4" t="s">
        <v>145</v>
      </c>
      <c r="AB363" s="3" t="str">
        <f>HYPERLINK("https://sitebase.nzcomms.co.nz/spm/spmcandidateview/AKL-007-185-A/","AKL-007-185-A")</f>
        <v>AKL-007-185-A</v>
      </c>
      <c r="AC363" s="4" t="b">
        <v>0</v>
      </c>
      <c r="AD363" s="4" t="b">
        <v>0</v>
      </c>
      <c r="AE363" s="4"/>
      <c r="AF363" s="4"/>
      <c r="AG363" s="4" t="b">
        <v>0</v>
      </c>
      <c r="AH363" s="4"/>
      <c r="AI363" s="5">
        <v>41696</v>
      </c>
      <c r="AJ363" s="5">
        <v>41689</v>
      </c>
      <c r="AK363" s="5">
        <v>41717</v>
      </c>
      <c r="AL363" s="5">
        <v>41709</v>
      </c>
      <c r="AM363" s="5">
        <v>41740</v>
      </c>
      <c r="AN363" s="5">
        <v>41740</v>
      </c>
      <c r="AO363" s="4">
        <v>3</v>
      </c>
      <c r="AP363" s="5">
        <v>41747</v>
      </c>
      <c r="AQ363" s="5">
        <v>42229</v>
      </c>
      <c r="AR363" s="5">
        <v>41786</v>
      </c>
      <c r="AS363" s="5">
        <v>41785</v>
      </c>
      <c r="AT363" s="5">
        <v>41786</v>
      </c>
      <c r="AU363" s="5">
        <v>41786</v>
      </c>
      <c r="AV363" s="4">
        <v>1</v>
      </c>
      <c r="AW363" s="5">
        <v>41803</v>
      </c>
      <c r="AX363" s="5">
        <v>41810</v>
      </c>
      <c r="AY363" s="4" t="s">
        <v>183</v>
      </c>
      <c r="AZ363" s="5">
        <v>41786</v>
      </c>
      <c r="BA363" s="5">
        <v>41779</v>
      </c>
      <c r="BB363" s="5">
        <v>41820</v>
      </c>
      <c r="BC363" s="5">
        <v>41807</v>
      </c>
      <c r="BD363" s="4">
        <v>1</v>
      </c>
      <c r="BE363" s="5">
        <v>41824</v>
      </c>
      <c r="BF363" s="5">
        <v>41807</v>
      </c>
      <c r="BG363" s="5">
        <v>41779</v>
      </c>
      <c r="BH363" s="5">
        <v>41767</v>
      </c>
      <c r="BI363" s="5">
        <v>41820</v>
      </c>
      <c r="BJ363" s="5">
        <v>41816</v>
      </c>
      <c r="BK363" s="4">
        <v>4</v>
      </c>
      <c r="BL363" s="4"/>
      <c r="BM363" s="5">
        <v>41831</v>
      </c>
      <c r="BN363" s="5">
        <v>42319</v>
      </c>
      <c r="BO363" s="4"/>
      <c r="BP363" s="4"/>
      <c r="BQ363" s="4"/>
      <c r="BR363" s="4"/>
      <c r="BS363" s="4"/>
      <c r="BT363" s="5">
        <v>41869</v>
      </c>
      <c r="BU363" s="5">
        <v>41870</v>
      </c>
      <c r="BV363" s="5">
        <v>41880</v>
      </c>
      <c r="BW363" s="5">
        <v>41894</v>
      </c>
      <c r="BX363" s="5">
        <v>41872</v>
      </c>
      <c r="BY363" s="5">
        <v>41887</v>
      </c>
      <c r="BZ363" s="5">
        <v>41891</v>
      </c>
      <c r="CA363" s="5">
        <v>41887</v>
      </c>
      <c r="CB363" s="5">
        <v>41880</v>
      </c>
      <c r="CC363" s="4"/>
      <c r="CD363" s="4"/>
      <c r="CE363" s="4"/>
      <c r="CF363" s="4"/>
      <c r="CG363" s="4"/>
      <c r="CH363" s="4"/>
      <c r="CI363" s="4"/>
      <c r="CJ363" s="5">
        <v>41912</v>
      </c>
      <c r="CK363" s="5">
        <v>41912</v>
      </c>
      <c r="CL363" s="4"/>
      <c r="CM363" s="4"/>
      <c r="CN363" s="4"/>
      <c r="CO363" s="4"/>
      <c r="CP363" s="4" t="s">
        <v>1220</v>
      </c>
      <c r="CQ363" s="4"/>
      <c r="CR363" s="4"/>
      <c r="CS363" s="4"/>
      <c r="CT363" s="4"/>
      <c r="CU363" s="4"/>
      <c r="CV363" s="4"/>
      <c r="CW363" s="4"/>
      <c r="CX363" s="4"/>
      <c r="CY363" s="4"/>
      <c r="CZ363" s="4"/>
      <c r="DA363" s="5">
        <v>41891</v>
      </c>
      <c r="DB363" s="5">
        <v>41891</v>
      </c>
      <c r="DC363" s="5">
        <v>41779</v>
      </c>
      <c r="DD363" s="4" t="s">
        <v>586</v>
      </c>
      <c r="DE363" s="4" t="s">
        <v>581</v>
      </c>
      <c r="DF363" s="5">
        <v>41834</v>
      </c>
      <c r="DG363" s="5">
        <v>41834</v>
      </c>
      <c r="DH363" s="4" t="s">
        <v>174</v>
      </c>
      <c r="DI363" s="5">
        <v>41870</v>
      </c>
      <c r="DJ363" s="4" t="b">
        <v>0</v>
      </c>
      <c r="DK363" s="4"/>
      <c r="DL363" s="4">
        <v>2667027</v>
      </c>
      <c r="DM363" s="4">
        <v>6483038</v>
      </c>
      <c r="DN363" s="4" t="s">
        <v>1221</v>
      </c>
      <c r="DO363" s="4" t="s">
        <v>1222</v>
      </c>
      <c r="DP363" s="4"/>
      <c r="DQ363" s="4" t="s">
        <v>148</v>
      </c>
      <c r="DR363" s="4"/>
      <c r="DS363" s="4"/>
      <c r="DT363" s="5">
        <v>41912</v>
      </c>
      <c r="DU363" s="4"/>
      <c r="DV363" s="4"/>
      <c r="DW363" s="4"/>
      <c r="DX363" s="4"/>
      <c r="DY363" s="5">
        <v>41855</v>
      </c>
      <c r="DZ363" s="4"/>
      <c r="EA363" s="4"/>
      <c r="EB363" s="4"/>
      <c r="EC363" s="4"/>
      <c r="ED363" s="4"/>
      <c r="EE363" s="4"/>
      <c r="EF363" s="4"/>
      <c r="EG363" s="4"/>
      <c r="EH363" s="4"/>
      <c r="EI363" s="5">
        <v>41709</v>
      </c>
    </row>
    <row r="364" spans="1:139" hidden="1" x14ac:dyDescent="0.2">
      <c r="A364">
        <f>VLOOKUP(B364,Sheet1!$A$1:$B$18,2,FALSE)</f>
        <v>0</v>
      </c>
      <c r="B364" t="str">
        <f t="shared" si="5"/>
        <v>AKL</v>
      </c>
      <c r="C364" s="2">
        <v>363</v>
      </c>
      <c r="D364" s="3" t="str">
        <f>HYPERLINK("https://sitebase.nzcomms.co.nz/spm/spmnominalview/AKL-007-198/","AKL-007-198")</f>
        <v>AKL-007-198</v>
      </c>
      <c r="E364" s="4" t="s">
        <v>1223</v>
      </c>
      <c r="F364" s="3" t="str">
        <f>HYPERLINK("https://sitebase.nzcomms.co.nz/spm/spmcandidateview/AKL-007-198-A/","AKL-007-198-A")</f>
        <v>AKL-007-198-A</v>
      </c>
      <c r="G364" s="4" t="s">
        <v>1223</v>
      </c>
      <c r="H364" s="4" t="s">
        <v>745</v>
      </c>
      <c r="I364" s="4">
        <v>3</v>
      </c>
      <c r="J364" s="4" t="s">
        <v>584</v>
      </c>
      <c r="K364" s="4" t="s">
        <v>141</v>
      </c>
      <c r="L364" s="4" t="s">
        <v>181</v>
      </c>
      <c r="M364" s="4" t="s">
        <v>571</v>
      </c>
      <c r="N364" s="4" t="s">
        <v>364</v>
      </c>
      <c r="O364" s="4" t="s">
        <v>168</v>
      </c>
      <c r="P364" s="4" t="s">
        <v>182</v>
      </c>
      <c r="Q364" s="4"/>
      <c r="R364" s="4">
        <v>15</v>
      </c>
      <c r="S364" s="4">
        <v>10</v>
      </c>
      <c r="T364" s="4"/>
      <c r="U364" s="4">
        <v>-36.845102070000003</v>
      </c>
      <c r="V364" s="4">
        <v>174.73827581</v>
      </c>
      <c r="W364" s="4"/>
      <c r="X364" s="4"/>
      <c r="Y364" s="4"/>
      <c r="Z364" s="4"/>
      <c r="AA364" s="4" t="s">
        <v>145</v>
      </c>
      <c r="AB364" s="3" t="str">
        <f>HYPERLINK("https://sitebase.nzcomms.co.nz/spm/spmcandidateview/AKL-005-078-A/","AKL-005-078-A")</f>
        <v>AKL-005-078-A</v>
      </c>
      <c r="AC364" s="4" t="b">
        <v>1</v>
      </c>
      <c r="AD364" s="4" t="b">
        <v>1</v>
      </c>
      <c r="AE364" s="4"/>
      <c r="AF364" s="4"/>
      <c r="AG364" s="4" t="b">
        <v>0</v>
      </c>
      <c r="AH364" s="4"/>
      <c r="AI364" s="5">
        <v>41487</v>
      </c>
      <c r="AJ364" s="5">
        <v>41487</v>
      </c>
      <c r="AK364" s="4"/>
      <c r="AL364" s="5">
        <v>41487</v>
      </c>
      <c r="AM364" s="4"/>
      <c r="AN364" s="5">
        <v>41509</v>
      </c>
      <c r="AO364" s="4">
        <v>3</v>
      </c>
      <c r="AP364" s="4"/>
      <c r="AQ364" s="5">
        <v>41509</v>
      </c>
      <c r="AR364" s="4"/>
      <c r="AS364" s="5">
        <v>41532</v>
      </c>
      <c r="AT364" s="5">
        <v>41562</v>
      </c>
      <c r="AU364" s="5">
        <v>41562</v>
      </c>
      <c r="AV364" s="4"/>
      <c r="AW364" s="5">
        <v>41562</v>
      </c>
      <c r="AX364" s="5">
        <v>41562</v>
      </c>
      <c r="AY364" s="4" t="s">
        <v>183</v>
      </c>
      <c r="AZ364" s="4"/>
      <c r="BA364" s="5">
        <v>41470</v>
      </c>
      <c r="BB364" s="5">
        <v>41500</v>
      </c>
      <c r="BC364" s="5">
        <v>41507</v>
      </c>
      <c r="BD364" s="4">
        <v>3</v>
      </c>
      <c r="BE364" s="4"/>
      <c r="BF364" s="5">
        <v>41507</v>
      </c>
      <c r="BG364" s="4"/>
      <c r="BH364" s="5">
        <v>41850</v>
      </c>
      <c r="BI364" s="4"/>
      <c r="BJ364" s="5">
        <v>41856</v>
      </c>
      <c r="BK364" s="4">
        <v>1</v>
      </c>
      <c r="BL364" s="4"/>
      <c r="BM364" s="4"/>
      <c r="BN364" s="5">
        <v>41856</v>
      </c>
      <c r="BO364" s="4"/>
      <c r="BP364" s="4"/>
      <c r="BQ364" s="4"/>
      <c r="BR364" s="4"/>
      <c r="BS364" s="4"/>
      <c r="BT364" s="5">
        <v>41872</v>
      </c>
      <c r="BU364" s="5">
        <v>41870</v>
      </c>
      <c r="BV364" s="4"/>
      <c r="BW364" s="5">
        <v>41886</v>
      </c>
      <c r="BX364" s="5">
        <v>41870</v>
      </c>
      <c r="BY364" s="5">
        <v>41886</v>
      </c>
      <c r="BZ364" s="5">
        <v>41884</v>
      </c>
      <c r="CA364" s="5">
        <v>41886</v>
      </c>
      <c r="CB364" s="5">
        <v>41886</v>
      </c>
      <c r="CC364" s="4"/>
      <c r="CD364" s="4"/>
      <c r="CE364" s="4"/>
      <c r="CF364" s="4"/>
      <c r="CG364" s="4"/>
      <c r="CH364" s="4"/>
      <c r="CI364" s="4"/>
      <c r="CJ364" s="5">
        <v>41899</v>
      </c>
      <c r="CK364" s="5">
        <v>41894</v>
      </c>
      <c r="CL364" s="4"/>
      <c r="CM364" s="4"/>
      <c r="CN364" s="4"/>
      <c r="CO364" s="4"/>
      <c r="CP364" s="4" t="s">
        <v>1224</v>
      </c>
      <c r="CQ364" s="4"/>
      <c r="CR364" s="4"/>
      <c r="CS364" s="4"/>
      <c r="CT364" s="4"/>
      <c r="CU364" s="4"/>
      <c r="CV364" s="4"/>
      <c r="CW364" s="4"/>
      <c r="CX364" s="4"/>
      <c r="CY364" s="4"/>
      <c r="CZ364" s="4"/>
      <c r="DA364" s="5">
        <v>41893</v>
      </c>
      <c r="DB364" s="5">
        <v>41893</v>
      </c>
      <c r="DC364" s="5">
        <v>41675</v>
      </c>
      <c r="DD364" s="4" t="s">
        <v>586</v>
      </c>
      <c r="DE364" s="4"/>
      <c r="DF364" s="5">
        <v>41862</v>
      </c>
      <c r="DG364" s="5">
        <v>41880</v>
      </c>
      <c r="DH364" s="4" t="s">
        <v>174</v>
      </c>
      <c r="DI364" s="5">
        <v>41872</v>
      </c>
      <c r="DJ364" s="4" t="b">
        <v>0</v>
      </c>
      <c r="DK364" s="4"/>
      <c r="DL364" s="4">
        <v>2665421</v>
      </c>
      <c r="DM364" s="4">
        <v>6482603</v>
      </c>
      <c r="DN364" s="4" t="s">
        <v>1225</v>
      </c>
      <c r="DO364" s="4"/>
      <c r="DP364" s="4"/>
      <c r="DQ364" s="4" t="s">
        <v>148</v>
      </c>
      <c r="DR364" s="4"/>
      <c r="DS364" s="4"/>
      <c r="DT364" s="5">
        <v>41894</v>
      </c>
      <c r="DU364" s="4"/>
      <c r="DV364" s="4"/>
      <c r="DW364" s="4"/>
      <c r="DX364" s="4"/>
      <c r="DY364" s="4"/>
      <c r="DZ364" s="4"/>
      <c r="EA364" s="4"/>
      <c r="EB364" s="4"/>
      <c r="EC364" s="4"/>
      <c r="ED364" s="4"/>
      <c r="EE364" s="4"/>
      <c r="EF364" s="4"/>
      <c r="EG364" s="4"/>
      <c r="EH364" s="4"/>
      <c r="EI364" s="5">
        <v>41487</v>
      </c>
    </row>
    <row r="365" spans="1:139" hidden="1" x14ac:dyDescent="0.2">
      <c r="A365">
        <f>VLOOKUP(B365,Sheet1!$A$1:$B$18,2,FALSE)</f>
        <v>0</v>
      </c>
      <c r="B365" t="str">
        <f t="shared" si="5"/>
        <v>AKL</v>
      </c>
      <c r="C365" s="2">
        <v>364</v>
      </c>
      <c r="D365" s="3" t="str">
        <f>HYPERLINK("https://sitebase.nzcomms.co.nz/spm/spmnominalview/AKL-007-199/","AKL-007-199")</f>
        <v>AKL-007-199</v>
      </c>
      <c r="E365" s="4" t="s">
        <v>1226</v>
      </c>
      <c r="F365" s="3" t="str">
        <f>HYPERLINK("https://sitebase.nzcomms.co.nz/spm/spmcandidateview/AKL-007-199-B/","AKL-007-199-B")</f>
        <v>AKL-007-199-B</v>
      </c>
      <c r="G365" s="4" t="s">
        <v>1227</v>
      </c>
      <c r="H365" s="4" t="s">
        <v>745</v>
      </c>
      <c r="I365" s="4">
        <v>22</v>
      </c>
      <c r="J365" s="4" t="s">
        <v>570</v>
      </c>
      <c r="K365" s="4" t="s">
        <v>141</v>
      </c>
      <c r="L365" s="4" t="s">
        <v>189</v>
      </c>
      <c r="M365" s="4" t="s">
        <v>571</v>
      </c>
      <c r="N365" s="4" t="s">
        <v>274</v>
      </c>
      <c r="O365" s="4"/>
      <c r="P365" s="4" t="s">
        <v>169</v>
      </c>
      <c r="Q365" s="4"/>
      <c r="R365" s="4"/>
      <c r="S365" s="4"/>
      <c r="T365" s="4"/>
      <c r="U365" s="4">
        <v>-36.909498409999998</v>
      </c>
      <c r="V365" s="4">
        <v>174.75439824</v>
      </c>
      <c r="W365" s="4"/>
      <c r="X365" s="4"/>
      <c r="Y365" s="4"/>
      <c r="Z365" s="4"/>
      <c r="AA365" s="4" t="s">
        <v>145</v>
      </c>
      <c r="AB365" s="3" t="str">
        <f>HYPERLINK("https://sitebase.nzcomms.co.nz/spm/spmcandidateview/AKL-007-191-A/","AKL-007-191-A")</f>
        <v>AKL-007-191-A</v>
      </c>
      <c r="AC365" s="4" t="b">
        <v>0</v>
      </c>
      <c r="AD365" s="4" t="b">
        <v>0</v>
      </c>
      <c r="AE365" s="4"/>
      <c r="AF365" s="4"/>
      <c r="AG365" s="4" t="b">
        <v>0</v>
      </c>
      <c r="AH365" s="4"/>
      <c r="AI365" s="5">
        <v>42095</v>
      </c>
      <c r="AJ365" s="5">
        <v>42095</v>
      </c>
      <c r="AK365" s="5">
        <v>42101</v>
      </c>
      <c r="AL365" s="5">
        <v>42096</v>
      </c>
      <c r="AM365" s="5">
        <v>42129</v>
      </c>
      <c r="AN365" s="5">
        <v>42122</v>
      </c>
      <c r="AO365" s="4">
        <v>2</v>
      </c>
      <c r="AP365" s="5">
        <v>42136</v>
      </c>
      <c r="AQ365" s="5">
        <v>42241</v>
      </c>
      <c r="AR365" s="5">
        <v>42158</v>
      </c>
      <c r="AS365" s="5">
        <v>42136</v>
      </c>
      <c r="AT365" s="5">
        <v>42172</v>
      </c>
      <c r="AU365" s="5">
        <v>42142</v>
      </c>
      <c r="AV365" s="4"/>
      <c r="AW365" s="5">
        <v>42179</v>
      </c>
      <c r="AX365" s="5">
        <v>42164</v>
      </c>
      <c r="AY365" s="4" t="s">
        <v>183</v>
      </c>
      <c r="AZ365" s="5">
        <v>42157</v>
      </c>
      <c r="BA365" s="5">
        <v>42157</v>
      </c>
      <c r="BB365" s="5">
        <v>42202</v>
      </c>
      <c r="BC365" s="5">
        <v>42188</v>
      </c>
      <c r="BD365" s="4">
        <v>1</v>
      </c>
      <c r="BE365" s="5">
        <v>42202</v>
      </c>
      <c r="BF365" s="5">
        <v>42188</v>
      </c>
      <c r="BG365" s="5">
        <v>42164</v>
      </c>
      <c r="BH365" s="5">
        <v>42164</v>
      </c>
      <c r="BI365" s="5">
        <v>42178</v>
      </c>
      <c r="BJ365" s="5">
        <v>42166</v>
      </c>
      <c r="BK365" s="4">
        <v>1</v>
      </c>
      <c r="BL365" s="4"/>
      <c r="BM365" s="5">
        <v>42185</v>
      </c>
      <c r="BN365" s="5">
        <v>42166</v>
      </c>
      <c r="BO365" s="4"/>
      <c r="BP365" s="4"/>
      <c r="BQ365" s="4"/>
      <c r="BR365" s="5">
        <v>42205</v>
      </c>
      <c r="BS365" s="4"/>
      <c r="BT365" s="5">
        <v>42317</v>
      </c>
      <c r="BU365" s="5">
        <v>42317</v>
      </c>
      <c r="BV365" s="5">
        <v>42340</v>
      </c>
      <c r="BW365" s="5">
        <v>42339</v>
      </c>
      <c r="BX365" s="4"/>
      <c r="BY365" s="5">
        <v>42341</v>
      </c>
      <c r="BZ365" s="5">
        <v>42345</v>
      </c>
      <c r="CA365" s="5">
        <v>42340</v>
      </c>
      <c r="CB365" s="4"/>
      <c r="CC365" s="4"/>
      <c r="CD365" s="4"/>
      <c r="CE365" s="4"/>
      <c r="CF365" s="4"/>
      <c r="CG365" s="4"/>
      <c r="CH365" s="4"/>
      <c r="CI365" s="4"/>
      <c r="CJ365" s="5">
        <v>42355</v>
      </c>
      <c r="CK365" s="5">
        <v>42354</v>
      </c>
      <c r="CL365" s="5">
        <v>42360</v>
      </c>
      <c r="CM365" s="5">
        <v>42360</v>
      </c>
      <c r="CN365" s="4"/>
      <c r="CO365" s="4"/>
      <c r="CP365" s="4" t="s">
        <v>1228</v>
      </c>
      <c r="CQ365" s="4"/>
      <c r="CR365" s="4"/>
      <c r="CS365" s="4"/>
      <c r="CT365" s="4"/>
      <c r="CU365" s="4"/>
      <c r="CV365" s="4"/>
      <c r="CW365" s="4"/>
      <c r="CX365" s="4"/>
      <c r="CY365" s="4"/>
      <c r="CZ365" s="4"/>
      <c r="DA365" s="5">
        <v>42348</v>
      </c>
      <c r="DB365" s="5">
        <v>42348</v>
      </c>
      <c r="DC365" s="4"/>
      <c r="DD365" s="4"/>
      <c r="DE365" s="4" t="s">
        <v>581</v>
      </c>
      <c r="DF365" s="5">
        <v>42285</v>
      </c>
      <c r="DG365" s="5">
        <v>42284</v>
      </c>
      <c r="DH365" s="4" t="s">
        <v>174</v>
      </c>
      <c r="DI365" s="4"/>
      <c r="DJ365" s="4" t="b">
        <v>1</v>
      </c>
      <c r="DK365" s="5">
        <v>42205</v>
      </c>
      <c r="DL365" s="4">
        <v>2666713</v>
      </c>
      <c r="DM365" s="4">
        <v>6475429</v>
      </c>
      <c r="DN365" s="4" t="s">
        <v>1229</v>
      </c>
      <c r="DO365" s="4"/>
      <c r="DP365" s="4"/>
      <c r="DQ365" s="4" t="s">
        <v>148</v>
      </c>
      <c r="DR365" s="4"/>
      <c r="DS365" s="4"/>
      <c r="DT365" s="5">
        <v>42354</v>
      </c>
      <c r="DU365" s="4" t="s">
        <v>1230</v>
      </c>
      <c r="DV365" s="4"/>
      <c r="DW365" s="5">
        <v>42177</v>
      </c>
      <c r="DX365" s="5">
        <v>42208</v>
      </c>
      <c r="DY365" s="5">
        <v>42216</v>
      </c>
      <c r="DZ365" s="5">
        <v>42200</v>
      </c>
      <c r="EA365" s="4"/>
      <c r="EB365" s="5">
        <v>42095</v>
      </c>
      <c r="EC365" s="4"/>
      <c r="ED365" s="5">
        <v>42165</v>
      </c>
      <c r="EE365" s="5">
        <v>42258</v>
      </c>
      <c r="EF365" s="5">
        <v>42262</v>
      </c>
      <c r="EG365" s="4"/>
      <c r="EH365" s="4"/>
      <c r="EI365" s="5">
        <v>42096</v>
      </c>
    </row>
    <row r="366" spans="1:139" hidden="1" x14ac:dyDescent="0.2">
      <c r="A366">
        <f>VLOOKUP(B366,Sheet1!$A$1:$B$18,2,FALSE)</f>
        <v>0</v>
      </c>
      <c r="B366" t="str">
        <f t="shared" si="5"/>
        <v>AKL</v>
      </c>
      <c r="C366" s="2">
        <v>365</v>
      </c>
      <c r="D366" s="3" t="str">
        <f>HYPERLINK("https://sitebase.nzcomms.co.nz/spm/spmnominalview/AKL-007-200/","AKL-007-200")</f>
        <v>AKL-007-200</v>
      </c>
      <c r="E366" s="4" t="s">
        <v>1231</v>
      </c>
      <c r="F366" s="3" t="str">
        <f>HYPERLINK("https://sitebase.nzcomms.co.nz/spm/spmcandidateview/AKL-007-200-A/","AKL-007-200-A")</f>
        <v>AKL-007-200-A</v>
      </c>
      <c r="G366" s="4" t="s">
        <v>1232</v>
      </c>
      <c r="H366" s="4" t="s">
        <v>745</v>
      </c>
      <c r="I366" s="4">
        <v>12</v>
      </c>
      <c r="J366" s="4" t="s">
        <v>584</v>
      </c>
      <c r="K366" s="4" t="s">
        <v>141</v>
      </c>
      <c r="L366" s="4" t="s">
        <v>181</v>
      </c>
      <c r="M366" s="4" t="s">
        <v>1193</v>
      </c>
      <c r="N366" s="4" t="s">
        <v>181</v>
      </c>
      <c r="O366" s="4" t="s">
        <v>168</v>
      </c>
      <c r="P366" s="4" t="s">
        <v>182</v>
      </c>
      <c r="Q366" s="4" t="s">
        <v>170</v>
      </c>
      <c r="R366" s="4"/>
      <c r="S366" s="4"/>
      <c r="T366" s="4"/>
      <c r="U366" s="4">
        <v>-36.874940309999999</v>
      </c>
      <c r="V366" s="4">
        <v>174.74460246999999</v>
      </c>
      <c r="W366" s="4"/>
      <c r="X366" s="4"/>
      <c r="Y366" s="4"/>
      <c r="Z366" s="4"/>
      <c r="AA366" s="4" t="s">
        <v>145</v>
      </c>
      <c r="AB366" s="3" t="str">
        <f>HYPERLINK("https://sitebase.nzcomms.co.nz/spm/spmcandidateview/AKL-007-191-A/","AKL-007-191-A")</f>
        <v>AKL-007-191-A</v>
      </c>
      <c r="AC366" s="4" t="b">
        <v>0</v>
      </c>
      <c r="AD366" s="4" t="b">
        <v>0</v>
      </c>
      <c r="AE366" s="4"/>
      <c r="AF366" s="4"/>
      <c r="AG366" s="4" t="b">
        <v>0</v>
      </c>
      <c r="AH366" s="4"/>
      <c r="AI366" s="5">
        <v>41719</v>
      </c>
      <c r="AJ366" s="5">
        <v>41719</v>
      </c>
      <c r="AK366" s="5">
        <v>41723</v>
      </c>
      <c r="AL366" s="5">
        <v>41723</v>
      </c>
      <c r="AM366" s="5">
        <v>41740</v>
      </c>
      <c r="AN366" s="5">
        <v>41760</v>
      </c>
      <c r="AO366" s="4">
        <v>3</v>
      </c>
      <c r="AP366" s="5">
        <v>41750</v>
      </c>
      <c r="AQ366" s="5">
        <v>41808</v>
      </c>
      <c r="AR366" s="5">
        <v>41838</v>
      </c>
      <c r="AS366" s="5">
        <v>41900</v>
      </c>
      <c r="AT366" s="5">
        <v>41908</v>
      </c>
      <c r="AU366" s="5">
        <v>41925</v>
      </c>
      <c r="AV366" s="4"/>
      <c r="AW366" s="5">
        <v>41915</v>
      </c>
      <c r="AX366" s="5">
        <v>41925</v>
      </c>
      <c r="AY366" s="4" t="s">
        <v>183</v>
      </c>
      <c r="AZ366" s="5">
        <v>41813</v>
      </c>
      <c r="BA366" s="5">
        <v>41813</v>
      </c>
      <c r="BB366" s="5">
        <v>41843</v>
      </c>
      <c r="BC366" s="5">
        <v>41841</v>
      </c>
      <c r="BD366" s="4">
        <v>3</v>
      </c>
      <c r="BE366" s="5">
        <v>41850</v>
      </c>
      <c r="BF366" s="5">
        <v>41841</v>
      </c>
      <c r="BG366" s="5">
        <v>41793</v>
      </c>
      <c r="BH366" s="5">
        <v>41793</v>
      </c>
      <c r="BI366" s="5">
        <v>41845</v>
      </c>
      <c r="BJ366" s="5">
        <v>41845</v>
      </c>
      <c r="BK366" s="4">
        <v>2</v>
      </c>
      <c r="BL366" s="4"/>
      <c r="BM366" s="5">
        <v>41851</v>
      </c>
      <c r="BN366" s="5">
        <v>41885</v>
      </c>
      <c r="BO366" s="4"/>
      <c r="BP366" s="4"/>
      <c r="BQ366" s="4"/>
      <c r="BR366" s="4"/>
      <c r="BS366" s="4"/>
      <c r="BT366" s="5">
        <v>41922</v>
      </c>
      <c r="BU366" s="5">
        <v>41920</v>
      </c>
      <c r="BV366" s="5">
        <v>41943</v>
      </c>
      <c r="BW366" s="5">
        <v>41942</v>
      </c>
      <c r="BX366" s="5">
        <v>41954</v>
      </c>
      <c r="BY366" s="5">
        <v>41971</v>
      </c>
      <c r="BZ366" s="5">
        <v>41967</v>
      </c>
      <c r="CA366" s="5">
        <v>41971</v>
      </c>
      <c r="CB366" s="5">
        <v>41967</v>
      </c>
      <c r="CC366" s="4"/>
      <c r="CD366" s="4"/>
      <c r="CE366" s="4"/>
      <c r="CF366" s="4"/>
      <c r="CG366" s="4"/>
      <c r="CH366" s="4"/>
      <c r="CI366" s="4"/>
      <c r="CJ366" s="5">
        <v>41985</v>
      </c>
      <c r="CK366" s="5">
        <v>41977</v>
      </c>
      <c r="CL366" s="4"/>
      <c r="CM366" s="4"/>
      <c r="CN366" s="4"/>
      <c r="CO366" s="4"/>
      <c r="CP366" s="4" t="s">
        <v>1233</v>
      </c>
      <c r="CQ366" s="4"/>
      <c r="CR366" s="4"/>
      <c r="CS366" s="4"/>
      <c r="CT366" s="4"/>
      <c r="CU366" s="4"/>
      <c r="CV366" s="4"/>
      <c r="CW366" s="4"/>
      <c r="CX366" s="4"/>
      <c r="CY366" s="4"/>
      <c r="CZ366" s="4"/>
      <c r="DA366" s="5">
        <v>41978</v>
      </c>
      <c r="DB366" s="5">
        <v>41975</v>
      </c>
      <c r="DC366" s="5">
        <v>41813</v>
      </c>
      <c r="DD366" s="4" t="s">
        <v>586</v>
      </c>
      <c r="DE366" s="4" t="s">
        <v>581</v>
      </c>
      <c r="DF366" s="5">
        <v>41950</v>
      </c>
      <c r="DG366" s="5">
        <v>41950</v>
      </c>
      <c r="DH366" s="4" t="s">
        <v>174</v>
      </c>
      <c r="DI366" s="5">
        <v>41957</v>
      </c>
      <c r="DJ366" s="4" t="b">
        <v>0</v>
      </c>
      <c r="DK366" s="4"/>
      <c r="DL366" s="4">
        <v>2665918</v>
      </c>
      <c r="DM366" s="4">
        <v>6479281</v>
      </c>
      <c r="DN366" s="4" t="s">
        <v>1234</v>
      </c>
      <c r="DO366" s="4"/>
      <c r="DP366" s="4"/>
      <c r="DQ366" s="4" t="s">
        <v>148</v>
      </c>
      <c r="DR366" s="4"/>
      <c r="DS366" s="4"/>
      <c r="DT366" s="5">
        <v>41977</v>
      </c>
      <c r="DU366" s="4"/>
      <c r="DV366" s="4"/>
      <c r="DW366" s="4"/>
      <c r="DX366" s="4"/>
      <c r="DY366" s="4"/>
      <c r="DZ366" s="4"/>
      <c r="EA366" s="4"/>
      <c r="EB366" s="4"/>
      <c r="EC366" s="4"/>
      <c r="ED366" s="4"/>
      <c r="EE366" s="4"/>
      <c r="EF366" s="4"/>
      <c r="EG366" s="4"/>
      <c r="EH366" s="4"/>
      <c r="EI366" s="5">
        <v>41723</v>
      </c>
    </row>
    <row r="367" spans="1:139" hidden="1" x14ac:dyDescent="0.2">
      <c r="A367">
        <f>VLOOKUP(B367,Sheet1!$A$1:$B$18,2,FALSE)</f>
        <v>0</v>
      </c>
      <c r="B367" t="str">
        <f t="shared" si="5"/>
        <v>AKL</v>
      </c>
      <c r="C367" s="2">
        <v>366</v>
      </c>
      <c r="D367" s="3" t="str">
        <f>HYPERLINK("https://sitebase.nzcomms.co.nz/spm/spmnominalview/AKL-007-201/","AKL-007-201")</f>
        <v>AKL-007-201</v>
      </c>
      <c r="E367" s="4" t="s">
        <v>1235</v>
      </c>
      <c r="F367" s="3" t="str">
        <f>HYPERLINK("https://sitebase.nzcomms.co.nz/spm/spmcandidateview/AKL-007-201-A/","AKL-007-201-A")</f>
        <v>AKL-007-201-A</v>
      </c>
      <c r="G367" s="4" t="s">
        <v>1236</v>
      </c>
      <c r="H367" s="4" t="s">
        <v>745</v>
      </c>
      <c r="I367" s="4">
        <v>12</v>
      </c>
      <c r="J367" s="4" t="s">
        <v>584</v>
      </c>
      <c r="K367" s="4" t="s">
        <v>141</v>
      </c>
      <c r="L367" s="4" t="s">
        <v>181</v>
      </c>
      <c r="M367" s="4" t="s">
        <v>1193</v>
      </c>
      <c r="N367" s="4" t="s">
        <v>181</v>
      </c>
      <c r="O367" s="4" t="s">
        <v>168</v>
      </c>
      <c r="P367" s="4" t="s">
        <v>182</v>
      </c>
      <c r="Q367" s="4" t="s">
        <v>170</v>
      </c>
      <c r="R367" s="4"/>
      <c r="S367" s="4"/>
      <c r="T367" s="4"/>
      <c r="U367" s="4">
        <v>-36.874940309999999</v>
      </c>
      <c r="V367" s="4">
        <v>174.74460246999999</v>
      </c>
      <c r="W367" s="4"/>
      <c r="X367" s="4"/>
      <c r="Y367" s="4"/>
      <c r="Z367" s="4"/>
      <c r="AA367" s="4" t="s">
        <v>145</v>
      </c>
      <c r="AB367" s="3" t="str">
        <f>HYPERLINK("https://sitebase.nzcomms.co.nz/spm/spmcandidateview/AKL-007-191-A/","AKL-007-191-A")</f>
        <v>AKL-007-191-A</v>
      </c>
      <c r="AC367" s="4" t="b">
        <v>0</v>
      </c>
      <c r="AD367" s="4" t="b">
        <v>0</v>
      </c>
      <c r="AE367" s="4"/>
      <c r="AF367" s="4"/>
      <c r="AG367" s="4" t="b">
        <v>0</v>
      </c>
      <c r="AH367" s="4"/>
      <c r="AI367" s="5">
        <v>41719</v>
      </c>
      <c r="AJ367" s="5">
        <v>41719</v>
      </c>
      <c r="AK367" s="5">
        <v>41723</v>
      </c>
      <c r="AL367" s="5">
        <v>41723</v>
      </c>
      <c r="AM367" s="5">
        <v>41740</v>
      </c>
      <c r="AN367" s="5">
        <v>41760</v>
      </c>
      <c r="AO367" s="4">
        <v>3</v>
      </c>
      <c r="AP367" s="5">
        <v>41750</v>
      </c>
      <c r="AQ367" s="5">
        <v>41808</v>
      </c>
      <c r="AR367" s="5">
        <v>41838</v>
      </c>
      <c r="AS367" s="5">
        <v>41900</v>
      </c>
      <c r="AT367" s="5">
        <v>41908</v>
      </c>
      <c r="AU367" s="5">
        <v>41925</v>
      </c>
      <c r="AV367" s="4"/>
      <c r="AW367" s="5">
        <v>41915</v>
      </c>
      <c r="AX367" s="5">
        <v>41925</v>
      </c>
      <c r="AY367" s="4" t="s">
        <v>183</v>
      </c>
      <c r="AZ367" s="5">
        <v>41813</v>
      </c>
      <c r="BA367" s="5">
        <v>41813</v>
      </c>
      <c r="BB367" s="5">
        <v>41843</v>
      </c>
      <c r="BC367" s="5">
        <v>41841</v>
      </c>
      <c r="BD367" s="4">
        <v>3</v>
      </c>
      <c r="BE367" s="5">
        <v>41850</v>
      </c>
      <c r="BF367" s="5">
        <v>41841</v>
      </c>
      <c r="BG367" s="5">
        <v>41793</v>
      </c>
      <c r="BH367" s="5">
        <v>41793</v>
      </c>
      <c r="BI367" s="5">
        <v>41845</v>
      </c>
      <c r="BJ367" s="5">
        <v>41845</v>
      </c>
      <c r="BK367" s="4">
        <v>2</v>
      </c>
      <c r="BL367" s="4"/>
      <c r="BM367" s="5">
        <v>41851</v>
      </c>
      <c r="BN367" s="5">
        <v>41885</v>
      </c>
      <c r="BO367" s="4"/>
      <c r="BP367" s="4"/>
      <c r="BQ367" s="4"/>
      <c r="BR367" s="4"/>
      <c r="BS367" s="4"/>
      <c r="BT367" s="5">
        <v>41922</v>
      </c>
      <c r="BU367" s="5">
        <v>41920</v>
      </c>
      <c r="BV367" s="5">
        <v>41943</v>
      </c>
      <c r="BW367" s="5">
        <v>41942</v>
      </c>
      <c r="BX367" s="5">
        <v>41954</v>
      </c>
      <c r="BY367" s="5">
        <v>41971</v>
      </c>
      <c r="BZ367" s="5">
        <v>41967</v>
      </c>
      <c r="CA367" s="5">
        <v>41971</v>
      </c>
      <c r="CB367" s="5">
        <v>41967</v>
      </c>
      <c r="CC367" s="4"/>
      <c r="CD367" s="4"/>
      <c r="CE367" s="4"/>
      <c r="CF367" s="4"/>
      <c r="CG367" s="4"/>
      <c r="CH367" s="4"/>
      <c r="CI367" s="4"/>
      <c r="CJ367" s="5">
        <v>41985</v>
      </c>
      <c r="CK367" s="5">
        <v>41977</v>
      </c>
      <c r="CL367" s="4"/>
      <c r="CM367" s="4"/>
      <c r="CN367" s="4"/>
      <c r="CO367" s="4"/>
      <c r="CP367" s="4"/>
      <c r="CQ367" s="4"/>
      <c r="CR367" s="4"/>
      <c r="CS367" s="4"/>
      <c r="CT367" s="4"/>
      <c r="CU367" s="4"/>
      <c r="CV367" s="4"/>
      <c r="CW367" s="4"/>
      <c r="CX367" s="4"/>
      <c r="CY367" s="4"/>
      <c r="CZ367" s="4"/>
      <c r="DA367" s="5">
        <v>41978</v>
      </c>
      <c r="DB367" s="5">
        <v>41975</v>
      </c>
      <c r="DC367" s="5">
        <v>41813</v>
      </c>
      <c r="DD367" s="4" t="s">
        <v>586</v>
      </c>
      <c r="DE367" s="4"/>
      <c r="DF367" s="5">
        <v>41950</v>
      </c>
      <c r="DG367" s="5">
        <v>41950</v>
      </c>
      <c r="DH367" s="4" t="s">
        <v>174</v>
      </c>
      <c r="DI367" s="5">
        <v>41957</v>
      </c>
      <c r="DJ367" s="4" t="b">
        <v>0</v>
      </c>
      <c r="DK367" s="4"/>
      <c r="DL367" s="4">
        <v>2665918</v>
      </c>
      <c r="DM367" s="4">
        <v>6479281</v>
      </c>
      <c r="DN367" s="4" t="s">
        <v>1237</v>
      </c>
      <c r="DO367" s="4"/>
      <c r="DP367" s="4"/>
      <c r="DQ367" s="4" t="s">
        <v>148</v>
      </c>
      <c r="DR367" s="4"/>
      <c r="DS367" s="4"/>
      <c r="DT367" s="5">
        <v>41977</v>
      </c>
      <c r="DU367" s="4"/>
      <c r="DV367" s="4"/>
      <c r="DW367" s="4"/>
      <c r="DX367" s="4"/>
      <c r="DY367" s="4"/>
      <c r="DZ367" s="4"/>
      <c r="EA367" s="4"/>
      <c r="EB367" s="4"/>
      <c r="EC367" s="4"/>
      <c r="ED367" s="4"/>
      <c r="EE367" s="4"/>
      <c r="EF367" s="4"/>
      <c r="EG367" s="4"/>
      <c r="EH367" s="4"/>
      <c r="EI367" s="5">
        <v>41723</v>
      </c>
    </row>
    <row r="368" spans="1:139" hidden="1" x14ac:dyDescent="0.2">
      <c r="A368">
        <f>VLOOKUP(B368,Sheet1!$A$1:$B$18,2,FALSE)</f>
        <v>0</v>
      </c>
      <c r="B368" t="str">
        <f t="shared" si="5"/>
        <v>AKL</v>
      </c>
      <c r="C368" s="2">
        <v>367</v>
      </c>
      <c r="D368" s="3" t="str">
        <f>HYPERLINK("https://sitebase.nzcomms.co.nz/spm/spmnominalview/AKL-007-202/","AKL-007-202")</f>
        <v>AKL-007-202</v>
      </c>
      <c r="E368" s="4" t="s">
        <v>1238</v>
      </c>
      <c r="F368" s="3" t="str">
        <f>HYPERLINK("https://sitebase.nzcomms.co.nz/spm/spmcandidateview/AKL-007-202-A/","AKL-007-202-A")</f>
        <v>AKL-007-202-A</v>
      </c>
      <c r="G368" s="4" t="s">
        <v>1239</v>
      </c>
      <c r="H368" s="4" t="s">
        <v>745</v>
      </c>
      <c r="I368" s="4"/>
      <c r="J368" s="4" t="s">
        <v>317</v>
      </c>
      <c r="K368" s="4" t="s">
        <v>141</v>
      </c>
      <c r="L368" s="4" t="s">
        <v>1124</v>
      </c>
      <c r="M368" s="4" t="s">
        <v>324</v>
      </c>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5">
        <v>41584</v>
      </c>
      <c r="AO368" s="4">
        <v>1</v>
      </c>
      <c r="AP368" s="4"/>
      <c r="AQ368" s="5">
        <v>41584</v>
      </c>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5">
        <v>41621</v>
      </c>
      <c r="CL368" s="4"/>
      <c r="CM368" s="5">
        <v>41621</v>
      </c>
      <c r="CN368" s="4"/>
      <c r="CO368" s="4"/>
      <c r="CP368" s="4" t="s">
        <v>1240</v>
      </c>
      <c r="CQ368" s="4"/>
      <c r="CR368" s="4"/>
      <c r="CS368" s="4"/>
      <c r="CT368" s="4"/>
      <c r="CU368" s="4"/>
      <c r="CV368" s="4"/>
      <c r="CW368" s="4"/>
      <c r="CX368" s="4"/>
      <c r="CY368" s="4"/>
      <c r="CZ368" s="4"/>
      <c r="DA368" s="4"/>
      <c r="DB368" s="4"/>
      <c r="DC368" s="4"/>
      <c r="DD368" s="4"/>
      <c r="DE368" s="4"/>
      <c r="DF368" s="4"/>
      <c r="DG368" s="4"/>
      <c r="DH368" s="4"/>
      <c r="DI368" s="4"/>
      <c r="DJ368" s="4" t="b">
        <v>0</v>
      </c>
      <c r="DK368" s="4"/>
      <c r="DL368" s="4"/>
      <c r="DM368" s="4"/>
      <c r="DN368" s="4" t="s">
        <v>1241</v>
      </c>
      <c r="DO368" s="4"/>
      <c r="DP368" s="4"/>
      <c r="DQ368" s="4" t="s">
        <v>328</v>
      </c>
      <c r="DR368" s="4"/>
      <c r="DS368" s="4"/>
      <c r="DT368" s="4"/>
      <c r="DU368" s="4"/>
      <c r="DV368" s="4"/>
      <c r="DW368" s="4"/>
      <c r="DX368" s="4"/>
      <c r="DY368" s="4"/>
      <c r="DZ368" s="4"/>
      <c r="EA368" s="4"/>
      <c r="EB368" s="4"/>
      <c r="EC368" s="4"/>
      <c r="ED368" s="4"/>
      <c r="EE368" s="4"/>
      <c r="EF368" s="4"/>
      <c r="EG368" s="4"/>
      <c r="EH368" s="4"/>
      <c r="EI368" s="4"/>
    </row>
    <row r="369" spans="1:139" hidden="1" x14ac:dyDescent="0.2">
      <c r="A369">
        <f>VLOOKUP(B369,Sheet1!$A$1:$B$18,2,FALSE)</f>
        <v>0</v>
      </c>
      <c r="B369" t="str">
        <f t="shared" si="5"/>
        <v>AKL</v>
      </c>
      <c r="C369" s="2">
        <v>368</v>
      </c>
      <c r="D369" s="3" t="str">
        <f>HYPERLINK("https://sitebase.nzcomms.co.nz/spm/spmnominalview/AKL-007-203/","AKL-007-203")</f>
        <v>AKL-007-203</v>
      </c>
      <c r="E369" s="4" t="s">
        <v>1242</v>
      </c>
      <c r="F369" s="4"/>
      <c r="G369" s="4"/>
      <c r="H369" s="4" t="s">
        <v>745</v>
      </c>
      <c r="I369" s="4"/>
      <c r="J369" s="4" t="s">
        <v>196</v>
      </c>
      <c r="K369" s="4"/>
      <c r="L369" s="4"/>
      <c r="M369" s="4"/>
      <c r="N369" s="4"/>
      <c r="O369" s="4"/>
      <c r="P369" s="4"/>
      <c r="Q369" s="4"/>
      <c r="R369" s="4"/>
      <c r="S369" s="4"/>
      <c r="T369" s="4"/>
      <c r="U369" s="4"/>
      <c r="V369" s="4"/>
      <c r="W369" s="4"/>
      <c r="X369" s="4"/>
      <c r="Y369" s="4"/>
      <c r="Z369" s="4"/>
      <c r="AA369" s="4"/>
      <c r="AB369" s="4"/>
      <c r="AC369" s="4"/>
      <c r="AD369" s="4"/>
      <c r="AE369" s="4"/>
      <c r="AF369" s="4"/>
      <c r="AG369" s="4" t="b">
        <v>0</v>
      </c>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t="s">
        <v>581</v>
      </c>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row>
    <row r="370" spans="1:139" hidden="1" x14ac:dyDescent="0.2">
      <c r="A370">
        <f>VLOOKUP(B370,Sheet1!$A$1:$B$18,2,FALSE)</f>
        <v>0</v>
      </c>
      <c r="B370" t="str">
        <f t="shared" si="5"/>
        <v>AKL</v>
      </c>
      <c r="C370" s="2">
        <v>369</v>
      </c>
      <c r="D370" s="3" t="str">
        <f>HYPERLINK("https://sitebase.nzcomms.co.nz/spm/spmnominalview/AKL-007-204/","AKL-007-204")</f>
        <v>AKL-007-204</v>
      </c>
      <c r="E370" s="4" t="s">
        <v>1243</v>
      </c>
      <c r="F370" s="3" t="str">
        <f>HYPERLINK("https://sitebase.nzcomms.co.nz/spm/spmcandidateview/AKL-007-204-C/","AKL-007-204-C")</f>
        <v>AKL-007-204-C</v>
      </c>
      <c r="G370" s="4" t="s">
        <v>1244</v>
      </c>
      <c r="H370" s="4" t="s">
        <v>745</v>
      </c>
      <c r="I370" s="4">
        <v>23</v>
      </c>
      <c r="J370" s="4" t="s">
        <v>570</v>
      </c>
      <c r="K370" s="4" t="s">
        <v>141</v>
      </c>
      <c r="L370" s="4" t="s">
        <v>181</v>
      </c>
      <c r="M370" s="4" t="s">
        <v>1193</v>
      </c>
      <c r="N370" s="4" t="s">
        <v>364</v>
      </c>
      <c r="O370" s="4"/>
      <c r="P370" s="4" t="s">
        <v>169</v>
      </c>
      <c r="Q370" s="4" t="s">
        <v>170</v>
      </c>
      <c r="R370" s="4"/>
      <c r="S370" s="4"/>
      <c r="T370" s="4"/>
      <c r="U370" s="4">
        <v>-36.84644102</v>
      </c>
      <c r="V370" s="4">
        <v>174.77205380999999</v>
      </c>
      <c r="W370" s="4"/>
      <c r="X370" s="4"/>
      <c r="Y370" s="4"/>
      <c r="Z370" s="4"/>
      <c r="AA370" s="4" t="s">
        <v>145</v>
      </c>
      <c r="AB370" s="3" t="str">
        <f t="shared" ref="AB370:AB375" si="6">HYPERLINK("https://sitebase.nzcomms.co.nz/spm/spmcandidateview/AKL-007-185-A/","AKL-007-185-A")</f>
        <v>AKL-007-185-A</v>
      </c>
      <c r="AC370" s="4" t="b">
        <v>0</v>
      </c>
      <c r="AD370" s="4" t="b">
        <v>0</v>
      </c>
      <c r="AE370" s="4"/>
      <c r="AF370" s="4"/>
      <c r="AG370" s="4" t="b">
        <v>0</v>
      </c>
      <c r="AH370" s="4"/>
      <c r="AI370" s="5">
        <v>42030</v>
      </c>
      <c r="AJ370" s="5">
        <v>42039</v>
      </c>
      <c r="AK370" s="5">
        <v>42045</v>
      </c>
      <c r="AL370" s="5">
        <v>42044</v>
      </c>
      <c r="AM370" s="5">
        <v>42069</v>
      </c>
      <c r="AN370" s="5">
        <v>42065</v>
      </c>
      <c r="AO370" s="4">
        <v>1</v>
      </c>
      <c r="AP370" s="5">
        <v>42076</v>
      </c>
      <c r="AQ370" s="5">
        <v>42065</v>
      </c>
      <c r="AR370" s="5">
        <v>42146</v>
      </c>
      <c r="AS370" s="5">
        <v>42144</v>
      </c>
      <c r="AT370" s="5">
        <v>42171</v>
      </c>
      <c r="AU370" s="5">
        <v>42165</v>
      </c>
      <c r="AV370" s="4"/>
      <c r="AW370" s="5">
        <v>42178</v>
      </c>
      <c r="AX370" s="5">
        <v>42166</v>
      </c>
      <c r="AY370" s="4" t="s">
        <v>172</v>
      </c>
      <c r="AZ370" s="5">
        <v>42149</v>
      </c>
      <c r="BA370" s="5">
        <v>42144</v>
      </c>
      <c r="BB370" s="5">
        <v>42213</v>
      </c>
      <c r="BC370" s="5">
        <v>42174</v>
      </c>
      <c r="BD370" s="4">
        <v>1</v>
      </c>
      <c r="BE370" s="5">
        <v>42216</v>
      </c>
      <c r="BF370" s="5">
        <v>42177</v>
      </c>
      <c r="BG370" s="5">
        <v>42146</v>
      </c>
      <c r="BH370" s="5">
        <v>42144</v>
      </c>
      <c r="BI370" s="5">
        <v>42181</v>
      </c>
      <c r="BJ370" s="5">
        <v>42180</v>
      </c>
      <c r="BK370" s="4">
        <v>1</v>
      </c>
      <c r="BL370" s="4"/>
      <c r="BM370" s="5">
        <v>42181</v>
      </c>
      <c r="BN370" s="5">
        <v>42180</v>
      </c>
      <c r="BO370" s="4"/>
      <c r="BP370" s="4"/>
      <c r="BQ370" s="4"/>
      <c r="BR370" s="4"/>
      <c r="BS370" s="4"/>
      <c r="BT370" s="4"/>
      <c r="BU370" s="4"/>
      <c r="BV370" s="4"/>
      <c r="BW370" s="4"/>
      <c r="BX370" s="4"/>
      <c r="BY370" s="4"/>
      <c r="BZ370" s="4"/>
      <c r="CA370" s="5">
        <v>42466</v>
      </c>
      <c r="CB370" s="4"/>
      <c r="CC370" s="4"/>
      <c r="CD370" s="4"/>
      <c r="CE370" s="4"/>
      <c r="CF370" s="4"/>
      <c r="CG370" s="4"/>
      <c r="CH370" s="4"/>
      <c r="CI370" s="4"/>
      <c r="CJ370" s="4"/>
      <c r="CK370" s="4"/>
      <c r="CL370" s="4"/>
      <c r="CM370" s="4"/>
      <c r="CN370" s="4"/>
      <c r="CO370" s="4"/>
      <c r="CP370" s="4" t="s">
        <v>1245</v>
      </c>
      <c r="CQ370" s="4"/>
      <c r="CR370" s="4"/>
      <c r="CS370" s="4"/>
      <c r="CT370" s="4"/>
      <c r="CU370" s="4"/>
      <c r="CV370" s="4"/>
      <c r="CW370" s="4"/>
      <c r="CX370" s="4"/>
      <c r="CY370" s="4"/>
      <c r="CZ370" s="4"/>
      <c r="DA370" s="4"/>
      <c r="DB370" s="4"/>
      <c r="DC370" s="4"/>
      <c r="DD370" s="4"/>
      <c r="DE370" s="4"/>
      <c r="DF370" s="5">
        <v>42466</v>
      </c>
      <c r="DG370" s="4"/>
      <c r="DH370" s="4" t="s">
        <v>174</v>
      </c>
      <c r="DI370" s="4"/>
      <c r="DJ370" s="4" t="b">
        <v>0</v>
      </c>
      <c r="DK370" s="4"/>
      <c r="DL370" s="4">
        <v>2668430</v>
      </c>
      <c r="DM370" s="4">
        <v>6482393</v>
      </c>
      <c r="DN370" s="4" t="s">
        <v>1246</v>
      </c>
      <c r="DO370" s="4" t="s">
        <v>1247</v>
      </c>
      <c r="DP370" s="4"/>
      <c r="DQ370" s="4" t="s">
        <v>148</v>
      </c>
      <c r="DR370" s="4" t="s">
        <v>255</v>
      </c>
      <c r="DS370" s="4"/>
      <c r="DT370" s="4"/>
      <c r="DU370" s="4" t="s">
        <v>577</v>
      </c>
      <c r="DV370" s="4"/>
      <c r="DW370" s="4"/>
      <c r="DX370" s="4"/>
      <c r="DY370" s="4"/>
      <c r="DZ370" s="4"/>
      <c r="EA370" s="4"/>
      <c r="EB370" s="4"/>
      <c r="EC370" s="4"/>
      <c r="ED370" s="4"/>
      <c r="EE370" s="4"/>
      <c r="EF370" s="4"/>
      <c r="EG370" s="4"/>
      <c r="EH370" s="4"/>
      <c r="EI370" s="5">
        <v>42044</v>
      </c>
    </row>
    <row r="371" spans="1:139" hidden="1" x14ac:dyDescent="0.2">
      <c r="A371">
        <f>VLOOKUP(B371,Sheet1!$A$1:$B$18,2,FALSE)</f>
        <v>0</v>
      </c>
      <c r="B371" t="str">
        <f t="shared" si="5"/>
        <v>AKL</v>
      </c>
      <c r="C371" s="2">
        <v>370</v>
      </c>
      <c r="D371" s="3" t="str">
        <f>HYPERLINK("https://sitebase.nzcomms.co.nz/spm/spmnominalview/AKL-007-205/","AKL-007-205")</f>
        <v>AKL-007-205</v>
      </c>
      <c r="E371" s="4" t="s">
        <v>1248</v>
      </c>
      <c r="F371" s="3" t="str">
        <f>HYPERLINK("https://sitebase.nzcomms.co.nz/spm/spmcandidateview/AKL-007-205-B/","AKL-007-205-B")</f>
        <v>AKL-007-205-B</v>
      </c>
      <c r="G371" s="4" t="s">
        <v>1249</v>
      </c>
      <c r="H371" s="4" t="s">
        <v>745</v>
      </c>
      <c r="I371" s="4">
        <v>22</v>
      </c>
      <c r="J371" s="4" t="s">
        <v>584</v>
      </c>
      <c r="K371" s="4" t="s">
        <v>141</v>
      </c>
      <c r="L371" s="4" t="s">
        <v>189</v>
      </c>
      <c r="M371" s="4" t="s">
        <v>592</v>
      </c>
      <c r="N371" s="4" t="s">
        <v>346</v>
      </c>
      <c r="O371" s="4"/>
      <c r="P371" s="4"/>
      <c r="Q371" s="4"/>
      <c r="R371" s="4"/>
      <c r="S371" s="4"/>
      <c r="T371" s="4"/>
      <c r="U371" s="4">
        <v>-36.844780759999999</v>
      </c>
      <c r="V371" s="4">
        <v>174.76889374000001</v>
      </c>
      <c r="W371" s="4"/>
      <c r="X371" s="4"/>
      <c r="Y371" s="4"/>
      <c r="Z371" s="4"/>
      <c r="AA371" s="4" t="s">
        <v>145</v>
      </c>
      <c r="AB371" s="3" t="str">
        <f t="shared" si="6"/>
        <v>AKL-007-185-A</v>
      </c>
      <c r="AC371" s="4" t="b">
        <v>0</v>
      </c>
      <c r="AD371" s="4" t="b">
        <v>0</v>
      </c>
      <c r="AE371" s="4"/>
      <c r="AF371" s="4"/>
      <c r="AG371" s="4" t="b">
        <v>0</v>
      </c>
      <c r="AH371" s="4"/>
      <c r="AI371" s="5">
        <v>41813</v>
      </c>
      <c r="AJ371" s="5">
        <v>41813</v>
      </c>
      <c r="AK371" s="5">
        <v>41813</v>
      </c>
      <c r="AL371" s="5">
        <v>41813</v>
      </c>
      <c r="AM371" s="5">
        <v>41831</v>
      </c>
      <c r="AN371" s="5">
        <v>41838</v>
      </c>
      <c r="AO371" s="4">
        <v>2</v>
      </c>
      <c r="AP371" s="5">
        <v>41838</v>
      </c>
      <c r="AQ371" s="5">
        <v>41925</v>
      </c>
      <c r="AR371" s="5">
        <v>41971</v>
      </c>
      <c r="AS371" s="5">
        <v>41961</v>
      </c>
      <c r="AT371" s="5">
        <v>41977</v>
      </c>
      <c r="AU371" s="5">
        <v>41961</v>
      </c>
      <c r="AV371" s="4">
        <v>2</v>
      </c>
      <c r="AW371" s="5">
        <v>41977</v>
      </c>
      <c r="AX371" s="5">
        <v>41961</v>
      </c>
      <c r="AY371" s="4" t="s">
        <v>183</v>
      </c>
      <c r="AZ371" s="5">
        <v>41899</v>
      </c>
      <c r="BA371" s="5">
        <v>41899</v>
      </c>
      <c r="BB371" s="5">
        <v>41941</v>
      </c>
      <c r="BC371" s="5">
        <v>41920</v>
      </c>
      <c r="BD371" s="4">
        <v>1</v>
      </c>
      <c r="BE371" s="5">
        <v>41942</v>
      </c>
      <c r="BF371" s="5">
        <v>41920</v>
      </c>
      <c r="BG371" s="5">
        <v>41905</v>
      </c>
      <c r="BH371" s="5">
        <v>41905</v>
      </c>
      <c r="BI371" s="5">
        <v>41922</v>
      </c>
      <c r="BJ371" s="5">
        <v>41940</v>
      </c>
      <c r="BK371" s="4">
        <v>1</v>
      </c>
      <c r="BL371" s="4"/>
      <c r="BM371" s="4"/>
      <c r="BN371" s="5">
        <v>41940</v>
      </c>
      <c r="BO371" s="4"/>
      <c r="BP371" s="4"/>
      <c r="BQ371" s="4"/>
      <c r="BR371" s="4"/>
      <c r="BS371" s="4"/>
      <c r="BT371" s="5">
        <v>41974</v>
      </c>
      <c r="BU371" s="5">
        <v>41957</v>
      </c>
      <c r="BV371" s="5">
        <v>41981</v>
      </c>
      <c r="BW371" s="5">
        <v>41984</v>
      </c>
      <c r="BX371" s="5">
        <v>41984</v>
      </c>
      <c r="BY371" s="5">
        <v>41978</v>
      </c>
      <c r="BZ371" s="5">
        <v>41984</v>
      </c>
      <c r="CA371" s="5">
        <v>41988</v>
      </c>
      <c r="CB371" s="5">
        <v>41984</v>
      </c>
      <c r="CC371" s="4"/>
      <c r="CD371" s="4"/>
      <c r="CE371" s="4"/>
      <c r="CF371" s="4"/>
      <c r="CG371" s="4"/>
      <c r="CH371" s="4"/>
      <c r="CI371" s="4"/>
      <c r="CJ371" s="5">
        <v>42024</v>
      </c>
      <c r="CK371" s="5">
        <v>42024</v>
      </c>
      <c r="CL371" s="4"/>
      <c r="CM371" s="4"/>
      <c r="CN371" s="4"/>
      <c r="CO371" s="4"/>
      <c r="CP371" s="4" t="s">
        <v>1250</v>
      </c>
      <c r="CQ371" s="4"/>
      <c r="CR371" s="4"/>
      <c r="CS371" s="4"/>
      <c r="CT371" s="4"/>
      <c r="CU371" s="4"/>
      <c r="CV371" s="4"/>
      <c r="CW371" s="4"/>
      <c r="CX371" s="4"/>
      <c r="CY371" s="4"/>
      <c r="CZ371" s="4"/>
      <c r="DA371" s="5">
        <v>42020</v>
      </c>
      <c r="DB371" s="5">
        <v>42020</v>
      </c>
      <c r="DC371" s="5">
        <v>41899</v>
      </c>
      <c r="DD371" s="4" t="s">
        <v>586</v>
      </c>
      <c r="DE371" s="4"/>
      <c r="DF371" s="5">
        <v>41988</v>
      </c>
      <c r="DG371" s="5">
        <v>41983</v>
      </c>
      <c r="DH371" s="4" t="s">
        <v>174</v>
      </c>
      <c r="DI371" s="5">
        <v>41981</v>
      </c>
      <c r="DJ371" s="4" t="b">
        <v>0</v>
      </c>
      <c r="DK371" s="4"/>
      <c r="DL371" s="4">
        <v>2668152</v>
      </c>
      <c r="DM371" s="4">
        <v>6482583</v>
      </c>
      <c r="DN371" s="4" t="s">
        <v>1251</v>
      </c>
      <c r="DO371" s="4" t="s">
        <v>1252</v>
      </c>
      <c r="DP371" s="4" t="s">
        <v>1253</v>
      </c>
      <c r="DQ371" s="4" t="s">
        <v>148</v>
      </c>
      <c r="DR371" s="4"/>
      <c r="DS371" s="4"/>
      <c r="DT371" s="4"/>
      <c r="DU371" s="4"/>
      <c r="DV371" s="4"/>
      <c r="DW371" s="4"/>
      <c r="DX371" s="4"/>
      <c r="DY371" s="4"/>
      <c r="DZ371" s="4"/>
      <c r="EA371" s="4"/>
      <c r="EB371" s="4"/>
      <c r="EC371" s="4"/>
      <c r="ED371" s="4"/>
      <c r="EE371" s="4"/>
      <c r="EF371" s="4"/>
      <c r="EG371" s="4"/>
      <c r="EH371" s="4"/>
      <c r="EI371" s="5">
        <v>41813</v>
      </c>
    </row>
    <row r="372" spans="1:139" hidden="1" x14ac:dyDescent="0.2">
      <c r="A372">
        <f>VLOOKUP(B372,Sheet1!$A$1:$B$18,2,FALSE)</f>
        <v>0</v>
      </c>
      <c r="B372" t="str">
        <f t="shared" si="5"/>
        <v>AKL</v>
      </c>
      <c r="C372" s="2">
        <v>371</v>
      </c>
      <c r="D372" s="3" t="str">
        <f>HYPERLINK("https://sitebase.nzcomms.co.nz/spm/spmnominalview/AKL-007-206/","AKL-007-206")</f>
        <v>AKL-007-206</v>
      </c>
      <c r="E372" s="4" t="s">
        <v>1254</v>
      </c>
      <c r="F372" s="3" t="str">
        <f>HYPERLINK("https://sitebase.nzcomms.co.nz/spm/spmcandidateview/AKL-007-206-B/","AKL-007-206-B")</f>
        <v>AKL-007-206-B</v>
      </c>
      <c r="G372" s="4" t="s">
        <v>1255</v>
      </c>
      <c r="H372" s="4" t="s">
        <v>745</v>
      </c>
      <c r="I372" s="4">
        <v>22</v>
      </c>
      <c r="J372" s="4" t="s">
        <v>1027</v>
      </c>
      <c r="K372" s="4" t="s">
        <v>141</v>
      </c>
      <c r="L372" s="4" t="s">
        <v>189</v>
      </c>
      <c r="M372" s="4" t="s">
        <v>592</v>
      </c>
      <c r="N372" s="4" t="s">
        <v>364</v>
      </c>
      <c r="O372" s="4"/>
      <c r="P372" s="4"/>
      <c r="Q372" s="4"/>
      <c r="R372" s="4"/>
      <c r="S372" s="4"/>
      <c r="T372" s="4"/>
      <c r="U372" s="4">
        <v>-36.845824069999999</v>
      </c>
      <c r="V372" s="4">
        <v>174.76629622999999</v>
      </c>
      <c r="W372" s="4"/>
      <c r="X372" s="4"/>
      <c r="Y372" s="4"/>
      <c r="Z372" s="4"/>
      <c r="AA372" s="4" t="s">
        <v>145</v>
      </c>
      <c r="AB372" s="3" t="str">
        <f t="shared" si="6"/>
        <v>AKL-007-185-A</v>
      </c>
      <c r="AC372" s="4" t="b">
        <v>0</v>
      </c>
      <c r="AD372" s="4" t="b">
        <v>0</v>
      </c>
      <c r="AE372" s="4"/>
      <c r="AF372" s="4"/>
      <c r="AG372" s="4" t="b">
        <v>0</v>
      </c>
      <c r="AH372" s="4"/>
      <c r="AI372" s="4"/>
      <c r="AJ372" s="5">
        <v>41887</v>
      </c>
      <c r="AK372" s="4"/>
      <c r="AL372" s="5">
        <v>41890</v>
      </c>
      <c r="AM372" s="5">
        <v>41900</v>
      </c>
      <c r="AN372" s="5">
        <v>41907</v>
      </c>
      <c r="AO372" s="4">
        <v>2</v>
      </c>
      <c r="AP372" s="5">
        <v>41908</v>
      </c>
      <c r="AQ372" s="5">
        <v>41954</v>
      </c>
      <c r="AR372" s="5">
        <v>42062</v>
      </c>
      <c r="AS372" s="5">
        <v>42060</v>
      </c>
      <c r="AT372" s="5">
        <v>42069</v>
      </c>
      <c r="AU372" s="5">
        <v>42060</v>
      </c>
      <c r="AV372" s="4"/>
      <c r="AW372" s="5">
        <v>42069</v>
      </c>
      <c r="AX372" s="5">
        <v>42060</v>
      </c>
      <c r="AY372" s="4" t="s">
        <v>203</v>
      </c>
      <c r="AZ372" s="5">
        <v>41957</v>
      </c>
      <c r="BA372" s="5">
        <v>41956</v>
      </c>
      <c r="BB372" s="5">
        <v>41985</v>
      </c>
      <c r="BC372" s="5">
        <v>41974</v>
      </c>
      <c r="BD372" s="4">
        <v>2</v>
      </c>
      <c r="BE372" s="5">
        <v>41985</v>
      </c>
      <c r="BF372" s="5">
        <v>41974</v>
      </c>
      <c r="BG372" s="5">
        <v>41912</v>
      </c>
      <c r="BH372" s="5">
        <v>41912</v>
      </c>
      <c r="BI372" s="5">
        <v>41950</v>
      </c>
      <c r="BJ372" s="5">
        <v>41954</v>
      </c>
      <c r="BK372" s="4">
        <v>1</v>
      </c>
      <c r="BL372" s="4"/>
      <c r="BM372" s="5">
        <v>41957</v>
      </c>
      <c r="BN372" s="5">
        <v>41954</v>
      </c>
      <c r="BO372" s="4"/>
      <c r="BP372" s="4"/>
      <c r="BQ372" s="4"/>
      <c r="BR372" s="4"/>
      <c r="BS372" s="4"/>
      <c r="BT372" s="5">
        <v>42110</v>
      </c>
      <c r="BU372" s="5">
        <v>42110</v>
      </c>
      <c r="BV372" s="5">
        <v>42110</v>
      </c>
      <c r="BW372" s="5">
        <v>42116</v>
      </c>
      <c r="BX372" s="5">
        <v>42110</v>
      </c>
      <c r="BY372" s="5">
        <v>42110</v>
      </c>
      <c r="BZ372" s="5">
        <v>42116</v>
      </c>
      <c r="CA372" s="5">
        <v>42110</v>
      </c>
      <c r="CB372" s="4"/>
      <c r="CC372" s="4"/>
      <c r="CD372" s="4"/>
      <c r="CE372" s="4"/>
      <c r="CF372" s="4"/>
      <c r="CG372" s="4"/>
      <c r="CH372" s="4"/>
      <c r="CI372" s="4"/>
      <c r="CJ372" s="5">
        <v>42125</v>
      </c>
      <c r="CK372" s="5">
        <v>42125</v>
      </c>
      <c r="CL372" s="4"/>
      <c r="CM372" s="4"/>
      <c r="CN372" s="4"/>
      <c r="CO372" s="4"/>
      <c r="CP372" s="4" t="s">
        <v>1256</v>
      </c>
      <c r="CQ372" s="4"/>
      <c r="CR372" s="4"/>
      <c r="CS372" s="4"/>
      <c r="CT372" s="4"/>
      <c r="CU372" s="4"/>
      <c r="CV372" s="4"/>
      <c r="CW372" s="4"/>
      <c r="CX372" s="4"/>
      <c r="CY372" s="4"/>
      <c r="CZ372" s="4"/>
      <c r="DA372" s="5">
        <v>42117</v>
      </c>
      <c r="DB372" s="5">
        <v>42117</v>
      </c>
      <c r="DC372" s="5">
        <v>41955</v>
      </c>
      <c r="DD372" s="4" t="s">
        <v>586</v>
      </c>
      <c r="DE372" s="4"/>
      <c r="DF372" s="5">
        <v>42062</v>
      </c>
      <c r="DG372" s="5">
        <v>42060</v>
      </c>
      <c r="DH372" s="4" t="s">
        <v>174</v>
      </c>
      <c r="DI372" s="5">
        <v>42110</v>
      </c>
      <c r="DJ372" s="4" t="b">
        <v>0</v>
      </c>
      <c r="DK372" s="4"/>
      <c r="DL372" s="4">
        <v>2667918</v>
      </c>
      <c r="DM372" s="4">
        <v>6482472</v>
      </c>
      <c r="DN372" s="4" t="s">
        <v>1257</v>
      </c>
      <c r="DO372" s="4" t="s">
        <v>1258</v>
      </c>
      <c r="DP372" s="4" t="s">
        <v>1259</v>
      </c>
      <c r="DQ372" s="4" t="s">
        <v>148</v>
      </c>
      <c r="DR372" s="4"/>
      <c r="DS372" s="4"/>
      <c r="DT372" s="4"/>
      <c r="DU372" s="4" t="s">
        <v>1030</v>
      </c>
      <c r="DV372" s="4"/>
      <c r="DW372" s="4"/>
      <c r="DX372" s="4"/>
      <c r="DY372" s="4"/>
      <c r="DZ372" s="4"/>
      <c r="EA372" s="4"/>
      <c r="EB372" s="4"/>
      <c r="EC372" s="4"/>
      <c r="ED372" s="4"/>
      <c r="EE372" s="4"/>
      <c r="EF372" s="4"/>
      <c r="EG372" s="4"/>
      <c r="EH372" s="4"/>
      <c r="EI372" s="5">
        <v>41890</v>
      </c>
    </row>
    <row r="373" spans="1:139" hidden="1" x14ac:dyDescent="0.2">
      <c r="A373">
        <f>VLOOKUP(B373,Sheet1!$A$1:$B$18,2,FALSE)</f>
        <v>0</v>
      </c>
      <c r="B373" t="str">
        <f t="shared" si="5"/>
        <v>AKL</v>
      </c>
      <c r="C373" s="2">
        <v>372</v>
      </c>
      <c r="D373" s="3" t="str">
        <f>HYPERLINK("https://sitebase.nzcomms.co.nz/spm/spmnominalview/AKL-007-207/","AKL-007-207")</f>
        <v>AKL-007-207</v>
      </c>
      <c r="E373" s="4" t="s">
        <v>1260</v>
      </c>
      <c r="F373" s="3" t="str">
        <f>HYPERLINK("https://sitebase.nzcomms.co.nz/spm/spmcandidateview/AKL-007-207-B/","AKL-007-207-B")</f>
        <v>AKL-007-207-B</v>
      </c>
      <c r="G373" s="4" t="s">
        <v>1261</v>
      </c>
      <c r="H373" s="4" t="s">
        <v>745</v>
      </c>
      <c r="I373" s="4">
        <v>22</v>
      </c>
      <c r="J373" s="4" t="s">
        <v>1027</v>
      </c>
      <c r="K373" s="4" t="s">
        <v>141</v>
      </c>
      <c r="L373" s="4" t="s">
        <v>189</v>
      </c>
      <c r="M373" s="4" t="s">
        <v>592</v>
      </c>
      <c r="N373" s="4" t="s">
        <v>364</v>
      </c>
      <c r="O373" s="4"/>
      <c r="P373" s="4"/>
      <c r="Q373" s="4"/>
      <c r="R373" s="4"/>
      <c r="S373" s="4"/>
      <c r="T373" s="4"/>
      <c r="U373" s="4">
        <v>-36.847421529999998</v>
      </c>
      <c r="V373" s="4">
        <v>174.76561928000001</v>
      </c>
      <c r="W373" s="4"/>
      <c r="X373" s="4"/>
      <c r="Y373" s="4"/>
      <c r="Z373" s="4"/>
      <c r="AA373" s="4" t="s">
        <v>145</v>
      </c>
      <c r="AB373" s="3" t="str">
        <f t="shared" si="6"/>
        <v>AKL-007-185-A</v>
      </c>
      <c r="AC373" s="4" t="b">
        <v>0</v>
      </c>
      <c r="AD373" s="4" t="b">
        <v>0</v>
      </c>
      <c r="AE373" s="4"/>
      <c r="AF373" s="4"/>
      <c r="AG373" s="4" t="b">
        <v>0</v>
      </c>
      <c r="AH373" s="4"/>
      <c r="AI373" s="5">
        <v>41884</v>
      </c>
      <c r="AJ373" s="5">
        <v>41884</v>
      </c>
      <c r="AK373" s="5">
        <v>41887</v>
      </c>
      <c r="AL373" s="5">
        <v>41886</v>
      </c>
      <c r="AM373" s="5">
        <v>41901</v>
      </c>
      <c r="AN373" s="5">
        <v>41897</v>
      </c>
      <c r="AO373" s="4">
        <v>2</v>
      </c>
      <c r="AP373" s="5">
        <v>41912</v>
      </c>
      <c r="AQ373" s="5">
        <v>41955</v>
      </c>
      <c r="AR373" s="5">
        <v>42062</v>
      </c>
      <c r="AS373" s="5">
        <v>42060</v>
      </c>
      <c r="AT373" s="5">
        <v>42069</v>
      </c>
      <c r="AU373" s="5">
        <v>42060</v>
      </c>
      <c r="AV373" s="4"/>
      <c r="AW373" s="5">
        <v>42076</v>
      </c>
      <c r="AX373" s="5">
        <v>42060</v>
      </c>
      <c r="AY373" s="4" t="s">
        <v>183</v>
      </c>
      <c r="AZ373" s="5">
        <v>41957</v>
      </c>
      <c r="BA373" s="5">
        <v>41942</v>
      </c>
      <c r="BB373" s="5">
        <v>41985</v>
      </c>
      <c r="BC373" s="5">
        <v>41968</v>
      </c>
      <c r="BD373" s="4">
        <v>2</v>
      </c>
      <c r="BE373" s="5">
        <v>41985</v>
      </c>
      <c r="BF373" s="5">
        <v>41968</v>
      </c>
      <c r="BG373" s="5">
        <v>41912</v>
      </c>
      <c r="BH373" s="5">
        <v>41912</v>
      </c>
      <c r="BI373" s="5">
        <v>41950</v>
      </c>
      <c r="BJ373" s="5">
        <v>41955</v>
      </c>
      <c r="BK373" s="4">
        <v>1</v>
      </c>
      <c r="BL373" s="4"/>
      <c r="BM373" s="5">
        <v>41957</v>
      </c>
      <c r="BN373" s="5">
        <v>41955</v>
      </c>
      <c r="BO373" s="4"/>
      <c r="BP373" s="4"/>
      <c r="BQ373" s="4"/>
      <c r="BR373" s="4"/>
      <c r="BS373" s="4"/>
      <c r="BT373" s="5">
        <v>42114</v>
      </c>
      <c r="BU373" s="5">
        <v>42114</v>
      </c>
      <c r="BV373" s="5">
        <v>42114</v>
      </c>
      <c r="BW373" s="5">
        <v>42114</v>
      </c>
      <c r="BX373" s="5">
        <v>42114</v>
      </c>
      <c r="BY373" s="5">
        <v>42114</v>
      </c>
      <c r="BZ373" s="5">
        <v>42114</v>
      </c>
      <c r="CA373" s="5">
        <v>42114</v>
      </c>
      <c r="CB373" s="5">
        <v>42114</v>
      </c>
      <c r="CC373" s="4"/>
      <c r="CD373" s="4"/>
      <c r="CE373" s="4"/>
      <c r="CF373" s="4"/>
      <c r="CG373" s="4"/>
      <c r="CH373" s="4"/>
      <c r="CI373" s="4"/>
      <c r="CJ373" s="5">
        <v>42125</v>
      </c>
      <c r="CK373" s="5">
        <v>42125</v>
      </c>
      <c r="CL373" s="4"/>
      <c r="CM373" s="4"/>
      <c r="CN373" s="4"/>
      <c r="CO373" s="4"/>
      <c r="CP373" s="4" t="s">
        <v>1262</v>
      </c>
      <c r="CQ373" s="4"/>
      <c r="CR373" s="4"/>
      <c r="CS373" s="4"/>
      <c r="CT373" s="4"/>
      <c r="CU373" s="4"/>
      <c r="CV373" s="4"/>
      <c r="CW373" s="4"/>
      <c r="CX373" s="4"/>
      <c r="CY373" s="4"/>
      <c r="CZ373" s="4"/>
      <c r="DA373" s="5">
        <v>42117</v>
      </c>
      <c r="DB373" s="5">
        <v>42117</v>
      </c>
      <c r="DC373" s="5">
        <v>41968</v>
      </c>
      <c r="DD373" s="4" t="s">
        <v>586</v>
      </c>
      <c r="DE373" s="4"/>
      <c r="DF373" s="5">
        <v>42062</v>
      </c>
      <c r="DG373" s="5">
        <v>42060</v>
      </c>
      <c r="DH373" s="4" t="s">
        <v>174</v>
      </c>
      <c r="DI373" s="5">
        <v>42114</v>
      </c>
      <c r="DJ373" s="4" t="b">
        <v>0</v>
      </c>
      <c r="DK373" s="4"/>
      <c r="DL373" s="4">
        <v>2667854</v>
      </c>
      <c r="DM373" s="4">
        <v>6482296</v>
      </c>
      <c r="DN373" s="4" t="s">
        <v>1263</v>
      </c>
      <c r="DO373" s="4" t="s">
        <v>1258</v>
      </c>
      <c r="DP373" s="4"/>
      <c r="DQ373" s="4" t="s">
        <v>148</v>
      </c>
      <c r="DR373" s="4"/>
      <c r="DS373" s="4"/>
      <c r="DT373" s="4"/>
      <c r="DU373" s="4" t="s">
        <v>1030</v>
      </c>
      <c r="DV373" s="4"/>
      <c r="DW373" s="4"/>
      <c r="DX373" s="4"/>
      <c r="DY373" s="4"/>
      <c r="DZ373" s="4"/>
      <c r="EA373" s="4"/>
      <c r="EB373" s="4"/>
      <c r="EC373" s="4"/>
      <c r="ED373" s="4"/>
      <c r="EE373" s="4"/>
      <c r="EF373" s="4"/>
      <c r="EG373" s="4"/>
      <c r="EH373" s="4"/>
      <c r="EI373" s="5">
        <v>41886</v>
      </c>
    </row>
    <row r="374" spans="1:139" hidden="1" x14ac:dyDescent="0.2">
      <c r="A374">
        <f>VLOOKUP(B374,Sheet1!$A$1:$B$18,2,FALSE)</f>
        <v>0</v>
      </c>
      <c r="B374" t="str">
        <f t="shared" si="5"/>
        <v>AKL</v>
      </c>
      <c r="C374" s="2">
        <v>373</v>
      </c>
      <c r="D374" s="3" t="str">
        <f>HYPERLINK("https://sitebase.nzcomms.co.nz/spm/spmnominalview/AKL-007-208/","AKL-007-208")</f>
        <v>AKL-007-208</v>
      </c>
      <c r="E374" s="4" t="s">
        <v>1264</v>
      </c>
      <c r="F374" s="3" t="str">
        <f>HYPERLINK("https://sitebase.nzcomms.co.nz/spm/spmcandidateview/AKL-007-208-B/","AKL-007-208-B")</f>
        <v>AKL-007-208-B</v>
      </c>
      <c r="G374" s="4" t="s">
        <v>1265</v>
      </c>
      <c r="H374" s="4" t="s">
        <v>745</v>
      </c>
      <c r="I374" s="4">
        <v>22</v>
      </c>
      <c r="J374" s="4" t="s">
        <v>1027</v>
      </c>
      <c r="K374" s="4" t="s">
        <v>141</v>
      </c>
      <c r="L374" s="4" t="s">
        <v>189</v>
      </c>
      <c r="M374" s="4" t="s">
        <v>592</v>
      </c>
      <c r="N374" s="4" t="s">
        <v>364</v>
      </c>
      <c r="O374" s="4"/>
      <c r="P374" s="4"/>
      <c r="Q374" s="4"/>
      <c r="R374" s="4"/>
      <c r="S374" s="4"/>
      <c r="T374" s="4"/>
      <c r="U374" s="4">
        <v>-36.849192709999997</v>
      </c>
      <c r="V374" s="4">
        <v>174.76533925000001</v>
      </c>
      <c r="W374" s="4"/>
      <c r="X374" s="4"/>
      <c r="Y374" s="4"/>
      <c r="Z374" s="4"/>
      <c r="AA374" s="4" t="s">
        <v>145</v>
      </c>
      <c r="AB374" s="3" t="str">
        <f t="shared" si="6"/>
        <v>AKL-007-185-A</v>
      </c>
      <c r="AC374" s="4" t="b">
        <v>0</v>
      </c>
      <c r="AD374" s="4" t="b">
        <v>0</v>
      </c>
      <c r="AE374" s="4"/>
      <c r="AF374" s="4"/>
      <c r="AG374" s="4" t="b">
        <v>0</v>
      </c>
      <c r="AH374" s="4"/>
      <c r="AI374" s="5">
        <v>41886</v>
      </c>
      <c r="AJ374" s="5">
        <v>41886</v>
      </c>
      <c r="AK374" s="5">
        <v>41886</v>
      </c>
      <c r="AL374" s="5">
        <v>41886</v>
      </c>
      <c r="AM374" s="5">
        <v>41898</v>
      </c>
      <c r="AN374" s="5">
        <v>41906</v>
      </c>
      <c r="AO374" s="4">
        <v>2</v>
      </c>
      <c r="AP374" s="5">
        <v>41908</v>
      </c>
      <c r="AQ374" s="5">
        <v>41954</v>
      </c>
      <c r="AR374" s="5">
        <v>42062</v>
      </c>
      <c r="AS374" s="5">
        <v>42060</v>
      </c>
      <c r="AT374" s="5">
        <v>42069</v>
      </c>
      <c r="AU374" s="5">
        <v>42060</v>
      </c>
      <c r="AV374" s="4"/>
      <c r="AW374" s="5">
        <v>42076</v>
      </c>
      <c r="AX374" s="5">
        <v>42060</v>
      </c>
      <c r="AY374" s="4" t="s">
        <v>183</v>
      </c>
      <c r="AZ374" s="5">
        <v>41957</v>
      </c>
      <c r="BA374" s="5">
        <v>41955</v>
      </c>
      <c r="BB374" s="5">
        <v>41985</v>
      </c>
      <c r="BC374" s="5">
        <v>41974</v>
      </c>
      <c r="BD374" s="4">
        <v>2</v>
      </c>
      <c r="BE374" s="5">
        <v>41985</v>
      </c>
      <c r="BF374" s="5">
        <v>41974</v>
      </c>
      <c r="BG374" s="5">
        <v>41912</v>
      </c>
      <c r="BH374" s="5">
        <v>41912</v>
      </c>
      <c r="BI374" s="5">
        <v>41950</v>
      </c>
      <c r="BJ374" s="5">
        <v>41954</v>
      </c>
      <c r="BK374" s="4">
        <v>1</v>
      </c>
      <c r="BL374" s="4"/>
      <c r="BM374" s="5">
        <v>41957</v>
      </c>
      <c r="BN374" s="5">
        <v>41954</v>
      </c>
      <c r="BO374" s="4"/>
      <c r="BP374" s="4"/>
      <c r="BQ374" s="4"/>
      <c r="BR374" s="4"/>
      <c r="BS374" s="4"/>
      <c r="BT374" s="5">
        <v>42111</v>
      </c>
      <c r="BU374" s="5">
        <v>42111</v>
      </c>
      <c r="BV374" s="5">
        <v>42111</v>
      </c>
      <c r="BW374" s="5">
        <v>42114</v>
      </c>
      <c r="BX374" s="5">
        <v>42111</v>
      </c>
      <c r="BY374" s="5">
        <v>42111</v>
      </c>
      <c r="BZ374" s="5">
        <v>42111</v>
      </c>
      <c r="CA374" s="5">
        <v>42111</v>
      </c>
      <c r="CB374" s="4"/>
      <c r="CC374" s="4"/>
      <c r="CD374" s="4"/>
      <c r="CE374" s="4"/>
      <c r="CF374" s="4"/>
      <c r="CG374" s="4"/>
      <c r="CH374" s="4"/>
      <c r="CI374" s="4"/>
      <c r="CJ374" s="5">
        <v>42118</v>
      </c>
      <c r="CK374" s="5">
        <v>42118</v>
      </c>
      <c r="CL374" s="4"/>
      <c r="CM374" s="4"/>
      <c r="CN374" s="4"/>
      <c r="CO374" s="4"/>
      <c r="CP374" s="4" t="s">
        <v>1266</v>
      </c>
      <c r="CQ374" s="4"/>
      <c r="CR374" s="4"/>
      <c r="CS374" s="4"/>
      <c r="CT374" s="4"/>
      <c r="CU374" s="4"/>
      <c r="CV374" s="4"/>
      <c r="CW374" s="4"/>
      <c r="CX374" s="4"/>
      <c r="CY374" s="4"/>
      <c r="CZ374" s="4"/>
      <c r="DA374" s="5">
        <v>42117</v>
      </c>
      <c r="DB374" s="5">
        <v>42116</v>
      </c>
      <c r="DC374" s="5">
        <v>41955</v>
      </c>
      <c r="DD374" s="4" t="s">
        <v>586</v>
      </c>
      <c r="DE374" s="4"/>
      <c r="DF374" s="5">
        <v>42062</v>
      </c>
      <c r="DG374" s="5">
        <v>42060</v>
      </c>
      <c r="DH374" s="4" t="s">
        <v>174</v>
      </c>
      <c r="DI374" s="5">
        <v>42111</v>
      </c>
      <c r="DJ374" s="4" t="b">
        <v>0</v>
      </c>
      <c r="DK374" s="4"/>
      <c r="DL374" s="4">
        <v>2667825</v>
      </c>
      <c r="DM374" s="4">
        <v>6482100</v>
      </c>
      <c r="DN374" s="4" t="s">
        <v>1267</v>
      </c>
      <c r="DO374" s="4" t="s">
        <v>1258</v>
      </c>
      <c r="DP374" s="4"/>
      <c r="DQ374" s="4" t="s">
        <v>148</v>
      </c>
      <c r="DR374" s="4"/>
      <c r="DS374" s="4"/>
      <c r="DT374" s="4"/>
      <c r="DU374" s="4" t="s">
        <v>1030</v>
      </c>
      <c r="DV374" s="4"/>
      <c r="DW374" s="4"/>
      <c r="DX374" s="4"/>
      <c r="DY374" s="4"/>
      <c r="DZ374" s="4"/>
      <c r="EA374" s="4"/>
      <c r="EB374" s="4"/>
      <c r="EC374" s="4"/>
      <c r="ED374" s="4"/>
      <c r="EE374" s="4"/>
      <c r="EF374" s="4"/>
      <c r="EG374" s="4"/>
      <c r="EH374" s="4"/>
      <c r="EI374" s="5">
        <v>41886</v>
      </c>
    </row>
    <row r="375" spans="1:139" hidden="1" x14ac:dyDescent="0.2">
      <c r="A375">
        <f>VLOOKUP(B375,Sheet1!$A$1:$B$18,2,FALSE)</f>
        <v>0</v>
      </c>
      <c r="B375" t="str">
        <f t="shared" si="5"/>
        <v>AKL</v>
      </c>
      <c r="C375" s="2">
        <v>374</v>
      </c>
      <c r="D375" s="3" t="str">
        <f>HYPERLINK("https://sitebase.nzcomms.co.nz/spm/spmnominalview/AKL-007-209/","AKL-007-209")</f>
        <v>AKL-007-209</v>
      </c>
      <c r="E375" s="4" t="s">
        <v>1268</v>
      </c>
      <c r="F375" s="3" t="str">
        <f>HYPERLINK("https://sitebase.nzcomms.co.nz/spm/spmcandidateview/AKL-007-209-B/","AKL-007-209-B")</f>
        <v>AKL-007-209-B</v>
      </c>
      <c r="G375" s="4" t="s">
        <v>1269</v>
      </c>
      <c r="H375" s="4" t="s">
        <v>745</v>
      </c>
      <c r="I375" s="4">
        <v>3</v>
      </c>
      <c r="J375" s="4" t="s">
        <v>584</v>
      </c>
      <c r="K375" s="4" t="s">
        <v>141</v>
      </c>
      <c r="L375" s="4" t="s">
        <v>325</v>
      </c>
      <c r="M375" s="4" t="s">
        <v>592</v>
      </c>
      <c r="N375" s="4" t="s">
        <v>181</v>
      </c>
      <c r="O375" s="4" t="s">
        <v>168</v>
      </c>
      <c r="P375" s="4"/>
      <c r="Q375" s="4" t="s">
        <v>192</v>
      </c>
      <c r="R375" s="4"/>
      <c r="S375" s="4"/>
      <c r="T375" s="4"/>
      <c r="U375" s="4">
        <v>-36.850739990000001</v>
      </c>
      <c r="V375" s="4">
        <v>174.76442545</v>
      </c>
      <c r="W375" s="4"/>
      <c r="X375" s="4"/>
      <c r="Y375" s="4"/>
      <c r="Z375" s="4"/>
      <c r="AA375" s="4" t="s">
        <v>145</v>
      </c>
      <c r="AB375" s="3" t="str">
        <f t="shared" si="6"/>
        <v>AKL-007-185-A</v>
      </c>
      <c r="AC375" s="4" t="b">
        <v>0</v>
      </c>
      <c r="AD375" s="4" t="b">
        <v>0</v>
      </c>
      <c r="AE375" s="4"/>
      <c r="AF375" s="4"/>
      <c r="AG375" s="4" t="b">
        <v>0</v>
      </c>
      <c r="AH375" s="4"/>
      <c r="AI375" s="5">
        <v>41781</v>
      </c>
      <c r="AJ375" s="5">
        <v>41781</v>
      </c>
      <c r="AK375" s="5">
        <v>41781</v>
      </c>
      <c r="AL375" s="5">
        <v>41781</v>
      </c>
      <c r="AM375" s="5">
        <v>41810</v>
      </c>
      <c r="AN375" s="5">
        <v>41806</v>
      </c>
      <c r="AO375" s="4">
        <v>1</v>
      </c>
      <c r="AP375" s="5">
        <v>41817</v>
      </c>
      <c r="AQ375" s="5">
        <v>41806</v>
      </c>
      <c r="AR375" s="4"/>
      <c r="AS375" s="5">
        <v>41809</v>
      </c>
      <c r="AT375" s="5">
        <v>41831</v>
      </c>
      <c r="AU375" s="5">
        <v>41823</v>
      </c>
      <c r="AV375" s="4"/>
      <c r="AW375" s="5">
        <v>41838</v>
      </c>
      <c r="AX375" s="5">
        <v>41823</v>
      </c>
      <c r="AY375" s="4" t="s">
        <v>172</v>
      </c>
      <c r="AZ375" s="5">
        <v>41838</v>
      </c>
      <c r="BA375" s="5">
        <v>41838</v>
      </c>
      <c r="BB375" s="5">
        <v>41880</v>
      </c>
      <c r="BC375" s="5">
        <v>41852</v>
      </c>
      <c r="BD375" s="4">
        <v>1</v>
      </c>
      <c r="BE375" s="5">
        <v>41887</v>
      </c>
      <c r="BF375" s="5">
        <v>41852</v>
      </c>
      <c r="BG375" s="5">
        <v>41809</v>
      </c>
      <c r="BH375" s="5">
        <v>41821</v>
      </c>
      <c r="BI375" s="4"/>
      <c r="BJ375" s="5">
        <v>41829</v>
      </c>
      <c r="BK375" s="4">
        <v>1</v>
      </c>
      <c r="BL375" s="4"/>
      <c r="BM375" s="5">
        <v>41829</v>
      </c>
      <c r="BN375" s="5">
        <v>41829</v>
      </c>
      <c r="BO375" s="4"/>
      <c r="BP375" s="4"/>
      <c r="BQ375" s="4"/>
      <c r="BR375" s="4"/>
      <c r="BS375" s="4"/>
      <c r="BT375" s="5">
        <v>41920</v>
      </c>
      <c r="BU375" s="5">
        <v>41920</v>
      </c>
      <c r="BV375" s="4"/>
      <c r="BW375" s="5">
        <v>41920</v>
      </c>
      <c r="BX375" s="5">
        <v>41920</v>
      </c>
      <c r="BY375" s="5">
        <v>41920</v>
      </c>
      <c r="BZ375" s="5">
        <v>41989</v>
      </c>
      <c r="CA375" s="5">
        <v>41946</v>
      </c>
      <c r="CB375" s="5">
        <v>41981</v>
      </c>
      <c r="CC375" s="4"/>
      <c r="CD375" s="4"/>
      <c r="CE375" s="4"/>
      <c r="CF375" s="4"/>
      <c r="CG375" s="4"/>
      <c r="CH375" s="4"/>
      <c r="CI375" s="4"/>
      <c r="CJ375" s="5">
        <v>41992</v>
      </c>
      <c r="CK375" s="5">
        <v>41992</v>
      </c>
      <c r="CL375" s="4"/>
      <c r="CM375" s="4"/>
      <c r="CN375" s="4"/>
      <c r="CO375" s="4"/>
      <c r="CP375" s="4" t="s">
        <v>1270</v>
      </c>
      <c r="CQ375" s="4"/>
      <c r="CR375" s="4"/>
      <c r="CS375" s="4"/>
      <c r="CT375" s="4"/>
      <c r="CU375" s="4"/>
      <c r="CV375" s="4"/>
      <c r="CW375" s="4"/>
      <c r="CX375" s="4"/>
      <c r="CY375" s="4"/>
      <c r="CZ375" s="4"/>
      <c r="DA375" s="5">
        <v>41991</v>
      </c>
      <c r="DB375" s="4"/>
      <c r="DC375" s="5">
        <v>41842</v>
      </c>
      <c r="DD375" s="4" t="s">
        <v>586</v>
      </c>
      <c r="DE375" s="4"/>
      <c r="DF375" s="5">
        <v>41939</v>
      </c>
      <c r="DG375" s="5">
        <v>41981</v>
      </c>
      <c r="DH375" s="4" t="s">
        <v>174</v>
      </c>
      <c r="DI375" s="5">
        <v>41920</v>
      </c>
      <c r="DJ375" s="4" t="b">
        <v>0</v>
      </c>
      <c r="DK375" s="4"/>
      <c r="DL375" s="4">
        <v>2667740</v>
      </c>
      <c r="DM375" s="4">
        <v>6481930</v>
      </c>
      <c r="DN375" s="4" t="s">
        <v>1271</v>
      </c>
      <c r="DO375" s="4"/>
      <c r="DP375" s="4" t="s">
        <v>1272</v>
      </c>
      <c r="DQ375" s="4" t="s">
        <v>148</v>
      </c>
      <c r="DR375" s="4"/>
      <c r="DS375" s="4"/>
      <c r="DT375" s="4"/>
      <c r="DU375" s="4"/>
      <c r="DV375" s="4"/>
      <c r="DW375" s="4"/>
      <c r="DX375" s="4"/>
      <c r="DY375" s="4"/>
      <c r="DZ375" s="4"/>
      <c r="EA375" s="4"/>
      <c r="EB375" s="4"/>
      <c r="EC375" s="4"/>
      <c r="ED375" s="4"/>
      <c r="EE375" s="4"/>
      <c r="EF375" s="4"/>
      <c r="EG375" s="4"/>
      <c r="EH375" s="4"/>
      <c r="EI375" s="5">
        <v>41781</v>
      </c>
    </row>
    <row r="376" spans="1:139" hidden="1" x14ac:dyDescent="0.2">
      <c r="A376">
        <f>VLOOKUP(B376,Sheet1!$A$1:$B$18,2,FALSE)</f>
        <v>0</v>
      </c>
      <c r="B376" t="str">
        <f t="shared" si="5"/>
        <v>AKL</v>
      </c>
      <c r="C376" s="2">
        <v>375</v>
      </c>
      <c r="D376" s="3" t="str">
        <f>HYPERLINK("https://sitebase.nzcomms.co.nz/spm/spmnominalview/AKL-007-210/","AKL-007-210")</f>
        <v>AKL-007-210</v>
      </c>
      <c r="E376" s="4" t="s">
        <v>1273</v>
      </c>
      <c r="F376" s="3" t="str">
        <f>HYPERLINK("https://sitebase.nzcomms.co.nz/spm/spmcandidateview/AKL-007-210-A/","AKL-007-210-A")</f>
        <v>AKL-007-210-A</v>
      </c>
      <c r="G376" s="4" t="s">
        <v>1274</v>
      </c>
      <c r="H376" s="4" t="s">
        <v>745</v>
      </c>
      <c r="I376" s="4">
        <v>12</v>
      </c>
      <c r="J376" s="4" t="s">
        <v>584</v>
      </c>
      <c r="K376" s="4" t="s">
        <v>141</v>
      </c>
      <c r="L376" s="4" t="s">
        <v>189</v>
      </c>
      <c r="M376" s="4" t="s">
        <v>592</v>
      </c>
      <c r="N376" s="4" t="s">
        <v>364</v>
      </c>
      <c r="O376" s="4" t="s">
        <v>168</v>
      </c>
      <c r="P376" s="4"/>
      <c r="Q376" s="4"/>
      <c r="R376" s="4">
        <v>10</v>
      </c>
      <c r="S376" s="4"/>
      <c r="T376" s="4"/>
      <c r="U376" s="4">
        <v>-36.783567769999998</v>
      </c>
      <c r="V376" s="4">
        <v>175.0109732</v>
      </c>
      <c r="W376" s="4"/>
      <c r="X376" s="4"/>
      <c r="Y376" s="4"/>
      <c r="Z376" s="4"/>
      <c r="AA376" s="4" t="s">
        <v>145</v>
      </c>
      <c r="AB376" s="3" t="str">
        <f>HYPERLINK("https://sitebase.nzcomms.co.nz/spm/spmcandidateview/AKL-007-192-A/","AKL-007-192-A")</f>
        <v>AKL-007-192-A</v>
      </c>
      <c r="AC376" s="4" t="b">
        <v>0</v>
      </c>
      <c r="AD376" s="4" t="b">
        <v>0</v>
      </c>
      <c r="AE376" s="4"/>
      <c r="AF376" s="4"/>
      <c r="AG376" s="4" t="b">
        <v>0</v>
      </c>
      <c r="AH376" s="4"/>
      <c r="AI376" s="5">
        <v>41862</v>
      </c>
      <c r="AJ376" s="5">
        <v>41863</v>
      </c>
      <c r="AK376" s="5">
        <v>41863</v>
      </c>
      <c r="AL376" s="5">
        <v>41864</v>
      </c>
      <c r="AM376" s="5">
        <v>41878</v>
      </c>
      <c r="AN376" s="5">
        <v>41879</v>
      </c>
      <c r="AO376" s="4">
        <v>3</v>
      </c>
      <c r="AP376" s="5">
        <v>41887</v>
      </c>
      <c r="AQ376" s="5">
        <v>41928</v>
      </c>
      <c r="AR376" s="5">
        <v>41943</v>
      </c>
      <c r="AS376" s="5">
        <v>41941</v>
      </c>
      <c r="AT376" s="5">
        <v>41950</v>
      </c>
      <c r="AU376" s="5">
        <v>41961</v>
      </c>
      <c r="AV376" s="4">
        <v>3</v>
      </c>
      <c r="AW376" s="5">
        <v>41957</v>
      </c>
      <c r="AX376" s="5">
        <v>41961</v>
      </c>
      <c r="AY376" s="4" t="s">
        <v>183</v>
      </c>
      <c r="AZ376" s="5">
        <v>41891</v>
      </c>
      <c r="BA376" s="5">
        <v>41890</v>
      </c>
      <c r="BB376" s="5">
        <v>41950</v>
      </c>
      <c r="BC376" s="5">
        <v>41941</v>
      </c>
      <c r="BD376" s="4">
        <v>3</v>
      </c>
      <c r="BE376" s="5">
        <v>41957</v>
      </c>
      <c r="BF376" s="5">
        <v>41941</v>
      </c>
      <c r="BG376" s="5">
        <v>41933</v>
      </c>
      <c r="BH376" s="5">
        <v>41912</v>
      </c>
      <c r="BI376" s="5">
        <v>41936</v>
      </c>
      <c r="BJ376" s="5">
        <v>41936</v>
      </c>
      <c r="BK376" s="4">
        <v>1</v>
      </c>
      <c r="BL376" s="4"/>
      <c r="BM376" s="5">
        <v>41943</v>
      </c>
      <c r="BN376" s="5">
        <v>41936</v>
      </c>
      <c r="BO376" s="4"/>
      <c r="BP376" s="4"/>
      <c r="BQ376" s="4"/>
      <c r="BR376" s="4"/>
      <c r="BS376" s="4"/>
      <c r="BT376" s="5">
        <v>41967</v>
      </c>
      <c r="BU376" s="5">
        <v>41957</v>
      </c>
      <c r="BV376" s="5">
        <v>41991</v>
      </c>
      <c r="BW376" s="5">
        <v>41989</v>
      </c>
      <c r="BX376" s="5">
        <v>41975</v>
      </c>
      <c r="BY376" s="5">
        <v>41991</v>
      </c>
      <c r="BZ376" s="5">
        <v>41989</v>
      </c>
      <c r="CA376" s="5">
        <v>42053</v>
      </c>
      <c r="CB376" s="5">
        <v>41989</v>
      </c>
      <c r="CC376" s="4"/>
      <c r="CD376" s="4"/>
      <c r="CE376" s="4"/>
      <c r="CF376" s="4"/>
      <c r="CG376" s="4"/>
      <c r="CH376" s="4"/>
      <c r="CI376" s="4"/>
      <c r="CJ376" s="5">
        <v>41992</v>
      </c>
      <c r="CK376" s="5">
        <v>41992</v>
      </c>
      <c r="CL376" s="4"/>
      <c r="CM376" s="4"/>
      <c r="CN376" s="4"/>
      <c r="CO376" s="4"/>
      <c r="CP376" s="4" t="s">
        <v>1275</v>
      </c>
      <c r="CQ376" s="4"/>
      <c r="CR376" s="4"/>
      <c r="CS376" s="4"/>
      <c r="CT376" s="4"/>
      <c r="CU376" s="4"/>
      <c r="CV376" s="4"/>
      <c r="CW376" s="4"/>
      <c r="CX376" s="4"/>
      <c r="CY376" s="4"/>
      <c r="CZ376" s="4"/>
      <c r="DA376" s="5">
        <v>41992</v>
      </c>
      <c r="DB376" s="5">
        <v>41992</v>
      </c>
      <c r="DC376" s="5">
        <v>41890</v>
      </c>
      <c r="DD376" s="4" t="s">
        <v>573</v>
      </c>
      <c r="DE376" s="4"/>
      <c r="DF376" s="5">
        <v>41985</v>
      </c>
      <c r="DG376" s="5">
        <v>41985</v>
      </c>
      <c r="DH376" s="4" t="s">
        <v>174</v>
      </c>
      <c r="DI376" s="5">
        <v>41975</v>
      </c>
      <c r="DJ376" s="4" t="b">
        <v>0</v>
      </c>
      <c r="DK376" s="4"/>
      <c r="DL376" s="4">
        <v>2689895</v>
      </c>
      <c r="DM376" s="4">
        <v>6488903</v>
      </c>
      <c r="DN376" s="4" t="s">
        <v>1276</v>
      </c>
      <c r="DO376" s="4" t="s">
        <v>1252</v>
      </c>
      <c r="DP376" s="4"/>
      <c r="DQ376" s="4" t="s">
        <v>148</v>
      </c>
      <c r="DR376" s="4"/>
      <c r="DS376" s="4"/>
      <c r="DT376" s="4"/>
      <c r="DU376" s="4"/>
      <c r="DV376" s="4"/>
      <c r="DW376" s="4"/>
      <c r="DX376" s="4"/>
      <c r="DY376" s="4"/>
      <c r="DZ376" s="4"/>
      <c r="EA376" s="4"/>
      <c r="EB376" s="4"/>
      <c r="EC376" s="4"/>
      <c r="ED376" s="4"/>
      <c r="EE376" s="4"/>
      <c r="EF376" s="4"/>
      <c r="EG376" s="4"/>
      <c r="EH376" s="4"/>
      <c r="EI376" s="5">
        <v>41864</v>
      </c>
    </row>
    <row r="377" spans="1:139" hidden="1" x14ac:dyDescent="0.2">
      <c r="A377">
        <f>VLOOKUP(B377,Sheet1!$A$1:$B$18,2,FALSE)</f>
        <v>0</v>
      </c>
      <c r="B377" t="str">
        <f t="shared" si="5"/>
        <v>AKL</v>
      </c>
      <c r="C377" s="2">
        <v>376</v>
      </c>
      <c r="D377" s="3" t="str">
        <f>HYPERLINK("https://sitebase.nzcomms.co.nz/spm/spmnominalview/AKL-007-211/","AKL-007-211")</f>
        <v>AKL-007-211</v>
      </c>
      <c r="E377" s="4" t="s">
        <v>1277</v>
      </c>
      <c r="F377" s="3" t="str">
        <f>HYPERLINK("https://sitebase.nzcomms.co.nz/spm/spmcandidateview/AKL-007-211-A/","AKL-007-211-A")</f>
        <v>AKL-007-211-A</v>
      </c>
      <c r="G377" s="4" t="s">
        <v>1277</v>
      </c>
      <c r="H377" s="4" t="s">
        <v>745</v>
      </c>
      <c r="I377" s="4">
        <v>12</v>
      </c>
      <c r="J377" s="4" t="s">
        <v>584</v>
      </c>
      <c r="K377" s="4" t="s">
        <v>141</v>
      </c>
      <c r="L377" s="4" t="s">
        <v>189</v>
      </c>
      <c r="M377" s="4" t="s">
        <v>592</v>
      </c>
      <c r="N377" s="4" t="s">
        <v>364</v>
      </c>
      <c r="O377" s="4" t="s">
        <v>168</v>
      </c>
      <c r="P377" s="4"/>
      <c r="Q377" s="4"/>
      <c r="R377" s="4">
        <v>10</v>
      </c>
      <c r="S377" s="4">
        <v>12.3</v>
      </c>
      <c r="T377" s="4"/>
      <c r="U377" s="4">
        <v>-36.878147720000001</v>
      </c>
      <c r="V377" s="4">
        <v>174.76119801999999</v>
      </c>
      <c r="W377" s="4"/>
      <c r="X377" s="4"/>
      <c r="Y377" s="4"/>
      <c r="Z377" s="4"/>
      <c r="AA377" s="4" t="s">
        <v>145</v>
      </c>
      <c r="AB377" s="3" t="str">
        <f>HYPERLINK("https://sitebase.nzcomms.co.nz/spm/spmcandidateview/AKL-007-191-A/","AKL-007-191-A")</f>
        <v>AKL-007-191-A</v>
      </c>
      <c r="AC377" s="4" t="b">
        <v>0</v>
      </c>
      <c r="AD377" s="4" t="b">
        <v>0</v>
      </c>
      <c r="AE377" s="4"/>
      <c r="AF377" s="4"/>
      <c r="AG377" s="4" t="b">
        <v>0</v>
      </c>
      <c r="AH377" s="4"/>
      <c r="AI377" s="5">
        <v>41877</v>
      </c>
      <c r="AJ377" s="5">
        <v>41877</v>
      </c>
      <c r="AK377" s="5">
        <v>41879</v>
      </c>
      <c r="AL377" s="5">
        <v>41877</v>
      </c>
      <c r="AM377" s="5">
        <v>41893</v>
      </c>
      <c r="AN377" s="5">
        <v>41886</v>
      </c>
      <c r="AO377" s="4">
        <v>2</v>
      </c>
      <c r="AP377" s="5">
        <v>41900</v>
      </c>
      <c r="AQ377" s="5">
        <v>41927</v>
      </c>
      <c r="AR377" s="5">
        <v>41943</v>
      </c>
      <c r="AS377" s="5">
        <v>41941</v>
      </c>
      <c r="AT377" s="5">
        <v>41950</v>
      </c>
      <c r="AU377" s="5">
        <v>41961</v>
      </c>
      <c r="AV377" s="4">
        <v>2</v>
      </c>
      <c r="AW377" s="5">
        <v>41957</v>
      </c>
      <c r="AX377" s="5">
        <v>41961</v>
      </c>
      <c r="AY377" s="4" t="s">
        <v>183</v>
      </c>
      <c r="AZ377" s="5">
        <v>41897</v>
      </c>
      <c r="BA377" s="5">
        <v>41892</v>
      </c>
      <c r="BB377" s="5">
        <v>41950</v>
      </c>
      <c r="BC377" s="5">
        <v>41950</v>
      </c>
      <c r="BD377" s="4">
        <v>2</v>
      </c>
      <c r="BE377" s="5">
        <v>41957</v>
      </c>
      <c r="BF377" s="5">
        <v>41950</v>
      </c>
      <c r="BG377" s="5">
        <v>41932</v>
      </c>
      <c r="BH377" s="5">
        <v>41912</v>
      </c>
      <c r="BI377" s="5">
        <v>41936</v>
      </c>
      <c r="BJ377" s="5">
        <v>41936</v>
      </c>
      <c r="BK377" s="4">
        <v>1</v>
      </c>
      <c r="BL377" s="4"/>
      <c r="BM377" s="5">
        <v>41943</v>
      </c>
      <c r="BN377" s="5">
        <v>41936</v>
      </c>
      <c r="BO377" s="4"/>
      <c r="BP377" s="4"/>
      <c r="BQ377" s="4"/>
      <c r="BR377" s="4"/>
      <c r="BS377" s="4"/>
      <c r="BT377" s="5">
        <v>41967</v>
      </c>
      <c r="BU377" s="5">
        <v>41957</v>
      </c>
      <c r="BV377" s="5">
        <v>41989</v>
      </c>
      <c r="BW377" s="5">
        <v>41981</v>
      </c>
      <c r="BX377" s="5">
        <v>41975</v>
      </c>
      <c r="BY377" s="5">
        <v>41989</v>
      </c>
      <c r="BZ377" s="5">
        <v>41981</v>
      </c>
      <c r="CA377" s="5">
        <v>41989</v>
      </c>
      <c r="CB377" s="5">
        <v>41981</v>
      </c>
      <c r="CC377" s="4"/>
      <c r="CD377" s="4"/>
      <c r="CE377" s="4"/>
      <c r="CF377" s="4"/>
      <c r="CG377" s="4"/>
      <c r="CH377" s="4"/>
      <c r="CI377" s="4"/>
      <c r="CJ377" s="5">
        <v>41992</v>
      </c>
      <c r="CK377" s="5">
        <v>41990</v>
      </c>
      <c r="CL377" s="4"/>
      <c r="CM377" s="4"/>
      <c r="CN377" s="4"/>
      <c r="CO377" s="4"/>
      <c r="CP377" s="4" t="s">
        <v>1278</v>
      </c>
      <c r="CQ377" s="4"/>
      <c r="CR377" s="4"/>
      <c r="CS377" s="4"/>
      <c r="CT377" s="4"/>
      <c r="CU377" s="4"/>
      <c r="CV377" s="4"/>
      <c r="CW377" s="4"/>
      <c r="CX377" s="4"/>
      <c r="CY377" s="4"/>
      <c r="CZ377" s="4"/>
      <c r="DA377" s="5">
        <v>41989</v>
      </c>
      <c r="DB377" s="5">
        <v>41989</v>
      </c>
      <c r="DC377" s="5">
        <v>41892</v>
      </c>
      <c r="DD377" s="4" t="s">
        <v>586</v>
      </c>
      <c r="DE377" s="4" t="s">
        <v>581</v>
      </c>
      <c r="DF377" s="5">
        <v>41978</v>
      </c>
      <c r="DG377" s="5">
        <v>41974</v>
      </c>
      <c r="DH377" s="4" t="s">
        <v>174</v>
      </c>
      <c r="DI377" s="5">
        <v>41971</v>
      </c>
      <c r="DJ377" s="4" t="b">
        <v>0</v>
      </c>
      <c r="DK377" s="4"/>
      <c r="DL377" s="4">
        <v>2667390</v>
      </c>
      <c r="DM377" s="4">
        <v>6478895</v>
      </c>
      <c r="DN377" s="4" t="s">
        <v>1279</v>
      </c>
      <c r="DO377" s="4" t="s">
        <v>1280</v>
      </c>
      <c r="DP377" s="4"/>
      <c r="DQ377" s="4" t="s">
        <v>148</v>
      </c>
      <c r="DR377" s="4"/>
      <c r="DS377" s="4"/>
      <c r="DT377" s="4"/>
      <c r="DU377" s="4"/>
      <c r="DV377" s="4"/>
      <c r="DW377" s="4"/>
      <c r="DX377" s="4"/>
      <c r="DY377" s="4"/>
      <c r="DZ377" s="4"/>
      <c r="EA377" s="4"/>
      <c r="EB377" s="4"/>
      <c r="EC377" s="4"/>
      <c r="ED377" s="4"/>
      <c r="EE377" s="4"/>
      <c r="EF377" s="4"/>
      <c r="EG377" s="4"/>
      <c r="EH377" s="4"/>
      <c r="EI377" s="5">
        <v>41877</v>
      </c>
    </row>
    <row r="378" spans="1:139" hidden="1" x14ac:dyDescent="0.2">
      <c r="A378">
        <f>VLOOKUP(B378,Sheet1!$A$1:$B$18,2,FALSE)</f>
        <v>0</v>
      </c>
      <c r="B378" t="str">
        <f t="shared" si="5"/>
        <v>AKL</v>
      </c>
      <c r="C378" s="2">
        <v>377</v>
      </c>
      <c r="D378" s="3" t="str">
        <f>HYPERLINK("https://sitebase.nzcomms.co.nz/spm/spmnominalview/AKL-007-212/","AKL-007-212")</f>
        <v>AKL-007-212</v>
      </c>
      <c r="E378" s="4" t="s">
        <v>1281</v>
      </c>
      <c r="F378" s="3" t="str">
        <f>HYPERLINK("https://sitebase.nzcomms.co.nz/spm/spmcandidateview/AKL-007-212-C/","AKL-007-212-C")</f>
        <v>AKL-007-212-C</v>
      </c>
      <c r="G378" s="4" t="s">
        <v>1282</v>
      </c>
      <c r="H378" s="4" t="s">
        <v>745</v>
      </c>
      <c r="I378" s="4">
        <v>22</v>
      </c>
      <c r="J378" s="4" t="s">
        <v>570</v>
      </c>
      <c r="K378" s="4" t="s">
        <v>141</v>
      </c>
      <c r="L378" s="4" t="s">
        <v>181</v>
      </c>
      <c r="M378" s="4" t="s">
        <v>1193</v>
      </c>
      <c r="N378" s="4" t="s">
        <v>181</v>
      </c>
      <c r="O378" s="4"/>
      <c r="P378" s="4" t="s">
        <v>169</v>
      </c>
      <c r="Q378" s="4" t="s">
        <v>170</v>
      </c>
      <c r="R378" s="4"/>
      <c r="S378" s="4"/>
      <c r="T378" s="4"/>
      <c r="U378" s="4">
        <v>-36.898661519999997</v>
      </c>
      <c r="V378" s="4">
        <v>174.80405099000001</v>
      </c>
      <c r="W378" s="4"/>
      <c r="X378" s="4"/>
      <c r="Y378" s="4"/>
      <c r="Z378" s="4"/>
      <c r="AA378" s="4" t="s">
        <v>145</v>
      </c>
      <c r="AB378" s="3" t="str">
        <f>HYPERLINK("https://sitebase.nzcomms.co.nz/spm/spmcandidateview/AKL-007-192-A/","AKL-007-192-A")</f>
        <v>AKL-007-192-A</v>
      </c>
      <c r="AC378" s="4" t="b">
        <v>0</v>
      </c>
      <c r="AD378" s="4" t="b">
        <v>0</v>
      </c>
      <c r="AE378" s="4"/>
      <c r="AF378" s="4"/>
      <c r="AG378" s="4" t="b">
        <v>0</v>
      </c>
      <c r="AH378" s="4"/>
      <c r="AI378" s="5">
        <v>41956</v>
      </c>
      <c r="AJ378" s="5">
        <v>41967</v>
      </c>
      <c r="AK378" s="5">
        <v>41968</v>
      </c>
      <c r="AL378" s="5">
        <v>41968</v>
      </c>
      <c r="AM378" s="5">
        <v>41992</v>
      </c>
      <c r="AN378" s="5">
        <v>41988</v>
      </c>
      <c r="AO378" s="4">
        <v>2</v>
      </c>
      <c r="AP378" s="5">
        <v>42020</v>
      </c>
      <c r="AQ378" s="5">
        <v>42052</v>
      </c>
      <c r="AR378" s="5">
        <v>42124</v>
      </c>
      <c r="AS378" s="5">
        <v>42164</v>
      </c>
      <c r="AT378" s="5">
        <v>42138</v>
      </c>
      <c r="AU378" s="5">
        <v>42167</v>
      </c>
      <c r="AV378" s="4"/>
      <c r="AW378" s="5">
        <v>42145</v>
      </c>
      <c r="AX378" s="5">
        <v>42188</v>
      </c>
      <c r="AY378" s="4" t="s">
        <v>172</v>
      </c>
      <c r="AZ378" s="5">
        <v>42124</v>
      </c>
      <c r="BA378" s="5">
        <v>42124</v>
      </c>
      <c r="BB378" s="5">
        <v>42153</v>
      </c>
      <c r="BC378" s="5">
        <v>42145</v>
      </c>
      <c r="BD378" s="4">
        <v>2</v>
      </c>
      <c r="BE378" s="5">
        <v>42163</v>
      </c>
      <c r="BF378" s="5">
        <v>42145</v>
      </c>
      <c r="BG378" s="5">
        <v>42124</v>
      </c>
      <c r="BH378" s="5">
        <v>42124</v>
      </c>
      <c r="BI378" s="5">
        <v>42338</v>
      </c>
      <c r="BJ378" s="4"/>
      <c r="BK378" s="4"/>
      <c r="BL378" s="4"/>
      <c r="BM378" s="5">
        <v>42338</v>
      </c>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t="s">
        <v>1283</v>
      </c>
      <c r="CQ378" s="4"/>
      <c r="CR378" s="4"/>
      <c r="CS378" s="4"/>
      <c r="CT378" s="4"/>
      <c r="CU378" s="4"/>
      <c r="CV378" s="4"/>
      <c r="CW378" s="4"/>
      <c r="CX378" s="4"/>
      <c r="CY378" s="4"/>
      <c r="CZ378" s="4"/>
      <c r="DA378" s="4"/>
      <c r="DB378" s="4"/>
      <c r="DC378" s="4"/>
      <c r="DD378" s="4"/>
      <c r="DE378" s="4"/>
      <c r="DF378" s="4"/>
      <c r="DG378" s="4"/>
      <c r="DH378" s="4" t="s">
        <v>174</v>
      </c>
      <c r="DI378" s="4"/>
      <c r="DJ378" s="4" t="b">
        <v>0</v>
      </c>
      <c r="DK378" s="4"/>
      <c r="DL378" s="4">
        <v>2671162</v>
      </c>
      <c r="DM378" s="4">
        <v>6476540</v>
      </c>
      <c r="DN378" s="4" t="s">
        <v>1284</v>
      </c>
      <c r="DO378" s="4"/>
      <c r="DP378" s="4"/>
      <c r="DQ378" s="4" t="s">
        <v>148</v>
      </c>
      <c r="DR378" s="4" t="s">
        <v>255</v>
      </c>
      <c r="DS378" s="4"/>
      <c r="DT378" s="4"/>
      <c r="DU378" s="4" t="s">
        <v>577</v>
      </c>
      <c r="DV378" s="4"/>
      <c r="DW378" s="4"/>
      <c r="DX378" s="4"/>
      <c r="DY378" s="4"/>
      <c r="DZ378" s="4"/>
      <c r="EA378" s="4"/>
      <c r="EB378" s="5">
        <v>42123</v>
      </c>
      <c r="EC378" s="4"/>
      <c r="ED378" s="5">
        <v>42089</v>
      </c>
      <c r="EE378" s="4"/>
      <c r="EF378" s="4"/>
      <c r="EG378" s="4"/>
      <c r="EH378" s="4"/>
      <c r="EI378" s="5">
        <v>41968</v>
      </c>
    </row>
    <row r="379" spans="1:139" hidden="1" x14ac:dyDescent="0.2">
      <c r="A379">
        <f>VLOOKUP(B379,Sheet1!$A$1:$B$18,2,FALSE)</f>
        <v>0</v>
      </c>
      <c r="B379" t="str">
        <f t="shared" si="5"/>
        <v>AKL</v>
      </c>
      <c r="C379" s="2">
        <v>378</v>
      </c>
      <c r="D379" s="3" t="str">
        <f>HYPERLINK("https://sitebase.nzcomms.co.nz/spm/spmnominalview/AKL-007-213/","AKL-007-213")</f>
        <v>AKL-007-213</v>
      </c>
      <c r="E379" s="4" t="s">
        <v>1285</v>
      </c>
      <c r="F379" s="3" t="str">
        <f>HYPERLINK("https://sitebase.nzcomms.co.nz/spm/spmcandidateview/AKL-007-213-B/","AKL-007-213-B")</f>
        <v>AKL-007-213-B</v>
      </c>
      <c r="G379" s="4" t="s">
        <v>1286</v>
      </c>
      <c r="H379" s="4" t="s">
        <v>745</v>
      </c>
      <c r="I379" s="4">
        <v>23</v>
      </c>
      <c r="J379" s="4" t="s">
        <v>570</v>
      </c>
      <c r="K379" s="4" t="s">
        <v>141</v>
      </c>
      <c r="L379" s="4"/>
      <c r="M379" s="4" t="s">
        <v>1193</v>
      </c>
      <c r="N379" s="4"/>
      <c r="O379" s="4"/>
      <c r="P379" s="4"/>
      <c r="Q379" s="4"/>
      <c r="R379" s="4"/>
      <c r="S379" s="4"/>
      <c r="T379" s="4"/>
      <c r="U379" s="4"/>
      <c r="V379" s="4"/>
      <c r="W379" s="4"/>
      <c r="X379" s="4"/>
      <c r="Y379" s="4"/>
      <c r="Z379" s="4"/>
      <c r="AA379" s="4"/>
      <c r="AB379" s="4"/>
      <c r="AC379" s="4" t="b">
        <v>0</v>
      </c>
      <c r="AD379" s="4" t="b">
        <v>0</v>
      </c>
      <c r="AE379" s="4"/>
      <c r="AF379" s="4"/>
      <c r="AG379" s="4" t="b">
        <v>0</v>
      </c>
      <c r="AH379" s="4"/>
      <c r="AI379" s="5">
        <v>42244</v>
      </c>
      <c r="AJ379" s="5">
        <v>42241</v>
      </c>
      <c r="AK379" s="5">
        <v>42247</v>
      </c>
      <c r="AL379" s="5">
        <v>42241</v>
      </c>
      <c r="AM379" s="5">
        <v>42286</v>
      </c>
      <c r="AN379" s="5">
        <v>42289</v>
      </c>
      <c r="AO379" s="4">
        <v>2</v>
      </c>
      <c r="AP379" s="5">
        <v>42286</v>
      </c>
      <c r="AQ379" s="5">
        <v>42382</v>
      </c>
      <c r="AR379" s="5">
        <v>42405</v>
      </c>
      <c r="AS379" s="5">
        <v>42409</v>
      </c>
      <c r="AT379" s="5">
        <v>42454</v>
      </c>
      <c r="AU379" s="4"/>
      <c r="AV379" s="4"/>
      <c r="AW379" s="5">
        <v>42454</v>
      </c>
      <c r="AX379" s="4"/>
      <c r="AY379" s="4" t="s">
        <v>172</v>
      </c>
      <c r="AZ379" s="5">
        <v>42394</v>
      </c>
      <c r="BA379" s="5">
        <v>42353</v>
      </c>
      <c r="BB379" s="5">
        <v>42426</v>
      </c>
      <c r="BC379" s="5">
        <v>42395</v>
      </c>
      <c r="BD379" s="4">
        <v>2</v>
      </c>
      <c r="BE379" s="5">
        <v>42426</v>
      </c>
      <c r="BF379" s="5">
        <v>42395</v>
      </c>
      <c r="BG379" s="5">
        <v>42359</v>
      </c>
      <c r="BH379" s="5">
        <v>42380</v>
      </c>
      <c r="BI379" s="5">
        <v>42419</v>
      </c>
      <c r="BJ379" s="4"/>
      <c r="BK379" s="4"/>
      <c r="BL379" s="4"/>
      <c r="BM379" s="5">
        <v>42419</v>
      </c>
      <c r="BN379" s="4"/>
      <c r="BO379" s="4"/>
      <c r="BP379" s="4"/>
      <c r="BQ379" s="4"/>
      <c r="BR379" s="4"/>
      <c r="BS379" s="4"/>
      <c r="BT379" s="5">
        <v>42464</v>
      </c>
      <c r="BU379" s="4"/>
      <c r="BV379" s="4"/>
      <c r="BW379" s="4"/>
      <c r="BX379" s="4"/>
      <c r="BY379" s="4"/>
      <c r="BZ379" s="4"/>
      <c r="CA379" s="4"/>
      <c r="CB379" s="4"/>
      <c r="CC379" s="4"/>
      <c r="CD379" s="4"/>
      <c r="CE379" s="4"/>
      <c r="CF379" s="4"/>
      <c r="CG379" s="4"/>
      <c r="CH379" s="4"/>
      <c r="CI379" s="4"/>
      <c r="CJ379" s="5">
        <v>42510</v>
      </c>
      <c r="CK379" s="4"/>
      <c r="CL379" s="4"/>
      <c r="CM379" s="4"/>
      <c r="CN379" s="4"/>
      <c r="CO379" s="4"/>
      <c r="CP379" s="4" t="s">
        <v>1287</v>
      </c>
      <c r="CQ379" s="4"/>
      <c r="CR379" s="4"/>
      <c r="CS379" s="4"/>
      <c r="CT379" s="4"/>
      <c r="CU379" s="4"/>
      <c r="CV379" s="4"/>
      <c r="CW379" s="4"/>
      <c r="CX379" s="4"/>
      <c r="CY379" s="4"/>
      <c r="CZ379" s="4"/>
      <c r="DA379" s="5">
        <v>42496</v>
      </c>
      <c r="DB379" s="4"/>
      <c r="DC379" s="4"/>
      <c r="DD379" s="4"/>
      <c r="DE379" s="4"/>
      <c r="DF379" s="4"/>
      <c r="DG379" s="4"/>
      <c r="DH379" s="4" t="s">
        <v>174</v>
      </c>
      <c r="DI379" s="4"/>
      <c r="DJ379" s="4" t="b">
        <v>0</v>
      </c>
      <c r="DK379" s="4"/>
      <c r="DL379" s="4"/>
      <c r="DM379" s="4"/>
      <c r="DN379" s="4" t="s">
        <v>1288</v>
      </c>
      <c r="DO379" s="4"/>
      <c r="DP379" s="4"/>
      <c r="DQ379" s="4" t="s">
        <v>148</v>
      </c>
      <c r="DR379" s="4" t="s">
        <v>255</v>
      </c>
      <c r="DS379" s="4"/>
      <c r="DT379" s="4"/>
      <c r="DU379" s="4" t="s">
        <v>1230</v>
      </c>
      <c r="DV379" s="4"/>
      <c r="DW379" s="4"/>
      <c r="DX379" s="4"/>
      <c r="DY379" s="5">
        <v>42443</v>
      </c>
      <c r="DZ379" s="4"/>
      <c r="EA379" s="4"/>
      <c r="EB379" s="4"/>
      <c r="EC379" s="4"/>
      <c r="ED379" s="4"/>
      <c r="EE379" s="5">
        <v>42454</v>
      </c>
      <c r="EF379" s="4"/>
      <c r="EG379" s="4"/>
      <c r="EH379" s="4"/>
      <c r="EI379" s="5">
        <v>42241</v>
      </c>
    </row>
    <row r="380" spans="1:139" hidden="1" x14ac:dyDescent="0.2">
      <c r="A380">
        <f>VLOOKUP(B380,Sheet1!$A$1:$B$18,2,FALSE)</f>
        <v>0</v>
      </c>
      <c r="B380" t="str">
        <f t="shared" si="5"/>
        <v>AKL</v>
      </c>
      <c r="C380" s="2">
        <v>379</v>
      </c>
      <c r="D380" s="3" t="str">
        <f>HYPERLINK("https://sitebase.nzcomms.co.nz/spm/spmnominalview/AKL-007-214/","AKL-007-214")</f>
        <v>AKL-007-214</v>
      </c>
      <c r="E380" s="4" t="s">
        <v>1289</v>
      </c>
      <c r="F380" s="3" t="str">
        <f>HYPERLINK("https://sitebase.nzcomms.co.nz/spm/spmcandidateview/AKL-007-214-A/","AKL-007-214-A")</f>
        <v>AKL-007-214-A</v>
      </c>
      <c r="G380" s="4" t="s">
        <v>1290</v>
      </c>
      <c r="H380" s="4" t="s">
        <v>745</v>
      </c>
      <c r="I380" s="4">
        <v>23</v>
      </c>
      <c r="J380" s="4" t="s">
        <v>570</v>
      </c>
      <c r="K380" s="4" t="s">
        <v>141</v>
      </c>
      <c r="L380" s="4" t="s">
        <v>181</v>
      </c>
      <c r="M380" s="4" t="s">
        <v>1193</v>
      </c>
      <c r="N380" s="4" t="s">
        <v>364</v>
      </c>
      <c r="O380" s="4"/>
      <c r="P380" s="4" t="s">
        <v>169</v>
      </c>
      <c r="Q380" s="4" t="s">
        <v>170</v>
      </c>
      <c r="R380" s="4"/>
      <c r="S380" s="4"/>
      <c r="T380" s="4"/>
      <c r="U380" s="4">
        <v>-36.844149510000001</v>
      </c>
      <c r="V380" s="4">
        <v>174.76290044999999</v>
      </c>
      <c r="W380" s="4"/>
      <c r="X380" s="4"/>
      <c r="Y380" s="4"/>
      <c r="Z380" s="4"/>
      <c r="AA380" s="4" t="s">
        <v>145</v>
      </c>
      <c r="AB380" s="3" t="str">
        <f>HYPERLINK("https://sitebase.nzcomms.co.nz/spm/spmcandidateview/AKL-007-185-A/","AKL-007-185-A")</f>
        <v>AKL-007-185-A</v>
      </c>
      <c r="AC380" s="4" t="b">
        <v>0</v>
      </c>
      <c r="AD380" s="4" t="b">
        <v>0</v>
      </c>
      <c r="AE380" s="4"/>
      <c r="AF380" s="4"/>
      <c r="AG380" s="4" t="b">
        <v>0</v>
      </c>
      <c r="AH380" s="4"/>
      <c r="AI380" s="5">
        <v>42174</v>
      </c>
      <c r="AJ380" s="5">
        <v>42178</v>
      </c>
      <c r="AK380" s="5">
        <v>42178</v>
      </c>
      <c r="AL380" s="5">
        <v>42179</v>
      </c>
      <c r="AM380" s="5">
        <v>42251</v>
      </c>
      <c r="AN380" s="5">
        <v>42250</v>
      </c>
      <c r="AO380" s="4">
        <v>2</v>
      </c>
      <c r="AP380" s="4"/>
      <c r="AQ380" s="5">
        <v>42381</v>
      </c>
      <c r="AR380" s="5">
        <v>42419</v>
      </c>
      <c r="AS380" s="4"/>
      <c r="AT380" s="5">
        <v>42447</v>
      </c>
      <c r="AU380" s="4"/>
      <c r="AV380" s="4"/>
      <c r="AW380" s="5">
        <v>42447</v>
      </c>
      <c r="AX380" s="4"/>
      <c r="AY380" s="4" t="s">
        <v>172</v>
      </c>
      <c r="AZ380" s="5">
        <v>42290</v>
      </c>
      <c r="BA380" s="5">
        <v>42290</v>
      </c>
      <c r="BB380" s="5">
        <v>42447</v>
      </c>
      <c r="BC380" s="4"/>
      <c r="BD380" s="4">
        <v>1</v>
      </c>
      <c r="BE380" s="5">
        <v>42447</v>
      </c>
      <c r="BF380" s="4"/>
      <c r="BG380" s="5">
        <v>42429</v>
      </c>
      <c r="BH380" s="4"/>
      <c r="BI380" s="5">
        <v>42447</v>
      </c>
      <c r="BJ380" s="4"/>
      <c r="BK380" s="4"/>
      <c r="BL380" s="4"/>
      <c r="BM380" s="5">
        <v>42447</v>
      </c>
      <c r="BN380" s="4"/>
      <c r="BO380" s="4"/>
      <c r="BP380" s="4"/>
      <c r="BQ380" s="4"/>
      <c r="BR380" s="4"/>
      <c r="BS380" s="4"/>
      <c r="BT380" s="5">
        <v>42464</v>
      </c>
      <c r="BU380" s="4"/>
      <c r="BV380" s="4"/>
      <c r="BW380" s="4"/>
      <c r="BX380" s="4"/>
      <c r="BY380" s="4"/>
      <c r="BZ380" s="4"/>
      <c r="CA380" s="4"/>
      <c r="CB380" s="4"/>
      <c r="CC380" s="4"/>
      <c r="CD380" s="4"/>
      <c r="CE380" s="4"/>
      <c r="CF380" s="4"/>
      <c r="CG380" s="4"/>
      <c r="CH380" s="4"/>
      <c r="CI380" s="4"/>
      <c r="CJ380" s="5">
        <v>42510</v>
      </c>
      <c r="CK380" s="4"/>
      <c r="CL380" s="4"/>
      <c r="CM380" s="4"/>
      <c r="CN380" s="4"/>
      <c r="CO380" s="4"/>
      <c r="CP380" s="4" t="s">
        <v>1291</v>
      </c>
      <c r="CQ380" s="4"/>
      <c r="CR380" s="4"/>
      <c r="CS380" s="4"/>
      <c r="CT380" s="4"/>
      <c r="CU380" s="4"/>
      <c r="CV380" s="4"/>
      <c r="CW380" s="4"/>
      <c r="CX380" s="4"/>
      <c r="CY380" s="4"/>
      <c r="CZ380" s="4"/>
      <c r="DA380" s="5">
        <v>42496</v>
      </c>
      <c r="DB380" s="4"/>
      <c r="DC380" s="4"/>
      <c r="DD380" s="4"/>
      <c r="DE380" s="4"/>
      <c r="DF380" s="4"/>
      <c r="DG380" s="4"/>
      <c r="DH380" s="4" t="s">
        <v>174</v>
      </c>
      <c r="DI380" s="4"/>
      <c r="DJ380" s="4" t="b">
        <v>0</v>
      </c>
      <c r="DK380" s="4"/>
      <c r="DL380" s="4">
        <v>2667619</v>
      </c>
      <c r="DM380" s="4">
        <v>6482664</v>
      </c>
      <c r="DN380" s="4" t="s">
        <v>1292</v>
      </c>
      <c r="DO380" s="4"/>
      <c r="DP380" s="4"/>
      <c r="DQ380" s="4" t="s">
        <v>148</v>
      </c>
      <c r="DR380" s="4" t="s">
        <v>255</v>
      </c>
      <c r="DS380" s="4"/>
      <c r="DT380" s="4"/>
      <c r="DU380" s="4" t="s">
        <v>1230</v>
      </c>
      <c r="DV380" s="4"/>
      <c r="DW380" s="4"/>
      <c r="DX380" s="4"/>
      <c r="DY380" s="5">
        <v>42443</v>
      </c>
      <c r="DZ380" s="4"/>
      <c r="EA380" s="4"/>
      <c r="EB380" s="4"/>
      <c r="EC380" s="4"/>
      <c r="ED380" s="4"/>
      <c r="EE380" s="5">
        <v>42454</v>
      </c>
      <c r="EF380" s="4"/>
      <c r="EG380" s="4"/>
      <c r="EH380" s="4"/>
      <c r="EI380" s="5">
        <v>42179</v>
      </c>
    </row>
    <row r="381" spans="1:139" hidden="1" x14ac:dyDescent="0.2">
      <c r="A381">
        <f>VLOOKUP(B381,Sheet1!$A$1:$B$18,2,FALSE)</f>
        <v>0</v>
      </c>
      <c r="B381" t="str">
        <f t="shared" si="5"/>
        <v>AKL</v>
      </c>
      <c r="C381" s="2">
        <v>380</v>
      </c>
      <c r="D381" s="3" t="str">
        <f>HYPERLINK("https://sitebase.nzcomms.co.nz/spm/spmnominalview/AKL-007-215/","AKL-007-215")</f>
        <v>AKL-007-215</v>
      </c>
      <c r="E381" s="4" t="s">
        <v>1293</v>
      </c>
      <c r="F381" s="3" t="str">
        <f>HYPERLINK("https://sitebase.nzcomms.co.nz/spm/spmcandidateview/AKL-007-215-A/","AKL-007-215-A")</f>
        <v>AKL-007-215-A</v>
      </c>
      <c r="G381" s="4" t="s">
        <v>1293</v>
      </c>
      <c r="H381" s="4" t="s">
        <v>745</v>
      </c>
      <c r="I381" s="4">
        <v>23</v>
      </c>
      <c r="J381" s="4" t="s">
        <v>570</v>
      </c>
      <c r="K381" s="4" t="s">
        <v>141</v>
      </c>
      <c r="L381" s="4" t="s">
        <v>181</v>
      </c>
      <c r="M381" s="4" t="s">
        <v>1193</v>
      </c>
      <c r="N381" s="4"/>
      <c r="O381" s="4"/>
      <c r="P381" s="4" t="s">
        <v>182</v>
      </c>
      <c r="Q381" s="4"/>
      <c r="R381" s="4"/>
      <c r="S381" s="4"/>
      <c r="T381" s="4"/>
      <c r="U381" s="4">
        <v>-36.868123879999999</v>
      </c>
      <c r="V381" s="4">
        <v>174.76127926999999</v>
      </c>
      <c r="W381" s="4"/>
      <c r="X381" s="4"/>
      <c r="Y381" s="4"/>
      <c r="Z381" s="5">
        <v>42173</v>
      </c>
      <c r="AA381" s="4" t="s">
        <v>145</v>
      </c>
      <c r="AB381" s="3" t="str">
        <f>HYPERLINK("https://sitebase.nzcomms.co.nz/spm/spmcandidateview/AKL-007-185-A/","AKL-007-185-A")</f>
        <v>AKL-007-185-A</v>
      </c>
      <c r="AC381" s="4" t="b">
        <v>0</v>
      </c>
      <c r="AD381" s="4" t="b">
        <v>0</v>
      </c>
      <c r="AE381" s="4"/>
      <c r="AF381" s="4"/>
      <c r="AG381" s="4" t="b">
        <v>0</v>
      </c>
      <c r="AH381" s="4"/>
      <c r="AI381" s="5">
        <v>42160</v>
      </c>
      <c r="AJ381" s="5">
        <v>42163</v>
      </c>
      <c r="AK381" s="5">
        <v>42172</v>
      </c>
      <c r="AL381" s="5">
        <v>42172</v>
      </c>
      <c r="AM381" s="5">
        <v>42209</v>
      </c>
      <c r="AN381" s="5">
        <v>42199</v>
      </c>
      <c r="AO381" s="4">
        <v>1</v>
      </c>
      <c r="AP381" s="5">
        <v>42209</v>
      </c>
      <c r="AQ381" s="5">
        <v>42199</v>
      </c>
      <c r="AR381" s="5">
        <v>42229</v>
      </c>
      <c r="AS381" s="5">
        <v>42229</v>
      </c>
      <c r="AT381" s="5">
        <v>42419</v>
      </c>
      <c r="AU381" s="5">
        <v>42395</v>
      </c>
      <c r="AV381" s="4"/>
      <c r="AW381" s="5">
        <v>42426</v>
      </c>
      <c r="AX381" s="4"/>
      <c r="AY381" s="4" t="s">
        <v>203</v>
      </c>
      <c r="AZ381" s="5">
        <v>42283</v>
      </c>
      <c r="BA381" s="5">
        <v>42375</v>
      </c>
      <c r="BB381" s="5">
        <v>42510</v>
      </c>
      <c r="BC381" s="4"/>
      <c r="BD381" s="4">
        <v>1</v>
      </c>
      <c r="BE381" s="5">
        <v>42510</v>
      </c>
      <c r="BF381" s="4"/>
      <c r="BG381" s="5">
        <v>42447</v>
      </c>
      <c r="BH381" s="4"/>
      <c r="BI381" s="5">
        <v>42475</v>
      </c>
      <c r="BJ381" s="4"/>
      <c r="BK381" s="4"/>
      <c r="BL381" s="4"/>
      <c r="BM381" s="5">
        <v>42475</v>
      </c>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t="s">
        <v>1294</v>
      </c>
      <c r="CQ381" s="4"/>
      <c r="CR381" s="4"/>
      <c r="CS381" s="4"/>
      <c r="CT381" s="4"/>
      <c r="CU381" s="4"/>
      <c r="CV381" s="4"/>
      <c r="CW381" s="4"/>
      <c r="CX381" s="4"/>
      <c r="CY381" s="4"/>
      <c r="CZ381" s="4"/>
      <c r="DA381" s="4"/>
      <c r="DB381" s="4"/>
      <c r="DC381" s="4"/>
      <c r="DD381" s="4"/>
      <c r="DE381" s="4"/>
      <c r="DF381" s="4"/>
      <c r="DG381" s="4"/>
      <c r="DH381" s="4" t="s">
        <v>240</v>
      </c>
      <c r="DI381" s="4"/>
      <c r="DJ381" s="4" t="b">
        <v>0</v>
      </c>
      <c r="DK381" s="4"/>
      <c r="DL381" s="4">
        <v>2667420</v>
      </c>
      <c r="DM381" s="4">
        <v>6480007</v>
      </c>
      <c r="DN381" s="4"/>
      <c r="DO381" s="4"/>
      <c r="DP381" s="4"/>
      <c r="DQ381" s="4" t="s">
        <v>148</v>
      </c>
      <c r="DR381" s="4" t="s">
        <v>255</v>
      </c>
      <c r="DS381" s="4"/>
      <c r="DT381" s="4"/>
      <c r="DU381" s="4" t="s">
        <v>577</v>
      </c>
      <c r="DV381" s="4"/>
      <c r="DW381" s="4"/>
      <c r="DX381" s="4"/>
      <c r="DY381" s="4"/>
      <c r="DZ381" s="4"/>
      <c r="EA381" s="4"/>
      <c r="EB381" s="4"/>
      <c r="EC381" s="4"/>
      <c r="ED381" s="4"/>
      <c r="EE381" s="4"/>
      <c r="EF381" s="4"/>
      <c r="EG381" s="4"/>
      <c r="EH381" s="4"/>
      <c r="EI381" s="5">
        <v>42172</v>
      </c>
    </row>
    <row r="382" spans="1:139" hidden="1" x14ac:dyDescent="0.2">
      <c r="A382">
        <f>VLOOKUP(B382,Sheet1!$A$1:$B$18,2,FALSE)</f>
        <v>0</v>
      </c>
      <c r="B382" t="str">
        <f t="shared" si="5"/>
        <v>AKL</v>
      </c>
      <c r="C382" s="2">
        <v>381</v>
      </c>
      <c r="D382" s="3" t="str">
        <f>HYPERLINK("https://sitebase.nzcomms.co.nz/spm/spmnominalview/AKL-008-001/","AKL-008-001")</f>
        <v>AKL-008-001</v>
      </c>
      <c r="E382" s="4"/>
      <c r="F382" s="3" t="str">
        <f>HYPERLINK("https://sitebase.nzcomms.co.nz/spm/spmcandidateview/AKL-008-001-F/","AKL-008-001-F")</f>
        <v>AKL-008-001-F</v>
      </c>
      <c r="G382" s="4" t="s">
        <v>1295</v>
      </c>
      <c r="H382" s="4" t="s">
        <v>1296</v>
      </c>
      <c r="I382" s="4"/>
      <c r="J382" s="4" t="s">
        <v>139</v>
      </c>
      <c r="K382" s="4" t="s">
        <v>141</v>
      </c>
      <c r="L382" s="4" t="s">
        <v>150</v>
      </c>
      <c r="M382" s="4" t="s">
        <v>354</v>
      </c>
      <c r="N382" s="4" t="s">
        <v>156</v>
      </c>
      <c r="O382" s="4" t="s">
        <v>356</v>
      </c>
      <c r="P382" s="4"/>
      <c r="Q382" s="4"/>
      <c r="R382" s="4">
        <v>24</v>
      </c>
      <c r="S382" s="4">
        <v>24</v>
      </c>
      <c r="T382" s="4"/>
      <c r="U382" s="4">
        <v>-36.947094380000003</v>
      </c>
      <c r="V382" s="4">
        <v>174.79349916000001</v>
      </c>
      <c r="W382" s="4"/>
      <c r="X382" s="4"/>
      <c r="Y382" s="4"/>
      <c r="Z382" s="4"/>
      <c r="AA382" s="4"/>
      <c r="AB382" s="4"/>
      <c r="AC382" s="4"/>
      <c r="AD382" s="4"/>
      <c r="AE382" s="4"/>
      <c r="AF382" s="4"/>
      <c r="AG382" s="4"/>
      <c r="AH382" s="4"/>
      <c r="AI382" s="4"/>
      <c r="AJ382" s="4"/>
      <c r="AK382" s="4"/>
      <c r="AL382" s="4"/>
      <c r="AM382" s="4"/>
      <c r="AN382" s="5">
        <v>39325</v>
      </c>
      <c r="AO382" s="4">
        <v>1</v>
      </c>
      <c r="AP382" s="5">
        <v>39325</v>
      </c>
      <c r="AQ382" s="5">
        <v>39325</v>
      </c>
      <c r="AR382" s="4"/>
      <c r="AS382" s="4"/>
      <c r="AT382" s="5">
        <v>39360</v>
      </c>
      <c r="AU382" s="5">
        <v>39360</v>
      </c>
      <c r="AV382" s="4">
        <v>1</v>
      </c>
      <c r="AW382" s="5">
        <v>39360</v>
      </c>
      <c r="AX382" s="5">
        <v>39360</v>
      </c>
      <c r="AY382" s="4"/>
      <c r="AZ382" s="4"/>
      <c r="BA382" s="4"/>
      <c r="BB382" s="5">
        <v>39629</v>
      </c>
      <c r="BC382" s="4"/>
      <c r="BD382" s="4"/>
      <c r="BE382" s="5">
        <v>39629</v>
      </c>
      <c r="BF382" s="5">
        <v>39597</v>
      </c>
      <c r="BG382" s="4"/>
      <c r="BH382" s="5">
        <v>39376</v>
      </c>
      <c r="BI382" s="4"/>
      <c r="BJ382" s="5">
        <v>39379</v>
      </c>
      <c r="BK382" s="4">
        <v>2</v>
      </c>
      <c r="BL382" s="4">
        <v>1</v>
      </c>
      <c r="BM382" s="5">
        <v>39388</v>
      </c>
      <c r="BN382" s="5">
        <v>39388</v>
      </c>
      <c r="BO382" s="4"/>
      <c r="BP382" s="4"/>
      <c r="BQ382" s="4"/>
      <c r="BR382" s="4"/>
      <c r="BS382" s="4"/>
      <c r="BT382" s="4"/>
      <c r="BU382" s="5">
        <v>39615</v>
      </c>
      <c r="BV382" s="5">
        <v>39629</v>
      </c>
      <c r="BW382" s="5">
        <v>39629</v>
      </c>
      <c r="BX382" s="4"/>
      <c r="BY382" s="5">
        <v>39643</v>
      </c>
      <c r="BZ382" s="5">
        <v>39639</v>
      </c>
      <c r="CA382" s="4"/>
      <c r="CB382" s="4"/>
      <c r="CC382" s="4"/>
      <c r="CD382" s="4"/>
      <c r="CE382" s="4"/>
      <c r="CF382" s="4"/>
      <c r="CG382" s="4"/>
      <c r="CH382" s="4"/>
      <c r="CI382" s="5">
        <v>39959</v>
      </c>
      <c r="CJ382" s="5">
        <v>39962</v>
      </c>
      <c r="CK382" s="5">
        <v>39959</v>
      </c>
      <c r="CL382" s="4"/>
      <c r="CM382" s="4"/>
      <c r="CN382" s="4"/>
      <c r="CO382" s="4"/>
      <c r="CP382" s="4" t="s">
        <v>1297</v>
      </c>
      <c r="CQ382" s="4"/>
      <c r="CR382" s="5">
        <v>39962</v>
      </c>
      <c r="CS382" s="4"/>
      <c r="CT382" s="4"/>
      <c r="CU382" s="4"/>
      <c r="CV382" s="4"/>
      <c r="CW382" s="4"/>
      <c r="CX382" s="4"/>
      <c r="CY382" s="4"/>
      <c r="CZ382" s="4"/>
      <c r="DA382" s="4"/>
      <c r="DB382" s="4"/>
      <c r="DC382" s="4"/>
      <c r="DD382" s="4"/>
      <c r="DE382" s="4"/>
      <c r="DF382" s="4"/>
      <c r="DG382" s="4"/>
      <c r="DH382" s="4"/>
      <c r="DI382" s="4"/>
      <c r="DJ382" s="4" t="b">
        <v>0</v>
      </c>
      <c r="DK382" s="4"/>
      <c r="DL382" s="4">
        <v>2670110</v>
      </c>
      <c r="DM382" s="4">
        <v>6471186</v>
      </c>
      <c r="DN382" s="4" t="s">
        <v>1298</v>
      </c>
      <c r="DO382" s="4"/>
      <c r="DP382" s="4"/>
      <c r="DQ382" s="4" t="s">
        <v>148</v>
      </c>
      <c r="DR382" s="4"/>
      <c r="DS382" s="4"/>
      <c r="DT382" s="5">
        <v>41863</v>
      </c>
      <c r="DU382" s="4"/>
      <c r="DV382" s="4"/>
      <c r="DW382" s="4"/>
      <c r="DX382" s="4"/>
      <c r="DY382" s="4"/>
      <c r="DZ382" s="5">
        <v>39598</v>
      </c>
      <c r="EA382" s="4"/>
      <c r="EB382" s="4"/>
      <c r="EC382" s="4"/>
      <c r="ED382" s="4"/>
      <c r="EE382" s="4"/>
      <c r="EF382" s="4"/>
      <c r="EG382" s="4"/>
      <c r="EH382" s="4"/>
      <c r="EI382" s="5">
        <v>39316</v>
      </c>
    </row>
    <row r="383" spans="1:139" hidden="1" x14ac:dyDescent="0.2">
      <c r="A383">
        <f>VLOOKUP(B383,Sheet1!$A$1:$B$18,2,FALSE)</f>
        <v>0</v>
      </c>
      <c r="B383" t="str">
        <f t="shared" si="5"/>
        <v>AKL</v>
      </c>
      <c r="C383" s="2">
        <v>382</v>
      </c>
      <c r="D383" s="3" t="str">
        <f>HYPERLINK("https://sitebase.nzcomms.co.nz/spm/spmnominalview/AKL-008-002/","AKL-008-002")</f>
        <v>AKL-008-002</v>
      </c>
      <c r="E383" s="4"/>
      <c r="F383" s="3" t="str">
        <f>HYPERLINK("https://sitebase.nzcomms.co.nz/spm/spmcandidateview/AKL-008-002-F/","AKL-008-002-F")</f>
        <v>AKL-008-002-F</v>
      </c>
      <c r="G383" s="4" t="s">
        <v>1299</v>
      </c>
      <c r="H383" s="4" t="s">
        <v>1296</v>
      </c>
      <c r="I383" s="4"/>
      <c r="J383" s="4" t="s">
        <v>139</v>
      </c>
      <c r="K383" s="4" t="s">
        <v>141</v>
      </c>
      <c r="L383" s="4" t="s">
        <v>150</v>
      </c>
      <c r="M383" s="4" t="s">
        <v>354</v>
      </c>
      <c r="N383" s="4" t="s">
        <v>156</v>
      </c>
      <c r="O383" s="4" t="s">
        <v>144</v>
      </c>
      <c r="P383" s="4"/>
      <c r="Q383" s="4"/>
      <c r="R383" s="4">
        <v>20</v>
      </c>
      <c r="S383" s="4">
        <v>20</v>
      </c>
      <c r="T383" s="4"/>
      <c r="U383" s="4">
        <v>-36.970972920000001</v>
      </c>
      <c r="V383" s="4">
        <v>174.80302570999999</v>
      </c>
      <c r="W383" s="4"/>
      <c r="X383" s="4"/>
      <c r="Y383" s="4"/>
      <c r="Z383" s="4"/>
      <c r="AA383" s="4" t="s">
        <v>382</v>
      </c>
      <c r="AB383" s="4" t="s">
        <v>1300</v>
      </c>
      <c r="AC383" s="4"/>
      <c r="AD383" s="4"/>
      <c r="AE383" s="4"/>
      <c r="AF383" s="4"/>
      <c r="AG383" s="4"/>
      <c r="AH383" s="4" t="s">
        <v>360</v>
      </c>
      <c r="AI383" s="4"/>
      <c r="AJ383" s="4"/>
      <c r="AK383" s="4"/>
      <c r="AL383" s="4"/>
      <c r="AM383" s="4"/>
      <c r="AN383" s="5">
        <v>39487</v>
      </c>
      <c r="AO383" s="4">
        <v>3</v>
      </c>
      <c r="AP383" s="4"/>
      <c r="AQ383" s="5">
        <v>39681</v>
      </c>
      <c r="AR383" s="4"/>
      <c r="AS383" s="4"/>
      <c r="AT383" s="5">
        <v>39430</v>
      </c>
      <c r="AU383" s="5">
        <v>39430</v>
      </c>
      <c r="AV383" s="4">
        <v>3</v>
      </c>
      <c r="AW383" s="5">
        <v>39430</v>
      </c>
      <c r="AX383" s="5">
        <v>39430</v>
      </c>
      <c r="AY383" s="4"/>
      <c r="AZ383" s="4"/>
      <c r="BA383" s="4"/>
      <c r="BB383" s="5">
        <v>39721</v>
      </c>
      <c r="BC383" s="4"/>
      <c r="BD383" s="4"/>
      <c r="BE383" s="5">
        <v>39721</v>
      </c>
      <c r="BF383" s="5">
        <v>39689</v>
      </c>
      <c r="BG383" s="4"/>
      <c r="BH383" s="5">
        <v>39491</v>
      </c>
      <c r="BI383" s="4"/>
      <c r="BJ383" s="5">
        <v>39700</v>
      </c>
      <c r="BK383" s="4">
        <v>1</v>
      </c>
      <c r="BL383" s="4">
        <v>3</v>
      </c>
      <c r="BM383" s="5">
        <v>39700</v>
      </c>
      <c r="BN383" s="5">
        <v>39700</v>
      </c>
      <c r="BO383" s="4"/>
      <c r="BP383" s="4"/>
      <c r="BQ383" s="4"/>
      <c r="BR383" s="4"/>
      <c r="BS383" s="4"/>
      <c r="BT383" s="4"/>
      <c r="BU383" s="5">
        <v>39720</v>
      </c>
      <c r="BV383" s="5">
        <v>39737</v>
      </c>
      <c r="BW383" s="5">
        <v>39737</v>
      </c>
      <c r="BX383" s="4"/>
      <c r="BY383" s="5">
        <v>39738</v>
      </c>
      <c r="BZ383" s="5">
        <v>39738</v>
      </c>
      <c r="CA383" s="4"/>
      <c r="CB383" s="4"/>
      <c r="CC383" s="4"/>
      <c r="CD383" s="4"/>
      <c r="CE383" s="4"/>
      <c r="CF383" s="4"/>
      <c r="CG383" s="4"/>
      <c r="CH383" s="4"/>
      <c r="CI383" s="5">
        <v>39889</v>
      </c>
      <c r="CJ383" s="5">
        <v>39892</v>
      </c>
      <c r="CK383" s="5">
        <v>39889</v>
      </c>
      <c r="CL383" s="4"/>
      <c r="CM383" s="4"/>
      <c r="CN383" s="4"/>
      <c r="CO383" s="4"/>
      <c r="CP383" s="4" t="s">
        <v>157</v>
      </c>
      <c r="CQ383" s="4"/>
      <c r="CR383" s="5">
        <v>39892</v>
      </c>
      <c r="CS383" s="4"/>
      <c r="CT383" s="4"/>
      <c r="CU383" s="4"/>
      <c r="CV383" s="4"/>
      <c r="CW383" s="4"/>
      <c r="CX383" s="4"/>
      <c r="CY383" s="4"/>
      <c r="CZ383" s="4"/>
      <c r="DA383" s="4"/>
      <c r="DB383" s="4"/>
      <c r="DC383" s="4"/>
      <c r="DD383" s="4"/>
      <c r="DE383" s="4"/>
      <c r="DF383" s="4"/>
      <c r="DG383" s="4"/>
      <c r="DH383" s="4"/>
      <c r="DI383" s="4"/>
      <c r="DJ383" s="4" t="b">
        <v>0</v>
      </c>
      <c r="DK383" s="4"/>
      <c r="DL383" s="4">
        <v>2670903</v>
      </c>
      <c r="DM383" s="4">
        <v>6468519</v>
      </c>
      <c r="DN383" s="4" t="s">
        <v>1301</v>
      </c>
      <c r="DO383" s="4"/>
      <c r="DP383" s="4"/>
      <c r="DQ383" s="4" t="s">
        <v>148</v>
      </c>
      <c r="DR383" s="4"/>
      <c r="DS383" s="4"/>
      <c r="DT383" s="5">
        <v>41863</v>
      </c>
      <c r="DU383" s="4"/>
      <c r="DV383" s="4"/>
      <c r="DW383" s="4"/>
      <c r="DX383" s="4"/>
      <c r="DY383" s="4"/>
      <c r="DZ383" s="5">
        <v>39709</v>
      </c>
      <c r="EA383" s="4"/>
      <c r="EB383" s="4"/>
      <c r="EC383" s="4"/>
      <c r="ED383" s="4"/>
      <c r="EE383" s="4"/>
      <c r="EF383" s="4"/>
      <c r="EG383" s="4"/>
      <c r="EH383" s="4"/>
      <c r="EI383" s="5">
        <v>39428</v>
      </c>
    </row>
    <row r="384" spans="1:139" hidden="1" x14ac:dyDescent="0.2">
      <c r="A384">
        <f>VLOOKUP(B384,Sheet1!$A$1:$B$18,2,FALSE)</f>
        <v>0</v>
      </c>
      <c r="B384" t="str">
        <f t="shared" si="5"/>
        <v>AKL</v>
      </c>
      <c r="C384" s="2">
        <v>383</v>
      </c>
      <c r="D384" s="3" t="str">
        <f>HYPERLINK("https://sitebase.nzcomms.co.nz/spm/spmnominalview/AKL-008-003/","AKL-008-003")</f>
        <v>AKL-008-003</v>
      </c>
      <c r="E384" s="4"/>
      <c r="F384" s="3" t="str">
        <f>HYPERLINK("https://sitebase.nzcomms.co.nz/spm/spmcandidateview/AKL-008-003-A/","AKL-008-003-A")</f>
        <v>AKL-008-003-A</v>
      </c>
      <c r="G384" s="4" t="s">
        <v>1302</v>
      </c>
      <c r="H384" s="4" t="s">
        <v>1296</v>
      </c>
      <c r="I384" s="4"/>
      <c r="J384" s="4" t="s">
        <v>139</v>
      </c>
      <c r="K384" s="4" t="s">
        <v>141</v>
      </c>
      <c r="L384" s="4" t="s">
        <v>181</v>
      </c>
      <c r="M384" s="4" t="s">
        <v>378</v>
      </c>
      <c r="N384" s="4" t="s">
        <v>364</v>
      </c>
      <c r="O384" s="4" t="s">
        <v>144</v>
      </c>
      <c r="P384" s="4"/>
      <c r="Q384" s="4"/>
      <c r="R384" s="4">
        <v>24</v>
      </c>
      <c r="S384" s="4">
        <v>24</v>
      </c>
      <c r="T384" s="4"/>
      <c r="U384" s="4">
        <v>-36.946289129999997</v>
      </c>
      <c r="V384" s="4">
        <v>174.84379734999999</v>
      </c>
      <c r="W384" s="4"/>
      <c r="X384" s="4"/>
      <c r="Y384" s="4"/>
      <c r="Z384" s="4"/>
      <c r="AA384" s="4" t="s">
        <v>171</v>
      </c>
      <c r="AB384" s="3" t="str">
        <f>HYPERLINK("https://sitebase.nzcomms.co.nz/spm/spmcandidateview/AKL-007-114-D/","AKL-007-114-D")</f>
        <v>AKL-007-114-D</v>
      </c>
      <c r="AC384" s="4"/>
      <c r="AD384" s="4"/>
      <c r="AE384" s="4"/>
      <c r="AF384" s="4"/>
      <c r="AG384" s="4"/>
      <c r="AH384" s="4"/>
      <c r="AI384" s="4"/>
      <c r="AJ384" s="4"/>
      <c r="AK384" s="4"/>
      <c r="AL384" s="4"/>
      <c r="AM384" s="4"/>
      <c r="AN384" s="5">
        <v>39322</v>
      </c>
      <c r="AO384" s="4">
        <v>6</v>
      </c>
      <c r="AP384" s="5">
        <v>39885</v>
      </c>
      <c r="AQ384" s="5">
        <v>39898</v>
      </c>
      <c r="AR384" s="4"/>
      <c r="AS384" s="4"/>
      <c r="AT384" s="5">
        <v>39871</v>
      </c>
      <c r="AU384" s="5">
        <v>39871</v>
      </c>
      <c r="AV384" s="4">
        <v>2</v>
      </c>
      <c r="AW384" s="5">
        <v>39918</v>
      </c>
      <c r="AX384" s="5">
        <v>39988</v>
      </c>
      <c r="AY384" s="4"/>
      <c r="AZ384" s="5">
        <v>39874</v>
      </c>
      <c r="BA384" s="4"/>
      <c r="BB384" s="5">
        <v>39918</v>
      </c>
      <c r="BC384" s="4"/>
      <c r="BD384" s="4"/>
      <c r="BE384" s="5">
        <v>39918</v>
      </c>
      <c r="BF384" s="5">
        <v>39920</v>
      </c>
      <c r="BG384" s="5">
        <v>39874</v>
      </c>
      <c r="BH384" s="5">
        <v>39873</v>
      </c>
      <c r="BI384" s="4"/>
      <c r="BJ384" s="5">
        <v>39905</v>
      </c>
      <c r="BK384" s="4">
        <v>1</v>
      </c>
      <c r="BL384" s="4">
        <v>2</v>
      </c>
      <c r="BM384" s="5">
        <v>39909</v>
      </c>
      <c r="BN384" s="5">
        <v>39905</v>
      </c>
      <c r="BO384" s="4"/>
      <c r="BP384" s="4"/>
      <c r="BQ384" s="4"/>
      <c r="BR384" s="4"/>
      <c r="BS384" s="4"/>
      <c r="BT384" s="5">
        <v>39944</v>
      </c>
      <c r="BU384" s="5">
        <v>39944</v>
      </c>
      <c r="BV384" s="5">
        <v>39983</v>
      </c>
      <c r="BW384" s="5">
        <v>39980</v>
      </c>
      <c r="BX384" s="4"/>
      <c r="BY384" s="5">
        <v>40004</v>
      </c>
      <c r="BZ384" s="5">
        <v>40004</v>
      </c>
      <c r="CA384" s="4"/>
      <c r="CB384" s="4"/>
      <c r="CC384" s="4"/>
      <c r="CD384" s="4"/>
      <c r="CE384" s="4"/>
      <c r="CF384" s="4"/>
      <c r="CG384" s="4"/>
      <c r="CH384" s="4"/>
      <c r="CI384" s="5">
        <v>40014</v>
      </c>
      <c r="CJ384" s="5">
        <v>40015</v>
      </c>
      <c r="CK384" s="5">
        <v>40014</v>
      </c>
      <c r="CL384" s="4"/>
      <c r="CM384" s="4"/>
      <c r="CN384" s="4"/>
      <c r="CO384" s="4"/>
      <c r="CP384" s="4" t="s">
        <v>157</v>
      </c>
      <c r="CQ384" s="4"/>
      <c r="CR384" s="5">
        <v>40015</v>
      </c>
      <c r="CS384" s="4"/>
      <c r="CT384" s="4"/>
      <c r="CU384" s="4"/>
      <c r="CV384" s="4"/>
      <c r="CW384" s="4"/>
      <c r="CX384" s="4"/>
      <c r="CY384" s="4"/>
      <c r="CZ384" s="4"/>
      <c r="DA384" s="4"/>
      <c r="DB384" s="4"/>
      <c r="DC384" s="4"/>
      <c r="DD384" s="4"/>
      <c r="DE384" s="4"/>
      <c r="DF384" s="4"/>
      <c r="DG384" s="4"/>
      <c r="DH384" s="4"/>
      <c r="DI384" s="4"/>
      <c r="DJ384" s="4" t="b">
        <v>0</v>
      </c>
      <c r="DK384" s="4"/>
      <c r="DL384" s="4">
        <v>2674591</v>
      </c>
      <c r="DM384" s="4">
        <v>6471181</v>
      </c>
      <c r="DN384" s="4" t="s">
        <v>1303</v>
      </c>
      <c r="DO384" s="4"/>
      <c r="DP384" s="4"/>
      <c r="DQ384" s="4" t="s">
        <v>148</v>
      </c>
      <c r="DR384" s="4"/>
      <c r="DS384" s="4"/>
      <c r="DT384" s="5">
        <v>41863</v>
      </c>
      <c r="DU384" s="4"/>
      <c r="DV384" s="4"/>
      <c r="DW384" s="4"/>
      <c r="DX384" s="4"/>
      <c r="DY384" s="5">
        <v>39944</v>
      </c>
      <c r="DZ384" s="5">
        <v>39944</v>
      </c>
      <c r="EA384" s="4"/>
      <c r="EB384" s="4"/>
      <c r="EC384" s="4"/>
      <c r="ED384" s="4"/>
      <c r="EE384" s="4"/>
      <c r="EF384" s="4"/>
      <c r="EG384" s="4"/>
      <c r="EH384" s="4"/>
      <c r="EI384" s="5">
        <v>39310</v>
      </c>
    </row>
    <row r="385" spans="1:139" hidden="1" x14ac:dyDescent="0.2">
      <c r="A385">
        <f>VLOOKUP(B385,Sheet1!$A$1:$B$18,2,FALSE)</f>
        <v>0</v>
      </c>
      <c r="B385" t="str">
        <f t="shared" si="5"/>
        <v>AKL</v>
      </c>
      <c r="C385" s="2">
        <v>384</v>
      </c>
      <c r="D385" s="3" t="str">
        <f>HYPERLINK("https://sitebase.nzcomms.co.nz/spm/spmnominalview/AKL-008-004/","AKL-008-004")</f>
        <v>AKL-008-004</v>
      </c>
      <c r="E385" s="4"/>
      <c r="F385" s="3" t="str">
        <f>HYPERLINK("https://sitebase.nzcomms.co.nz/spm/spmcandidateview/AKL-008-004-A/","AKL-008-004-A")</f>
        <v>AKL-008-004-A</v>
      </c>
      <c r="G385" s="4" t="s">
        <v>1304</v>
      </c>
      <c r="H385" s="4" t="s">
        <v>1296</v>
      </c>
      <c r="I385" s="4"/>
      <c r="J385" s="4" t="s">
        <v>139</v>
      </c>
      <c r="K385" s="4" t="s">
        <v>141</v>
      </c>
      <c r="L385" s="4" t="s">
        <v>150</v>
      </c>
      <c r="M385" s="4" t="s">
        <v>354</v>
      </c>
      <c r="N385" s="4" t="s">
        <v>156</v>
      </c>
      <c r="O385" s="4" t="s">
        <v>144</v>
      </c>
      <c r="P385" s="4"/>
      <c r="Q385" s="4"/>
      <c r="R385" s="4">
        <v>20</v>
      </c>
      <c r="S385" s="4">
        <v>20</v>
      </c>
      <c r="T385" s="4"/>
      <c r="U385" s="4">
        <v>-36.994591470000003</v>
      </c>
      <c r="V385" s="4">
        <v>174.84639612000001</v>
      </c>
      <c r="W385" s="4"/>
      <c r="X385" s="4"/>
      <c r="Y385" s="4"/>
      <c r="Z385" s="4"/>
      <c r="AA385" s="4" t="s">
        <v>171</v>
      </c>
      <c r="AB385" s="3" t="str">
        <f>HYPERLINK("https://sitebase.nzcomms.co.nz/spm/spmcandidateview/AKL-008-018-A/","AKL-008-018-A")</f>
        <v>AKL-008-018-A</v>
      </c>
      <c r="AC385" s="4"/>
      <c r="AD385" s="4"/>
      <c r="AE385" s="4"/>
      <c r="AF385" s="4"/>
      <c r="AG385" s="4"/>
      <c r="AH385" s="4" t="s">
        <v>357</v>
      </c>
      <c r="AI385" s="4"/>
      <c r="AJ385" s="4"/>
      <c r="AK385" s="4"/>
      <c r="AL385" s="4"/>
      <c r="AM385" s="4"/>
      <c r="AN385" s="5">
        <v>39323</v>
      </c>
      <c r="AO385" s="4">
        <v>1</v>
      </c>
      <c r="AP385" s="4"/>
      <c r="AQ385" s="5">
        <v>39323</v>
      </c>
      <c r="AR385" s="4"/>
      <c r="AS385" s="4"/>
      <c r="AT385" s="5">
        <v>39465</v>
      </c>
      <c r="AU385" s="5">
        <v>39465</v>
      </c>
      <c r="AV385" s="4">
        <v>1</v>
      </c>
      <c r="AW385" s="5">
        <v>39465</v>
      </c>
      <c r="AX385" s="5">
        <v>39465</v>
      </c>
      <c r="AY385" s="4"/>
      <c r="AZ385" s="4"/>
      <c r="BA385" s="4"/>
      <c r="BB385" s="5">
        <v>39691</v>
      </c>
      <c r="BC385" s="4"/>
      <c r="BD385" s="4"/>
      <c r="BE385" s="5">
        <v>39691</v>
      </c>
      <c r="BF385" s="5">
        <v>39735</v>
      </c>
      <c r="BG385" s="4"/>
      <c r="BH385" s="5">
        <v>39406</v>
      </c>
      <c r="BI385" s="4"/>
      <c r="BJ385" s="5">
        <v>39563</v>
      </c>
      <c r="BK385" s="4">
        <v>1</v>
      </c>
      <c r="BL385" s="4">
        <v>1</v>
      </c>
      <c r="BM385" s="5">
        <v>39563</v>
      </c>
      <c r="BN385" s="5">
        <v>39563</v>
      </c>
      <c r="BO385" s="4"/>
      <c r="BP385" s="4"/>
      <c r="BQ385" s="4"/>
      <c r="BR385" s="4"/>
      <c r="BS385" s="4"/>
      <c r="BT385" s="4"/>
      <c r="BU385" s="5">
        <v>39757</v>
      </c>
      <c r="BV385" s="5">
        <v>39776</v>
      </c>
      <c r="BW385" s="5">
        <v>39773</v>
      </c>
      <c r="BX385" s="4"/>
      <c r="BY385" s="5">
        <v>39772</v>
      </c>
      <c r="BZ385" s="5">
        <v>39773</v>
      </c>
      <c r="CA385" s="4"/>
      <c r="CB385" s="4"/>
      <c r="CC385" s="4"/>
      <c r="CD385" s="4"/>
      <c r="CE385" s="4"/>
      <c r="CF385" s="4"/>
      <c r="CG385" s="4"/>
      <c r="CH385" s="4"/>
      <c r="CI385" s="5">
        <v>39813</v>
      </c>
      <c r="CJ385" s="5">
        <v>39871</v>
      </c>
      <c r="CK385" s="5">
        <v>39813</v>
      </c>
      <c r="CL385" s="4"/>
      <c r="CM385" s="4"/>
      <c r="CN385" s="4"/>
      <c r="CO385" s="4"/>
      <c r="CP385" s="4" t="s">
        <v>405</v>
      </c>
      <c r="CQ385" s="4"/>
      <c r="CR385" s="5">
        <v>39871</v>
      </c>
      <c r="CS385" s="4"/>
      <c r="CT385" s="4"/>
      <c r="CU385" s="4"/>
      <c r="CV385" s="4"/>
      <c r="CW385" s="4"/>
      <c r="CX385" s="4"/>
      <c r="CY385" s="4"/>
      <c r="CZ385" s="4"/>
      <c r="DA385" s="4"/>
      <c r="DB385" s="4"/>
      <c r="DC385" s="4"/>
      <c r="DD385" s="4"/>
      <c r="DE385" s="4"/>
      <c r="DF385" s="4"/>
      <c r="DG385" s="4"/>
      <c r="DH385" s="4"/>
      <c r="DI385" s="4"/>
      <c r="DJ385" s="4" t="b">
        <v>0</v>
      </c>
      <c r="DK385" s="4"/>
      <c r="DL385" s="4">
        <v>2674708</v>
      </c>
      <c r="DM385" s="4">
        <v>6465798</v>
      </c>
      <c r="DN385" s="4" t="s">
        <v>1305</v>
      </c>
      <c r="DO385" s="4"/>
      <c r="DP385" s="4"/>
      <c r="DQ385" s="4" t="s">
        <v>148</v>
      </c>
      <c r="DR385" s="4"/>
      <c r="DS385" s="4"/>
      <c r="DT385" s="5">
        <v>41894</v>
      </c>
      <c r="DU385" s="4"/>
      <c r="DV385" s="4"/>
      <c r="DW385" s="4"/>
      <c r="DX385" s="4"/>
      <c r="DY385" s="4"/>
      <c r="DZ385" s="5">
        <v>39751</v>
      </c>
      <c r="EA385" s="4"/>
      <c r="EB385" s="4"/>
      <c r="EC385" s="4"/>
      <c r="ED385" s="4"/>
      <c r="EE385" s="4"/>
      <c r="EF385" s="4"/>
      <c r="EG385" s="4"/>
      <c r="EH385" s="4"/>
      <c r="EI385" s="5">
        <v>39307</v>
      </c>
    </row>
    <row r="386" spans="1:139" hidden="1" x14ac:dyDescent="0.2">
      <c r="A386">
        <f>VLOOKUP(B386,Sheet1!$A$1:$B$18,2,FALSE)</f>
        <v>0</v>
      </c>
      <c r="B386" t="str">
        <f t="shared" si="5"/>
        <v>AKL</v>
      </c>
      <c r="C386" s="2">
        <v>385</v>
      </c>
      <c r="D386" s="3" t="str">
        <f>HYPERLINK("https://sitebase.nzcomms.co.nz/spm/spmnominalview/AKL-008-005/","AKL-008-005")</f>
        <v>AKL-008-005</v>
      </c>
      <c r="E386" s="4"/>
      <c r="F386" s="3" t="str">
        <f>HYPERLINK("https://sitebase.nzcomms.co.nz/spm/spmcandidateview/AKL-008-005-F/","AKL-008-005-F")</f>
        <v>AKL-008-005-F</v>
      </c>
      <c r="G386" s="4" t="s">
        <v>1306</v>
      </c>
      <c r="H386" s="4" t="s">
        <v>1296</v>
      </c>
      <c r="I386" s="4"/>
      <c r="J386" s="4" t="s">
        <v>139</v>
      </c>
      <c r="K386" s="4" t="s">
        <v>141</v>
      </c>
      <c r="L386" s="4" t="s">
        <v>150</v>
      </c>
      <c r="M386" s="4" t="s">
        <v>354</v>
      </c>
      <c r="N386" s="4" t="s">
        <v>156</v>
      </c>
      <c r="O386" s="4" t="s">
        <v>144</v>
      </c>
      <c r="P386" s="4"/>
      <c r="Q386" s="4"/>
      <c r="R386" s="4">
        <v>20</v>
      </c>
      <c r="S386" s="4">
        <v>20</v>
      </c>
      <c r="T386" s="4"/>
      <c r="U386" s="4">
        <v>-36.958295710000002</v>
      </c>
      <c r="V386" s="4">
        <v>174.87509243</v>
      </c>
      <c r="W386" s="4"/>
      <c r="X386" s="4"/>
      <c r="Y386" s="4"/>
      <c r="Z386" s="4"/>
      <c r="AA386" s="4" t="s">
        <v>382</v>
      </c>
      <c r="AB386" s="4" t="s">
        <v>841</v>
      </c>
      <c r="AC386" s="4"/>
      <c r="AD386" s="4"/>
      <c r="AE386" s="4"/>
      <c r="AF386" s="4"/>
      <c r="AG386" s="4"/>
      <c r="AH386" s="4"/>
      <c r="AI386" s="4"/>
      <c r="AJ386" s="4"/>
      <c r="AK386" s="4"/>
      <c r="AL386" s="4"/>
      <c r="AM386" s="4"/>
      <c r="AN386" s="5">
        <v>39401</v>
      </c>
      <c r="AO386" s="4">
        <v>1</v>
      </c>
      <c r="AP386" s="4"/>
      <c r="AQ386" s="5">
        <v>39401</v>
      </c>
      <c r="AR386" s="4"/>
      <c r="AS386" s="4"/>
      <c r="AT386" s="5">
        <v>39414</v>
      </c>
      <c r="AU386" s="5">
        <v>39414</v>
      </c>
      <c r="AV386" s="4">
        <v>1</v>
      </c>
      <c r="AW386" s="5">
        <v>39414</v>
      </c>
      <c r="AX386" s="5">
        <v>39414</v>
      </c>
      <c r="AY386" s="4"/>
      <c r="AZ386" s="4"/>
      <c r="BA386" s="4"/>
      <c r="BB386" s="5">
        <v>39599</v>
      </c>
      <c r="BC386" s="4"/>
      <c r="BD386" s="4"/>
      <c r="BE386" s="5">
        <v>39599</v>
      </c>
      <c r="BF386" s="5">
        <v>39610</v>
      </c>
      <c r="BG386" s="4"/>
      <c r="BH386" s="5">
        <v>39426</v>
      </c>
      <c r="BI386" s="4"/>
      <c r="BJ386" s="5">
        <v>39568</v>
      </c>
      <c r="BK386" s="4">
        <v>2</v>
      </c>
      <c r="BL386" s="4">
        <v>1</v>
      </c>
      <c r="BM386" s="5">
        <v>39603</v>
      </c>
      <c r="BN386" s="5">
        <v>39603</v>
      </c>
      <c r="BO386" s="4"/>
      <c r="BP386" s="4"/>
      <c r="BQ386" s="4"/>
      <c r="BR386" s="4"/>
      <c r="BS386" s="4"/>
      <c r="BT386" s="4"/>
      <c r="BU386" s="5">
        <v>39615</v>
      </c>
      <c r="BV386" s="5">
        <v>39668</v>
      </c>
      <c r="BW386" s="5">
        <v>39668</v>
      </c>
      <c r="BX386" s="4"/>
      <c r="BY386" s="5">
        <v>39682</v>
      </c>
      <c r="BZ386" s="5">
        <v>39688</v>
      </c>
      <c r="CA386" s="4"/>
      <c r="CB386" s="4"/>
      <c r="CC386" s="4"/>
      <c r="CD386" s="4"/>
      <c r="CE386" s="4"/>
      <c r="CF386" s="4"/>
      <c r="CG386" s="4"/>
      <c r="CH386" s="4"/>
      <c r="CI386" s="5">
        <v>39883</v>
      </c>
      <c r="CJ386" s="5">
        <v>39884</v>
      </c>
      <c r="CK386" s="5">
        <v>39883</v>
      </c>
      <c r="CL386" s="4"/>
      <c r="CM386" s="4"/>
      <c r="CN386" s="4"/>
      <c r="CO386" s="4"/>
      <c r="CP386" s="4" t="s">
        <v>157</v>
      </c>
      <c r="CQ386" s="4"/>
      <c r="CR386" s="5">
        <v>39884</v>
      </c>
      <c r="CS386" s="4"/>
      <c r="CT386" s="4"/>
      <c r="CU386" s="4"/>
      <c r="CV386" s="4"/>
      <c r="CW386" s="4"/>
      <c r="CX386" s="4"/>
      <c r="CY386" s="4"/>
      <c r="CZ386" s="4"/>
      <c r="DA386" s="4"/>
      <c r="DB386" s="4"/>
      <c r="DC386" s="4"/>
      <c r="DD386" s="4"/>
      <c r="DE386" s="4"/>
      <c r="DF386" s="4"/>
      <c r="DG386" s="4"/>
      <c r="DH386" s="4"/>
      <c r="DI386" s="4"/>
      <c r="DJ386" s="4" t="b">
        <v>0</v>
      </c>
      <c r="DK386" s="4"/>
      <c r="DL386" s="4">
        <v>2677349</v>
      </c>
      <c r="DM386" s="4">
        <v>6469789</v>
      </c>
      <c r="DN386" s="4" t="s">
        <v>1307</v>
      </c>
      <c r="DO386" s="4"/>
      <c r="DP386" s="4"/>
      <c r="DQ386" s="4" t="s">
        <v>148</v>
      </c>
      <c r="DR386" s="4"/>
      <c r="DS386" s="4"/>
      <c r="DT386" s="5">
        <v>41894</v>
      </c>
      <c r="DU386" s="4"/>
      <c r="DV386" s="4"/>
      <c r="DW386" s="4"/>
      <c r="DX386" s="4"/>
      <c r="DY386" s="4"/>
      <c r="DZ386" s="5">
        <v>39611</v>
      </c>
      <c r="EA386" s="4"/>
      <c r="EB386" s="4"/>
      <c r="EC386" s="4"/>
      <c r="ED386" s="4"/>
      <c r="EE386" s="4"/>
      <c r="EF386" s="4"/>
      <c r="EG386" s="4"/>
      <c r="EH386" s="4"/>
      <c r="EI386" s="5">
        <v>39382</v>
      </c>
    </row>
    <row r="387" spans="1:139" hidden="1" x14ac:dyDescent="0.2">
      <c r="A387">
        <f>VLOOKUP(B387,Sheet1!$A$1:$B$18,2,FALSE)</f>
        <v>0</v>
      </c>
      <c r="B387" t="str">
        <f t="shared" ref="B387:B450" si="7">LEFT(D387,3)</f>
        <v>AKL</v>
      </c>
      <c r="C387" s="2">
        <v>386</v>
      </c>
      <c r="D387" s="3" t="str">
        <f>HYPERLINK("https://sitebase.nzcomms.co.nz/spm/spmnominalview/AKL-008-006/","AKL-008-006")</f>
        <v>AKL-008-006</v>
      </c>
      <c r="E387" s="4"/>
      <c r="F387" s="3" t="str">
        <f>HYPERLINK("https://sitebase.nzcomms.co.nz/spm/spmcandidateview/AKL-008-006-F/","AKL-008-006-F")</f>
        <v>AKL-008-006-F</v>
      </c>
      <c r="G387" s="4" t="s">
        <v>1308</v>
      </c>
      <c r="H387" s="4" t="s">
        <v>1296</v>
      </c>
      <c r="I387" s="4"/>
      <c r="J387" s="4" t="s">
        <v>139</v>
      </c>
      <c r="K387" s="4" t="s">
        <v>141</v>
      </c>
      <c r="L387" s="4" t="s">
        <v>150</v>
      </c>
      <c r="M387" s="4" t="s">
        <v>354</v>
      </c>
      <c r="N387" s="4" t="s">
        <v>291</v>
      </c>
      <c r="O387" s="4" t="s">
        <v>144</v>
      </c>
      <c r="P387" s="4"/>
      <c r="Q387" s="4"/>
      <c r="R387" s="4">
        <v>20</v>
      </c>
      <c r="S387" s="4">
        <v>20</v>
      </c>
      <c r="T387" s="4"/>
      <c r="U387" s="4">
        <v>-37.021017690000001</v>
      </c>
      <c r="V387" s="4">
        <v>174.89274811999999</v>
      </c>
      <c r="W387" s="4"/>
      <c r="X387" s="4"/>
      <c r="Y387" s="4"/>
      <c r="Z387" s="4"/>
      <c r="AA387" s="4" t="s">
        <v>171</v>
      </c>
      <c r="AB387" s="3" t="str">
        <f>HYPERLINK("https://sitebase.nzcomms.co.nz/spm/spmcandidateview/AKL-008-018-A/","AKL-008-018-A")</f>
        <v>AKL-008-018-A</v>
      </c>
      <c r="AC387" s="4"/>
      <c r="AD387" s="4"/>
      <c r="AE387" s="4"/>
      <c r="AF387" s="4"/>
      <c r="AG387" s="4"/>
      <c r="AH387" s="4" t="s">
        <v>357</v>
      </c>
      <c r="AI387" s="4"/>
      <c r="AJ387" s="4"/>
      <c r="AK387" s="4"/>
      <c r="AL387" s="4"/>
      <c r="AM387" s="4"/>
      <c r="AN387" s="5">
        <v>39560</v>
      </c>
      <c r="AO387" s="4">
        <v>1</v>
      </c>
      <c r="AP387" s="4"/>
      <c r="AQ387" s="5">
        <v>39560</v>
      </c>
      <c r="AR387" s="4"/>
      <c r="AS387" s="4"/>
      <c r="AT387" s="5">
        <v>39542</v>
      </c>
      <c r="AU387" s="5">
        <v>39542</v>
      </c>
      <c r="AV387" s="4">
        <v>1</v>
      </c>
      <c r="AW387" s="5">
        <v>39542</v>
      </c>
      <c r="AX387" s="5">
        <v>39542</v>
      </c>
      <c r="AY387" s="4"/>
      <c r="AZ387" s="4"/>
      <c r="BA387" s="4"/>
      <c r="BB387" s="4"/>
      <c r="BC387" s="4"/>
      <c r="BD387" s="4"/>
      <c r="BE387" s="4"/>
      <c r="BF387" s="5">
        <v>39609</v>
      </c>
      <c r="BG387" s="4"/>
      <c r="BH387" s="5">
        <v>39560</v>
      </c>
      <c r="BI387" s="4"/>
      <c r="BJ387" s="5">
        <v>39605</v>
      </c>
      <c r="BK387" s="4">
        <v>1</v>
      </c>
      <c r="BL387" s="4">
        <v>1</v>
      </c>
      <c r="BM387" s="5">
        <v>39605</v>
      </c>
      <c r="BN387" s="5">
        <v>39605</v>
      </c>
      <c r="BO387" s="4"/>
      <c r="BP387" s="4"/>
      <c r="BQ387" s="4"/>
      <c r="BR387" s="4"/>
      <c r="BS387" s="4"/>
      <c r="BT387" s="4"/>
      <c r="BU387" s="5">
        <v>39632</v>
      </c>
      <c r="BV387" s="5">
        <v>39685</v>
      </c>
      <c r="BW387" s="5">
        <v>39675</v>
      </c>
      <c r="BX387" s="4"/>
      <c r="BY387" s="5">
        <v>39689</v>
      </c>
      <c r="BZ387" s="5">
        <v>39688</v>
      </c>
      <c r="CA387" s="4"/>
      <c r="CB387" s="4"/>
      <c r="CC387" s="4"/>
      <c r="CD387" s="4"/>
      <c r="CE387" s="4"/>
      <c r="CF387" s="4"/>
      <c r="CG387" s="4"/>
      <c r="CH387" s="4"/>
      <c r="CI387" s="5">
        <v>39813</v>
      </c>
      <c r="CJ387" s="5">
        <v>39871</v>
      </c>
      <c r="CK387" s="5">
        <v>39813</v>
      </c>
      <c r="CL387" s="4"/>
      <c r="CM387" s="4"/>
      <c r="CN387" s="4"/>
      <c r="CO387" s="4"/>
      <c r="CP387" s="4" t="s">
        <v>405</v>
      </c>
      <c r="CQ387" s="4"/>
      <c r="CR387" s="5">
        <v>39871</v>
      </c>
      <c r="CS387" s="4"/>
      <c r="CT387" s="4"/>
      <c r="CU387" s="4"/>
      <c r="CV387" s="4"/>
      <c r="CW387" s="4"/>
      <c r="CX387" s="4"/>
      <c r="CY387" s="4"/>
      <c r="CZ387" s="4"/>
      <c r="DA387" s="4"/>
      <c r="DB387" s="4"/>
      <c r="DC387" s="4"/>
      <c r="DD387" s="4"/>
      <c r="DE387" s="4"/>
      <c r="DF387" s="4"/>
      <c r="DG387" s="4"/>
      <c r="DH387" s="4"/>
      <c r="DI387" s="4"/>
      <c r="DJ387" s="4" t="b">
        <v>0</v>
      </c>
      <c r="DK387" s="4"/>
      <c r="DL387" s="4">
        <v>2678769</v>
      </c>
      <c r="DM387" s="4">
        <v>6462796</v>
      </c>
      <c r="DN387" s="4" t="s">
        <v>1309</v>
      </c>
      <c r="DO387" s="4"/>
      <c r="DP387" s="4"/>
      <c r="DQ387" s="4" t="s">
        <v>148</v>
      </c>
      <c r="DR387" s="4"/>
      <c r="DS387" s="4"/>
      <c r="DT387" s="5">
        <v>41894</v>
      </c>
      <c r="DU387" s="4"/>
      <c r="DV387" s="4"/>
      <c r="DW387" s="4"/>
      <c r="DX387" s="4"/>
      <c r="DY387" s="4"/>
      <c r="DZ387" s="5">
        <v>39611</v>
      </c>
      <c r="EA387" s="4"/>
      <c r="EB387" s="4"/>
      <c r="EC387" s="4"/>
      <c r="ED387" s="4"/>
      <c r="EE387" s="4"/>
      <c r="EF387" s="4"/>
      <c r="EG387" s="4"/>
      <c r="EH387" s="4"/>
      <c r="EI387" s="5">
        <v>39535</v>
      </c>
    </row>
    <row r="388" spans="1:139" hidden="1" x14ac:dyDescent="0.2">
      <c r="A388">
        <f>VLOOKUP(B388,Sheet1!$A$1:$B$18,2,FALSE)</f>
        <v>0</v>
      </c>
      <c r="B388" t="str">
        <f t="shared" si="7"/>
        <v>AKL</v>
      </c>
      <c r="C388" s="2">
        <v>387</v>
      </c>
      <c r="D388" s="3" t="str">
        <f>HYPERLINK("https://sitebase.nzcomms.co.nz/spm/spmnominalview/AKL-008-008/","AKL-008-008")</f>
        <v>AKL-008-008</v>
      </c>
      <c r="E388" s="4"/>
      <c r="F388" s="3" t="str">
        <f>HYPERLINK("https://sitebase.nzcomms.co.nz/spm/spmcandidateview/AKL-008-008-C/","AKL-008-008-C")</f>
        <v>AKL-008-008-C</v>
      </c>
      <c r="G388" s="4" t="s">
        <v>1310</v>
      </c>
      <c r="H388" s="4" t="s">
        <v>1296</v>
      </c>
      <c r="I388" s="4"/>
      <c r="J388" s="4" t="s">
        <v>139</v>
      </c>
      <c r="K388" s="4" t="s">
        <v>141</v>
      </c>
      <c r="L388" s="4" t="s">
        <v>150</v>
      </c>
      <c r="M388" s="4" t="s">
        <v>354</v>
      </c>
      <c r="N388" s="4" t="s">
        <v>156</v>
      </c>
      <c r="O388" s="4" t="s">
        <v>144</v>
      </c>
      <c r="P388" s="4"/>
      <c r="Q388" s="4"/>
      <c r="R388" s="4">
        <v>21.8</v>
      </c>
      <c r="S388" s="4">
        <v>21.8</v>
      </c>
      <c r="T388" s="4"/>
      <c r="U388" s="4">
        <v>-36.975315969999997</v>
      </c>
      <c r="V388" s="4">
        <v>174.78690617999999</v>
      </c>
      <c r="W388" s="4"/>
      <c r="X388" s="4"/>
      <c r="Y388" s="4"/>
      <c r="Z388" s="4"/>
      <c r="AA388" s="4" t="s">
        <v>171</v>
      </c>
      <c r="AB388" s="3" t="str">
        <f>HYPERLINK("https://sitebase.nzcomms.co.nz/spm/spmcandidateview/AKL-008-001-F/","AKL-008-001-F")</f>
        <v>AKL-008-001-F</v>
      </c>
      <c r="AC388" s="4"/>
      <c r="AD388" s="4"/>
      <c r="AE388" s="4"/>
      <c r="AF388" s="4"/>
      <c r="AG388" s="4"/>
      <c r="AH388" s="4"/>
      <c r="AI388" s="4"/>
      <c r="AJ388" s="4"/>
      <c r="AK388" s="4"/>
      <c r="AL388" s="4"/>
      <c r="AM388" s="4"/>
      <c r="AN388" s="5">
        <v>39625</v>
      </c>
      <c r="AO388" s="4">
        <v>5</v>
      </c>
      <c r="AP388" s="5">
        <v>39862</v>
      </c>
      <c r="AQ388" s="5">
        <v>42250</v>
      </c>
      <c r="AR388" s="4"/>
      <c r="AS388" s="4"/>
      <c r="AT388" s="5">
        <v>39948</v>
      </c>
      <c r="AU388" s="5">
        <v>39948</v>
      </c>
      <c r="AV388" s="4">
        <v>4</v>
      </c>
      <c r="AW388" s="5">
        <v>39994</v>
      </c>
      <c r="AX388" s="5">
        <v>39979</v>
      </c>
      <c r="AY388" s="4"/>
      <c r="AZ388" s="4"/>
      <c r="BA388" s="4"/>
      <c r="BB388" s="4"/>
      <c r="BC388" s="4"/>
      <c r="BD388" s="4"/>
      <c r="BE388" s="5">
        <v>39968</v>
      </c>
      <c r="BF388" s="5">
        <v>39967</v>
      </c>
      <c r="BG388" s="5">
        <v>39902</v>
      </c>
      <c r="BH388" s="5">
        <v>39755</v>
      </c>
      <c r="BI388" s="4"/>
      <c r="BJ388" s="5">
        <v>39853</v>
      </c>
      <c r="BK388" s="4">
        <v>4</v>
      </c>
      <c r="BL388" s="4">
        <v>4</v>
      </c>
      <c r="BM388" s="5">
        <v>39974</v>
      </c>
      <c r="BN388" s="5">
        <v>39987</v>
      </c>
      <c r="BO388" s="5">
        <v>39895</v>
      </c>
      <c r="BP388" s="4"/>
      <c r="BQ388" s="4"/>
      <c r="BR388" s="4"/>
      <c r="BS388" s="4"/>
      <c r="BT388" s="5">
        <v>39986</v>
      </c>
      <c r="BU388" s="5">
        <v>39986</v>
      </c>
      <c r="BV388" s="5">
        <v>39997</v>
      </c>
      <c r="BW388" s="5">
        <v>39997</v>
      </c>
      <c r="BX388" s="4"/>
      <c r="BY388" s="5">
        <v>40018</v>
      </c>
      <c r="BZ388" s="5">
        <v>40018</v>
      </c>
      <c r="CA388" s="4"/>
      <c r="CB388" s="4"/>
      <c r="CC388" s="4"/>
      <c r="CD388" s="4"/>
      <c r="CE388" s="4"/>
      <c r="CF388" s="4"/>
      <c r="CG388" s="4"/>
      <c r="CH388" s="4"/>
      <c r="CI388" s="5">
        <v>40022</v>
      </c>
      <c r="CJ388" s="5">
        <v>40022</v>
      </c>
      <c r="CK388" s="5">
        <v>40022</v>
      </c>
      <c r="CL388" s="4"/>
      <c r="CM388" s="4"/>
      <c r="CN388" s="4"/>
      <c r="CO388" s="4"/>
      <c r="CP388" s="4" t="s">
        <v>157</v>
      </c>
      <c r="CQ388" s="4"/>
      <c r="CR388" s="5">
        <v>40022</v>
      </c>
      <c r="CS388" s="4"/>
      <c r="CT388" s="4"/>
      <c r="CU388" s="4"/>
      <c r="CV388" s="4"/>
      <c r="CW388" s="5">
        <v>39892</v>
      </c>
      <c r="CX388" s="5">
        <v>39895</v>
      </c>
      <c r="CY388" s="4"/>
      <c r="CZ388" s="4"/>
      <c r="DA388" s="4"/>
      <c r="DB388" s="4"/>
      <c r="DC388" s="4"/>
      <c r="DD388" s="4"/>
      <c r="DE388" s="4"/>
      <c r="DF388" s="4"/>
      <c r="DG388" s="4"/>
      <c r="DH388" s="4"/>
      <c r="DI388" s="4"/>
      <c r="DJ388" s="4" t="b">
        <v>0</v>
      </c>
      <c r="DK388" s="4"/>
      <c r="DL388" s="4">
        <v>2669458</v>
      </c>
      <c r="DM388" s="4">
        <v>6468067</v>
      </c>
      <c r="DN388" s="4" t="s">
        <v>1311</v>
      </c>
      <c r="DO388" s="4"/>
      <c r="DP388" s="4"/>
      <c r="DQ388" s="4" t="s">
        <v>148</v>
      </c>
      <c r="DR388" s="4"/>
      <c r="DS388" s="4"/>
      <c r="DT388" s="5">
        <v>41863</v>
      </c>
      <c r="DU388" s="4"/>
      <c r="DV388" s="4"/>
      <c r="DW388" s="4"/>
      <c r="DX388" s="4"/>
      <c r="DY388" s="5">
        <v>39986</v>
      </c>
      <c r="DZ388" s="5">
        <v>39986</v>
      </c>
      <c r="EA388" s="4"/>
      <c r="EB388" s="4"/>
      <c r="EC388" s="4"/>
      <c r="ED388" s="4"/>
      <c r="EE388" s="4"/>
      <c r="EF388" s="4"/>
      <c r="EG388" s="4"/>
      <c r="EH388" s="4"/>
      <c r="EI388" s="5">
        <v>39568</v>
      </c>
    </row>
    <row r="389" spans="1:139" hidden="1" x14ac:dyDescent="0.2">
      <c r="A389">
        <f>VLOOKUP(B389,Sheet1!$A$1:$B$18,2,FALSE)</f>
        <v>0</v>
      </c>
      <c r="B389" t="str">
        <f t="shared" si="7"/>
        <v>AKL</v>
      </c>
      <c r="C389" s="2">
        <v>388</v>
      </c>
      <c r="D389" s="3" t="str">
        <f>HYPERLINK("https://sitebase.nzcomms.co.nz/spm/spmnominalview/AKL-008-009/","AKL-008-009")</f>
        <v>AKL-008-009</v>
      </c>
      <c r="E389" s="4"/>
      <c r="F389" s="3" t="str">
        <f>HYPERLINK("https://sitebase.nzcomms.co.nz/spm/spmcandidateview/AKL-008-009-A/","AKL-008-009-A")</f>
        <v>AKL-008-009-A</v>
      </c>
      <c r="G389" s="4" t="s">
        <v>1312</v>
      </c>
      <c r="H389" s="4" t="s">
        <v>1296</v>
      </c>
      <c r="I389" s="4"/>
      <c r="J389" s="4" t="s">
        <v>139</v>
      </c>
      <c r="K389" s="4" t="s">
        <v>141</v>
      </c>
      <c r="L389" s="4" t="s">
        <v>150</v>
      </c>
      <c r="M389" s="4" t="s">
        <v>354</v>
      </c>
      <c r="N389" s="4" t="s">
        <v>156</v>
      </c>
      <c r="O389" s="4" t="s">
        <v>144</v>
      </c>
      <c r="P389" s="4"/>
      <c r="Q389" s="4"/>
      <c r="R389" s="4">
        <v>25</v>
      </c>
      <c r="S389" s="4">
        <v>25</v>
      </c>
      <c r="T389" s="4"/>
      <c r="U389" s="4">
        <v>-37.035595020000002</v>
      </c>
      <c r="V389" s="4">
        <v>174.91307893999999</v>
      </c>
      <c r="W389" s="4"/>
      <c r="X389" s="4"/>
      <c r="Y389" s="4"/>
      <c r="Z389" s="4"/>
      <c r="AA389" s="4" t="s">
        <v>171</v>
      </c>
      <c r="AB389" s="3" t="str">
        <f>HYPERLINK("https://sitebase.nzcomms.co.nz/spm/spmcandidateview/AKL-009-002-B/","AKL-009-002-B")</f>
        <v>AKL-009-002-B</v>
      </c>
      <c r="AC389" s="4"/>
      <c r="AD389" s="4"/>
      <c r="AE389" s="4"/>
      <c r="AF389" s="4"/>
      <c r="AG389" s="4"/>
      <c r="AH389" s="4" t="s">
        <v>357</v>
      </c>
      <c r="AI389" s="4"/>
      <c r="AJ389" s="4"/>
      <c r="AK389" s="4"/>
      <c r="AL389" s="4"/>
      <c r="AM389" s="4"/>
      <c r="AN389" s="5">
        <v>39371</v>
      </c>
      <c r="AO389" s="4">
        <v>2</v>
      </c>
      <c r="AP389" s="4"/>
      <c r="AQ389" s="5">
        <v>39371</v>
      </c>
      <c r="AR389" s="4"/>
      <c r="AS389" s="4"/>
      <c r="AT389" s="5">
        <v>39498</v>
      </c>
      <c r="AU389" s="5">
        <v>39498</v>
      </c>
      <c r="AV389" s="4">
        <v>2</v>
      </c>
      <c r="AW389" s="5">
        <v>39498</v>
      </c>
      <c r="AX389" s="5">
        <v>39498</v>
      </c>
      <c r="AY389" s="4"/>
      <c r="AZ389" s="4"/>
      <c r="BA389" s="4"/>
      <c r="BB389" s="5">
        <v>39533</v>
      </c>
      <c r="BC389" s="4"/>
      <c r="BD389" s="4"/>
      <c r="BE389" s="5">
        <v>39533</v>
      </c>
      <c r="BF389" s="5">
        <v>39533</v>
      </c>
      <c r="BG389" s="4"/>
      <c r="BH389" s="5">
        <v>39386</v>
      </c>
      <c r="BI389" s="4"/>
      <c r="BJ389" s="5">
        <v>39534</v>
      </c>
      <c r="BK389" s="4">
        <v>1</v>
      </c>
      <c r="BL389" s="4">
        <v>2</v>
      </c>
      <c r="BM389" s="5">
        <v>39534</v>
      </c>
      <c r="BN389" s="5">
        <v>39534</v>
      </c>
      <c r="BO389" s="4"/>
      <c r="BP389" s="4"/>
      <c r="BQ389" s="4"/>
      <c r="BR389" s="4"/>
      <c r="BS389" s="4"/>
      <c r="BT389" s="4"/>
      <c r="BU389" s="5">
        <v>39581</v>
      </c>
      <c r="BV389" s="5">
        <v>39598</v>
      </c>
      <c r="BW389" s="5">
        <v>39597</v>
      </c>
      <c r="BX389" s="4"/>
      <c r="BY389" s="5">
        <v>39605</v>
      </c>
      <c r="BZ389" s="5">
        <v>39605</v>
      </c>
      <c r="CA389" s="4"/>
      <c r="CB389" s="4"/>
      <c r="CC389" s="4"/>
      <c r="CD389" s="4"/>
      <c r="CE389" s="4"/>
      <c r="CF389" s="4"/>
      <c r="CG389" s="4"/>
      <c r="CH389" s="4"/>
      <c r="CI389" s="5">
        <v>39773</v>
      </c>
      <c r="CJ389" s="5">
        <v>39790</v>
      </c>
      <c r="CK389" s="5">
        <v>39773</v>
      </c>
      <c r="CL389" s="4"/>
      <c r="CM389" s="4"/>
      <c r="CN389" s="4"/>
      <c r="CO389" s="4"/>
      <c r="CP389" s="4" t="s">
        <v>405</v>
      </c>
      <c r="CQ389" s="4"/>
      <c r="CR389" s="5">
        <v>39776</v>
      </c>
      <c r="CS389" s="4"/>
      <c r="CT389" s="4"/>
      <c r="CU389" s="4"/>
      <c r="CV389" s="4"/>
      <c r="CW389" s="4"/>
      <c r="CX389" s="4"/>
      <c r="CY389" s="4"/>
      <c r="CZ389" s="4"/>
      <c r="DA389" s="4"/>
      <c r="DB389" s="4"/>
      <c r="DC389" s="4"/>
      <c r="DD389" s="4"/>
      <c r="DE389" s="4"/>
      <c r="DF389" s="4"/>
      <c r="DG389" s="4"/>
      <c r="DH389" s="4"/>
      <c r="DI389" s="4"/>
      <c r="DJ389" s="4" t="b">
        <v>0</v>
      </c>
      <c r="DK389" s="4"/>
      <c r="DL389" s="4">
        <v>2680542</v>
      </c>
      <c r="DM389" s="4">
        <v>6461139</v>
      </c>
      <c r="DN389" s="4" t="s">
        <v>1313</v>
      </c>
      <c r="DO389" s="4"/>
      <c r="DP389" s="4"/>
      <c r="DQ389" s="4" t="s">
        <v>148</v>
      </c>
      <c r="DR389" s="4"/>
      <c r="DS389" s="4"/>
      <c r="DT389" s="5">
        <v>41894</v>
      </c>
      <c r="DU389" s="4"/>
      <c r="DV389" s="4"/>
      <c r="DW389" s="4"/>
      <c r="DX389" s="4"/>
      <c r="DY389" s="4"/>
      <c r="DZ389" s="5">
        <v>39535</v>
      </c>
      <c r="EA389" s="4"/>
      <c r="EB389" s="4"/>
      <c r="EC389" s="4"/>
      <c r="ED389" s="4"/>
      <c r="EE389" s="4"/>
      <c r="EF389" s="4"/>
      <c r="EG389" s="4"/>
      <c r="EH389" s="4"/>
      <c r="EI389" s="5">
        <v>39330</v>
      </c>
    </row>
    <row r="390" spans="1:139" hidden="1" x14ac:dyDescent="0.2">
      <c r="A390">
        <f>VLOOKUP(B390,Sheet1!$A$1:$B$18,2,FALSE)</f>
        <v>0</v>
      </c>
      <c r="B390" t="str">
        <f t="shared" si="7"/>
        <v>AKL</v>
      </c>
      <c r="C390" s="2">
        <v>389</v>
      </c>
      <c r="D390" s="3" t="str">
        <f>HYPERLINK("https://sitebase.nzcomms.co.nz/spm/spmnominalview/AKL-008-010/","AKL-008-010")</f>
        <v>AKL-008-010</v>
      </c>
      <c r="E390" s="4"/>
      <c r="F390" s="3" t="str">
        <f>HYPERLINK("https://sitebase.nzcomms.co.nz/spm/spmcandidateview/AKL-008-010-A/","AKL-008-010-A")</f>
        <v>AKL-008-010-A</v>
      </c>
      <c r="G390" s="4" t="s">
        <v>1314</v>
      </c>
      <c r="H390" s="4" t="s">
        <v>1296</v>
      </c>
      <c r="I390" s="4">
        <v>3</v>
      </c>
      <c r="J390" s="4" t="s">
        <v>139</v>
      </c>
      <c r="K390" s="4" t="s">
        <v>141</v>
      </c>
      <c r="L390" s="4" t="s">
        <v>150</v>
      </c>
      <c r="M390" s="4" t="s">
        <v>354</v>
      </c>
      <c r="N390" s="4" t="s">
        <v>156</v>
      </c>
      <c r="O390" s="4" t="s">
        <v>144</v>
      </c>
      <c r="P390" s="4"/>
      <c r="Q390" s="4"/>
      <c r="R390" s="4">
        <v>20</v>
      </c>
      <c r="S390" s="4">
        <v>20</v>
      </c>
      <c r="T390" s="4"/>
      <c r="U390" s="4">
        <v>-37.033331220000001</v>
      </c>
      <c r="V390" s="4">
        <v>174.86885584999999</v>
      </c>
      <c r="W390" s="4"/>
      <c r="X390" s="4"/>
      <c r="Y390" s="4"/>
      <c r="Z390" s="4"/>
      <c r="AA390" s="4" t="s">
        <v>171</v>
      </c>
      <c r="AB390" s="3" t="str">
        <f>HYPERLINK("https://sitebase.nzcomms.co.nz/spm/spmcandidateview/AKL-008-018-A/","AKL-008-018-A")</f>
        <v>AKL-008-018-A</v>
      </c>
      <c r="AC390" s="4" t="b">
        <v>0</v>
      </c>
      <c r="AD390" s="4" t="b">
        <v>0</v>
      </c>
      <c r="AE390" s="4"/>
      <c r="AF390" s="4"/>
      <c r="AG390" s="4" t="b">
        <v>0</v>
      </c>
      <c r="AH390" s="4" t="s">
        <v>360</v>
      </c>
      <c r="AI390" s="4"/>
      <c r="AJ390" s="4"/>
      <c r="AK390" s="4"/>
      <c r="AL390" s="4"/>
      <c r="AM390" s="4"/>
      <c r="AN390" s="5">
        <v>39505</v>
      </c>
      <c r="AO390" s="4">
        <v>2</v>
      </c>
      <c r="AP390" s="5">
        <v>39524</v>
      </c>
      <c r="AQ390" s="5">
        <v>39524</v>
      </c>
      <c r="AR390" s="4"/>
      <c r="AS390" s="4"/>
      <c r="AT390" s="5">
        <v>39503</v>
      </c>
      <c r="AU390" s="5">
        <v>39503</v>
      </c>
      <c r="AV390" s="4">
        <v>2</v>
      </c>
      <c r="AW390" s="5">
        <v>39503</v>
      </c>
      <c r="AX390" s="5">
        <v>39503</v>
      </c>
      <c r="AY390" s="4"/>
      <c r="AZ390" s="4"/>
      <c r="BA390" s="4"/>
      <c r="BB390" s="5">
        <v>39689</v>
      </c>
      <c r="BC390" s="4"/>
      <c r="BD390" s="4"/>
      <c r="BE390" s="5">
        <v>39689</v>
      </c>
      <c r="BF390" s="5">
        <v>39689</v>
      </c>
      <c r="BG390" s="4"/>
      <c r="BH390" s="5">
        <v>39507</v>
      </c>
      <c r="BI390" s="4"/>
      <c r="BJ390" s="5">
        <v>39717</v>
      </c>
      <c r="BK390" s="4">
        <v>1</v>
      </c>
      <c r="BL390" s="4">
        <v>2</v>
      </c>
      <c r="BM390" s="5">
        <v>39717</v>
      </c>
      <c r="BN390" s="5">
        <v>39717</v>
      </c>
      <c r="BO390" s="5">
        <v>39843</v>
      </c>
      <c r="BP390" s="4"/>
      <c r="BQ390" s="4"/>
      <c r="BR390" s="4"/>
      <c r="BS390" s="4"/>
      <c r="BT390" s="4"/>
      <c r="BU390" s="5">
        <v>39723</v>
      </c>
      <c r="BV390" s="5">
        <v>39864</v>
      </c>
      <c r="BW390" s="5">
        <v>39861</v>
      </c>
      <c r="BX390" s="4"/>
      <c r="BY390" s="5">
        <v>39864</v>
      </c>
      <c r="BZ390" s="5">
        <v>39862</v>
      </c>
      <c r="CA390" s="4"/>
      <c r="CB390" s="4"/>
      <c r="CC390" s="4"/>
      <c r="CD390" s="4"/>
      <c r="CE390" s="4"/>
      <c r="CF390" s="4"/>
      <c r="CG390" s="4"/>
      <c r="CH390" s="4"/>
      <c r="CI390" s="5">
        <v>39890</v>
      </c>
      <c r="CJ390" s="5">
        <v>39898</v>
      </c>
      <c r="CK390" s="5">
        <v>39890</v>
      </c>
      <c r="CL390" s="4"/>
      <c r="CM390" s="4"/>
      <c r="CN390" s="4"/>
      <c r="CO390" s="4"/>
      <c r="CP390" s="4" t="s">
        <v>1315</v>
      </c>
      <c r="CQ390" s="4"/>
      <c r="CR390" s="5">
        <v>39898</v>
      </c>
      <c r="CS390" s="4"/>
      <c r="CT390" s="4"/>
      <c r="CU390" s="4"/>
      <c r="CV390" s="4"/>
      <c r="CW390" s="5">
        <v>39833</v>
      </c>
      <c r="CX390" s="5">
        <v>39843</v>
      </c>
      <c r="CY390" s="4"/>
      <c r="CZ390" s="4"/>
      <c r="DA390" s="4"/>
      <c r="DB390" s="4"/>
      <c r="DC390" s="4"/>
      <c r="DD390" s="4"/>
      <c r="DE390" s="4"/>
      <c r="DF390" s="4"/>
      <c r="DG390" s="4"/>
      <c r="DH390" s="4"/>
      <c r="DI390" s="4"/>
      <c r="DJ390" s="4" t="b">
        <v>0</v>
      </c>
      <c r="DK390" s="4"/>
      <c r="DL390" s="4">
        <v>2676614</v>
      </c>
      <c r="DM390" s="4">
        <v>6461476</v>
      </c>
      <c r="DN390" s="4" t="s">
        <v>1316</v>
      </c>
      <c r="DO390" s="4"/>
      <c r="DP390" s="4"/>
      <c r="DQ390" s="4" t="s">
        <v>148</v>
      </c>
      <c r="DR390" s="4"/>
      <c r="DS390" s="4"/>
      <c r="DT390" s="5">
        <v>41894</v>
      </c>
      <c r="DU390" s="4"/>
      <c r="DV390" s="4"/>
      <c r="DW390" s="4"/>
      <c r="DX390" s="4"/>
      <c r="DY390" s="4"/>
      <c r="DZ390" s="5">
        <v>39722</v>
      </c>
      <c r="EA390" s="4"/>
      <c r="EB390" s="4"/>
      <c r="EC390" s="4"/>
      <c r="ED390" s="4"/>
      <c r="EE390" s="4"/>
      <c r="EF390" s="4"/>
      <c r="EG390" s="4"/>
      <c r="EH390" s="4"/>
      <c r="EI390" s="5">
        <v>39436</v>
      </c>
    </row>
    <row r="391" spans="1:139" hidden="1" x14ac:dyDescent="0.2">
      <c r="A391">
        <f>VLOOKUP(B391,Sheet1!$A$1:$B$18,2,FALSE)</f>
        <v>0</v>
      </c>
      <c r="B391" t="str">
        <f t="shared" si="7"/>
        <v>AKL</v>
      </c>
      <c r="C391" s="2">
        <v>390</v>
      </c>
      <c r="D391" s="3" t="str">
        <f>HYPERLINK("https://sitebase.nzcomms.co.nz/spm/spmnominalview/AKL-008-013/","AKL-008-013")</f>
        <v>AKL-008-013</v>
      </c>
      <c r="E391" s="4"/>
      <c r="F391" s="3" t="str">
        <f>HYPERLINK("https://sitebase.nzcomms.co.nz/spm/spmcandidateview/AKL-008-013-F/","AKL-008-013-F")</f>
        <v>AKL-008-013-F</v>
      </c>
      <c r="G391" s="4" t="s">
        <v>1317</v>
      </c>
      <c r="H391" s="4" t="s">
        <v>1296</v>
      </c>
      <c r="I391" s="4">
        <v>3</v>
      </c>
      <c r="J391" s="4" t="s">
        <v>139</v>
      </c>
      <c r="K391" s="4" t="s">
        <v>141</v>
      </c>
      <c r="L391" s="4" t="s">
        <v>181</v>
      </c>
      <c r="M391" s="4" t="s">
        <v>378</v>
      </c>
      <c r="N391" s="4" t="s">
        <v>364</v>
      </c>
      <c r="O391" s="4" t="s">
        <v>144</v>
      </c>
      <c r="P391" s="4"/>
      <c r="Q391" s="4"/>
      <c r="R391" s="4">
        <v>28.2</v>
      </c>
      <c r="S391" s="4">
        <v>28.2</v>
      </c>
      <c r="T391" s="4"/>
      <c r="U391" s="4">
        <v>-36.96372014</v>
      </c>
      <c r="V391" s="4">
        <v>174.84066630999999</v>
      </c>
      <c r="W391" s="4"/>
      <c r="X391" s="4"/>
      <c r="Y391" s="4"/>
      <c r="Z391" s="4"/>
      <c r="AA391" s="4" t="s">
        <v>171</v>
      </c>
      <c r="AB391" s="3" t="str">
        <f>HYPERLINK("https://sitebase.nzcomms.co.nz/spm/spmcandidateview/AKL-007-114-D/","AKL-007-114-D")</f>
        <v>AKL-007-114-D</v>
      </c>
      <c r="AC391" s="4" t="b">
        <v>0</v>
      </c>
      <c r="AD391" s="4" t="b">
        <v>0</v>
      </c>
      <c r="AE391" s="4"/>
      <c r="AF391" s="4"/>
      <c r="AG391" s="4" t="b">
        <v>0</v>
      </c>
      <c r="AH391" s="4"/>
      <c r="AI391" s="4"/>
      <c r="AJ391" s="4"/>
      <c r="AK391" s="4"/>
      <c r="AL391" s="4"/>
      <c r="AM391" s="4"/>
      <c r="AN391" s="5">
        <v>39925</v>
      </c>
      <c r="AO391" s="4">
        <v>3</v>
      </c>
      <c r="AP391" s="5">
        <v>39920</v>
      </c>
      <c r="AQ391" s="5">
        <v>39962</v>
      </c>
      <c r="AR391" s="4"/>
      <c r="AS391" s="4"/>
      <c r="AT391" s="5">
        <v>39972</v>
      </c>
      <c r="AU391" s="5">
        <v>39974</v>
      </c>
      <c r="AV391" s="4">
        <v>2</v>
      </c>
      <c r="AW391" s="5">
        <v>39972</v>
      </c>
      <c r="AX391" s="5">
        <v>39974</v>
      </c>
      <c r="AY391" s="4"/>
      <c r="AZ391" s="5">
        <v>39940</v>
      </c>
      <c r="BA391" s="4"/>
      <c r="BB391" s="5">
        <v>39983</v>
      </c>
      <c r="BC391" s="4"/>
      <c r="BD391" s="4"/>
      <c r="BE391" s="5">
        <v>39983</v>
      </c>
      <c r="BF391" s="5">
        <v>39975</v>
      </c>
      <c r="BG391" s="5">
        <v>39933</v>
      </c>
      <c r="BH391" s="5">
        <v>39918</v>
      </c>
      <c r="BI391" s="4"/>
      <c r="BJ391" s="5">
        <v>39939</v>
      </c>
      <c r="BK391" s="4">
        <v>3</v>
      </c>
      <c r="BL391" s="4">
        <v>3</v>
      </c>
      <c r="BM391" s="5">
        <v>39948</v>
      </c>
      <c r="BN391" s="5">
        <v>39993</v>
      </c>
      <c r="BO391" s="4"/>
      <c r="BP391" s="4"/>
      <c r="BQ391" s="4"/>
      <c r="BR391" s="4"/>
      <c r="BS391" s="4"/>
      <c r="BT391" s="5">
        <v>39986</v>
      </c>
      <c r="BU391" s="5">
        <v>39986</v>
      </c>
      <c r="BV391" s="5">
        <v>40018</v>
      </c>
      <c r="BW391" s="5">
        <v>40018</v>
      </c>
      <c r="BX391" s="4"/>
      <c r="BY391" s="5">
        <v>40030</v>
      </c>
      <c r="BZ391" s="5">
        <v>40030</v>
      </c>
      <c r="CA391" s="4"/>
      <c r="CB391" s="4"/>
      <c r="CC391" s="4"/>
      <c r="CD391" s="4"/>
      <c r="CE391" s="4"/>
      <c r="CF391" s="4"/>
      <c r="CG391" s="4"/>
      <c r="CH391" s="4"/>
      <c r="CI391" s="5">
        <v>40039</v>
      </c>
      <c r="CJ391" s="5">
        <v>40108</v>
      </c>
      <c r="CK391" s="5">
        <v>40039</v>
      </c>
      <c r="CL391" s="4"/>
      <c r="CM391" s="4"/>
      <c r="CN391" s="4"/>
      <c r="CO391" s="4"/>
      <c r="CP391" s="4" t="s">
        <v>1318</v>
      </c>
      <c r="CQ391" s="4"/>
      <c r="CR391" s="5">
        <v>40108</v>
      </c>
      <c r="CS391" s="4"/>
      <c r="CT391" s="4"/>
      <c r="CU391" s="4"/>
      <c r="CV391" s="4"/>
      <c r="CW391" s="4"/>
      <c r="CX391" s="4"/>
      <c r="CY391" s="4"/>
      <c r="CZ391" s="4"/>
      <c r="DA391" s="4"/>
      <c r="DB391" s="4"/>
      <c r="DC391" s="4"/>
      <c r="DD391" s="4"/>
      <c r="DE391" s="4"/>
      <c r="DF391" s="4"/>
      <c r="DG391" s="4"/>
      <c r="DH391" s="4"/>
      <c r="DI391" s="4"/>
      <c r="DJ391" s="4" t="b">
        <v>0</v>
      </c>
      <c r="DK391" s="4"/>
      <c r="DL391" s="4">
        <v>2674271</v>
      </c>
      <c r="DM391" s="4">
        <v>6469253</v>
      </c>
      <c r="DN391" s="4" t="s">
        <v>1319</v>
      </c>
      <c r="DO391" s="4"/>
      <c r="DP391" s="4"/>
      <c r="DQ391" s="4" t="s">
        <v>148</v>
      </c>
      <c r="DR391" s="4"/>
      <c r="DS391" s="4"/>
      <c r="DT391" s="5">
        <v>41894</v>
      </c>
      <c r="DU391" s="4"/>
      <c r="DV391" s="4"/>
      <c r="DW391" s="4"/>
      <c r="DX391" s="4"/>
      <c r="DY391" s="5">
        <v>39986</v>
      </c>
      <c r="DZ391" s="5">
        <v>39986</v>
      </c>
      <c r="EA391" s="4"/>
      <c r="EB391" s="4"/>
      <c r="EC391" s="4"/>
      <c r="ED391" s="4"/>
      <c r="EE391" s="4"/>
      <c r="EF391" s="4"/>
      <c r="EG391" s="4"/>
      <c r="EH391" s="4"/>
      <c r="EI391" s="5">
        <v>39891</v>
      </c>
    </row>
    <row r="392" spans="1:139" hidden="1" x14ac:dyDescent="0.2">
      <c r="A392">
        <f>VLOOKUP(B392,Sheet1!$A$1:$B$18,2,FALSE)</f>
        <v>0</v>
      </c>
      <c r="B392" t="str">
        <f t="shared" si="7"/>
        <v>AKL</v>
      </c>
      <c r="C392" s="2">
        <v>391</v>
      </c>
      <c r="D392" s="3" t="str">
        <f>HYPERLINK("https://sitebase.nzcomms.co.nz/spm/spmnominalview/AKL-008-014/","AKL-008-014")</f>
        <v>AKL-008-014</v>
      </c>
      <c r="E392" s="4"/>
      <c r="F392" s="3" t="str">
        <f>HYPERLINK("https://sitebase.nzcomms.co.nz/spm/spmcandidateview/AKL-008-014-C/","AKL-008-014-C")</f>
        <v>AKL-008-014-C</v>
      </c>
      <c r="G392" s="4" t="s">
        <v>1320</v>
      </c>
      <c r="H392" s="4" t="s">
        <v>1296</v>
      </c>
      <c r="I392" s="4"/>
      <c r="J392" s="4" t="s">
        <v>139</v>
      </c>
      <c r="K392" s="4" t="s">
        <v>141</v>
      </c>
      <c r="L392" s="4" t="s">
        <v>150</v>
      </c>
      <c r="M392" s="4" t="s">
        <v>354</v>
      </c>
      <c r="N392" s="4" t="s">
        <v>156</v>
      </c>
      <c r="O392" s="4" t="s">
        <v>144</v>
      </c>
      <c r="P392" s="4"/>
      <c r="Q392" s="4"/>
      <c r="R392" s="4">
        <v>23.8</v>
      </c>
      <c r="S392" s="4">
        <v>23.8</v>
      </c>
      <c r="T392" s="4"/>
      <c r="U392" s="4">
        <v>-36.938427060000002</v>
      </c>
      <c r="V392" s="4">
        <v>174.88149555999999</v>
      </c>
      <c r="W392" s="4"/>
      <c r="X392" s="4"/>
      <c r="Y392" s="4"/>
      <c r="Z392" s="4"/>
      <c r="AA392" s="4" t="s">
        <v>171</v>
      </c>
      <c r="AB392" s="3" t="str">
        <f>HYPERLINK("https://sitebase.nzcomms.co.nz/spm/spmcandidateview/AKL-008-043-C/","AKL-008-043-C")</f>
        <v>AKL-008-043-C</v>
      </c>
      <c r="AC392" s="4"/>
      <c r="AD392" s="4"/>
      <c r="AE392" s="4"/>
      <c r="AF392" s="4"/>
      <c r="AG392" s="4"/>
      <c r="AH392" s="4"/>
      <c r="AI392" s="4"/>
      <c r="AJ392" s="4"/>
      <c r="AK392" s="4"/>
      <c r="AL392" s="4"/>
      <c r="AM392" s="4"/>
      <c r="AN392" s="5">
        <v>39787</v>
      </c>
      <c r="AO392" s="4">
        <v>7</v>
      </c>
      <c r="AP392" s="5">
        <v>39860</v>
      </c>
      <c r="AQ392" s="5">
        <v>42250</v>
      </c>
      <c r="AR392" s="4"/>
      <c r="AS392" s="4"/>
      <c r="AT392" s="5">
        <v>39892</v>
      </c>
      <c r="AU392" s="5">
        <v>39896</v>
      </c>
      <c r="AV392" s="4">
        <v>5</v>
      </c>
      <c r="AW392" s="5">
        <v>39892</v>
      </c>
      <c r="AX392" s="5">
        <v>39896</v>
      </c>
      <c r="AY392" s="4" t="s">
        <v>183</v>
      </c>
      <c r="AZ392" s="5">
        <v>39854</v>
      </c>
      <c r="BA392" s="5">
        <v>40751</v>
      </c>
      <c r="BB392" s="5">
        <v>39902</v>
      </c>
      <c r="BC392" s="5">
        <v>40772</v>
      </c>
      <c r="BD392" s="4">
        <v>6</v>
      </c>
      <c r="BE392" s="5">
        <v>39878</v>
      </c>
      <c r="BF392" s="5">
        <v>40773</v>
      </c>
      <c r="BG392" s="5">
        <v>39892</v>
      </c>
      <c r="BH392" s="5">
        <v>39890</v>
      </c>
      <c r="BI392" s="4"/>
      <c r="BJ392" s="5">
        <v>39931</v>
      </c>
      <c r="BK392" s="4">
        <v>4</v>
      </c>
      <c r="BL392" s="4"/>
      <c r="BM392" s="5">
        <v>39926</v>
      </c>
      <c r="BN392" s="5">
        <v>40834</v>
      </c>
      <c r="BO392" s="5">
        <v>39857</v>
      </c>
      <c r="BP392" s="4"/>
      <c r="BQ392" s="4"/>
      <c r="BR392" s="4"/>
      <c r="BS392" s="4"/>
      <c r="BT392" s="5">
        <v>39930</v>
      </c>
      <c r="BU392" s="5">
        <v>39930</v>
      </c>
      <c r="BV392" s="5">
        <v>39969</v>
      </c>
      <c r="BW392" s="5">
        <v>39969</v>
      </c>
      <c r="BX392" s="4"/>
      <c r="BY392" s="5">
        <v>39981</v>
      </c>
      <c r="BZ392" s="5">
        <v>39976</v>
      </c>
      <c r="CA392" s="4"/>
      <c r="CB392" s="4"/>
      <c r="CC392" s="4"/>
      <c r="CD392" s="4"/>
      <c r="CE392" s="4"/>
      <c r="CF392" s="4"/>
      <c r="CG392" s="4"/>
      <c r="CH392" s="4"/>
      <c r="CI392" s="5">
        <v>39981</v>
      </c>
      <c r="CJ392" s="5">
        <v>39982</v>
      </c>
      <c r="CK392" s="5">
        <v>39981</v>
      </c>
      <c r="CL392" s="4"/>
      <c r="CM392" s="4"/>
      <c r="CN392" s="4"/>
      <c r="CO392" s="4"/>
      <c r="CP392" s="4" t="s">
        <v>1321</v>
      </c>
      <c r="CQ392" s="4"/>
      <c r="CR392" s="5">
        <v>39982</v>
      </c>
      <c r="CS392" s="4"/>
      <c r="CT392" s="4"/>
      <c r="CU392" s="4"/>
      <c r="CV392" s="4"/>
      <c r="CW392" s="4"/>
      <c r="CX392" s="5">
        <v>39857</v>
      </c>
      <c r="CY392" s="4"/>
      <c r="CZ392" s="4"/>
      <c r="DA392" s="4"/>
      <c r="DB392" s="4"/>
      <c r="DC392" s="4"/>
      <c r="DD392" s="4"/>
      <c r="DE392" s="4"/>
      <c r="DF392" s="4"/>
      <c r="DG392" s="4"/>
      <c r="DH392" s="4"/>
      <c r="DI392" s="4"/>
      <c r="DJ392" s="4" t="b">
        <v>0</v>
      </c>
      <c r="DK392" s="4"/>
      <c r="DL392" s="4">
        <v>2677967</v>
      </c>
      <c r="DM392" s="4">
        <v>6471981</v>
      </c>
      <c r="DN392" s="4" t="s">
        <v>1322</v>
      </c>
      <c r="DO392" s="4"/>
      <c r="DP392" s="4" t="s">
        <v>1323</v>
      </c>
      <c r="DQ392" s="4" t="s">
        <v>148</v>
      </c>
      <c r="DR392" s="4"/>
      <c r="DS392" s="4"/>
      <c r="DT392" s="5">
        <v>41894</v>
      </c>
      <c r="DU392" s="4"/>
      <c r="DV392" s="4"/>
      <c r="DW392" s="4"/>
      <c r="DX392" s="4"/>
      <c r="DY392" s="5">
        <v>39930</v>
      </c>
      <c r="DZ392" s="5">
        <v>39930</v>
      </c>
      <c r="EA392" s="4"/>
      <c r="EB392" s="4"/>
      <c r="EC392" s="4"/>
      <c r="ED392" s="4"/>
      <c r="EE392" s="4"/>
      <c r="EF392" s="4"/>
      <c r="EG392" s="4"/>
      <c r="EH392" s="4"/>
      <c r="EI392" s="5">
        <v>39777</v>
      </c>
    </row>
    <row r="393" spans="1:139" hidden="1" x14ac:dyDescent="0.2">
      <c r="A393">
        <f>VLOOKUP(B393,Sheet1!$A$1:$B$18,2,FALSE)</f>
        <v>0</v>
      </c>
      <c r="B393" t="str">
        <f t="shared" si="7"/>
        <v>AKL</v>
      </c>
      <c r="C393" s="2">
        <v>392</v>
      </c>
      <c r="D393" s="3" t="str">
        <f>HYPERLINK("https://sitebase.nzcomms.co.nz/spm/spmnominalview/AKL-008-015/","AKL-008-015")</f>
        <v>AKL-008-015</v>
      </c>
      <c r="E393" s="4"/>
      <c r="F393" s="3" t="str">
        <f>HYPERLINK("https://sitebase.nzcomms.co.nz/spm/spmcandidateview/AKL-008-015-E/","AKL-008-015-E")</f>
        <v>AKL-008-015-E</v>
      </c>
      <c r="G393" s="4" t="s">
        <v>1324</v>
      </c>
      <c r="H393" s="4" t="s">
        <v>1296</v>
      </c>
      <c r="I393" s="4"/>
      <c r="J393" s="4" t="s">
        <v>139</v>
      </c>
      <c r="K393" s="4" t="s">
        <v>141</v>
      </c>
      <c r="L393" s="4" t="s">
        <v>181</v>
      </c>
      <c r="M393" s="4" t="s">
        <v>378</v>
      </c>
      <c r="N393" s="4" t="s">
        <v>364</v>
      </c>
      <c r="O393" s="4" t="s">
        <v>144</v>
      </c>
      <c r="P393" s="4"/>
      <c r="Q393" s="4"/>
      <c r="R393" s="4">
        <v>17</v>
      </c>
      <c r="S393" s="4">
        <v>17</v>
      </c>
      <c r="T393" s="4"/>
      <c r="U393" s="4">
        <v>-36.968091899999997</v>
      </c>
      <c r="V393" s="4">
        <v>174.86215826</v>
      </c>
      <c r="W393" s="4"/>
      <c r="X393" s="4"/>
      <c r="Y393" s="4"/>
      <c r="Z393" s="4"/>
      <c r="AA393" s="4" t="s">
        <v>171</v>
      </c>
      <c r="AB393" s="3" t="str">
        <f>HYPERLINK("https://sitebase.nzcomms.co.nz/spm/spmcandidateview/AKL-008-043-C/","AKL-008-043-C")</f>
        <v>AKL-008-043-C</v>
      </c>
      <c r="AC393" s="4"/>
      <c r="AD393" s="4"/>
      <c r="AE393" s="4"/>
      <c r="AF393" s="4"/>
      <c r="AG393" s="4"/>
      <c r="AH393" s="4"/>
      <c r="AI393" s="4"/>
      <c r="AJ393" s="4"/>
      <c r="AK393" s="4"/>
      <c r="AL393" s="4"/>
      <c r="AM393" s="4"/>
      <c r="AN393" s="5">
        <v>39927</v>
      </c>
      <c r="AO393" s="4">
        <v>5</v>
      </c>
      <c r="AP393" s="5">
        <v>40060</v>
      </c>
      <c r="AQ393" s="5">
        <v>40058</v>
      </c>
      <c r="AR393" s="4"/>
      <c r="AS393" s="4"/>
      <c r="AT393" s="5">
        <v>39948</v>
      </c>
      <c r="AU393" s="5">
        <v>39933</v>
      </c>
      <c r="AV393" s="4"/>
      <c r="AW393" s="5">
        <v>40087</v>
      </c>
      <c r="AX393" s="5">
        <v>40080</v>
      </c>
      <c r="AY393" s="4"/>
      <c r="AZ393" s="5">
        <v>39940</v>
      </c>
      <c r="BA393" s="4"/>
      <c r="BB393" s="5">
        <v>39990</v>
      </c>
      <c r="BC393" s="4"/>
      <c r="BD393" s="4"/>
      <c r="BE393" s="5">
        <v>40107</v>
      </c>
      <c r="BF393" s="5">
        <v>40113</v>
      </c>
      <c r="BG393" s="5">
        <v>39933</v>
      </c>
      <c r="BH393" s="5">
        <v>39918</v>
      </c>
      <c r="BI393" s="4"/>
      <c r="BJ393" s="5">
        <v>40059</v>
      </c>
      <c r="BK393" s="4">
        <v>1</v>
      </c>
      <c r="BL393" s="4">
        <v>1</v>
      </c>
      <c r="BM393" s="5">
        <v>40060</v>
      </c>
      <c r="BN393" s="5">
        <v>40059</v>
      </c>
      <c r="BO393" s="4"/>
      <c r="BP393" s="4"/>
      <c r="BQ393" s="4"/>
      <c r="BR393" s="4"/>
      <c r="BS393" s="4"/>
      <c r="BT393" s="5">
        <v>40049</v>
      </c>
      <c r="BU393" s="5">
        <v>40058</v>
      </c>
      <c r="BV393" s="5">
        <v>40099</v>
      </c>
      <c r="BW393" s="5">
        <v>40099</v>
      </c>
      <c r="BX393" s="4"/>
      <c r="BY393" s="5">
        <v>40106</v>
      </c>
      <c r="BZ393" s="5">
        <v>40106</v>
      </c>
      <c r="CA393" s="4"/>
      <c r="CB393" s="4"/>
      <c r="CC393" s="4"/>
      <c r="CD393" s="4"/>
      <c r="CE393" s="4"/>
      <c r="CF393" s="4"/>
      <c r="CG393" s="4"/>
      <c r="CH393" s="4"/>
      <c r="CI393" s="5">
        <v>40115</v>
      </c>
      <c r="CJ393" s="5">
        <v>40116</v>
      </c>
      <c r="CK393" s="5">
        <v>40115</v>
      </c>
      <c r="CL393" s="4"/>
      <c r="CM393" s="4"/>
      <c r="CN393" s="4"/>
      <c r="CO393" s="4"/>
      <c r="CP393" s="4" t="s">
        <v>157</v>
      </c>
      <c r="CQ393" s="4"/>
      <c r="CR393" s="5">
        <v>40116</v>
      </c>
      <c r="CS393" s="4"/>
      <c r="CT393" s="4"/>
      <c r="CU393" s="4"/>
      <c r="CV393" s="4"/>
      <c r="CW393" s="4"/>
      <c r="CX393" s="4"/>
      <c r="CY393" s="4"/>
      <c r="CZ393" s="4"/>
      <c r="DA393" s="4"/>
      <c r="DB393" s="4"/>
      <c r="DC393" s="4"/>
      <c r="DD393" s="4"/>
      <c r="DE393" s="4"/>
      <c r="DF393" s="4"/>
      <c r="DG393" s="4"/>
      <c r="DH393" s="4"/>
      <c r="DI393" s="4"/>
      <c r="DJ393" s="4" t="b">
        <v>0</v>
      </c>
      <c r="DK393" s="4"/>
      <c r="DL393" s="4">
        <v>2676174</v>
      </c>
      <c r="DM393" s="4">
        <v>6468727</v>
      </c>
      <c r="DN393" s="4" t="s">
        <v>1325</v>
      </c>
      <c r="DO393" s="4"/>
      <c r="DP393" s="4"/>
      <c r="DQ393" s="4" t="s">
        <v>148</v>
      </c>
      <c r="DR393" s="4"/>
      <c r="DS393" s="4"/>
      <c r="DT393" s="5">
        <v>41894</v>
      </c>
      <c r="DU393" s="4"/>
      <c r="DV393" s="4"/>
      <c r="DW393" s="4"/>
      <c r="DX393" s="4"/>
      <c r="DY393" s="5">
        <v>40058</v>
      </c>
      <c r="DZ393" s="5">
        <v>40058</v>
      </c>
      <c r="EA393" s="4"/>
      <c r="EB393" s="4"/>
      <c r="EC393" s="4"/>
      <c r="ED393" s="4"/>
      <c r="EE393" s="4"/>
      <c r="EF393" s="4"/>
      <c r="EG393" s="4"/>
      <c r="EH393" s="4"/>
      <c r="EI393" s="5">
        <v>39891</v>
      </c>
    </row>
    <row r="394" spans="1:139" hidden="1" x14ac:dyDescent="0.2">
      <c r="A394">
        <f>VLOOKUP(B394,Sheet1!$A$1:$B$18,2,FALSE)</f>
        <v>0</v>
      </c>
      <c r="B394" t="str">
        <f t="shared" si="7"/>
        <v>AKL</v>
      </c>
      <c r="C394" s="2">
        <v>393</v>
      </c>
      <c r="D394" s="3" t="str">
        <f>HYPERLINK("https://sitebase.nzcomms.co.nz/spm/spmnominalview/AKL-008-016/","AKL-008-016")</f>
        <v>AKL-008-016</v>
      </c>
      <c r="E394" s="4"/>
      <c r="F394" s="3" t="str">
        <f>HYPERLINK("https://sitebase.nzcomms.co.nz/spm/spmcandidateview/AKL-008-016-G/","AKL-008-016-G")</f>
        <v>AKL-008-016-G</v>
      </c>
      <c r="G394" s="4" t="s">
        <v>1326</v>
      </c>
      <c r="H394" s="4" t="s">
        <v>1296</v>
      </c>
      <c r="I394" s="4"/>
      <c r="J394" s="4" t="s">
        <v>139</v>
      </c>
      <c r="K394" s="4" t="s">
        <v>141</v>
      </c>
      <c r="L394" s="4" t="s">
        <v>150</v>
      </c>
      <c r="M394" s="4" t="s">
        <v>368</v>
      </c>
      <c r="N394" s="4" t="s">
        <v>156</v>
      </c>
      <c r="O394" s="4" t="s">
        <v>356</v>
      </c>
      <c r="P394" s="4"/>
      <c r="Q394" s="4"/>
      <c r="R394" s="4"/>
      <c r="S394" s="4"/>
      <c r="T394" s="4"/>
      <c r="U394" s="4">
        <v>-36.947635329999997</v>
      </c>
      <c r="V394" s="4">
        <v>174.82828000999999</v>
      </c>
      <c r="W394" s="4"/>
      <c r="X394" s="4"/>
      <c r="Y394" s="4"/>
      <c r="Z394" s="4"/>
      <c r="AA394" s="4" t="s">
        <v>171</v>
      </c>
      <c r="AB394" s="3" t="str">
        <f>HYPERLINK("https://sitebase.nzcomms.co.nz/spm/spmcandidateview/AKL-008-003-A/","AKL-008-003-A")</f>
        <v>AKL-008-003-A</v>
      </c>
      <c r="AC394" s="4"/>
      <c r="AD394" s="4"/>
      <c r="AE394" s="4"/>
      <c r="AF394" s="4"/>
      <c r="AG394" s="4"/>
      <c r="AH394" s="4"/>
      <c r="AI394" s="4"/>
      <c r="AJ394" s="4"/>
      <c r="AK394" s="4"/>
      <c r="AL394" s="4"/>
      <c r="AM394" s="4"/>
      <c r="AN394" s="5">
        <v>40043</v>
      </c>
      <c r="AO394" s="4">
        <v>3</v>
      </c>
      <c r="AP394" s="5">
        <v>40065</v>
      </c>
      <c r="AQ394" s="5">
        <v>40065</v>
      </c>
      <c r="AR394" s="4"/>
      <c r="AS394" s="4"/>
      <c r="AT394" s="4"/>
      <c r="AU394" s="5">
        <v>39903</v>
      </c>
      <c r="AV394" s="4"/>
      <c r="AW394" s="5">
        <v>40081</v>
      </c>
      <c r="AX394" s="5">
        <v>40086</v>
      </c>
      <c r="AY394" s="4"/>
      <c r="AZ394" s="5">
        <v>40058</v>
      </c>
      <c r="BA394" s="4"/>
      <c r="BB394" s="5">
        <v>40100</v>
      </c>
      <c r="BC394" s="4"/>
      <c r="BD394" s="4"/>
      <c r="BE394" s="5">
        <v>40116</v>
      </c>
      <c r="BF394" s="5">
        <v>40107</v>
      </c>
      <c r="BG394" s="5">
        <v>40049</v>
      </c>
      <c r="BH394" s="5">
        <v>40051</v>
      </c>
      <c r="BI394" s="4"/>
      <c r="BJ394" s="5">
        <v>40102</v>
      </c>
      <c r="BK394" s="4">
        <v>1</v>
      </c>
      <c r="BL394" s="4"/>
      <c r="BM394" s="5">
        <v>40102</v>
      </c>
      <c r="BN394" s="5">
        <v>40102</v>
      </c>
      <c r="BO394" s="5">
        <v>39846</v>
      </c>
      <c r="BP394" s="4"/>
      <c r="BQ394" s="4"/>
      <c r="BR394" s="4"/>
      <c r="BS394" s="4"/>
      <c r="BT394" s="5">
        <v>40119</v>
      </c>
      <c r="BU394" s="5">
        <v>40119</v>
      </c>
      <c r="BV394" s="5">
        <v>40137</v>
      </c>
      <c r="BW394" s="5">
        <v>40137</v>
      </c>
      <c r="BX394" s="4"/>
      <c r="BY394" s="5">
        <v>40142</v>
      </c>
      <c r="BZ394" s="5">
        <v>40140</v>
      </c>
      <c r="CA394" s="4"/>
      <c r="CB394" s="4"/>
      <c r="CC394" s="4"/>
      <c r="CD394" s="4"/>
      <c r="CE394" s="4"/>
      <c r="CF394" s="4"/>
      <c r="CG394" s="4"/>
      <c r="CH394" s="4"/>
      <c r="CI394" s="5">
        <v>40142</v>
      </c>
      <c r="CJ394" s="5">
        <v>40147</v>
      </c>
      <c r="CK394" s="5">
        <v>40142</v>
      </c>
      <c r="CL394" s="4"/>
      <c r="CM394" s="4"/>
      <c r="CN394" s="4"/>
      <c r="CO394" s="4"/>
      <c r="CP394" s="4" t="s">
        <v>157</v>
      </c>
      <c r="CQ394" s="4"/>
      <c r="CR394" s="5">
        <v>40147</v>
      </c>
      <c r="CS394" s="4"/>
      <c r="CT394" s="4"/>
      <c r="CU394" s="4"/>
      <c r="CV394" s="4"/>
      <c r="CW394" s="4"/>
      <c r="CX394" s="5">
        <v>39846</v>
      </c>
      <c r="CY394" s="4"/>
      <c r="CZ394" s="4"/>
      <c r="DA394" s="4"/>
      <c r="DB394" s="4"/>
      <c r="DC394" s="4"/>
      <c r="DD394" s="4"/>
      <c r="DE394" s="4"/>
      <c r="DF394" s="4"/>
      <c r="DG394" s="4"/>
      <c r="DH394" s="4"/>
      <c r="DI394" s="4"/>
      <c r="DJ394" s="4" t="b">
        <v>0</v>
      </c>
      <c r="DK394" s="4"/>
      <c r="DL394" s="4">
        <v>2673206</v>
      </c>
      <c r="DM394" s="4">
        <v>6471061</v>
      </c>
      <c r="DN394" s="4" t="s">
        <v>1327</v>
      </c>
      <c r="DO394" s="4"/>
      <c r="DP394" s="4"/>
      <c r="DQ394" s="4" t="s">
        <v>148</v>
      </c>
      <c r="DR394" s="4"/>
      <c r="DS394" s="4"/>
      <c r="DT394" s="5">
        <v>41863</v>
      </c>
      <c r="DU394" s="4"/>
      <c r="DV394" s="4"/>
      <c r="DW394" s="4"/>
      <c r="DX394" s="4"/>
      <c r="DY394" s="4"/>
      <c r="DZ394" s="5">
        <v>40119</v>
      </c>
      <c r="EA394" s="4"/>
      <c r="EB394" s="4"/>
      <c r="EC394" s="4"/>
      <c r="ED394" s="4"/>
      <c r="EE394" s="4"/>
      <c r="EF394" s="4"/>
      <c r="EG394" s="4"/>
      <c r="EH394" s="4"/>
      <c r="EI394" s="5">
        <v>40031</v>
      </c>
    </row>
    <row r="395" spans="1:139" hidden="1" x14ac:dyDescent="0.2">
      <c r="A395">
        <f>VLOOKUP(B395,Sheet1!$A$1:$B$18,2,FALSE)</f>
        <v>0</v>
      </c>
      <c r="B395" t="str">
        <f t="shared" si="7"/>
        <v>AKL</v>
      </c>
      <c r="C395" s="2">
        <v>394</v>
      </c>
      <c r="D395" s="3" t="str">
        <f>HYPERLINK("https://sitebase.nzcomms.co.nz/spm/spmnominalview/AKL-008-017/","AKL-008-017")</f>
        <v>AKL-008-017</v>
      </c>
      <c r="E395" s="4"/>
      <c r="F395" s="3" t="str">
        <f>HYPERLINK("https://sitebase.nzcomms.co.nz/spm/spmcandidateview/AKL-008-017-E/","AKL-008-017-E")</f>
        <v>AKL-008-017-E</v>
      </c>
      <c r="G395" s="4" t="s">
        <v>1328</v>
      </c>
      <c r="H395" s="4" t="s">
        <v>1296</v>
      </c>
      <c r="I395" s="4"/>
      <c r="J395" s="4" t="s">
        <v>139</v>
      </c>
      <c r="K395" s="4" t="s">
        <v>141</v>
      </c>
      <c r="L395" s="4" t="s">
        <v>150</v>
      </c>
      <c r="M395" s="4" t="s">
        <v>354</v>
      </c>
      <c r="N395" s="4" t="s">
        <v>291</v>
      </c>
      <c r="O395" s="4" t="s">
        <v>144</v>
      </c>
      <c r="P395" s="4"/>
      <c r="Q395" s="4"/>
      <c r="R395" s="4">
        <v>20</v>
      </c>
      <c r="S395" s="4">
        <v>20</v>
      </c>
      <c r="T395" s="4"/>
      <c r="U395" s="4">
        <v>-37.000756459999998</v>
      </c>
      <c r="V395" s="4">
        <v>174.87462060999999</v>
      </c>
      <c r="W395" s="4"/>
      <c r="X395" s="4"/>
      <c r="Y395" s="4"/>
      <c r="Z395" s="4"/>
      <c r="AA395" s="4" t="s">
        <v>171</v>
      </c>
      <c r="AB395" s="3" t="str">
        <f>HYPERLINK("https://sitebase.nzcomms.co.nz/spm/spmcandidateview/AKL-008-036-J/","AKL-008-036-J")</f>
        <v>AKL-008-036-J</v>
      </c>
      <c r="AC395" s="4"/>
      <c r="AD395" s="4"/>
      <c r="AE395" s="4"/>
      <c r="AF395" s="4"/>
      <c r="AG395" s="4"/>
      <c r="AH395" s="4" t="s">
        <v>357</v>
      </c>
      <c r="AI395" s="4"/>
      <c r="AJ395" s="4"/>
      <c r="AK395" s="4"/>
      <c r="AL395" s="4"/>
      <c r="AM395" s="4"/>
      <c r="AN395" s="5">
        <v>39660</v>
      </c>
      <c r="AO395" s="4">
        <v>2</v>
      </c>
      <c r="AP395" s="5">
        <v>39770</v>
      </c>
      <c r="AQ395" s="5">
        <v>39770</v>
      </c>
      <c r="AR395" s="4"/>
      <c r="AS395" s="4"/>
      <c r="AT395" s="4"/>
      <c r="AU395" s="5">
        <v>39639</v>
      </c>
      <c r="AV395" s="4">
        <v>1</v>
      </c>
      <c r="AW395" s="4"/>
      <c r="AX395" s="5">
        <v>39639</v>
      </c>
      <c r="AY395" s="4"/>
      <c r="AZ395" s="4"/>
      <c r="BA395" s="4"/>
      <c r="BB395" s="4"/>
      <c r="BC395" s="4"/>
      <c r="BD395" s="4"/>
      <c r="BE395" s="5">
        <v>39780</v>
      </c>
      <c r="BF395" s="5">
        <v>39780</v>
      </c>
      <c r="BG395" s="4"/>
      <c r="BH395" s="5">
        <v>39687</v>
      </c>
      <c r="BI395" s="4"/>
      <c r="BJ395" s="5">
        <v>39708</v>
      </c>
      <c r="BK395" s="4">
        <v>2</v>
      </c>
      <c r="BL395" s="4">
        <v>2</v>
      </c>
      <c r="BM395" s="5">
        <v>39770</v>
      </c>
      <c r="BN395" s="5">
        <v>39770</v>
      </c>
      <c r="BO395" s="5">
        <v>39843</v>
      </c>
      <c r="BP395" s="4"/>
      <c r="BQ395" s="4"/>
      <c r="BR395" s="4"/>
      <c r="BS395" s="4"/>
      <c r="BT395" s="4"/>
      <c r="BU395" s="5">
        <v>39756</v>
      </c>
      <c r="BV395" s="5">
        <v>39864</v>
      </c>
      <c r="BW395" s="5">
        <v>39864</v>
      </c>
      <c r="BX395" s="4"/>
      <c r="BY395" s="5">
        <v>39864</v>
      </c>
      <c r="BZ395" s="5">
        <v>39864</v>
      </c>
      <c r="CA395" s="4"/>
      <c r="CB395" s="4"/>
      <c r="CC395" s="4"/>
      <c r="CD395" s="4"/>
      <c r="CE395" s="4"/>
      <c r="CF395" s="4"/>
      <c r="CG395" s="4"/>
      <c r="CH395" s="4"/>
      <c r="CI395" s="5">
        <v>39870</v>
      </c>
      <c r="CJ395" s="5">
        <v>39871</v>
      </c>
      <c r="CK395" s="5">
        <v>39870</v>
      </c>
      <c r="CL395" s="4"/>
      <c r="CM395" s="4"/>
      <c r="CN395" s="4"/>
      <c r="CO395" s="4"/>
      <c r="CP395" s="4" t="s">
        <v>428</v>
      </c>
      <c r="CQ395" s="4"/>
      <c r="CR395" s="5">
        <v>39871</v>
      </c>
      <c r="CS395" s="4"/>
      <c r="CT395" s="4"/>
      <c r="CU395" s="4"/>
      <c r="CV395" s="4"/>
      <c r="CW395" s="5">
        <v>39854</v>
      </c>
      <c r="CX395" s="5">
        <v>39843</v>
      </c>
      <c r="CY395" s="4"/>
      <c r="CZ395" s="4"/>
      <c r="DA395" s="4"/>
      <c r="DB395" s="4"/>
      <c r="DC395" s="4"/>
      <c r="DD395" s="4"/>
      <c r="DE395" s="4"/>
      <c r="DF395" s="4"/>
      <c r="DG395" s="4"/>
      <c r="DH395" s="4"/>
      <c r="DI395" s="4"/>
      <c r="DJ395" s="4" t="b">
        <v>0</v>
      </c>
      <c r="DK395" s="4"/>
      <c r="DL395" s="4">
        <v>2677205</v>
      </c>
      <c r="DM395" s="4">
        <v>6465079</v>
      </c>
      <c r="DN395" s="4" t="s">
        <v>1329</v>
      </c>
      <c r="DO395" s="4"/>
      <c r="DP395" s="4"/>
      <c r="DQ395" s="4" t="s">
        <v>148</v>
      </c>
      <c r="DR395" s="4"/>
      <c r="DS395" s="4"/>
      <c r="DT395" s="5">
        <v>41894</v>
      </c>
      <c r="DU395" s="4"/>
      <c r="DV395" s="4"/>
      <c r="DW395" s="4"/>
      <c r="DX395" s="4"/>
      <c r="DY395" s="5">
        <v>39755</v>
      </c>
      <c r="DZ395" s="5">
        <v>39755</v>
      </c>
      <c r="EA395" s="4"/>
      <c r="EB395" s="4"/>
      <c r="EC395" s="4"/>
      <c r="ED395" s="4"/>
      <c r="EE395" s="4"/>
      <c r="EF395" s="4"/>
      <c r="EG395" s="4"/>
      <c r="EH395" s="4"/>
      <c r="EI395" s="5">
        <v>39645</v>
      </c>
    </row>
    <row r="396" spans="1:139" hidden="1" x14ac:dyDescent="0.2">
      <c r="A396">
        <f>VLOOKUP(B396,Sheet1!$A$1:$B$18,2,FALSE)</f>
        <v>0</v>
      </c>
      <c r="B396" t="str">
        <f t="shared" si="7"/>
        <v>AKL</v>
      </c>
      <c r="C396" s="2">
        <v>395</v>
      </c>
      <c r="D396" s="3" t="str">
        <f>HYPERLINK("https://sitebase.nzcomms.co.nz/spm/spmnominalview/AKL-008-018/","AKL-008-018")</f>
        <v>AKL-008-018</v>
      </c>
      <c r="E396" s="4"/>
      <c r="F396" s="3" t="str">
        <f>HYPERLINK("https://sitebase.nzcomms.co.nz/spm/spmcandidateview/AKL-008-018-A/","AKL-008-018-A")</f>
        <v>AKL-008-018-A</v>
      </c>
      <c r="G396" s="4" t="s">
        <v>1330</v>
      </c>
      <c r="H396" s="4" t="s">
        <v>1296</v>
      </c>
      <c r="I396" s="4">
        <v>3</v>
      </c>
      <c r="J396" s="4" t="s">
        <v>139</v>
      </c>
      <c r="K396" s="4" t="s">
        <v>141</v>
      </c>
      <c r="L396" s="4" t="s">
        <v>181</v>
      </c>
      <c r="M396" s="4" t="s">
        <v>378</v>
      </c>
      <c r="N396" s="4" t="s">
        <v>364</v>
      </c>
      <c r="O396" s="4" t="s">
        <v>144</v>
      </c>
      <c r="P396" s="4"/>
      <c r="Q396" s="4"/>
      <c r="R396" s="4">
        <v>42.2</v>
      </c>
      <c r="S396" s="4">
        <v>42.2</v>
      </c>
      <c r="T396" s="4"/>
      <c r="U396" s="4">
        <v>-36.991854170000003</v>
      </c>
      <c r="V396" s="4">
        <v>174.87860523000001</v>
      </c>
      <c r="W396" s="4"/>
      <c r="X396" s="4"/>
      <c r="Y396" s="4"/>
      <c r="Z396" s="4"/>
      <c r="AA396" s="4"/>
      <c r="AB396" s="4"/>
      <c r="AC396" s="4" t="b">
        <v>0</v>
      </c>
      <c r="AD396" s="4" t="b">
        <v>0</v>
      </c>
      <c r="AE396" s="4"/>
      <c r="AF396" s="4"/>
      <c r="AG396" s="4" t="b">
        <v>0</v>
      </c>
      <c r="AH396" s="4"/>
      <c r="AI396" s="4"/>
      <c r="AJ396" s="4"/>
      <c r="AK396" s="4"/>
      <c r="AL396" s="4"/>
      <c r="AM396" s="4"/>
      <c r="AN396" s="5">
        <v>39324</v>
      </c>
      <c r="AO396" s="4">
        <v>6</v>
      </c>
      <c r="AP396" s="4"/>
      <c r="AQ396" s="5">
        <v>40861</v>
      </c>
      <c r="AR396" s="4"/>
      <c r="AS396" s="4"/>
      <c r="AT396" s="5">
        <v>39482</v>
      </c>
      <c r="AU396" s="5">
        <v>39482</v>
      </c>
      <c r="AV396" s="4">
        <v>4</v>
      </c>
      <c r="AW396" s="5">
        <v>39482</v>
      </c>
      <c r="AX396" s="5">
        <v>39482</v>
      </c>
      <c r="AY396" s="4" t="s">
        <v>183</v>
      </c>
      <c r="AZ396" s="4"/>
      <c r="BA396" s="5">
        <v>40976</v>
      </c>
      <c r="BB396" s="5">
        <v>39472</v>
      </c>
      <c r="BC396" s="5">
        <v>41004</v>
      </c>
      <c r="BD396" s="4">
        <v>6</v>
      </c>
      <c r="BE396" s="5">
        <v>39472</v>
      </c>
      <c r="BF396" s="5">
        <v>39941</v>
      </c>
      <c r="BG396" s="4"/>
      <c r="BH396" s="5">
        <v>39378</v>
      </c>
      <c r="BI396" s="4"/>
      <c r="BJ396" s="5">
        <v>39497</v>
      </c>
      <c r="BK396" s="4">
        <v>6</v>
      </c>
      <c r="BL396" s="4"/>
      <c r="BM396" s="5">
        <v>39912</v>
      </c>
      <c r="BN396" s="5">
        <v>41184</v>
      </c>
      <c r="BO396" s="4"/>
      <c r="BP396" s="4"/>
      <c r="BQ396" s="4"/>
      <c r="BR396" s="4"/>
      <c r="BS396" s="4"/>
      <c r="BT396" s="4"/>
      <c r="BU396" s="5">
        <v>39598</v>
      </c>
      <c r="BV396" s="5">
        <v>39605</v>
      </c>
      <c r="BW396" s="5">
        <v>39605</v>
      </c>
      <c r="BX396" s="4"/>
      <c r="BY396" s="5">
        <v>39613</v>
      </c>
      <c r="BZ396" s="5">
        <v>39619</v>
      </c>
      <c r="CA396" s="4"/>
      <c r="CB396" s="4"/>
      <c r="CC396" s="4"/>
      <c r="CD396" s="4"/>
      <c r="CE396" s="4"/>
      <c r="CF396" s="4"/>
      <c r="CG396" s="4"/>
      <c r="CH396" s="4"/>
      <c r="CI396" s="5">
        <v>39813</v>
      </c>
      <c r="CJ396" s="5">
        <v>39871</v>
      </c>
      <c r="CK396" s="5">
        <v>39813</v>
      </c>
      <c r="CL396" s="4"/>
      <c r="CM396" s="4"/>
      <c r="CN396" s="4"/>
      <c r="CO396" s="4"/>
      <c r="CP396" s="4" t="s">
        <v>1331</v>
      </c>
      <c r="CQ396" s="4"/>
      <c r="CR396" s="5">
        <v>39871</v>
      </c>
      <c r="CS396" s="4"/>
      <c r="CT396" s="4"/>
      <c r="CU396" s="4"/>
      <c r="CV396" s="4"/>
      <c r="CW396" s="4"/>
      <c r="CX396" s="4"/>
      <c r="CY396" s="4"/>
      <c r="CZ396" s="4"/>
      <c r="DA396" s="4"/>
      <c r="DB396" s="4"/>
      <c r="DC396" s="4"/>
      <c r="DD396" s="4"/>
      <c r="DE396" s="4"/>
      <c r="DF396" s="4"/>
      <c r="DG396" s="4"/>
      <c r="DH396" s="4"/>
      <c r="DI396" s="4"/>
      <c r="DJ396" s="4" t="b">
        <v>0</v>
      </c>
      <c r="DK396" s="4"/>
      <c r="DL396" s="4">
        <v>2677581</v>
      </c>
      <c r="DM396" s="4">
        <v>6466059</v>
      </c>
      <c r="DN396" s="4" t="s">
        <v>1332</v>
      </c>
      <c r="DO396" s="4"/>
      <c r="DP396" s="4" t="s">
        <v>1333</v>
      </c>
      <c r="DQ396" s="4" t="s">
        <v>148</v>
      </c>
      <c r="DR396" s="4"/>
      <c r="DS396" s="4"/>
      <c r="DT396" s="5">
        <v>41894</v>
      </c>
      <c r="DU396" s="4"/>
      <c r="DV396" s="4"/>
      <c r="DW396" s="4"/>
      <c r="DX396" s="4"/>
      <c r="DY396" s="4"/>
      <c r="DZ396" s="5">
        <v>39532</v>
      </c>
      <c r="EA396" s="4"/>
      <c r="EB396" s="4"/>
      <c r="EC396" s="4"/>
      <c r="ED396" s="4"/>
      <c r="EE396" s="4"/>
      <c r="EF396" s="4"/>
      <c r="EG396" s="4"/>
      <c r="EH396" s="4"/>
      <c r="EI396" s="5">
        <v>39324</v>
      </c>
    </row>
    <row r="397" spans="1:139" hidden="1" x14ac:dyDescent="0.2">
      <c r="A397">
        <f>VLOOKUP(B397,Sheet1!$A$1:$B$18,2,FALSE)</f>
        <v>0</v>
      </c>
      <c r="B397" t="str">
        <f t="shared" si="7"/>
        <v>AKL</v>
      </c>
      <c r="C397" s="2">
        <v>396</v>
      </c>
      <c r="D397" s="3" t="str">
        <f>HYPERLINK("https://sitebase.nzcomms.co.nz/spm/spmnominalview/AKL-008-019/","AKL-008-019")</f>
        <v>AKL-008-019</v>
      </c>
      <c r="E397" s="4"/>
      <c r="F397" s="3" t="str">
        <f>HYPERLINK("https://sitebase.nzcomms.co.nz/spm/spmcandidateview/AKL-008-019-B/","AKL-008-019-B")</f>
        <v>AKL-008-019-B</v>
      </c>
      <c r="G397" s="4" t="s">
        <v>1334</v>
      </c>
      <c r="H397" s="4" t="s">
        <v>1296</v>
      </c>
      <c r="I397" s="4"/>
      <c r="J397" s="4" t="s">
        <v>139</v>
      </c>
      <c r="K397" s="4" t="s">
        <v>141</v>
      </c>
      <c r="L397" s="4" t="s">
        <v>189</v>
      </c>
      <c r="M397" s="4" t="s">
        <v>354</v>
      </c>
      <c r="N397" s="4" t="s">
        <v>191</v>
      </c>
      <c r="O397" s="4" t="s">
        <v>356</v>
      </c>
      <c r="P397" s="4"/>
      <c r="Q397" s="4"/>
      <c r="R397" s="4">
        <v>14.2</v>
      </c>
      <c r="S397" s="4">
        <v>14.2</v>
      </c>
      <c r="T397" s="4"/>
      <c r="U397" s="4">
        <v>-36.973722739999999</v>
      </c>
      <c r="V397" s="4">
        <v>174.83708985999999</v>
      </c>
      <c r="W397" s="4"/>
      <c r="X397" s="4"/>
      <c r="Y397" s="4"/>
      <c r="Z397" s="4"/>
      <c r="AA397" s="4" t="s">
        <v>446</v>
      </c>
      <c r="AB397" s="4" t="s">
        <v>1335</v>
      </c>
      <c r="AC397" s="4"/>
      <c r="AD397" s="4"/>
      <c r="AE397" s="4"/>
      <c r="AF397" s="4"/>
      <c r="AG397" s="4"/>
      <c r="AH397" s="4"/>
      <c r="AI397" s="4"/>
      <c r="AJ397" s="4"/>
      <c r="AK397" s="4"/>
      <c r="AL397" s="4"/>
      <c r="AM397" s="4"/>
      <c r="AN397" s="5">
        <v>39505</v>
      </c>
      <c r="AO397" s="4">
        <v>5</v>
      </c>
      <c r="AP397" s="5">
        <v>39821</v>
      </c>
      <c r="AQ397" s="5">
        <v>39821</v>
      </c>
      <c r="AR397" s="4"/>
      <c r="AS397" s="4"/>
      <c r="AT397" s="5">
        <v>39629</v>
      </c>
      <c r="AU397" s="5">
        <v>39629</v>
      </c>
      <c r="AV397" s="4">
        <v>3</v>
      </c>
      <c r="AW397" s="5">
        <v>39629</v>
      </c>
      <c r="AX397" s="5">
        <v>39629</v>
      </c>
      <c r="AY397" s="4"/>
      <c r="AZ397" s="4"/>
      <c r="BA397" s="4"/>
      <c r="BB397" s="5">
        <v>39780</v>
      </c>
      <c r="BC397" s="4"/>
      <c r="BD397" s="4"/>
      <c r="BE397" s="5">
        <v>39878</v>
      </c>
      <c r="BF397" s="5">
        <v>39885</v>
      </c>
      <c r="BG397" s="4"/>
      <c r="BH397" s="5">
        <v>39567</v>
      </c>
      <c r="BI397" s="4"/>
      <c r="BJ397" s="5">
        <v>39588</v>
      </c>
      <c r="BK397" s="4">
        <v>3</v>
      </c>
      <c r="BL397" s="4">
        <v>5</v>
      </c>
      <c r="BM397" s="5">
        <v>39821</v>
      </c>
      <c r="BN397" s="5">
        <v>39821</v>
      </c>
      <c r="BO397" s="5">
        <v>39832</v>
      </c>
      <c r="BP397" s="4"/>
      <c r="BQ397" s="4"/>
      <c r="BR397" s="4"/>
      <c r="BS397" s="4"/>
      <c r="BT397" s="4"/>
      <c r="BU397" s="5">
        <v>39840</v>
      </c>
      <c r="BV397" s="5">
        <v>39857</v>
      </c>
      <c r="BW397" s="5">
        <v>39856</v>
      </c>
      <c r="BX397" s="4"/>
      <c r="BY397" s="5">
        <v>39857</v>
      </c>
      <c r="BZ397" s="5">
        <v>39857</v>
      </c>
      <c r="CA397" s="4"/>
      <c r="CB397" s="4"/>
      <c r="CC397" s="4"/>
      <c r="CD397" s="4"/>
      <c r="CE397" s="4"/>
      <c r="CF397" s="4"/>
      <c r="CG397" s="4"/>
      <c r="CH397" s="4"/>
      <c r="CI397" s="5">
        <v>39892</v>
      </c>
      <c r="CJ397" s="5">
        <v>39896</v>
      </c>
      <c r="CK397" s="5">
        <v>39892</v>
      </c>
      <c r="CL397" s="4"/>
      <c r="CM397" s="4"/>
      <c r="CN397" s="4"/>
      <c r="CO397" s="4"/>
      <c r="CP397" s="4" t="s">
        <v>157</v>
      </c>
      <c r="CQ397" s="4"/>
      <c r="CR397" s="5">
        <v>39896</v>
      </c>
      <c r="CS397" s="4"/>
      <c r="CT397" s="4"/>
      <c r="CU397" s="4"/>
      <c r="CV397" s="4"/>
      <c r="CW397" s="4"/>
      <c r="CX397" s="5">
        <v>39832</v>
      </c>
      <c r="CY397" s="4"/>
      <c r="CZ397" s="4"/>
      <c r="DA397" s="4"/>
      <c r="DB397" s="4"/>
      <c r="DC397" s="4"/>
      <c r="DD397" s="4"/>
      <c r="DE397" s="4"/>
      <c r="DF397" s="4"/>
      <c r="DG397" s="4"/>
      <c r="DH397" s="4"/>
      <c r="DI397" s="4"/>
      <c r="DJ397" s="4" t="b">
        <v>0</v>
      </c>
      <c r="DK397" s="4"/>
      <c r="DL397" s="4">
        <v>2673929</v>
      </c>
      <c r="DM397" s="4">
        <v>6468150</v>
      </c>
      <c r="DN397" s="4" t="s">
        <v>1336</v>
      </c>
      <c r="DO397" s="4"/>
      <c r="DP397" s="4"/>
      <c r="DQ397" s="4" t="s">
        <v>148</v>
      </c>
      <c r="DR397" s="4"/>
      <c r="DS397" s="4"/>
      <c r="DT397" s="5">
        <v>41894</v>
      </c>
      <c r="DU397" s="4"/>
      <c r="DV397" s="4"/>
      <c r="DW397" s="4"/>
      <c r="DX397" s="4"/>
      <c r="DY397" s="4"/>
      <c r="DZ397" s="5">
        <v>39787</v>
      </c>
      <c r="EA397" s="4"/>
      <c r="EB397" s="4"/>
      <c r="EC397" s="4"/>
      <c r="ED397" s="4"/>
      <c r="EE397" s="4"/>
      <c r="EF397" s="4"/>
      <c r="EG397" s="4"/>
      <c r="EH397" s="4"/>
      <c r="EI397" s="5">
        <v>39478</v>
      </c>
    </row>
    <row r="398" spans="1:139" hidden="1" x14ac:dyDescent="0.2">
      <c r="A398">
        <f>VLOOKUP(B398,Sheet1!$A$1:$B$18,2,FALSE)</f>
        <v>0</v>
      </c>
      <c r="B398" t="str">
        <f t="shared" si="7"/>
        <v>AKL</v>
      </c>
      <c r="C398" s="2">
        <v>397</v>
      </c>
      <c r="D398" s="3" t="str">
        <f>HYPERLINK("https://sitebase.nzcomms.co.nz/spm/spmnominalview/AKL-008-020/","AKL-008-020")</f>
        <v>AKL-008-020</v>
      </c>
      <c r="E398" s="4"/>
      <c r="F398" s="3" t="str">
        <f>HYPERLINK("https://sitebase.nzcomms.co.nz/spm/spmcandidateview/AKL-008-020-C/","AKL-008-020-C")</f>
        <v>AKL-008-020-C</v>
      </c>
      <c r="G398" s="4" t="s">
        <v>1337</v>
      </c>
      <c r="H398" s="4" t="s">
        <v>1296</v>
      </c>
      <c r="I398" s="4"/>
      <c r="J398" s="4" t="s">
        <v>139</v>
      </c>
      <c r="K398" s="4" t="s">
        <v>141</v>
      </c>
      <c r="L398" s="4" t="s">
        <v>150</v>
      </c>
      <c r="M398" s="4" t="s">
        <v>354</v>
      </c>
      <c r="N398" s="4" t="s">
        <v>291</v>
      </c>
      <c r="O398" s="4" t="s">
        <v>144</v>
      </c>
      <c r="P398" s="4"/>
      <c r="Q398" s="4"/>
      <c r="R398" s="4">
        <v>20</v>
      </c>
      <c r="S398" s="4">
        <v>20</v>
      </c>
      <c r="T398" s="4"/>
      <c r="U398" s="4">
        <v>-37.014939980000001</v>
      </c>
      <c r="V398" s="4">
        <v>174.86179677000001</v>
      </c>
      <c r="W398" s="4"/>
      <c r="X398" s="4"/>
      <c r="Y398" s="4"/>
      <c r="Z398" s="4"/>
      <c r="AA398" s="4" t="s">
        <v>171</v>
      </c>
      <c r="AB398" s="3" t="str">
        <f>HYPERLINK("https://sitebase.nzcomms.co.nz/spm/spmcandidateview/AKL-008-018-A/","AKL-008-018-A")</f>
        <v>AKL-008-018-A</v>
      </c>
      <c r="AC398" s="4"/>
      <c r="AD398" s="4"/>
      <c r="AE398" s="4"/>
      <c r="AF398" s="4"/>
      <c r="AG398" s="4"/>
      <c r="AH398" s="4" t="s">
        <v>360</v>
      </c>
      <c r="AI398" s="4"/>
      <c r="AJ398" s="4"/>
      <c r="AK398" s="4"/>
      <c r="AL398" s="4"/>
      <c r="AM398" s="4"/>
      <c r="AN398" s="5">
        <v>39680</v>
      </c>
      <c r="AO398" s="4">
        <v>1</v>
      </c>
      <c r="AP398" s="5">
        <v>39680</v>
      </c>
      <c r="AQ398" s="5">
        <v>39680</v>
      </c>
      <c r="AR398" s="4"/>
      <c r="AS398" s="4"/>
      <c r="AT398" s="4"/>
      <c r="AU398" s="5">
        <v>39686</v>
      </c>
      <c r="AV398" s="4">
        <v>1</v>
      </c>
      <c r="AW398" s="4"/>
      <c r="AX398" s="5">
        <v>39686</v>
      </c>
      <c r="AY398" s="4"/>
      <c r="AZ398" s="4"/>
      <c r="BA398" s="4"/>
      <c r="BB398" s="4"/>
      <c r="BC398" s="4"/>
      <c r="BD398" s="4"/>
      <c r="BE398" s="5">
        <v>39743</v>
      </c>
      <c r="BF398" s="5">
        <v>39743</v>
      </c>
      <c r="BG398" s="4"/>
      <c r="BH398" s="5">
        <v>39717</v>
      </c>
      <c r="BI398" s="4"/>
      <c r="BJ398" s="5">
        <v>39744</v>
      </c>
      <c r="BK398" s="4">
        <v>1</v>
      </c>
      <c r="BL398" s="4">
        <v>1</v>
      </c>
      <c r="BM398" s="5">
        <v>39744</v>
      </c>
      <c r="BN398" s="5">
        <v>39744</v>
      </c>
      <c r="BO398" s="5">
        <v>39843</v>
      </c>
      <c r="BP398" s="4"/>
      <c r="BQ398" s="4"/>
      <c r="BR398" s="4"/>
      <c r="BS398" s="4"/>
      <c r="BT398" s="4"/>
      <c r="BU398" s="5">
        <v>39755</v>
      </c>
      <c r="BV398" s="5">
        <v>39861</v>
      </c>
      <c r="BW398" s="5">
        <v>39861</v>
      </c>
      <c r="BX398" s="4"/>
      <c r="BY398" s="5">
        <v>39861</v>
      </c>
      <c r="BZ398" s="5">
        <v>39861</v>
      </c>
      <c r="CA398" s="4"/>
      <c r="CB398" s="4"/>
      <c r="CC398" s="4"/>
      <c r="CD398" s="4"/>
      <c r="CE398" s="4"/>
      <c r="CF398" s="4"/>
      <c r="CG398" s="4"/>
      <c r="CH398" s="4"/>
      <c r="CI398" s="5">
        <v>39932</v>
      </c>
      <c r="CJ398" s="5">
        <v>39933</v>
      </c>
      <c r="CK398" s="5">
        <v>39932</v>
      </c>
      <c r="CL398" s="4"/>
      <c r="CM398" s="4"/>
      <c r="CN398" s="4"/>
      <c r="CO398" s="4"/>
      <c r="CP398" s="4" t="s">
        <v>1338</v>
      </c>
      <c r="CQ398" s="4"/>
      <c r="CR398" s="5">
        <v>39933</v>
      </c>
      <c r="CS398" s="4"/>
      <c r="CT398" s="4"/>
      <c r="CU398" s="4"/>
      <c r="CV398" s="4"/>
      <c r="CW398" s="5">
        <v>39854</v>
      </c>
      <c r="CX398" s="5">
        <v>39843</v>
      </c>
      <c r="CY398" s="4"/>
      <c r="CZ398" s="4"/>
      <c r="DA398" s="4"/>
      <c r="DB398" s="4"/>
      <c r="DC398" s="4"/>
      <c r="DD398" s="4"/>
      <c r="DE398" s="4"/>
      <c r="DF398" s="4"/>
      <c r="DG398" s="4"/>
      <c r="DH398" s="4"/>
      <c r="DI398" s="4"/>
      <c r="DJ398" s="4" t="b">
        <v>0</v>
      </c>
      <c r="DK398" s="4"/>
      <c r="DL398" s="4">
        <v>2676030</v>
      </c>
      <c r="DM398" s="4">
        <v>6463530</v>
      </c>
      <c r="DN398" s="4" t="s">
        <v>1339</v>
      </c>
      <c r="DO398" s="4"/>
      <c r="DP398" s="4"/>
      <c r="DQ398" s="4" t="s">
        <v>148</v>
      </c>
      <c r="DR398" s="4"/>
      <c r="DS398" s="4"/>
      <c r="DT398" s="5">
        <v>41894</v>
      </c>
      <c r="DU398" s="4"/>
      <c r="DV398" s="4"/>
      <c r="DW398" s="4"/>
      <c r="DX398" s="4"/>
      <c r="DY398" s="4"/>
      <c r="DZ398" s="5">
        <v>39751</v>
      </c>
      <c r="EA398" s="4"/>
      <c r="EB398" s="4"/>
      <c r="EC398" s="4"/>
      <c r="ED398" s="4"/>
      <c r="EE398" s="4"/>
      <c r="EF398" s="4"/>
      <c r="EG398" s="4"/>
      <c r="EH398" s="4"/>
      <c r="EI398" s="5">
        <v>39657</v>
      </c>
    </row>
    <row r="399" spans="1:139" hidden="1" x14ac:dyDescent="0.2">
      <c r="A399">
        <f>VLOOKUP(B399,Sheet1!$A$1:$B$18,2,FALSE)</f>
        <v>0</v>
      </c>
      <c r="B399" t="str">
        <f t="shared" si="7"/>
        <v>AKL</v>
      </c>
      <c r="C399" s="2">
        <v>398</v>
      </c>
      <c r="D399" s="3" t="str">
        <f>HYPERLINK("https://sitebase.nzcomms.co.nz/spm/spmnominalview/AKL-008-021/","AKL-008-021")</f>
        <v>AKL-008-021</v>
      </c>
      <c r="E399" s="4"/>
      <c r="F399" s="3" t="str">
        <f>HYPERLINK("https://sitebase.nzcomms.co.nz/spm/spmcandidateview/AKL-008-021-A/","AKL-008-021-A")</f>
        <v>AKL-008-021-A</v>
      </c>
      <c r="G399" s="4" t="s">
        <v>1340</v>
      </c>
      <c r="H399" s="4" t="s">
        <v>1296</v>
      </c>
      <c r="I399" s="4"/>
      <c r="J399" s="4" t="s">
        <v>139</v>
      </c>
      <c r="K399" s="4" t="s">
        <v>141</v>
      </c>
      <c r="L399" s="4" t="s">
        <v>189</v>
      </c>
      <c r="M399" s="4" t="s">
        <v>354</v>
      </c>
      <c r="N399" s="4" t="s">
        <v>191</v>
      </c>
      <c r="O399" s="4" t="s">
        <v>356</v>
      </c>
      <c r="P399" s="4"/>
      <c r="Q399" s="4"/>
      <c r="R399" s="4">
        <v>7</v>
      </c>
      <c r="S399" s="4">
        <v>7</v>
      </c>
      <c r="T399" s="4"/>
      <c r="U399" s="4">
        <v>-37.006931969999997</v>
      </c>
      <c r="V399" s="4">
        <v>174.89725335</v>
      </c>
      <c r="W399" s="4"/>
      <c r="X399" s="4"/>
      <c r="Y399" s="4"/>
      <c r="Z399" s="4"/>
      <c r="AA399" s="4" t="s">
        <v>171</v>
      </c>
      <c r="AB399" s="3" t="str">
        <f>HYPERLINK("https://sitebase.nzcomms.co.nz/spm/spmcandidateview/AKL-008-018-A/","AKL-008-018-A")</f>
        <v>AKL-008-018-A</v>
      </c>
      <c r="AC399" s="4"/>
      <c r="AD399" s="4"/>
      <c r="AE399" s="4"/>
      <c r="AF399" s="4"/>
      <c r="AG399" s="4"/>
      <c r="AH399" s="4" t="s">
        <v>357</v>
      </c>
      <c r="AI399" s="4"/>
      <c r="AJ399" s="4"/>
      <c r="AK399" s="4"/>
      <c r="AL399" s="4"/>
      <c r="AM399" s="4"/>
      <c r="AN399" s="5">
        <v>39308</v>
      </c>
      <c r="AO399" s="4">
        <v>3</v>
      </c>
      <c r="AP399" s="5">
        <v>39627</v>
      </c>
      <c r="AQ399" s="5">
        <v>39627</v>
      </c>
      <c r="AR399" s="4"/>
      <c r="AS399" s="4"/>
      <c r="AT399" s="5">
        <v>39599</v>
      </c>
      <c r="AU399" s="5">
        <v>39264</v>
      </c>
      <c r="AV399" s="4">
        <v>3</v>
      </c>
      <c r="AW399" s="5">
        <v>39599</v>
      </c>
      <c r="AX399" s="5">
        <v>39629</v>
      </c>
      <c r="AY399" s="4"/>
      <c r="AZ399" s="4"/>
      <c r="BA399" s="4"/>
      <c r="BB399" s="5">
        <v>39772</v>
      </c>
      <c r="BC399" s="4"/>
      <c r="BD399" s="4"/>
      <c r="BE399" s="5">
        <v>39772</v>
      </c>
      <c r="BF399" s="5">
        <v>39738</v>
      </c>
      <c r="BG399" s="4"/>
      <c r="BH399" s="5">
        <v>39567</v>
      </c>
      <c r="BI399" s="4"/>
      <c r="BJ399" s="5">
        <v>39627</v>
      </c>
      <c r="BK399" s="4">
        <v>1</v>
      </c>
      <c r="BL399" s="4">
        <v>3</v>
      </c>
      <c r="BM399" s="5">
        <v>39627</v>
      </c>
      <c r="BN399" s="5">
        <v>39627</v>
      </c>
      <c r="BO399" s="4"/>
      <c r="BP399" s="4"/>
      <c r="BQ399" s="4"/>
      <c r="BR399" s="4"/>
      <c r="BS399" s="4"/>
      <c r="BT399" s="4"/>
      <c r="BU399" s="5">
        <v>39792</v>
      </c>
      <c r="BV399" s="5">
        <v>39801</v>
      </c>
      <c r="BW399" s="5">
        <v>39801</v>
      </c>
      <c r="BX399" s="4"/>
      <c r="BY399" s="5">
        <v>39841</v>
      </c>
      <c r="BZ399" s="5">
        <v>39835</v>
      </c>
      <c r="CA399" s="4"/>
      <c r="CB399" s="4"/>
      <c r="CC399" s="4"/>
      <c r="CD399" s="4"/>
      <c r="CE399" s="4"/>
      <c r="CF399" s="4"/>
      <c r="CG399" s="4"/>
      <c r="CH399" s="4"/>
      <c r="CI399" s="5">
        <v>39863</v>
      </c>
      <c r="CJ399" s="5">
        <v>39870</v>
      </c>
      <c r="CK399" s="5">
        <v>39863</v>
      </c>
      <c r="CL399" s="4"/>
      <c r="CM399" s="4"/>
      <c r="CN399" s="4"/>
      <c r="CO399" s="4"/>
      <c r="CP399" s="4" t="s">
        <v>428</v>
      </c>
      <c r="CQ399" s="4"/>
      <c r="CR399" s="5">
        <v>39870</v>
      </c>
      <c r="CS399" s="4"/>
      <c r="CT399" s="4"/>
      <c r="CU399" s="4"/>
      <c r="CV399" s="4"/>
      <c r="CW399" s="4"/>
      <c r="CX399" s="4"/>
      <c r="CY399" s="4"/>
      <c r="CZ399" s="4"/>
      <c r="DA399" s="4"/>
      <c r="DB399" s="4"/>
      <c r="DC399" s="4"/>
      <c r="DD399" s="4"/>
      <c r="DE399" s="4"/>
      <c r="DF399" s="4"/>
      <c r="DG399" s="4"/>
      <c r="DH399" s="4"/>
      <c r="DI399" s="4"/>
      <c r="DJ399" s="4" t="b">
        <v>0</v>
      </c>
      <c r="DK399" s="4"/>
      <c r="DL399" s="4">
        <v>2679204</v>
      </c>
      <c r="DM399" s="4">
        <v>6464350</v>
      </c>
      <c r="DN399" s="4" t="s">
        <v>1341</v>
      </c>
      <c r="DO399" s="4"/>
      <c r="DP399" s="4"/>
      <c r="DQ399" s="4" t="s">
        <v>148</v>
      </c>
      <c r="DR399" s="4"/>
      <c r="DS399" s="4"/>
      <c r="DT399" s="5">
        <v>41894</v>
      </c>
      <c r="DU399" s="4"/>
      <c r="DV399" s="4"/>
      <c r="DW399" s="4"/>
      <c r="DX399" s="4"/>
      <c r="DY399" s="4"/>
      <c r="DZ399" s="5">
        <v>39771</v>
      </c>
      <c r="EA399" s="4"/>
      <c r="EB399" s="4"/>
      <c r="EC399" s="4"/>
      <c r="ED399" s="4"/>
      <c r="EE399" s="4"/>
      <c r="EF399" s="4"/>
      <c r="EG399" s="4"/>
      <c r="EH399" s="4"/>
      <c r="EI399" s="5">
        <v>39286</v>
      </c>
    </row>
    <row r="400" spans="1:139" hidden="1" x14ac:dyDescent="0.2">
      <c r="A400">
        <f>VLOOKUP(B400,Sheet1!$A$1:$B$18,2,FALSE)</f>
        <v>0</v>
      </c>
      <c r="B400" t="str">
        <f t="shared" si="7"/>
        <v>AKL</v>
      </c>
      <c r="C400" s="2">
        <v>399</v>
      </c>
      <c r="D400" s="3" t="str">
        <f>HYPERLINK("https://sitebase.nzcomms.co.nz/spm/spmnominalview/AKL-008-024/","AKL-008-024")</f>
        <v>AKL-008-024</v>
      </c>
      <c r="E400" s="4"/>
      <c r="F400" s="3" t="str">
        <f>HYPERLINK("https://sitebase.nzcomms.co.nz/spm/spmcandidateview/AKL-008-024-A/","AKL-008-024-A")</f>
        <v>AKL-008-024-A</v>
      </c>
      <c r="G400" s="4" t="s">
        <v>1342</v>
      </c>
      <c r="H400" s="4" t="s">
        <v>1296</v>
      </c>
      <c r="I400" s="4"/>
      <c r="J400" s="4" t="s">
        <v>139</v>
      </c>
      <c r="K400" s="4" t="s">
        <v>141</v>
      </c>
      <c r="L400" s="4" t="s">
        <v>181</v>
      </c>
      <c r="M400" s="4" t="s">
        <v>378</v>
      </c>
      <c r="N400" s="4" t="s">
        <v>364</v>
      </c>
      <c r="O400" s="4" t="s">
        <v>144</v>
      </c>
      <c r="P400" s="4"/>
      <c r="Q400" s="4"/>
      <c r="R400" s="4">
        <v>23.8</v>
      </c>
      <c r="S400" s="4">
        <v>23.8</v>
      </c>
      <c r="T400" s="4"/>
      <c r="U400" s="4">
        <v>-36.958274690000003</v>
      </c>
      <c r="V400" s="4">
        <v>174.85337043999999</v>
      </c>
      <c r="W400" s="4"/>
      <c r="X400" s="4"/>
      <c r="Y400" s="4"/>
      <c r="Z400" s="4"/>
      <c r="AA400" s="4" t="s">
        <v>171</v>
      </c>
      <c r="AB400" s="3" t="str">
        <f>HYPERLINK("https://sitebase.nzcomms.co.nz/spm/spmcandidateview/AKL-008-018-A/","AKL-008-018-A")</f>
        <v>AKL-008-018-A</v>
      </c>
      <c r="AC400" s="4"/>
      <c r="AD400" s="4"/>
      <c r="AE400" s="4"/>
      <c r="AF400" s="4"/>
      <c r="AG400" s="4"/>
      <c r="AH400" s="4" t="s">
        <v>360</v>
      </c>
      <c r="AI400" s="4"/>
      <c r="AJ400" s="4"/>
      <c r="AK400" s="4"/>
      <c r="AL400" s="4"/>
      <c r="AM400" s="4"/>
      <c r="AN400" s="5">
        <v>39770</v>
      </c>
      <c r="AO400" s="4">
        <v>1</v>
      </c>
      <c r="AP400" s="5">
        <v>39770</v>
      </c>
      <c r="AQ400" s="5">
        <v>39770</v>
      </c>
      <c r="AR400" s="4"/>
      <c r="AS400" s="4"/>
      <c r="AT400" s="5">
        <v>39902</v>
      </c>
      <c r="AU400" s="5">
        <v>39903</v>
      </c>
      <c r="AV400" s="4">
        <v>1</v>
      </c>
      <c r="AW400" s="5">
        <v>39962</v>
      </c>
      <c r="AX400" s="5">
        <v>40071</v>
      </c>
      <c r="AY400" s="4"/>
      <c r="AZ400" s="5">
        <v>39779</v>
      </c>
      <c r="BA400" s="4"/>
      <c r="BB400" s="5">
        <v>39871</v>
      </c>
      <c r="BC400" s="4"/>
      <c r="BD400" s="4"/>
      <c r="BE400" s="5">
        <v>39871</v>
      </c>
      <c r="BF400" s="5">
        <v>39869</v>
      </c>
      <c r="BG400" s="5">
        <v>39857</v>
      </c>
      <c r="BH400" s="5">
        <v>39857</v>
      </c>
      <c r="BI400" s="4"/>
      <c r="BJ400" s="5">
        <v>39883</v>
      </c>
      <c r="BK400" s="4">
        <v>2</v>
      </c>
      <c r="BL400" s="4">
        <v>1</v>
      </c>
      <c r="BM400" s="5">
        <v>39941</v>
      </c>
      <c r="BN400" s="5">
        <v>39944</v>
      </c>
      <c r="BO400" s="4"/>
      <c r="BP400" s="4"/>
      <c r="BQ400" s="4"/>
      <c r="BR400" s="4"/>
      <c r="BS400" s="4"/>
      <c r="BT400" s="4"/>
      <c r="BU400" s="5">
        <v>39930</v>
      </c>
      <c r="BV400" s="5">
        <v>39987</v>
      </c>
      <c r="BW400" s="5">
        <v>39987</v>
      </c>
      <c r="BX400" s="4"/>
      <c r="BY400" s="5">
        <v>39994</v>
      </c>
      <c r="BZ400" s="5">
        <v>39996</v>
      </c>
      <c r="CA400" s="4"/>
      <c r="CB400" s="4"/>
      <c r="CC400" s="4"/>
      <c r="CD400" s="4"/>
      <c r="CE400" s="4"/>
      <c r="CF400" s="4"/>
      <c r="CG400" s="4"/>
      <c r="CH400" s="4"/>
      <c r="CI400" s="5">
        <v>39996</v>
      </c>
      <c r="CJ400" s="5">
        <v>39995</v>
      </c>
      <c r="CK400" s="5">
        <v>39996</v>
      </c>
      <c r="CL400" s="4"/>
      <c r="CM400" s="4"/>
      <c r="CN400" s="4"/>
      <c r="CO400" s="4"/>
      <c r="CP400" s="4" t="s">
        <v>1343</v>
      </c>
      <c r="CQ400" s="4"/>
      <c r="CR400" s="5">
        <v>39994</v>
      </c>
      <c r="CS400" s="4"/>
      <c r="CT400" s="4"/>
      <c r="CU400" s="4"/>
      <c r="CV400" s="4"/>
      <c r="CW400" s="4"/>
      <c r="CX400" s="4"/>
      <c r="CY400" s="4"/>
      <c r="CZ400" s="4"/>
      <c r="DA400" s="4"/>
      <c r="DB400" s="4"/>
      <c r="DC400" s="4"/>
      <c r="DD400" s="4"/>
      <c r="DE400" s="4"/>
      <c r="DF400" s="4"/>
      <c r="DG400" s="4"/>
      <c r="DH400" s="4"/>
      <c r="DI400" s="4"/>
      <c r="DJ400" s="4" t="b">
        <v>0</v>
      </c>
      <c r="DK400" s="4"/>
      <c r="DL400" s="4">
        <v>2675415</v>
      </c>
      <c r="DM400" s="4">
        <v>6469833</v>
      </c>
      <c r="DN400" s="4" t="s">
        <v>1344</v>
      </c>
      <c r="DO400" s="4"/>
      <c r="DP400" s="4"/>
      <c r="DQ400" s="4" t="s">
        <v>148</v>
      </c>
      <c r="DR400" s="4"/>
      <c r="DS400" s="4"/>
      <c r="DT400" s="5">
        <v>41894</v>
      </c>
      <c r="DU400" s="4"/>
      <c r="DV400" s="4"/>
      <c r="DW400" s="4"/>
      <c r="DX400" s="4"/>
      <c r="DY400" s="5">
        <v>39930</v>
      </c>
      <c r="DZ400" s="5">
        <v>39909</v>
      </c>
      <c r="EA400" s="4"/>
      <c r="EB400" s="4"/>
      <c r="EC400" s="4"/>
      <c r="ED400" s="4"/>
      <c r="EE400" s="4"/>
      <c r="EF400" s="4"/>
      <c r="EG400" s="4"/>
      <c r="EH400" s="4"/>
      <c r="EI400" s="5">
        <v>39731</v>
      </c>
    </row>
    <row r="401" spans="1:139" hidden="1" x14ac:dyDescent="0.2">
      <c r="A401">
        <f>VLOOKUP(B401,Sheet1!$A$1:$B$18,2,FALSE)</f>
        <v>0</v>
      </c>
      <c r="B401" t="str">
        <f t="shared" si="7"/>
        <v>AKL</v>
      </c>
      <c r="C401" s="2">
        <v>400</v>
      </c>
      <c r="D401" s="3" t="str">
        <f>HYPERLINK("https://sitebase.nzcomms.co.nz/spm/spmnominalview/AKL-008-026/","AKL-008-026")</f>
        <v>AKL-008-026</v>
      </c>
      <c r="E401" s="4"/>
      <c r="F401" s="3" t="str">
        <f>HYPERLINK("https://sitebase.nzcomms.co.nz/spm/spmcandidateview/AKL-008-026-H/","AKL-008-026-H")</f>
        <v>AKL-008-026-H</v>
      </c>
      <c r="G401" s="4" t="s">
        <v>1345</v>
      </c>
      <c r="H401" s="4" t="s">
        <v>1296</v>
      </c>
      <c r="I401" s="4"/>
      <c r="J401" s="4" t="s">
        <v>139</v>
      </c>
      <c r="K401" s="4" t="s">
        <v>141</v>
      </c>
      <c r="L401" s="4" t="s">
        <v>150</v>
      </c>
      <c r="M401" s="4" t="s">
        <v>354</v>
      </c>
      <c r="N401" s="4" t="s">
        <v>156</v>
      </c>
      <c r="O401" s="4" t="s">
        <v>144</v>
      </c>
      <c r="P401" s="4"/>
      <c r="Q401" s="4"/>
      <c r="R401" s="4">
        <v>25</v>
      </c>
      <c r="S401" s="4">
        <v>25</v>
      </c>
      <c r="T401" s="4"/>
      <c r="U401" s="4">
        <v>-36.91759673</v>
      </c>
      <c r="V401" s="4">
        <v>174.89901605</v>
      </c>
      <c r="W401" s="4"/>
      <c r="X401" s="4"/>
      <c r="Y401" s="4"/>
      <c r="Z401" s="4"/>
      <c r="AA401" s="4" t="s">
        <v>171</v>
      </c>
      <c r="AB401" s="3" t="str">
        <f>HYPERLINK("https://sitebase.nzcomms.co.nz/spm/spmcandidateview/AKL-008-045-A/","AKL-008-045-A")</f>
        <v>AKL-008-045-A</v>
      </c>
      <c r="AC401" s="4"/>
      <c r="AD401" s="4"/>
      <c r="AE401" s="4"/>
      <c r="AF401" s="4"/>
      <c r="AG401" s="4"/>
      <c r="AH401" s="4" t="s">
        <v>360</v>
      </c>
      <c r="AI401" s="4"/>
      <c r="AJ401" s="4"/>
      <c r="AK401" s="4"/>
      <c r="AL401" s="4"/>
      <c r="AM401" s="4"/>
      <c r="AN401" s="5">
        <v>39689</v>
      </c>
      <c r="AO401" s="4">
        <v>1</v>
      </c>
      <c r="AP401" s="5">
        <v>39689</v>
      </c>
      <c r="AQ401" s="5">
        <v>39689</v>
      </c>
      <c r="AR401" s="4"/>
      <c r="AS401" s="4"/>
      <c r="AT401" s="5">
        <v>39660</v>
      </c>
      <c r="AU401" s="5">
        <v>39652</v>
      </c>
      <c r="AV401" s="4">
        <v>1</v>
      </c>
      <c r="AW401" s="5">
        <v>39660</v>
      </c>
      <c r="AX401" s="5">
        <v>39652</v>
      </c>
      <c r="AY401" s="4"/>
      <c r="AZ401" s="4"/>
      <c r="BA401" s="4"/>
      <c r="BB401" s="5">
        <v>39738</v>
      </c>
      <c r="BC401" s="4"/>
      <c r="BD401" s="4"/>
      <c r="BE401" s="5">
        <v>39738</v>
      </c>
      <c r="BF401" s="5">
        <v>39738</v>
      </c>
      <c r="BG401" s="4"/>
      <c r="BH401" s="5">
        <v>39717</v>
      </c>
      <c r="BI401" s="4"/>
      <c r="BJ401" s="5">
        <v>39742</v>
      </c>
      <c r="BK401" s="4">
        <v>1</v>
      </c>
      <c r="BL401" s="4">
        <v>1</v>
      </c>
      <c r="BM401" s="5">
        <v>39742</v>
      </c>
      <c r="BN401" s="5">
        <v>39742</v>
      </c>
      <c r="BO401" s="5">
        <v>39862</v>
      </c>
      <c r="BP401" s="4"/>
      <c r="BQ401" s="4"/>
      <c r="BR401" s="4"/>
      <c r="BS401" s="4"/>
      <c r="BT401" s="4"/>
      <c r="BU401" s="5">
        <v>39755</v>
      </c>
      <c r="BV401" s="5">
        <v>39871</v>
      </c>
      <c r="BW401" s="5">
        <v>39867</v>
      </c>
      <c r="BX401" s="4"/>
      <c r="BY401" s="5">
        <v>39871</v>
      </c>
      <c r="BZ401" s="5">
        <v>39867</v>
      </c>
      <c r="CA401" s="4"/>
      <c r="CB401" s="4"/>
      <c r="CC401" s="4"/>
      <c r="CD401" s="4"/>
      <c r="CE401" s="4"/>
      <c r="CF401" s="4"/>
      <c r="CG401" s="4"/>
      <c r="CH401" s="4"/>
      <c r="CI401" s="5">
        <v>39910</v>
      </c>
      <c r="CJ401" s="5">
        <v>39912</v>
      </c>
      <c r="CK401" s="5">
        <v>39910</v>
      </c>
      <c r="CL401" s="4"/>
      <c r="CM401" s="4"/>
      <c r="CN401" s="4"/>
      <c r="CO401" s="4"/>
      <c r="CP401" s="4" t="s">
        <v>1346</v>
      </c>
      <c r="CQ401" s="4"/>
      <c r="CR401" s="5">
        <v>39912</v>
      </c>
      <c r="CS401" s="4"/>
      <c r="CT401" s="4"/>
      <c r="CU401" s="4"/>
      <c r="CV401" s="4"/>
      <c r="CW401" s="5">
        <v>39862</v>
      </c>
      <c r="CX401" s="5">
        <v>39862</v>
      </c>
      <c r="CY401" s="4"/>
      <c r="CZ401" s="4"/>
      <c r="DA401" s="4"/>
      <c r="DB401" s="4"/>
      <c r="DC401" s="4"/>
      <c r="DD401" s="4"/>
      <c r="DE401" s="4"/>
      <c r="DF401" s="4"/>
      <c r="DG401" s="4"/>
      <c r="DH401" s="4"/>
      <c r="DI401" s="4"/>
      <c r="DJ401" s="4" t="b">
        <v>0</v>
      </c>
      <c r="DK401" s="4"/>
      <c r="DL401" s="4">
        <v>2679578</v>
      </c>
      <c r="DM401" s="4">
        <v>6474258</v>
      </c>
      <c r="DN401" s="4" t="s">
        <v>1347</v>
      </c>
      <c r="DO401" s="4"/>
      <c r="DP401" s="4"/>
      <c r="DQ401" s="4" t="s">
        <v>148</v>
      </c>
      <c r="DR401" s="4"/>
      <c r="DS401" s="4"/>
      <c r="DT401" s="5">
        <v>41894</v>
      </c>
      <c r="DU401" s="4"/>
      <c r="DV401" s="4"/>
      <c r="DW401" s="4"/>
      <c r="DX401" s="4"/>
      <c r="DY401" s="4"/>
      <c r="DZ401" s="5">
        <v>39751</v>
      </c>
      <c r="EA401" s="4"/>
      <c r="EB401" s="4"/>
      <c r="EC401" s="4"/>
      <c r="ED401" s="4"/>
      <c r="EE401" s="4"/>
      <c r="EF401" s="4"/>
      <c r="EG401" s="4"/>
      <c r="EH401" s="4"/>
      <c r="EI401" s="5">
        <v>39673</v>
      </c>
    </row>
    <row r="402" spans="1:139" hidden="1" x14ac:dyDescent="0.2">
      <c r="A402">
        <f>VLOOKUP(B402,Sheet1!$A$1:$B$18,2,FALSE)</f>
        <v>0</v>
      </c>
      <c r="B402" t="str">
        <f t="shared" si="7"/>
        <v>AKL</v>
      </c>
      <c r="C402" s="2">
        <v>401</v>
      </c>
      <c r="D402" s="3" t="str">
        <f>HYPERLINK("https://sitebase.nzcomms.co.nz/spm/spmnominalview/AKL-008-027/","AKL-008-027")</f>
        <v>AKL-008-027</v>
      </c>
      <c r="E402" s="4"/>
      <c r="F402" s="3" t="str">
        <f>HYPERLINK("https://sitebase.nzcomms.co.nz/spm/spmcandidateview/AKL-008-027-B/","AKL-008-027-B")</f>
        <v>AKL-008-027-B</v>
      </c>
      <c r="G402" s="4" t="s">
        <v>1348</v>
      </c>
      <c r="H402" s="4" t="s">
        <v>1296</v>
      </c>
      <c r="I402" s="4"/>
      <c r="J402" s="4" t="s">
        <v>139</v>
      </c>
      <c r="K402" s="4" t="s">
        <v>141</v>
      </c>
      <c r="L402" s="4" t="s">
        <v>142</v>
      </c>
      <c r="M402" s="4" t="s">
        <v>160</v>
      </c>
      <c r="N402" s="4" t="s">
        <v>364</v>
      </c>
      <c r="O402" s="4" t="s">
        <v>144</v>
      </c>
      <c r="P402" s="4"/>
      <c r="Q402" s="4" t="s">
        <v>142</v>
      </c>
      <c r="R402" s="4"/>
      <c r="S402" s="4"/>
      <c r="T402" s="4"/>
      <c r="U402" s="4">
        <v>-36.906438260000002</v>
      </c>
      <c r="V402" s="4">
        <v>174.94008242000001</v>
      </c>
      <c r="W402" s="4"/>
      <c r="X402" s="4"/>
      <c r="Y402" s="4"/>
      <c r="Z402" s="4"/>
      <c r="AA402" s="4"/>
      <c r="AB402" s="4"/>
      <c r="AC402" s="4"/>
      <c r="AD402" s="4"/>
      <c r="AE402" s="4"/>
      <c r="AF402" s="4"/>
      <c r="AG402" s="4"/>
      <c r="AH402" s="4"/>
      <c r="AI402" s="4"/>
      <c r="AJ402" s="4"/>
      <c r="AK402" s="4"/>
      <c r="AL402" s="4"/>
      <c r="AM402" s="4"/>
      <c r="AN402" s="5">
        <v>39468</v>
      </c>
      <c r="AO402" s="4">
        <v>2</v>
      </c>
      <c r="AP402" s="5">
        <v>40128</v>
      </c>
      <c r="AQ402" s="5">
        <v>40128</v>
      </c>
      <c r="AR402" s="4"/>
      <c r="AS402" s="4"/>
      <c r="AT402" s="5">
        <v>39419</v>
      </c>
      <c r="AU402" s="5">
        <v>39419</v>
      </c>
      <c r="AV402" s="4">
        <v>1</v>
      </c>
      <c r="AW402" s="5">
        <v>40298</v>
      </c>
      <c r="AX402" s="5">
        <v>40295</v>
      </c>
      <c r="AY402" s="4"/>
      <c r="AZ402" s="4"/>
      <c r="BA402" s="4"/>
      <c r="BB402" s="5">
        <v>39599</v>
      </c>
      <c r="BC402" s="4"/>
      <c r="BD402" s="4"/>
      <c r="BE402" s="5">
        <v>40165</v>
      </c>
      <c r="BF402" s="5">
        <v>40144</v>
      </c>
      <c r="BG402" s="4"/>
      <c r="BH402" s="5">
        <v>40107</v>
      </c>
      <c r="BI402" s="4"/>
      <c r="BJ402" s="5">
        <v>40164</v>
      </c>
      <c r="BK402" s="4">
        <v>1</v>
      </c>
      <c r="BL402" s="4"/>
      <c r="BM402" s="5">
        <v>40163</v>
      </c>
      <c r="BN402" s="5">
        <v>40164</v>
      </c>
      <c r="BO402" s="4"/>
      <c r="BP402" s="4"/>
      <c r="BQ402" s="4"/>
      <c r="BR402" s="4"/>
      <c r="BS402" s="4"/>
      <c r="BT402" s="5">
        <v>40295</v>
      </c>
      <c r="BU402" s="5">
        <v>40295</v>
      </c>
      <c r="BV402" s="5">
        <v>40305</v>
      </c>
      <c r="BW402" s="5">
        <v>40308</v>
      </c>
      <c r="BX402" s="4"/>
      <c r="BY402" s="5">
        <v>40319</v>
      </c>
      <c r="BZ402" s="5">
        <v>40317</v>
      </c>
      <c r="CA402" s="4"/>
      <c r="CB402" s="4"/>
      <c r="CC402" s="4"/>
      <c r="CD402" s="4"/>
      <c r="CE402" s="4"/>
      <c r="CF402" s="4"/>
      <c r="CG402" s="4"/>
      <c r="CH402" s="4"/>
      <c r="CI402" s="5">
        <v>40317</v>
      </c>
      <c r="CJ402" s="5">
        <v>40324</v>
      </c>
      <c r="CK402" s="5">
        <v>40317</v>
      </c>
      <c r="CL402" s="4"/>
      <c r="CM402" s="4"/>
      <c r="CN402" s="4"/>
      <c r="CO402" s="4"/>
      <c r="CP402" s="4" t="s">
        <v>1349</v>
      </c>
      <c r="CQ402" s="4" t="s">
        <v>816</v>
      </c>
      <c r="CR402" s="5">
        <v>40324</v>
      </c>
      <c r="CS402" s="4"/>
      <c r="CT402" s="4"/>
      <c r="CU402" s="4"/>
      <c r="CV402" s="4"/>
      <c r="CW402" s="4"/>
      <c r="CX402" s="4"/>
      <c r="CY402" s="4"/>
      <c r="CZ402" s="4"/>
      <c r="DA402" s="4"/>
      <c r="DB402" s="4"/>
      <c r="DC402" s="4"/>
      <c r="DD402" s="4"/>
      <c r="DE402" s="4"/>
      <c r="DF402" s="4"/>
      <c r="DG402" s="4"/>
      <c r="DH402" s="4"/>
      <c r="DI402" s="4"/>
      <c r="DJ402" s="4" t="b">
        <v>0</v>
      </c>
      <c r="DK402" s="4"/>
      <c r="DL402" s="4">
        <v>2683264</v>
      </c>
      <c r="DM402" s="4">
        <v>6475415</v>
      </c>
      <c r="DN402" s="4" t="s">
        <v>1350</v>
      </c>
      <c r="DO402" s="4"/>
      <c r="DP402" s="4"/>
      <c r="DQ402" s="4" t="s">
        <v>148</v>
      </c>
      <c r="DR402" s="4"/>
      <c r="DS402" s="4"/>
      <c r="DT402" s="4"/>
      <c r="DU402" s="4"/>
      <c r="DV402" s="4"/>
      <c r="DW402" s="4"/>
      <c r="DX402" s="4"/>
      <c r="DY402" s="5">
        <v>40298</v>
      </c>
      <c r="DZ402" s="5">
        <v>40295</v>
      </c>
      <c r="EA402" s="4"/>
      <c r="EB402" s="4"/>
      <c r="EC402" s="4"/>
      <c r="ED402" s="4"/>
      <c r="EE402" s="4"/>
      <c r="EF402" s="4"/>
      <c r="EG402" s="4"/>
      <c r="EH402" s="4"/>
      <c r="EI402" s="5">
        <v>39367</v>
      </c>
    </row>
    <row r="403" spans="1:139" hidden="1" x14ac:dyDescent="0.2">
      <c r="A403">
        <f>VLOOKUP(B403,Sheet1!$A$1:$B$18,2,FALSE)</f>
        <v>0</v>
      </c>
      <c r="B403" t="str">
        <f t="shared" si="7"/>
        <v>AKL</v>
      </c>
      <c r="C403" s="2">
        <v>402</v>
      </c>
      <c r="D403" s="3" t="str">
        <f>HYPERLINK("https://sitebase.nzcomms.co.nz/spm/spmnominalview/AKL-008-028/","AKL-008-028")</f>
        <v>AKL-008-028</v>
      </c>
      <c r="E403" s="4"/>
      <c r="F403" s="3" t="str">
        <f>HYPERLINK("https://sitebase.nzcomms.co.nz/spm/spmcandidateview/AKL-008-028-D/","AKL-008-028-D")</f>
        <v>AKL-008-028-D</v>
      </c>
      <c r="G403" s="4" t="s">
        <v>1351</v>
      </c>
      <c r="H403" s="4" t="s">
        <v>1296</v>
      </c>
      <c r="I403" s="4"/>
      <c r="J403" s="4" t="s">
        <v>139</v>
      </c>
      <c r="K403" s="4" t="s">
        <v>141</v>
      </c>
      <c r="L403" s="4" t="s">
        <v>150</v>
      </c>
      <c r="M403" s="4" t="s">
        <v>143</v>
      </c>
      <c r="N403" s="4" t="s">
        <v>291</v>
      </c>
      <c r="O403" s="4" t="s">
        <v>144</v>
      </c>
      <c r="P403" s="4"/>
      <c r="Q403" s="4"/>
      <c r="R403" s="4">
        <v>20</v>
      </c>
      <c r="S403" s="4">
        <v>20</v>
      </c>
      <c r="T403" s="4"/>
      <c r="U403" s="4">
        <v>-36.89887075</v>
      </c>
      <c r="V403" s="4">
        <v>174.90493567999999</v>
      </c>
      <c r="W403" s="4"/>
      <c r="X403" s="4"/>
      <c r="Y403" s="4"/>
      <c r="Z403" s="4"/>
      <c r="AA403" s="4" t="s">
        <v>446</v>
      </c>
      <c r="AB403" s="4" t="s">
        <v>1352</v>
      </c>
      <c r="AC403" s="4"/>
      <c r="AD403" s="4"/>
      <c r="AE403" s="4"/>
      <c r="AF403" s="4"/>
      <c r="AG403" s="4"/>
      <c r="AH403" s="4"/>
      <c r="AI403" s="4"/>
      <c r="AJ403" s="4"/>
      <c r="AK403" s="4"/>
      <c r="AL403" s="4"/>
      <c r="AM403" s="4"/>
      <c r="AN403" s="5">
        <v>39702</v>
      </c>
      <c r="AO403" s="4">
        <v>2</v>
      </c>
      <c r="AP403" s="5">
        <v>39752</v>
      </c>
      <c r="AQ403" s="5">
        <v>39752</v>
      </c>
      <c r="AR403" s="4"/>
      <c r="AS403" s="4"/>
      <c r="AT403" s="5">
        <v>39829</v>
      </c>
      <c r="AU403" s="5">
        <v>39826</v>
      </c>
      <c r="AV403" s="4">
        <v>2</v>
      </c>
      <c r="AW403" s="5">
        <v>39857</v>
      </c>
      <c r="AX403" s="5">
        <v>39895</v>
      </c>
      <c r="AY403" s="4"/>
      <c r="AZ403" s="4"/>
      <c r="BA403" s="4"/>
      <c r="BB403" s="5">
        <v>39835</v>
      </c>
      <c r="BC403" s="4"/>
      <c r="BD403" s="4"/>
      <c r="BE403" s="5">
        <v>39835</v>
      </c>
      <c r="BF403" s="5">
        <v>39834</v>
      </c>
      <c r="BG403" s="4"/>
      <c r="BH403" s="5">
        <v>39728</v>
      </c>
      <c r="BI403" s="4"/>
      <c r="BJ403" s="5">
        <v>39822</v>
      </c>
      <c r="BK403" s="4">
        <v>1</v>
      </c>
      <c r="BL403" s="4">
        <v>1</v>
      </c>
      <c r="BM403" s="5">
        <v>39822</v>
      </c>
      <c r="BN403" s="5">
        <v>39822</v>
      </c>
      <c r="BO403" s="5">
        <v>39843</v>
      </c>
      <c r="BP403" s="4"/>
      <c r="BQ403" s="4"/>
      <c r="BR403" s="4"/>
      <c r="BS403" s="4"/>
      <c r="BT403" s="4"/>
      <c r="BU403" s="5">
        <v>39849</v>
      </c>
      <c r="BV403" s="5">
        <v>39882</v>
      </c>
      <c r="BW403" s="5">
        <v>39871</v>
      </c>
      <c r="BX403" s="4"/>
      <c r="BY403" s="5">
        <v>39878</v>
      </c>
      <c r="BZ403" s="5">
        <v>39878</v>
      </c>
      <c r="CA403" s="4"/>
      <c r="CB403" s="4"/>
      <c r="CC403" s="4"/>
      <c r="CD403" s="4"/>
      <c r="CE403" s="4"/>
      <c r="CF403" s="4"/>
      <c r="CG403" s="4"/>
      <c r="CH403" s="4"/>
      <c r="CI403" s="5">
        <v>39958</v>
      </c>
      <c r="CJ403" s="5">
        <v>39962</v>
      </c>
      <c r="CK403" s="5">
        <v>39958</v>
      </c>
      <c r="CL403" s="4"/>
      <c r="CM403" s="4"/>
      <c r="CN403" s="4"/>
      <c r="CO403" s="4"/>
      <c r="CP403" s="4" t="s">
        <v>1353</v>
      </c>
      <c r="CQ403" s="4"/>
      <c r="CR403" s="5">
        <v>39962</v>
      </c>
      <c r="CS403" s="4"/>
      <c r="CT403" s="4"/>
      <c r="CU403" s="4"/>
      <c r="CV403" s="4"/>
      <c r="CW403" s="4"/>
      <c r="CX403" s="5">
        <v>39843</v>
      </c>
      <c r="CY403" s="4"/>
      <c r="CZ403" s="4"/>
      <c r="DA403" s="4"/>
      <c r="DB403" s="4"/>
      <c r="DC403" s="4"/>
      <c r="DD403" s="4"/>
      <c r="DE403" s="4"/>
      <c r="DF403" s="4"/>
      <c r="DG403" s="4"/>
      <c r="DH403" s="4"/>
      <c r="DI403" s="4"/>
      <c r="DJ403" s="4" t="b">
        <v>0</v>
      </c>
      <c r="DK403" s="4"/>
      <c r="DL403" s="4">
        <v>2680151</v>
      </c>
      <c r="DM403" s="4">
        <v>6476324</v>
      </c>
      <c r="DN403" s="4" t="s">
        <v>1354</v>
      </c>
      <c r="DO403" s="4"/>
      <c r="DP403" s="4"/>
      <c r="DQ403" s="4" t="s">
        <v>148</v>
      </c>
      <c r="DR403" s="4"/>
      <c r="DS403" s="4"/>
      <c r="DT403" s="4"/>
      <c r="DU403" s="4"/>
      <c r="DV403" s="4"/>
      <c r="DW403" s="4"/>
      <c r="DX403" s="4"/>
      <c r="DY403" s="5">
        <v>39857</v>
      </c>
      <c r="DZ403" s="5">
        <v>39849</v>
      </c>
      <c r="EA403" s="4"/>
      <c r="EB403" s="4"/>
      <c r="EC403" s="4"/>
      <c r="ED403" s="4"/>
      <c r="EE403" s="4"/>
      <c r="EF403" s="4"/>
      <c r="EG403" s="4"/>
      <c r="EH403" s="4"/>
      <c r="EI403" s="5">
        <v>39679</v>
      </c>
    </row>
    <row r="404" spans="1:139" hidden="1" x14ac:dyDescent="0.2">
      <c r="A404">
        <f>VLOOKUP(B404,Sheet1!$A$1:$B$18,2,FALSE)</f>
        <v>0</v>
      </c>
      <c r="B404" t="str">
        <f t="shared" si="7"/>
        <v>AKL</v>
      </c>
      <c r="C404" s="2">
        <v>403</v>
      </c>
      <c r="D404" s="3" t="str">
        <f>HYPERLINK("https://sitebase.nzcomms.co.nz/spm/spmnominalview/AKL-008-029/","AKL-008-029")</f>
        <v>AKL-008-029</v>
      </c>
      <c r="E404" s="4"/>
      <c r="F404" s="3" t="str">
        <f>HYPERLINK("https://sitebase.nzcomms.co.nz/spm/spmcandidateview/AKL-008-029-D/","AKL-008-029-D")</f>
        <v>AKL-008-029-D</v>
      </c>
      <c r="G404" s="4" t="s">
        <v>1355</v>
      </c>
      <c r="H404" s="4" t="s">
        <v>1296</v>
      </c>
      <c r="I404" s="4"/>
      <c r="J404" s="4" t="s">
        <v>139</v>
      </c>
      <c r="K404" s="4" t="s">
        <v>141</v>
      </c>
      <c r="L404" s="4" t="s">
        <v>150</v>
      </c>
      <c r="M404" s="4" t="s">
        <v>143</v>
      </c>
      <c r="N404" s="4" t="s">
        <v>291</v>
      </c>
      <c r="O404" s="4" t="s">
        <v>144</v>
      </c>
      <c r="P404" s="4"/>
      <c r="Q404" s="4"/>
      <c r="R404" s="4">
        <v>17</v>
      </c>
      <c r="S404" s="4">
        <v>17</v>
      </c>
      <c r="T404" s="4"/>
      <c r="U404" s="4">
        <v>-36.899533720000001</v>
      </c>
      <c r="V404" s="4">
        <v>174.91940869999999</v>
      </c>
      <c r="W404" s="4"/>
      <c r="X404" s="4"/>
      <c r="Y404" s="4"/>
      <c r="Z404" s="4"/>
      <c r="AA404" s="4" t="s">
        <v>152</v>
      </c>
      <c r="AB404" s="3" t="str">
        <f>HYPERLINK("https://sitebase.nzcomms.co.nz/spm/spmcandidateview/AKL-007-106-A/","AKL-007-106-A")</f>
        <v>AKL-007-106-A</v>
      </c>
      <c r="AC404" s="4"/>
      <c r="AD404" s="4"/>
      <c r="AE404" s="4"/>
      <c r="AF404" s="4"/>
      <c r="AG404" s="4"/>
      <c r="AH404" s="4"/>
      <c r="AI404" s="4"/>
      <c r="AJ404" s="4"/>
      <c r="AK404" s="4"/>
      <c r="AL404" s="4"/>
      <c r="AM404" s="4"/>
      <c r="AN404" s="5">
        <v>39532</v>
      </c>
      <c r="AO404" s="4">
        <v>5</v>
      </c>
      <c r="AP404" s="5">
        <v>39905</v>
      </c>
      <c r="AQ404" s="5">
        <v>39910</v>
      </c>
      <c r="AR404" s="4"/>
      <c r="AS404" s="4"/>
      <c r="AT404" s="5">
        <v>39559</v>
      </c>
      <c r="AU404" s="5">
        <v>39559</v>
      </c>
      <c r="AV404" s="4">
        <v>1</v>
      </c>
      <c r="AW404" s="5">
        <v>39559</v>
      </c>
      <c r="AX404" s="5">
        <v>39559</v>
      </c>
      <c r="AY404" s="4"/>
      <c r="AZ404" s="4"/>
      <c r="BA404" s="4"/>
      <c r="BB404" s="5">
        <v>39752</v>
      </c>
      <c r="BC404" s="4"/>
      <c r="BD404" s="4"/>
      <c r="BE404" s="5">
        <v>39878</v>
      </c>
      <c r="BF404" s="5">
        <v>39885</v>
      </c>
      <c r="BG404" s="4"/>
      <c r="BH404" s="5">
        <v>39559</v>
      </c>
      <c r="BI404" s="4"/>
      <c r="BJ404" s="5">
        <v>39720</v>
      </c>
      <c r="BK404" s="4">
        <v>2</v>
      </c>
      <c r="BL404" s="4">
        <v>3</v>
      </c>
      <c r="BM404" s="5">
        <v>39794</v>
      </c>
      <c r="BN404" s="5">
        <v>39794</v>
      </c>
      <c r="BO404" s="5">
        <v>39846</v>
      </c>
      <c r="BP404" s="4"/>
      <c r="BQ404" s="4"/>
      <c r="BR404" s="4"/>
      <c r="BS404" s="4"/>
      <c r="BT404" s="4"/>
      <c r="BU404" s="5">
        <v>39792</v>
      </c>
      <c r="BV404" s="5">
        <v>39871</v>
      </c>
      <c r="BW404" s="5">
        <v>39856</v>
      </c>
      <c r="BX404" s="4"/>
      <c r="BY404" s="5">
        <v>39871</v>
      </c>
      <c r="BZ404" s="5">
        <v>39856</v>
      </c>
      <c r="CA404" s="4"/>
      <c r="CB404" s="4"/>
      <c r="CC404" s="4"/>
      <c r="CD404" s="4"/>
      <c r="CE404" s="4"/>
      <c r="CF404" s="4"/>
      <c r="CG404" s="4"/>
      <c r="CH404" s="4"/>
      <c r="CI404" s="5">
        <v>39945</v>
      </c>
      <c r="CJ404" s="5">
        <v>39948</v>
      </c>
      <c r="CK404" s="5">
        <v>39945</v>
      </c>
      <c r="CL404" s="4"/>
      <c r="CM404" s="4"/>
      <c r="CN404" s="4"/>
      <c r="CO404" s="4"/>
      <c r="CP404" s="4" t="s">
        <v>157</v>
      </c>
      <c r="CQ404" s="4"/>
      <c r="CR404" s="5">
        <v>39948</v>
      </c>
      <c r="CS404" s="4"/>
      <c r="CT404" s="4"/>
      <c r="CU404" s="4"/>
      <c r="CV404" s="4"/>
      <c r="CW404" s="5">
        <v>39841</v>
      </c>
      <c r="CX404" s="5">
        <v>39846</v>
      </c>
      <c r="CY404" s="4"/>
      <c r="CZ404" s="4"/>
      <c r="DA404" s="4"/>
      <c r="DB404" s="4"/>
      <c r="DC404" s="4"/>
      <c r="DD404" s="4"/>
      <c r="DE404" s="4"/>
      <c r="DF404" s="4"/>
      <c r="DG404" s="4"/>
      <c r="DH404" s="4"/>
      <c r="DI404" s="4"/>
      <c r="DJ404" s="4" t="b">
        <v>0</v>
      </c>
      <c r="DK404" s="4"/>
      <c r="DL404" s="4">
        <v>2681439</v>
      </c>
      <c r="DM404" s="4">
        <v>6476222</v>
      </c>
      <c r="DN404" s="4" t="s">
        <v>1356</v>
      </c>
      <c r="DO404" s="4"/>
      <c r="DP404" s="4"/>
      <c r="DQ404" s="4" t="s">
        <v>148</v>
      </c>
      <c r="DR404" s="4"/>
      <c r="DS404" s="4"/>
      <c r="DT404" s="4"/>
      <c r="DU404" s="4"/>
      <c r="DV404" s="4"/>
      <c r="DW404" s="4"/>
      <c r="DX404" s="4"/>
      <c r="DY404" s="4"/>
      <c r="DZ404" s="5">
        <v>39771</v>
      </c>
      <c r="EA404" s="4"/>
      <c r="EB404" s="4"/>
      <c r="EC404" s="4"/>
      <c r="ED404" s="4"/>
      <c r="EE404" s="4"/>
      <c r="EF404" s="4"/>
      <c r="EG404" s="4"/>
      <c r="EH404" s="4"/>
      <c r="EI404" s="5">
        <v>39499</v>
      </c>
    </row>
    <row r="405" spans="1:139" hidden="1" x14ac:dyDescent="0.2">
      <c r="A405">
        <f>VLOOKUP(B405,Sheet1!$A$1:$B$18,2,FALSE)</f>
        <v>0</v>
      </c>
      <c r="B405" t="str">
        <f t="shared" si="7"/>
        <v>AKL</v>
      </c>
      <c r="C405" s="2">
        <v>404</v>
      </c>
      <c r="D405" s="3" t="str">
        <f>HYPERLINK("https://sitebase.nzcomms.co.nz/spm/spmnominalview/AKL-008-030/","AKL-008-030")</f>
        <v>AKL-008-030</v>
      </c>
      <c r="E405" s="4"/>
      <c r="F405" s="3" t="str">
        <f>HYPERLINK("https://sitebase.nzcomms.co.nz/spm/spmcandidateview/AKL-008-030-C/","AKL-008-030-C")</f>
        <v>AKL-008-030-C</v>
      </c>
      <c r="G405" s="4" t="s">
        <v>1357</v>
      </c>
      <c r="H405" s="4" t="s">
        <v>1296</v>
      </c>
      <c r="I405" s="4"/>
      <c r="J405" s="4" t="s">
        <v>139</v>
      </c>
      <c r="K405" s="4" t="s">
        <v>141</v>
      </c>
      <c r="L405" s="4" t="s">
        <v>181</v>
      </c>
      <c r="M405" s="4" t="s">
        <v>378</v>
      </c>
      <c r="N405" s="4" t="s">
        <v>364</v>
      </c>
      <c r="O405" s="4" t="s">
        <v>144</v>
      </c>
      <c r="P405" s="4"/>
      <c r="Q405" s="4"/>
      <c r="R405" s="4">
        <v>20.5</v>
      </c>
      <c r="S405" s="4">
        <v>20.5</v>
      </c>
      <c r="T405" s="4"/>
      <c r="U405" s="4">
        <v>-36.912521069999997</v>
      </c>
      <c r="V405" s="4">
        <v>174.87227514</v>
      </c>
      <c r="W405" s="4"/>
      <c r="X405" s="4"/>
      <c r="Y405" s="4"/>
      <c r="Z405" s="4"/>
      <c r="AA405" s="4" t="s">
        <v>171</v>
      </c>
      <c r="AB405" s="3" t="str">
        <f>HYPERLINK("https://sitebase.nzcomms.co.nz/spm/spmcandidateview/AKL-008-024-A/","AKL-008-024-A")</f>
        <v>AKL-008-024-A</v>
      </c>
      <c r="AC405" s="4"/>
      <c r="AD405" s="4"/>
      <c r="AE405" s="4"/>
      <c r="AF405" s="4"/>
      <c r="AG405" s="4"/>
      <c r="AH405" s="4" t="s">
        <v>360</v>
      </c>
      <c r="AI405" s="4"/>
      <c r="AJ405" s="4"/>
      <c r="AK405" s="4"/>
      <c r="AL405" s="4"/>
      <c r="AM405" s="4"/>
      <c r="AN405" s="5">
        <v>39527</v>
      </c>
      <c r="AO405" s="4">
        <v>10</v>
      </c>
      <c r="AP405" s="5">
        <v>39947</v>
      </c>
      <c r="AQ405" s="5">
        <v>39947</v>
      </c>
      <c r="AR405" s="4"/>
      <c r="AS405" s="4"/>
      <c r="AT405" s="5">
        <v>39940</v>
      </c>
      <c r="AU405" s="5">
        <v>39937</v>
      </c>
      <c r="AV405" s="4">
        <v>6</v>
      </c>
      <c r="AW405" s="5">
        <v>39953</v>
      </c>
      <c r="AX405" s="5">
        <v>39953</v>
      </c>
      <c r="AY405" s="4"/>
      <c r="AZ405" s="4"/>
      <c r="BA405" s="4"/>
      <c r="BB405" s="4"/>
      <c r="BC405" s="4"/>
      <c r="BD405" s="4"/>
      <c r="BE405" s="5">
        <v>39891</v>
      </c>
      <c r="BF405" s="5">
        <v>39885</v>
      </c>
      <c r="BG405" s="5">
        <v>39892</v>
      </c>
      <c r="BH405" s="5">
        <v>39890</v>
      </c>
      <c r="BI405" s="4"/>
      <c r="BJ405" s="5">
        <v>39933</v>
      </c>
      <c r="BK405" s="4">
        <v>2</v>
      </c>
      <c r="BL405" s="4">
        <v>9</v>
      </c>
      <c r="BM405" s="5">
        <v>39951</v>
      </c>
      <c r="BN405" s="5">
        <v>39952</v>
      </c>
      <c r="BO405" s="4"/>
      <c r="BP405" s="4"/>
      <c r="BQ405" s="4"/>
      <c r="BR405" s="4"/>
      <c r="BS405" s="4"/>
      <c r="BT405" s="5">
        <v>39958</v>
      </c>
      <c r="BU405" s="5">
        <v>39958</v>
      </c>
      <c r="BV405" s="5">
        <v>39983</v>
      </c>
      <c r="BW405" s="5">
        <v>39983</v>
      </c>
      <c r="BX405" s="4"/>
      <c r="BY405" s="5">
        <v>40001</v>
      </c>
      <c r="BZ405" s="5">
        <v>40002</v>
      </c>
      <c r="CA405" s="4"/>
      <c r="CB405" s="4"/>
      <c r="CC405" s="4"/>
      <c r="CD405" s="4"/>
      <c r="CE405" s="4"/>
      <c r="CF405" s="4"/>
      <c r="CG405" s="4"/>
      <c r="CH405" s="4"/>
      <c r="CI405" s="5">
        <v>40003</v>
      </c>
      <c r="CJ405" s="5">
        <v>40004</v>
      </c>
      <c r="CK405" s="5">
        <v>40003</v>
      </c>
      <c r="CL405" s="4"/>
      <c r="CM405" s="4"/>
      <c r="CN405" s="4"/>
      <c r="CO405" s="4"/>
      <c r="CP405" s="4" t="s">
        <v>157</v>
      </c>
      <c r="CQ405" s="4"/>
      <c r="CR405" s="5">
        <v>40004</v>
      </c>
      <c r="CS405" s="4"/>
      <c r="CT405" s="4"/>
      <c r="CU405" s="4"/>
      <c r="CV405" s="4"/>
      <c r="CW405" s="4"/>
      <c r="CX405" s="4"/>
      <c r="CY405" s="4"/>
      <c r="CZ405" s="4"/>
      <c r="DA405" s="4"/>
      <c r="DB405" s="4"/>
      <c r="DC405" s="4"/>
      <c r="DD405" s="4"/>
      <c r="DE405" s="4"/>
      <c r="DF405" s="4"/>
      <c r="DG405" s="4"/>
      <c r="DH405" s="4"/>
      <c r="DI405" s="4"/>
      <c r="DJ405" s="4" t="b">
        <v>0</v>
      </c>
      <c r="DK405" s="4"/>
      <c r="DL405" s="4">
        <v>2677208</v>
      </c>
      <c r="DM405" s="4">
        <v>6474873</v>
      </c>
      <c r="DN405" s="4" t="s">
        <v>1358</v>
      </c>
      <c r="DO405" s="4"/>
      <c r="DP405" s="4"/>
      <c r="DQ405" s="4" t="s">
        <v>148</v>
      </c>
      <c r="DR405" s="4"/>
      <c r="DS405" s="4"/>
      <c r="DT405" s="5">
        <v>41863</v>
      </c>
      <c r="DU405" s="4"/>
      <c r="DV405" s="4"/>
      <c r="DW405" s="4"/>
      <c r="DX405" s="4"/>
      <c r="DY405" s="5">
        <v>39958</v>
      </c>
      <c r="DZ405" s="5">
        <v>39958</v>
      </c>
      <c r="EA405" s="4"/>
      <c r="EB405" s="4"/>
      <c r="EC405" s="4"/>
      <c r="ED405" s="4"/>
      <c r="EE405" s="4"/>
      <c r="EF405" s="4"/>
      <c r="EG405" s="4"/>
      <c r="EH405" s="4"/>
      <c r="EI405" s="5">
        <v>39498</v>
      </c>
    </row>
    <row r="406" spans="1:139" hidden="1" x14ac:dyDescent="0.2">
      <c r="A406">
        <f>VLOOKUP(B406,Sheet1!$A$1:$B$18,2,FALSE)</f>
        <v>0</v>
      </c>
      <c r="B406" t="str">
        <f t="shared" si="7"/>
        <v>AKL</v>
      </c>
      <c r="C406" s="2">
        <v>405</v>
      </c>
      <c r="D406" s="3" t="str">
        <f>HYPERLINK("https://sitebase.nzcomms.co.nz/spm/spmnominalview/AKL-008-031/","AKL-008-031")</f>
        <v>AKL-008-031</v>
      </c>
      <c r="E406" s="4"/>
      <c r="F406" s="3" t="str">
        <f>HYPERLINK("https://sitebase.nzcomms.co.nz/spm/spmcandidateview/AKL-008-031-B/","AKL-008-031-B")</f>
        <v>AKL-008-031-B</v>
      </c>
      <c r="G406" s="4" t="s">
        <v>1359</v>
      </c>
      <c r="H406" s="4" t="s">
        <v>1296</v>
      </c>
      <c r="I406" s="4"/>
      <c r="J406" s="4" t="s">
        <v>139</v>
      </c>
      <c r="K406" s="4" t="s">
        <v>141</v>
      </c>
      <c r="L406" s="4" t="s">
        <v>189</v>
      </c>
      <c r="M406" s="4" t="s">
        <v>143</v>
      </c>
      <c r="N406" s="4" t="s">
        <v>191</v>
      </c>
      <c r="O406" s="4" t="s">
        <v>356</v>
      </c>
      <c r="P406" s="4"/>
      <c r="Q406" s="4"/>
      <c r="R406" s="4">
        <v>15</v>
      </c>
      <c r="S406" s="4">
        <v>15</v>
      </c>
      <c r="T406" s="4"/>
      <c r="U406" s="4">
        <v>-36.914713570000004</v>
      </c>
      <c r="V406" s="4">
        <v>174.92844787000001</v>
      </c>
      <c r="W406" s="4"/>
      <c r="X406" s="4"/>
      <c r="Y406" s="4"/>
      <c r="Z406" s="4"/>
      <c r="AA406" s="4" t="s">
        <v>152</v>
      </c>
      <c r="AB406" s="3" t="str">
        <f>HYPERLINK("https://sitebase.nzcomms.co.nz/spm/spmcandidateview/AKL-007-106-A/","AKL-007-106-A")</f>
        <v>AKL-007-106-A</v>
      </c>
      <c r="AC406" s="4"/>
      <c r="AD406" s="4"/>
      <c r="AE406" s="4"/>
      <c r="AF406" s="4"/>
      <c r="AG406" s="4"/>
      <c r="AH406" s="4"/>
      <c r="AI406" s="4"/>
      <c r="AJ406" s="4"/>
      <c r="AK406" s="4"/>
      <c r="AL406" s="4"/>
      <c r="AM406" s="4"/>
      <c r="AN406" s="5">
        <v>39342</v>
      </c>
      <c r="AO406" s="4">
        <v>2</v>
      </c>
      <c r="AP406" s="5">
        <v>39562</v>
      </c>
      <c r="AQ406" s="5">
        <v>39562</v>
      </c>
      <c r="AR406" s="4"/>
      <c r="AS406" s="4"/>
      <c r="AT406" s="5">
        <v>39629</v>
      </c>
      <c r="AU406" s="5">
        <v>39629</v>
      </c>
      <c r="AV406" s="4">
        <v>2</v>
      </c>
      <c r="AW406" s="5">
        <v>39629</v>
      </c>
      <c r="AX406" s="5">
        <v>39629</v>
      </c>
      <c r="AY406" s="4"/>
      <c r="AZ406" s="4"/>
      <c r="BA406" s="4"/>
      <c r="BB406" s="5">
        <v>39629</v>
      </c>
      <c r="BC406" s="4"/>
      <c r="BD406" s="4"/>
      <c r="BE406" s="5">
        <v>39629</v>
      </c>
      <c r="BF406" s="5">
        <v>39632</v>
      </c>
      <c r="BG406" s="4"/>
      <c r="BH406" s="5">
        <v>39567</v>
      </c>
      <c r="BI406" s="4"/>
      <c r="BJ406" s="5">
        <v>39590</v>
      </c>
      <c r="BK406" s="4">
        <v>1</v>
      </c>
      <c r="BL406" s="4">
        <v>2</v>
      </c>
      <c r="BM406" s="5">
        <v>39590</v>
      </c>
      <c r="BN406" s="5">
        <v>39590</v>
      </c>
      <c r="BO406" s="4"/>
      <c r="BP406" s="4"/>
      <c r="BQ406" s="4"/>
      <c r="BR406" s="4"/>
      <c r="BS406" s="4"/>
      <c r="BT406" s="4"/>
      <c r="BU406" s="5">
        <v>39661</v>
      </c>
      <c r="BV406" s="5">
        <v>39721</v>
      </c>
      <c r="BW406" s="5">
        <v>39713</v>
      </c>
      <c r="BX406" s="4"/>
      <c r="BY406" s="5">
        <v>39731</v>
      </c>
      <c r="BZ406" s="5">
        <v>39715</v>
      </c>
      <c r="CA406" s="4"/>
      <c r="CB406" s="4"/>
      <c r="CC406" s="4"/>
      <c r="CD406" s="4"/>
      <c r="CE406" s="4"/>
      <c r="CF406" s="4"/>
      <c r="CG406" s="4"/>
      <c r="CH406" s="4"/>
      <c r="CI406" s="5">
        <v>39927</v>
      </c>
      <c r="CJ406" s="5">
        <v>39927</v>
      </c>
      <c r="CK406" s="5">
        <v>39927</v>
      </c>
      <c r="CL406" s="4"/>
      <c r="CM406" s="4"/>
      <c r="CN406" s="4"/>
      <c r="CO406" s="4"/>
      <c r="CP406" s="4" t="s">
        <v>1360</v>
      </c>
      <c r="CQ406" s="4"/>
      <c r="CR406" s="5">
        <v>39927</v>
      </c>
      <c r="CS406" s="4"/>
      <c r="CT406" s="4"/>
      <c r="CU406" s="4"/>
      <c r="CV406" s="4"/>
      <c r="CW406" s="4"/>
      <c r="CX406" s="4"/>
      <c r="CY406" s="4"/>
      <c r="CZ406" s="4"/>
      <c r="DA406" s="4"/>
      <c r="DB406" s="4"/>
      <c r="DC406" s="4"/>
      <c r="DD406" s="4"/>
      <c r="DE406" s="4"/>
      <c r="DF406" s="4"/>
      <c r="DG406" s="4"/>
      <c r="DH406" s="4"/>
      <c r="DI406" s="4"/>
      <c r="DJ406" s="4" t="b">
        <v>0</v>
      </c>
      <c r="DK406" s="4"/>
      <c r="DL406" s="4">
        <v>2682207</v>
      </c>
      <c r="DM406" s="4">
        <v>6474520</v>
      </c>
      <c r="DN406" s="4" t="s">
        <v>1361</v>
      </c>
      <c r="DO406" s="4"/>
      <c r="DP406" s="4"/>
      <c r="DQ406" s="4" t="s">
        <v>148</v>
      </c>
      <c r="DR406" s="4"/>
      <c r="DS406" s="4"/>
      <c r="DT406" s="4"/>
      <c r="DU406" s="4"/>
      <c r="DV406" s="4"/>
      <c r="DW406" s="4"/>
      <c r="DX406" s="4"/>
      <c r="DY406" s="4"/>
      <c r="DZ406" s="5">
        <v>39652</v>
      </c>
      <c r="EA406" s="4"/>
      <c r="EB406" s="4"/>
      <c r="EC406" s="4"/>
      <c r="ED406" s="4"/>
      <c r="EE406" s="4"/>
      <c r="EF406" s="4"/>
      <c r="EG406" s="4"/>
      <c r="EH406" s="4"/>
      <c r="EI406" s="5">
        <v>39325</v>
      </c>
    </row>
    <row r="407" spans="1:139" hidden="1" x14ac:dyDescent="0.2">
      <c r="A407">
        <f>VLOOKUP(B407,Sheet1!$A$1:$B$18,2,FALSE)</f>
        <v>0</v>
      </c>
      <c r="B407" t="str">
        <f t="shared" si="7"/>
        <v>AKL</v>
      </c>
      <c r="C407" s="2">
        <v>406</v>
      </c>
      <c r="D407" s="3" t="str">
        <f>HYPERLINK("https://sitebase.nzcomms.co.nz/spm/spmnominalview/AKL-008-032/","AKL-008-032")</f>
        <v>AKL-008-032</v>
      </c>
      <c r="E407" s="4"/>
      <c r="F407" s="3" t="str">
        <f>HYPERLINK("https://sitebase.nzcomms.co.nz/spm/spmcandidateview/AKL-008-032-C/","AKL-008-032-C")</f>
        <v>AKL-008-032-C</v>
      </c>
      <c r="G407" s="4" t="s">
        <v>1362</v>
      </c>
      <c r="H407" s="4" t="s">
        <v>1296</v>
      </c>
      <c r="I407" s="4"/>
      <c r="J407" s="4" t="s">
        <v>139</v>
      </c>
      <c r="K407" s="4" t="s">
        <v>141</v>
      </c>
      <c r="L407" s="4" t="s">
        <v>181</v>
      </c>
      <c r="M407" s="4" t="s">
        <v>378</v>
      </c>
      <c r="N407" s="4" t="s">
        <v>364</v>
      </c>
      <c r="O407" s="4" t="s">
        <v>144</v>
      </c>
      <c r="P407" s="4"/>
      <c r="Q407" s="4"/>
      <c r="R407" s="4">
        <v>11.8</v>
      </c>
      <c r="S407" s="4">
        <v>11.8</v>
      </c>
      <c r="T407" s="4"/>
      <c r="U407" s="4">
        <v>-36.92824701</v>
      </c>
      <c r="V407" s="4">
        <v>174.91198198999999</v>
      </c>
      <c r="W407" s="4"/>
      <c r="X407" s="4"/>
      <c r="Y407" s="4"/>
      <c r="Z407" s="4"/>
      <c r="AA407" s="4" t="s">
        <v>171</v>
      </c>
      <c r="AB407" s="3" t="str">
        <f>HYPERLINK("https://sitebase.nzcomms.co.nz/spm/spmcandidateview/AKL-008-045-A/","AKL-008-045-A")</f>
        <v>AKL-008-045-A</v>
      </c>
      <c r="AC407" s="4"/>
      <c r="AD407" s="4"/>
      <c r="AE407" s="4"/>
      <c r="AF407" s="4"/>
      <c r="AG407" s="4"/>
      <c r="AH407" s="4"/>
      <c r="AI407" s="4"/>
      <c r="AJ407" s="4"/>
      <c r="AK407" s="4"/>
      <c r="AL407" s="4"/>
      <c r="AM407" s="4"/>
      <c r="AN407" s="5">
        <v>39679</v>
      </c>
      <c r="AO407" s="4">
        <v>6</v>
      </c>
      <c r="AP407" s="5">
        <v>39794</v>
      </c>
      <c r="AQ407" s="5">
        <v>39794</v>
      </c>
      <c r="AR407" s="4"/>
      <c r="AS407" s="4"/>
      <c r="AT407" s="5">
        <v>39802</v>
      </c>
      <c r="AU407" s="5">
        <v>39800</v>
      </c>
      <c r="AV407" s="4">
        <v>6</v>
      </c>
      <c r="AW407" s="5">
        <v>39955</v>
      </c>
      <c r="AX407" s="5">
        <v>39958</v>
      </c>
      <c r="AY407" s="4"/>
      <c r="AZ407" s="4"/>
      <c r="BA407" s="4"/>
      <c r="BB407" s="5">
        <v>39820</v>
      </c>
      <c r="BC407" s="4"/>
      <c r="BD407" s="4"/>
      <c r="BE407" s="5">
        <v>39820</v>
      </c>
      <c r="BF407" s="5">
        <v>39820</v>
      </c>
      <c r="BG407" s="5">
        <v>39812</v>
      </c>
      <c r="BH407" s="5">
        <v>39717</v>
      </c>
      <c r="BI407" s="4"/>
      <c r="BJ407" s="5">
        <v>39745</v>
      </c>
      <c r="BK407" s="4">
        <v>3</v>
      </c>
      <c r="BL407" s="4">
        <v>5</v>
      </c>
      <c r="BM407" s="5">
        <v>39843</v>
      </c>
      <c r="BN407" s="5">
        <v>39843</v>
      </c>
      <c r="BO407" s="4"/>
      <c r="BP407" s="4"/>
      <c r="BQ407" s="4"/>
      <c r="BR407" s="4"/>
      <c r="BS407" s="4"/>
      <c r="BT407" s="5">
        <v>39961</v>
      </c>
      <c r="BU407" s="5">
        <v>39961</v>
      </c>
      <c r="BV407" s="5">
        <v>39990</v>
      </c>
      <c r="BW407" s="5">
        <v>39990</v>
      </c>
      <c r="BX407" s="4"/>
      <c r="BY407" s="5">
        <v>40011</v>
      </c>
      <c r="BZ407" s="5">
        <v>40008</v>
      </c>
      <c r="CA407" s="4"/>
      <c r="CB407" s="4"/>
      <c r="CC407" s="4"/>
      <c r="CD407" s="4"/>
      <c r="CE407" s="4"/>
      <c r="CF407" s="4"/>
      <c r="CG407" s="4"/>
      <c r="CH407" s="4"/>
      <c r="CI407" s="5">
        <v>40018</v>
      </c>
      <c r="CJ407" s="5">
        <v>40024</v>
      </c>
      <c r="CK407" s="5">
        <v>40018</v>
      </c>
      <c r="CL407" s="4"/>
      <c r="CM407" s="4"/>
      <c r="CN407" s="4"/>
      <c r="CO407" s="4"/>
      <c r="CP407" s="4" t="s">
        <v>157</v>
      </c>
      <c r="CQ407" s="4"/>
      <c r="CR407" s="5">
        <v>40024</v>
      </c>
      <c r="CS407" s="4"/>
      <c r="CT407" s="4"/>
      <c r="CU407" s="4"/>
      <c r="CV407" s="4"/>
      <c r="CW407" s="4"/>
      <c r="CX407" s="4"/>
      <c r="CY407" s="4"/>
      <c r="CZ407" s="4"/>
      <c r="DA407" s="4"/>
      <c r="DB407" s="4"/>
      <c r="DC407" s="4"/>
      <c r="DD407" s="4"/>
      <c r="DE407" s="4"/>
      <c r="DF407" s="4"/>
      <c r="DG407" s="4"/>
      <c r="DH407" s="4"/>
      <c r="DI407" s="4"/>
      <c r="DJ407" s="4" t="b">
        <v>0</v>
      </c>
      <c r="DK407" s="4"/>
      <c r="DL407" s="4">
        <v>2680707</v>
      </c>
      <c r="DM407" s="4">
        <v>6473051</v>
      </c>
      <c r="DN407" s="4" t="s">
        <v>1363</v>
      </c>
      <c r="DO407" s="4"/>
      <c r="DP407" s="4"/>
      <c r="DQ407" s="4" t="s">
        <v>148</v>
      </c>
      <c r="DR407" s="4"/>
      <c r="DS407" s="4"/>
      <c r="DT407" s="5">
        <v>41894</v>
      </c>
      <c r="DU407" s="4"/>
      <c r="DV407" s="4"/>
      <c r="DW407" s="4"/>
      <c r="DX407" s="4"/>
      <c r="DY407" s="5">
        <v>39961</v>
      </c>
      <c r="DZ407" s="5">
        <v>39961</v>
      </c>
      <c r="EA407" s="4"/>
      <c r="EB407" s="4"/>
      <c r="EC407" s="4"/>
      <c r="ED407" s="4"/>
      <c r="EE407" s="4"/>
      <c r="EF407" s="4"/>
      <c r="EG407" s="4"/>
      <c r="EH407" s="4"/>
      <c r="EI407" s="5">
        <v>39624</v>
      </c>
    </row>
    <row r="408" spans="1:139" hidden="1" x14ac:dyDescent="0.2">
      <c r="A408">
        <f>VLOOKUP(B408,Sheet1!$A$1:$B$18,2,FALSE)</f>
        <v>0</v>
      </c>
      <c r="B408" t="str">
        <f t="shared" si="7"/>
        <v>AKL</v>
      </c>
      <c r="C408" s="2">
        <v>407</v>
      </c>
      <c r="D408" s="3" t="str">
        <f>HYPERLINK("https://sitebase.nzcomms.co.nz/spm/spmnominalview/AKL-008-033/","AKL-008-033")</f>
        <v>AKL-008-033</v>
      </c>
      <c r="E408" s="4"/>
      <c r="F408" s="3" t="str">
        <f>HYPERLINK("https://sitebase.nzcomms.co.nz/spm/spmcandidateview/AKL-008-033-D/","AKL-008-033-D")</f>
        <v>AKL-008-033-D</v>
      </c>
      <c r="G408" s="4" t="s">
        <v>1364</v>
      </c>
      <c r="H408" s="4" t="s">
        <v>1296</v>
      </c>
      <c r="I408" s="4"/>
      <c r="J408" s="4" t="s">
        <v>139</v>
      </c>
      <c r="K408" s="4" t="s">
        <v>141</v>
      </c>
      <c r="L408" s="4" t="s">
        <v>189</v>
      </c>
      <c r="M408" s="4" t="s">
        <v>296</v>
      </c>
      <c r="N408" s="4" t="s">
        <v>191</v>
      </c>
      <c r="O408" s="4" t="s">
        <v>356</v>
      </c>
      <c r="P408" s="4"/>
      <c r="Q408" s="4"/>
      <c r="R408" s="4"/>
      <c r="S408" s="4">
        <v>9.4</v>
      </c>
      <c r="T408" s="4"/>
      <c r="U408" s="4">
        <v>-36.88505001</v>
      </c>
      <c r="V408" s="4">
        <v>174.90051808000001</v>
      </c>
      <c r="W408" s="4"/>
      <c r="X408" s="4"/>
      <c r="Y408" s="4"/>
      <c r="Z408" s="4"/>
      <c r="AA408" s="4" t="s">
        <v>171</v>
      </c>
      <c r="AB408" s="3" t="str">
        <f>HYPERLINK("https://sitebase.nzcomms.co.nz/spm/spmcandidateview/AKL-007-113-A/","AKL-007-113-A")</f>
        <v>AKL-007-113-A</v>
      </c>
      <c r="AC408" s="4"/>
      <c r="AD408" s="4"/>
      <c r="AE408" s="4"/>
      <c r="AF408" s="4"/>
      <c r="AG408" s="4"/>
      <c r="AH408" s="4"/>
      <c r="AI408" s="4"/>
      <c r="AJ408" s="4"/>
      <c r="AK408" s="4"/>
      <c r="AL408" s="4"/>
      <c r="AM408" s="4"/>
      <c r="AN408" s="5">
        <v>39969</v>
      </c>
      <c r="AO408" s="4">
        <v>3</v>
      </c>
      <c r="AP408" s="5">
        <v>40046</v>
      </c>
      <c r="AQ408" s="5">
        <v>40106</v>
      </c>
      <c r="AR408" s="4"/>
      <c r="AS408" s="4"/>
      <c r="AT408" s="5">
        <v>40084</v>
      </c>
      <c r="AU408" s="5">
        <v>40081</v>
      </c>
      <c r="AV408" s="4"/>
      <c r="AW408" s="5">
        <v>40088</v>
      </c>
      <c r="AX408" s="5">
        <v>40087</v>
      </c>
      <c r="AY408" s="4"/>
      <c r="AZ408" s="5">
        <v>40085</v>
      </c>
      <c r="BA408" s="4"/>
      <c r="BB408" s="5">
        <v>40085</v>
      </c>
      <c r="BC408" s="4"/>
      <c r="BD408" s="4"/>
      <c r="BE408" s="5">
        <v>40085</v>
      </c>
      <c r="BF408" s="5">
        <v>40081</v>
      </c>
      <c r="BG408" s="5">
        <v>39979</v>
      </c>
      <c r="BH408" s="5">
        <v>39979</v>
      </c>
      <c r="BI408" s="4"/>
      <c r="BJ408" s="5">
        <v>39987</v>
      </c>
      <c r="BK408" s="4">
        <v>1</v>
      </c>
      <c r="BL408" s="4">
        <v>2</v>
      </c>
      <c r="BM408" s="5">
        <v>39994</v>
      </c>
      <c r="BN408" s="5">
        <v>39987</v>
      </c>
      <c r="BO408" s="5">
        <v>40134</v>
      </c>
      <c r="BP408" s="4"/>
      <c r="BQ408" s="4"/>
      <c r="BR408" s="4"/>
      <c r="BS408" s="4"/>
      <c r="BT408" s="5">
        <v>40189</v>
      </c>
      <c r="BU408" s="5">
        <v>40189</v>
      </c>
      <c r="BV408" s="5">
        <v>40196</v>
      </c>
      <c r="BW408" s="5">
        <v>40193</v>
      </c>
      <c r="BX408" s="4"/>
      <c r="BY408" s="5">
        <v>40198</v>
      </c>
      <c r="BZ408" s="5">
        <v>40193</v>
      </c>
      <c r="CA408" s="4"/>
      <c r="CB408" s="4"/>
      <c r="CC408" s="4"/>
      <c r="CD408" s="4"/>
      <c r="CE408" s="4"/>
      <c r="CF408" s="4"/>
      <c r="CG408" s="4"/>
      <c r="CH408" s="4"/>
      <c r="CI408" s="5">
        <v>40196</v>
      </c>
      <c r="CJ408" s="5">
        <v>40196</v>
      </c>
      <c r="CK408" s="5">
        <v>40196</v>
      </c>
      <c r="CL408" s="4"/>
      <c r="CM408" s="4"/>
      <c r="CN408" s="4"/>
      <c r="CO408" s="4"/>
      <c r="CP408" s="4" t="s">
        <v>1365</v>
      </c>
      <c r="CQ408" s="4"/>
      <c r="CR408" s="5">
        <v>40196</v>
      </c>
      <c r="CS408" s="4"/>
      <c r="CT408" s="4"/>
      <c r="CU408" s="4"/>
      <c r="CV408" s="4"/>
      <c r="CW408" s="5">
        <v>40129</v>
      </c>
      <c r="CX408" s="5">
        <v>40134</v>
      </c>
      <c r="CY408" s="4"/>
      <c r="CZ408" s="4"/>
      <c r="DA408" s="4"/>
      <c r="DB408" s="4"/>
      <c r="DC408" s="4"/>
      <c r="DD408" s="4"/>
      <c r="DE408" s="4"/>
      <c r="DF408" s="4"/>
      <c r="DG408" s="4"/>
      <c r="DH408" s="4"/>
      <c r="DI408" s="4"/>
      <c r="DJ408" s="4" t="b">
        <v>0</v>
      </c>
      <c r="DK408" s="4"/>
      <c r="DL408" s="4">
        <v>2679791</v>
      </c>
      <c r="DM408" s="4">
        <v>6477866</v>
      </c>
      <c r="DN408" s="4" t="s">
        <v>1366</v>
      </c>
      <c r="DO408" s="4"/>
      <c r="DP408" s="4"/>
      <c r="DQ408" s="4" t="s">
        <v>148</v>
      </c>
      <c r="DR408" s="4"/>
      <c r="DS408" s="4"/>
      <c r="DT408" s="4"/>
      <c r="DU408" s="4"/>
      <c r="DV408" s="4"/>
      <c r="DW408" s="4"/>
      <c r="DX408" s="4"/>
      <c r="DY408" s="5">
        <v>40189</v>
      </c>
      <c r="DZ408" s="5">
        <v>40189</v>
      </c>
      <c r="EA408" s="4"/>
      <c r="EB408" s="4"/>
      <c r="EC408" s="4"/>
      <c r="ED408" s="4"/>
      <c r="EE408" s="4"/>
      <c r="EF408" s="4"/>
      <c r="EG408" s="4"/>
      <c r="EH408" s="4"/>
      <c r="EI408" s="5">
        <v>39968</v>
      </c>
    </row>
    <row r="409" spans="1:139" hidden="1" x14ac:dyDescent="0.2">
      <c r="A409">
        <f>VLOOKUP(B409,Sheet1!$A$1:$B$18,2,FALSE)</f>
        <v>0</v>
      </c>
      <c r="B409" t="str">
        <f t="shared" si="7"/>
        <v>AKL</v>
      </c>
      <c r="C409" s="2">
        <v>408</v>
      </c>
      <c r="D409" s="3" t="str">
        <f>HYPERLINK("https://sitebase.nzcomms.co.nz/spm/spmnominalview/AKL-008-034/","AKL-008-034")</f>
        <v>AKL-008-034</v>
      </c>
      <c r="E409" s="4"/>
      <c r="F409" s="3" t="str">
        <f>HYPERLINK("https://sitebase.nzcomms.co.nz/spm/spmcandidateview/AKL-008-034-D/","AKL-008-034-D")</f>
        <v>AKL-008-034-D</v>
      </c>
      <c r="G409" s="4" t="s">
        <v>1367</v>
      </c>
      <c r="H409" s="4" t="s">
        <v>1296</v>
      </c>
      <c r="I409" s="4"/>
      <c r="J409" s="4" t="s">
        <v>139</v>
      </c>
      <c r="K409" s="4" t="s">
        <v>141</v>
      </c>
      <c r="L409" s="4" t="s">
        <v>189</v>
      </c>
      <c r="M409" s="4" t="s">
        <v>143</v>
      </c>
      <c r="N409" s="4" t="s">
        <v>191</v>
      </c>
      <c r="O409" s="4" t="s">
        <v>356</v>
      </c>
      <c r="P409" s="4"/>
      <c r="Q409" s="4"/>
      <c r="R409" s="4"/>
      <c r="S409" s="4"/>
      <c r="T409" s="4"/>
      <c r="U409" s="4">
        <v>-36.882730610000003</v>
      </c>
      <c r="V409" s="4">
        <v>174.91394147</v>
      </c>
      <c r="W409" s="4"/>
      <c r="X409" s="4"/>
      <c r="Y409" s="4"/>
      <c r="Z409" s="4"/>
      <c r="AA409" s="4" t="s">
        <v>152</v>
      </c>
      <c r="AB409" s="3" t="str">
        <f>HYPERLINK("https://sitebase.nzcomms.co.nz/spm/spmcandidateview/AKL-007-106-A/","AKL-007-106-A")</f>
        <v>AKL-007-106-A</v>
      </c>
      <c r="AC409" s="4"/>
      <c r="AD409" s="4"/>
      <c r="AE409" s="4"/>
      <c r="AF409" s="4"/>
      <c r="AG409" s="4"/>
      <c r="AH409" s="4"/>
      <c r="AI409" s="4"/>
      <c r="AJ409" s="4"/>
      <c r="AK409" s="4"/>
      <c r="AL409" s="4"/>
      <c r="AM409" s="4"/>
      <c r="AN409" s="5">
        <v>39590</v>
      </c>
      <c r="AO409" s="4">
        <v>2</v>
      </c>
      <c r="AP409" s="5">
        <v>39636</v>
      </c>
      <c r="AQ409" s="5">
        <v>39636</v>
      </c>
      <c r="AR409" s="4"/>
      <c r="AS409" s="4"/>
      <c r="AT409" s="5">
        <v>39629</v>
      </c>
      <c r="AU409" s="5">
        <v>39629</v>
      </c>
      <c r="AV409" s="4">
        <v>2</v>
      </c>
      <c r="AW409" s="5">
        <v>39629</v>
      </c>
      <c r="AX409" s="5">
        <v>39629</v>
      </c>
      <c r="AY409" s="4"/>
      <c r="AZ409" s="4"/>
      <c r="BA409" s="4"/>
      <c r="BB409" s="5">
        <v>39780</v>
      </c>
      <c r="BC409" s="4"/>
      <c r="BD409" s="4"/>
      <c r="BE409" s="5">
        <v>39801</v>
      </c>
      <c r="BF409" s="5">
        <v>39780</v>
      </c>
      <c r="BG409" s="4"/>
      <c r="BH409" s="5">
        <v>39604</v>
      </c>
      <c r="BI409" s="4"/>
      <c r="BJ409" s="5">
        <v>39637</v>
      </c>
      <c r="BK409" s="4">
        <v>2</v>
      </c>
      <c r="BL409" s="4">
        <v>2</v>
      </c>
      <c r="BM409" s="5">
        <v>39884</v>
      </c>
      <c r="BN409" s="5">
        <v>39884</v>
      </c>
      <c r="BO409" s="5">
        <v>39759</v>
      </c>
      <c r="BP409" s="4"/>
      <c r="BQ409" s="4"/>
      <c r="BR409" s="4"/>
      <c r="BS409" s="4"/>
      <c r="BT409" s="4"/>
      <c r="BU409" s="5">
        <v>39860</v>
      </c>
      <c r="BV409" s="5">
        <v>39910</v>
      </c>
      <c r="BW409" s="5">
        <v>39910</v>
      </c>
      <c r="BX409" s="4"/>
      <c r="BY409" s="5">
        <v>39910</v>
      </c>
      <c r="BZ409" s="5">
        <v>39910</v>
      </c>
      <c r="CA409" s="4"/>
      <c r="CB409" s="4"/>
      <c r="CC409" s="4"/>
      <c r="CD409" s="4"/>
      <c r="CE409" s="4"/>
      <c r="CF409" s="4"/>
      <c r="CG409" s="4"/>
      <c r="CH409" s="4"/>
      <c r="CI409" s="5">
        <v>39925</v>
      </c>
      <c r="CJ409" s="5">
        <v>39927</v>
      </c>
      <c r="CK409" s="5">
        <v>39925</v>
      </c>
      <c r="CL409" s="4"/>
      <c r="CM409" s="4"/>
      <c r="CN409" s="4"/>
      <c r="CO409" s="4"/>
      <c r="CP409" s="4" t="s">
        <v>157</v>
      </c>
      <c r="CQ409" s="4"/>
      <c r="CR409" s="5">
        <v>39927</v>
      </c>
      <c r="CS409" s="4"/>
      <c r="CT409" s="4"/>
      <c r="CU409" s="4"/>
      <c r="CV409" s="4"/>
      <c r="CW409" s="4"/>
      <c r="CX409" s="5">
        <v>39759</v>
      </c>
      <c r="CY409" s="4"/>
      <c r="CZ409" s="4"/>
      <c r="DA409" s="4"/>
      <c r="DB409" s="4"/>
      <c r="DC409" s="4"/>
      <c r="DD409" s="4"/>
      <c r="DE409" s="4"/>
      <c r="DF409" s="4"/>
      <c r="DG409" s="4"/>
      <c r="DH409" s="4"/>
      <c r="DI409" s="4"/>
      <c r="DJ409" s="4" t="b">
        <v>0</v>
      </c>
      <c r="DK409" s="4"/>
      <c r="DL409" s="4">
        <v>2680993</v>
      </c>
      <c r="DM409" s="4">
        <v>6478097</v>
      </c>
      <c r="DN409" s="4" t="s">
        <v>1368</v>
      </c>
      <c r="DO409" s="4"/>
      <c r="DP409" s="4"/>
      <c r="DQ409" s="4" t="s">
        <v>148</v>
      </c>
      <c r="DR409" s="4"/>
      <c r="DS409" s="4"/>
      <c r="DT409" s="4"/>
      <c r="DU409" s="4"/>
      <c r="DV409" s="4"/>
      <c r="DW409" s="4"/>
      <c r="DX409" s="4"/>
      <c r="DY409" s="5">
        <v>39856</v>
      </c>
      <c r="DZ409" s="5">
        <v>39855</v>
      </c>
      <c r="EA409" s="4"/>
      <c r="EB409" s="4"/>
      <c r="EC409" s="4"/>
      <c r="ED409" s="4"/>
      <c r="EE409" s="4"/>
      <c r="EF409" s="4"/>
      <c r="EG409" s="4"/>
      <c r="EH409" s="4"/>
      <c r="EI409" s="5">
        <v>39542</v>
      </c>
    </row>
    <row r="410" spans="1:139" hidden="1" x14ac:dyDescent="0.2">
      <c r="A410">
        <f>VLOOKUP(B410,Sheet1!$A$1:$B$18,2,FALSE)</f>
        <v>0</v>
      </c>
      <c r="B410" t="str">
        <f t="shared" si="7"/>
        <v>AKL</v>
      </c>
      <c r="C410" s="2">
        <v>409</v>
      </c>
      <c r="D410" s="3" t="str">
        <f>HYPERLINK("https://sitebase.nzcomms.co.nz/spm/spmnominalview/AKL-008-035/","AKL-008-035")</f>
        <v>AKL-008-035</v>
      </c>
      <c r="E410" s="4"/>
      <c r="F410" s="3" t="str">
        <f>HYPERLINK("https://sitebase.nzcomms.co.nz/spm/spmcandidateview/AKL-008-035-C/","AKL-008-035-C")</f>
        <v>AKL-008-035-C</v>
      </c>
      <c r="G410" s="4" t="s">
        <v>1369</v>
      </c>
      <c r="H410" s="4" t="s">
        <v>1296</v>
      </c>
      <c r="I410" s="4"/>
      <c r="J410" s="4" t="s">
        <v>139</v>
      </c>
      <c r="K410" s="4" t="s">
        <v>141</v>
      </c>
      <c r="L410" s="4" t="s">
        <v>189</v>
      </c>
      <c r="M410" s="4" t="s">
        <v>143</v>
      </c>
      <c r="N410" s="4" t="s">
        <v>191</v>
      </c>
      <c r="O410" s="4" t="s">
        <v>356</v>
      </c>
      <c r="P410" s="4"/>
      <c r="Q410" s="4"/>
      <c r="R410" s="4"/>
      <c r="S410" s="4"/>
      <c r="T410" s="4"/>
      <c r="U410" s="4">
        <v>-36.897887509999997</v>
      </c>
      <c r="V410" s="4">
        <v>174.88754757999999</v>
      </c>
      <c r="W410" s="4"/>
      <c r="X410" s="4"/>
      <c r="Y410" s="4"/>
      <c r="Z410" s="4"/>
      <c r="AA410" s="4" t="s">
        <v>382</v>
      </c>
      <c r="AB410" s="4" t="s">
        <v>1370</v>
      </c>
      <c r="AC410" s="4"/>
      <c r="AD410" s="4"/>
      <c r="AE410" s="4"/>
      <c r="AF410" s="4"/>
      <c r="AG410" s="4"/>
      <c r="AH410" s="4" t="s">
        <v>505</v>
      </c>
      <c r="AI410" s="4"/>
      <c r="AJ410" s="4"/>
      <c r="AK410" s="4"/>
      <c r="AL410" s="4"/>
      <c r="AM410" s="4"/>
      <c r="AN410" s="5">
        <v>39590</v>
      </c>
      <c r="AO410" s="4">
        <v>3</v>
      </c>
      <c r="AP410" s="5">
        <v>39759</v>
      </c>
      <c r="AQ410" s="5">
        <v>39759</v>
      </c>
      <c r="AR410" s="4"/>
      <c r="AS410" s="4"/>
      <c r="AT410" s="5">
        <v>39629</v>
      </c>
      <c r="AU410" s="5">
        <v>39629</v>
      </c>
      <c r="AV410" s="4">
        <v>3</v>
      </c>
      <c r="AW410" s="5">
        <v>39629</v>
      </c>
      <c r="AX410" s="5">
        <v>39629</v>
      </c>
      <c r="AY410" s="4"/>
      <c r="AZ410" s="4"/>
      <c r="BA410" s="4"/>
      <c r="BB410" s="5">
        <v>39878</v>
      </c>
      <c r="BC410" s="4"/>
      <c r="BD410" s="4"/>
      <c r="BE410" s="5">
        <v>39878</v>
      </c>
      <c r="BF410" s="5">
        <v>39878</v>
      </c>
      <c r="BG410" s="4"/>
      <c r="BH410" s="5">
        <v>39604</v>
      </c>
      <c r="BI410" s="4"/>
      <c r="BJ410" s="5">
        <v>39646</v>
      </c>
      <c r="BK410" s="4">
        <v>1</v>
      </c>
      <c r="BL410" s="4">
        <v>2</v>
      </c>
      <c r="BM410" s="5">
        <v>39646</v>
      </c>
      <c r="BN410" s="5">
        <v>39646</v>
      </c>
      <c r="BO410" s="5">
        <v>39742</v>
      </c>
      <c r="BP410" s="4"/>
      <c r="BQ410" s="4"/>
      <c r="BR410" s="4"/>
      <c r="BS410" s="4"/>
      <c r="BT410" s="5">
        <v>39883</v>
      </c>
      <c r="BU410" s="5">
        <v>39883</v>
      </c>
      <c r="BV410" s="5">
        <v>39892</v>
      </c>
      <c r="BW410" s="5">
        <v>39891</v>
      </c>
      <c r="BX410" s="4"/>
      <c r="BY410" s="5">
        <v>39892</v>
      </c>
      <c r="BZ410" s="5">
        <v>39891</v>
      </c>
      <c r="CA410" s="4"/>
      <c r="CB410" s="4"/>
      <c r="CC410" s="4"/>
      <c r="CD410" s="4"/>
      <c r="CE410" s="4"/>
      <c r="CF410" s="4"/>
      <c r="CG410" s="4"/>
      <c r="CH410" s="4"/>
      <c r="CI410" s="5">
        <v>39911</v>
      </c>
      <c r="CJ410" s="5">
        <v>39923</v>
      </c>
      <c r="CK410" s="5">
        <v>39911</v>
      </c>
      <c r="CL410" s="4"/>
      <c r="CM410" s="4"/>
      <c r="CN410" s="4"/>
      <c r="CO410" s="4"/>
      <c r="CP410" s="4" t="s">
        <v>157</v>
      </c>
      <c r="CQ410" s="4"/>
      <c r="CR410" s="5">
        <v>39923</v>
      </c>
      <c r="CS410" s="4"/>
      <c r="CT410" s="4"/>
      <c r="CU410" s="4"/>
      <c r="CV410" s="4"/>
      <c r="CW410" s="4"/>
      <c r="CX410" s="5">
        <v>39742</v>
      </c>
      <c r="CY410" s="4"/>
      <c r="CZ410" s="4"/>
      <c r="DA410" s="4"/>
      <c r="DB410" s="4"/>
      <c r="DC410" s="4"/>
      <c r="DD410" s="4"/>
      <c r="DE410" s="4"/>
      <c r="DF410" s="4"/>
      <c r="DG410" s="4"/>
      <c r="DH410" s="4"/>
      <c r="DI410" s="4"/>
      <c r="DJ410" s="4" t="b">
        <v>0</v>
      </c>
      <c r="DK410" s="4"/>
      <c r="DL410" s="4">
        <v>2678604</v>
      </c>
      <c r="DM410" s="4">
        <v>6476467</v>
      </c>
      <c r="DN410" s="4" t="s">
        <v>1371</v>
      </c>
      <c r="DO410" s="4"/>
      <c r="DP410" s="4"/>
      <c r="DQ410" s="4" t="s">
        <v>148</v>
      </c>
      <c r="DR410" s="4"/>
      <c r="DS410" s="4"/>
      <c r="DT410" s="4"/>
      <c r="DU410" s="4"/>
      <c r="DV410" s="4"/>
      <c r="DW410" s="4"/>
      <c r="DX410" s="4"/>
      <c r="DY410" s="5">
        <v>39885</v>
      </c>
      <c r="DZ410" s="5">
        <v>39881</v>
      </c>
      <c r="EA410" s="4"/>
      <c r="EB410" s="4"/>
      <c r="EC410" s="4"/>
      <c r="ED410" s="4"/>
      <c r="EE410" s="4"/>
      <c r="EF410" s="4"/>
      <c r="EG410" s="4"/>
      <c r="EH410" s="4"/>
      <c r="EI410" s="5">
        <v>39542</v>
      </c>
    </row>
    <row r="411" spans="1:139" hidden="1" x14ac:dyDescent="0.2">
      <c r="A411">
        <f>VLOOKUP(B411,Sheet1!$A$1:$B$18,2,FALSE)</f>
        <v>0</v>
      </c>
      <c r="B411" t="str">
        <f t="shared" si="7"/>
        <v>AKL</v>
      </c>
      <c r="C411" s="2">
        <v>410</v>
      </c>
      <c r="D411" s="3" t="str">
        <f>HYPERLINK("https://sitebase.nzcomms.co.nz/spm/spmnominalview/AKL-008-036/","AKL-008-036")</f>
        <v>AKL-008-036</v>
      </c>
      <c r="E411" s="4"/>
      <c r="F411" s="3" t="str">
        <f>HYPERLINK("https://sitebase.nzcomms.co.nz/spm/spmcandidateview/AKL-008-036-J/","AKL-008-036-J")</f>
        <v>AKL-008-036-J</v>
      </c>
      <c r="G411" s="4" t="s">
        <v>1372</v>
      </c>
      <c r="H411" s="4" t="s">
        <v>1296</v>
      </c>
      <c r="I411" s="4"/>
      <c r="J411" s="4" t="s">
        <v>139</v>
      </c>
      <c r="K411" s="4" t="s">
        <v>141</v>
      </c>
      <c r="L411" s="4" t="s">
        <v>150</v>
      </c>
      <c r="M411" s="4" t="s">
        <v>354</v>
      </c>
      <c r="N411" s="4" t="s">
        <v>156</v>
      </c>
      <c r="O411" s="4" t="s">
        <v>144</v>
      </c>
      <c r="P411" s="4"/>
      <c r="Q411" s="4"/>
      <c r="R411" s="4">
        <v>20</v>
      </c>
      <c r="S411" s="4">
        <v>20</v>
      </c>
      <c r="T411" s="4"/>
      <c r="U411" s="4">
        <v>-36.993796750000001</v>
      </c>
      <c r="V411" s="4">
        <v>174.88815274999999</v>
      </c>
      <c r="W411" s="4"/>
      <c r="X411" s="4"/>
      <c r="Y411" s="4"/>
      <c r="Z411" s="4"/>
      <c r="AA411" s="4" t="s">
        <v>171</v>
      </c>
      <c r="AB411" s="3" t="str">
        <f>HYPERLINK("https://sitebase.nzcomms.co.nz/spm/spmcandidateview/AKL-008-018-A/","AKL-008-018-A")</f>
        <v>AKL-008-018-A</v>
      </c>
      <c r="AC411" s="4"/>
      <c r="AD411" s="4"/>
      <c r="AE411" s="4"/>
      <c r="AF411" s="4"/>
      <c r="AG411" s="4"/>
      <c r="AH411" s="4" t="s">
        <v>357</v>
      </c>
      <c r="AI411" s="4"/>
      <c r="AJ411" s="4"/>
      <c r="AK411" s="4"/>
      <c r="AL411" s="4"/>
      <c r="AM411" s="4"/>
      <c r="AN411" s="5">
        <v>39560</v>
      </c>
      <c r="AO411" s="4">
        <v>1</v>
      </c>
      <c r="AP411" s="4"/>
      <c r="AQ411" s="5">
        <v>39560</v>
      </c>
      <c r="AR411" s="4"/>
      <c r="AS411" s="4"/>
      <c r="AT411" s="5">
        <v>39660</v>
      </c>
      <c r="AU411" s="5">
        <v>39680</v>
      </c>
      <c r="AV411" s="4">
        <v>1</v>
      </c>
      <c r="AW411" s="5">
        <v>39660</v>
      </c>
      <c r="AX411" s="5">
        <v>39680</v>
      </c>
      <c r="AY411" s="4"/>
      <c r="AZ411" s="4"/>
      <c r="BA411" s="4"/>
      <c r="BB411" s="5">
        <v>39721</v>
      </c>
      <c r="BC411" s="4"/>
      <c r="BD411" s="4"/>
      <c r="BE411" s="5">
        <v>39721</v>
      </c>
      <c r="BF411" s="5">
        <v>39709</v>
      </c>
      <c r="BG411" s="4"/>
      <c r="BH411" s="5">
        <v>39567</v>
      </c>
      <c r="BI411" s="4"/>
      <c r="BJ411" s="5">
        <v>39626</v>
      </c>
      <c r="BK411" s="4">
        <v>2</v>
      </c>
      <c r="BL411" s="4">
        <v>1</v>
      </c>
      <c r="BM411" s="5">
        <v>39707</v>
      </c>
      <c r="BN411" s="5">
        <v>39707</v>
      </c>
      <c r="BO411" s="4"/>
      <c r="BP411" s="4"/>
      <c r="BQ411" s="4"/>
      <c r="BR411" s="4"/>
      <c r="BS411" s="4"/>
      <c r="BT411" s="4"/>
      <c r="BU411" s="5">
        <v>39722</v>
      </c>
      <c r="BV411" s="5">
        <v>39729</v>
      </c>
      <c r="BW411" s="5">
        <v>39729</v>
      </c>
      <c r="BX411" s="4"/>
      <c r="BY411" s="5">
        <v>39762</v>
      </c>
      <c r="BZ411" s="5">
        <v>39762</v>
      </c>
      <c r="CA411" s="4"/>
      <c r="CB411" s="4"/>
      <c r="CC411" s="4"/>
      <c r="CD411" s="4"/>
      <c r="CE411" s="4"/>
      <c r="CF411" s="4"/>
      <c r="CG411" s="4"/>
      <c r="CH411" s="4"/>
      <c r="CI411" s="5">
        <v>39813</v>
      </c>
      <c r="CJ411" s="5">
        <v>39871</v>
      </c>
      <c r="CK411" s="5">
        <v>39813</v>
      </c>
      <c r="CL411" s="4"/>
      <c r="CM411" s="4"/>
      <c r="CN411" s="4"/>
      <c r="CO411" s="4"/>
      <c r="CP411" s="4" t="s">
        <v>405</v>
      </c>
      <c r="CQ411" s="4"/>
      <c r="CR411" s="5">
        <v>39871</v>
      </c>
      <c r="CS411" s="4"/>
      <c r="CT411" s="4"/>
      <c r="CU411" s="4"/>
      <c r="CV411" s="4"/>
      <c r="CW411" s="4"/>
      <c r="CX411" s="4"/>
      <c r="CY411" s="4"/>
      <c r="CZ411" s="4"/>
      <c r="DA411" s="4"/>
      <c r="DB411" s="4"/>
      <c r="DC411" s="4"/>
      <c r="DD411" s="4"/>
      <c r="DE411" s="4"/>
      <c r="DF411" s="4"/>
      <c r="DG411" s="4"/>
      <c r="DH411" s="4"/>
      <c r="DI411" s="4"/>
      <c r="DJ411" s="4" t="b">
        <v>0</v>
      </c>
      <c r="DK411" s="4"/>
      <c r="DL411" s="4">
        <v>2678426</v>
      </c>
      <c r="DM411" s="4">
        <v>6465825</v>
      </c>
      <c r="DN411" s="4" t="s">
        <v>1373</v>
      </c>
      <c r="DO411" s="4"/>
      <c r="DP411" s="4"/>
      <c r="DQ411" s="4" t="s">
        <v>148</v>
      </c>
      <c r="DR411" s="4"/>
      <c r="DS411" s="4"/>
      <c r="DT411" s="5">
        <v>41894</v>
      </c>
      <c r="DU411" s="4"/>
      <c r="DV411" s="4"/>
      <c r="DW411" s="4"/>
      <c r="DX411" s="4"/>
      <c r="DY411" s="4"/>
      <c r="DZ411" s="5">
        <v>39721</v>
      </c>
      <c r="EA411" s="4"/>
      <c r="EB411" s="4"/>
      <c r="EC411" s="4"/>
      <c r="ED411" s="4"/>
      <c r="EE411" s="4"/>
      <c r="EF411" s="4"/>
      <c r="EG411" s="4"/>
      <c r="EH411" s="4"/>
      <c r="EI411" s="5">
        <v>39519</v>
      </c>
    </row>
    <row r="412" spans="1:139" hidden="1" x14ac:dyDescent="0.2">
      <c r="A412">
        <f>VLOOKUP(B412,Sheet1!$A$1:$B$18,2,FALSE)</f>
        <v>0</v>
      </c>
      <c r="B412" t="str">
        <f t="shared" si="7"/>
        <v>AKL</v>
      </c>
      <c r="C412" s="2">
        <v>411</v>
      </c>
      <c r="D412" s="3" t="str">
        <f>HYPERLINK("https://sitebase.nzcomms.co.nz/spm/spmnominalview/AKL-008-037/","AKL-008-037")</f>
        <v>AKL-008-037</v>
      </c>
      <c r="E412" s="4"/>
      <c r="F412" s="3" t="str">
        <f>HYPERLINK("https://sitebase.nzcomms.co.nz/spm/spmcandidateview/AKL-008-037-A/","AKL-008-037-A")</f>
        <v>AKL-008-037-A</v>
      </c>
      <c r="G412" s="4" t="s">
        <v>1374</v>
      </c>
      <c r="H412" s="4" t="s">
        <v>1296</v>
      </c>
      <c r="I412" s="4"/>
      <c r="J412" s="4" t="s">
        <v>139</v>
      </c>
      <c r="K412" s="4" t="s">
        <v>141</v>
      </c>
      <c r="L412" s="4" t="s">
        <v>150</v>
      </c>
      <c r="M412" s="4" t="s">
        <v>143</v>
      </c>
      <c r="N412" s="4" t="s">
        <v>291</v>
      </c>
      <c r="O412" s="4" t="s">
        <v>144</v>
      </c>
      <c r="P412" s="4"/>
      <c r="Q412" s="4"/>
      <c r="R412" s="4">
        <v>15</v>
      </c>
      <c r="S412" s="4">
        <v>15</v>
      </c>
      <c r="T412" s="4"/>
      <c r="U412" s="4">
        <v>-37.042403980000003</v>
      </c>
      <c r="V412" s="4">
        <v>174.88255907000001</v>
      </c>
      <c r="W412" s="4"/>
      <c r="X412" s="4"/>
      <c r="Y412" s="4"/>
      <c r="Z412" s="4"/>
      <c r="AA412" s="4" t="s">
        <v>171</v>
      </c>
      <c r="AB412" s="3" t="str">
        <f>HYPERLINK("https://sitebase.nzcomms.co.nz/spm/spmcandidateview/AKL-009-004-B/","AKL-009-004-B")</f>
        <v>AKL-009-004-B</v>
      </c>
      <c r="AC412" s="4" t="b">
        <v>0</v>
      </c>
      <c r="AD412" s="4" t="b">
        <v>0</v>
      </c>
      <c r="AE412" s="4"/>
      <c r="AF412" s="4"/>
      <c r="AG412" s="4" t="b">
        <v>0</v>
      </c>
      <c r="AH412" s="4" t="s">
        <v>357</v>
      </c>
      <c r="AI412" s="4"/>
      <c r="AJ412" s="4"/>
      <c r="AK412" s="4"/>
      <c r="AL412" s="4"/>
      <c r="AM412" s="4"/>
      <c r="AN412" s="5">
        <v>39610</v>
      </c>
      <c r="AO412" s="4">
        <v>2</v>
      </c>
      <c r="AP412" s="4"/>
      <c r="AQ412" s="5">
        <v>39610</v>
      </c>
      <c r="AR412" s="4"/>
      <c r="AS412" s="4"/>
      <c r="AT412" s="5">
        <v>39416</v>
      </c>
      <c r="AU412" s="5">
        <v>39416</v>
      </c>
      <c r="AV412" s="4">
        <v>1</v>
      </c>
      <c r="AW412" s="5">
        <v>39416</v>
      </c>
      <c r="AX412" s="5">
        <v>39416</v>
      </c>
      <c r="AY412" s="4"/>
      <c r="AZ412" s="4"/>
      <c r="BA412" s="4"/>
      <c r="BB412" s="5">
        <v>39721</v>
      </c>
      <c r="BC412" s="4"/>
      <c r="BD412" s="4"/>
      <c r="BE412" s="5">
        <v>39721</v>
      </c>
      <c r="BF412" s="5">
        <v>39713</v>
      </c>
      <c r="BG412" s="4"/>
      <c r="BH412" s="5">
        <v>39468</v>
      </c>
      <c r="BI412" s="4"/>
      <c r="BJ412" s="5">
        <v>39555</v>
      </c>
      <c r="BK412" s="4">
        <v>2</v>
      </c>
      <c r="BL412" s="4">
        <v>2</v>
      </c>
      <c r="BM412" s="5">
        <v>39717</v>
      </c>
      <c r="BN412" s="5">
        <v>39717</v>
      </c>
      <c r="BO412" s="4"/>
      <c r="BP412" s="4"/>
      <c r="BQ412" s="4"/>
      <c r="BR412" s="4"/>
      <c r="BS412" s="4"/>
      <c r="BT412" s="4"/>
      <c r="BU412" s="5">
        <v>39716</v>
      </c>
      <c r="BV412" s="5">
        <v>39738</v>
      </c>
      <c r="BW412" s="5">
        <v>39734</v>
      </c>
      <c r="BX412" s="4"/>
      <c r="BY412" s="5">
        <v>39745</v>
      </c>
      <c r="BZ412" s="5">
        <v>39738</v>
      </c>
      <c r="CA412" s="4"/>
      <c r="CB412" s="4"/>
      <c r="CC412" s="4"/>
      <c r="CD412" s="4"/>
      <c r="CE412" s="4"/>
      <c r="CF412" s="4"/>
      <c r="CG412" s="4"/>
      <c r="CH412" s="4"/>
      <c r="CI412" s="5">
        <v>39776</v>
      </c>
      <c r="CJ412" s="5">
        <v>39790</v>
      </c>
      <c r="CK412" s="5">
        <v>39776</v>
      </c>
      <c r="CL412" s="4"/>
      <c r="CM412" s="4"/>
      <c r="CN412" s="4"/>
      <c r="CO412" s="4"/>
      <c r="CP412" s="4" t="s">
        <v>405</v>
      </c>
      <c r="CQ412" s="4"/>
      <c r="CR412" s="5">
        <v>39776</v>
      </c>
      <c r="CS412" s="4"/>
      <c r="CT412" s="4"/>
      <c r="CU412" s="4"/>
      <c r="CV412" s="4"/>
      <c r="CW412" s="4"/>
      <c r="CX412" s="4"/>
      <c r="CY412" s="4"/>
      <c r="CZ412" s="4"/>
      <c r="DA412" s="4"/>
      <c r="DB412" s="4"/>
      <c r="DC412" s="4"/>
      <c r="DD412" s="4"/>
      <c r="DE412" s="4"/>
      <c r="DF412" s="4"/>
      <c r="DG412" s="4"/>
      <c r="DH412" s="4"/>
      <c r="DI412" s="4"/>
      <c r="DJ412" s="4" t="b">
        <v>0</v>
      </c>
      <c r="DK412" s="4"/>
      <c r="DL412" s="4">
        <v>2677811</v>
      </c>
      <c r="DM412" s="4">
        <v>6460443</v>
      </c>
      <c r="DN412" s="4" t="s">
        <v>1375</v>
      </c>
      <c r="DO412" s="4"/>
      <c r="DP412" s="4"/>
      <c r="DQ412" s="4" t="s">
        <v>148</v>
      </c>
      <c r="DR412" s="4"/>
      <c r="DS412" s="4"/>
      <c r="DT412" s="5">
        <v>42348</v>
      </c>
      <c r="DU412" s="4"/>
      <c r="DV412" s="4"/>
      <c r="DW412" s="4"/>
      <c r="DX412" s="4"/>
      <c r="DY412" s="4"/>
      <c r="DZ412" s="5">
        <v>39713</v>
      </c>
      <c r="EA412" s="4"/>
      <c r="EB412" s="4"/>
      <c r="EC412" s="4"/>
      <c r="ED412" s="4"/>
      <c r="EE412" s="4"/>
      <c r="EF412" s="4"/>
      <c r="EG412" s="4"/>
      <c r="EH412" s="4"/>
      <c r="EI412" s="5">
        <v>39307</v>
      </c>
    </row>
    <row r="413" spans="1:139" hidden="1" x14ac:dyDescent="0.2">
      <c r="A413">
        <f>VLOOKUP(B413,Sheet1!$A$1:$B$18,2,FALSE)</f>
        <v>0</v>
      </c>
      <c r="B413" t="str">
        <f t="shared" si="7"/>
        <v>AKL</v>
      </c>
      <c r="C413" s="2">
        <v>412</v>
      </c>
      <c r="D413" s="3" t="str">
        <f>HYPERLINK("https://sitebase.nzcomms.co.nz/spm/spmnominalview/AKL-008-038/","AKL-008-038")</f>
        <v>AKL-008-038</v>
      </c>
      <c r="E413" s="4"/>
      <c r="F413" s="3" t="str">
        <f>HYPERLINK("https://sitebase.nzcomms.co.nz/spm/spmcandidateview/AKL-008-038-A/","AKL-008-038-A")</f>
        <v>AKL-008-038-A</v>
      </c>
      <c r="G413" s="4" t="s">
        <v>1376</v>
      </c>
      <c r="H413" s="4" t="s">
        <v>1296</v>
      </c>
      <c r="I413" s="4"/>
      <c r="J413" s="4" t="s">
        <v>139</v>
      </c>
      <c r="K413" s="4" t="s">
        <v>141</v>
      </c>
      <c r="L413" s="4" t="s">
        <v>189</v>
      </c>
      <c r="M413" s="4" t="s">
        <v>354</v>
      </c>
      <c r="N413" s="4" t="s">
        <v>191</v>
      </c>
      <c r="O413" s="4" t="s">
        <v>356</v>
      </c>
      <c r="P413" s="4"/>
      <c r="Q413" s="4"/>
      <c r="R413" s="4">
        <v>13.5</v>
      </c>
      <c r="S413" s="4">
        <v>13.5</v>
      </c>
      <c r="T413" s="4"/>
      <c r="U413" s="4">
        <v>-37.014537240000003</v>
      </c>
      <c r="V413" s="4">
        <v>174.90658765000001</v>
      </c>
      <c r="W413" s="4"/>
      <c r="X413" s="4"/>
      <c r="Y413" s="4"/>
      <c r="Z413" s="4"/>
      <c r="AA413" s="4" t="s">
        <v>217</v>
      </c>
      <c r="AB413" s="4" t="s">
        <v>1377</v>
      </c>
      <c r="AC413" s="4"/>
      <c r="AD413" s="4"/>
      <c r="AE413" s="4"/>
      <c r="AF413" s="4"/>
      <c r="AG413" s="4"/>
      <c r="AH413" s="4" t="s">
        <v>905</v>
      </c>
      <c r="AI413" s="4"/>
      <c r="AJ413" s="4"/>
      <c r="AK413" s="4"/>
      <c r="AL413" s="4"/>
      <c r="AM413" s="4"/>
      <c r="AN413" s="5">
        <v>39338</v>
      </c>
      <c r="AO413" s="4">
        <v>2</v>
      </c>
      <c r="AP413" s="5">
        <v>39638</v>
      </c>
      <c r="AQ413" s="5">
        <v>39638</v>
      </c>
      <c r="AR413" s="4"/>
      <c r="AS413" s="4"/>
      <c r="AT413" s="5">
        <v>39599</v>
      </c>
      <c r="AU413" s="5">
        <v>39629</v>
      </c>
      <c r="AV413" s="4">
        <v>2</v>
      </c>
      <c r="AW413" s="5">
        <v>39599</v>
      </c>
      <c r="AX413" s="5">
        <v>39629</v>
      </c>
      <c r="AY413" s="4"/>
      <c r="AZ413" s="4"/>
      <c r="BA413" s="4"/>
      <c r="BB413" s="5">
        <v>39885</v>
      </c>
      <c r="BC413" s="4"/>
      <c r="BD413" s="4"/>
      <c r="BE413" s="5">
        <v>39885</v>
      </c>
      <c r="BF413" s="5">
        <v>39874</v>
      </c>
      <c r="BG413" s="4"/>
      <c r="BH413" s="5">
        <v>39805</v>
      </c>
      <c r="BI413" s="4"/>
      <c r="BJ413" s="5">
        <v>39624</v>
      </c>
      <c r="BK413" s="4">
        <v>4</v>
      </c>
      <c r="BL413" s="4">
        <v>2</v>
      </c>
      <c r="BM413" s="5">
        <v>39801</v>
      </c>
      <c r="BN413" s="5">
        <v>39801</v>
      </c>
      <c r="BO413" s="5">
        <v>39874</v>
      </c>
      <c r="BP413" s="4"/>
      <c r="BQ413" s="4"/>
      <c r="BR413" s="4"/>
      <c r="BS413" s="4"/>
      <c r="BT413" s="5">
        <v>39896</v>
      </c>
      <c r="BU413" s="5">
        <v>39885</v>
      </c>
      <c r="BV413" s="5">
        <v>39927</v>
      </c>
      <c r="BW413" s="5">
        <v>39919</v>
      </c>
      <c r="BX413" s="4"/>
      <c r="BY413" s="5">
        <v>39927</v>
      </c>
      <c r="BZ413" s="5">
        <v>39920</v>
      </c>
      <c r="CA413" s="4"/>
      <c r="CB413" s="4"/>
      <c r="CC413" s="4"/>
      <c r="CD413" s="4"/>
      <c r="CE413" s="4"/>
      <c r="CF413" s="4"/>
      <c r="CG413" s="4"/>
      <c r="CH413" s="4"/>
      <c r="CI413" s="5">
        <v>39959</v>
      </c>
      <c r="CJ413" s="5">
        <v>39962</v>
      </c>
      <c r="CK413" s="5">
        <v>39959</v>
      </c>
      <c r="CL413" s="4"/>
      <c r="CM413" s="4"/>
      <c r="CN413" s="4"/>
      <c r="CO413" s="4"/>
      <c r="CP413" s="4" t="s">
        <v>157</v>
      </c>
      <c r="CQ413" s="4"/>
      <c r="CR413" s="5">
        <v>39962</v>
      </c>
      <c r="CS413" s="4"/>
      <c r="CT413" s="4"/>
      <c r="CU413" s="4"/>
      <c r="CV413" s="4"/>
      <c r="CW413" s="5">
        <v>39872</v>
      </c>
      <c r="CX413" s="5">
        <v>39874</v>
      </c>
      <c r="CY413" s="4"/>
      <c r="CZ413" s="4"/>
      <c r="DA413" s="4"/>
      <c r="DB413" s="4"/>
      <c r="DC413" s="4"/>
      <c r="DD413" s="4"/>
      <c r="DE413" s="4"/>
      <c r="DF413" s="4"/>
      <c r="DG413" s="4"/>
      <c r="DH413" s="4"/>
      <c r="DI413" s="4"/>
      <c r="DJ413" s="4" t="b">
        <v>0</v>
      </c>
      <c r="DK413" s="4"/>
      <c r="DL413" s="4">
        <v>2680016</v>
      </c>
      <c r="DM413" s="4">
        <v>6463488</v>
      </c>
      <c r="DN413" s="4" t="s">
        <v>1378</v>
      </c>
      <c r="DO413" s="4"/>
      <c r="DP413" s="4"/>
      <c r="DQ413" s="4" t="s">
        <v>148</v>
      </c>
      <c r="DR413" s="4"/>
      <c r="DS413" s="4"/>
      <c r="DT413" s="5">
        <v>41894</v>
      </c>
      <c r="DU413" s="4"/>
      <c r="DV413" s="4"/>
      <c r="DW413" s="4"/>
      <c r="DX413" s="4"/>
      <c r="DY413" s="5">
        <v>39885</v>
      </c>
      <c r="DZ413" s="5">
        <v>39881</v>
      </c>
      <c r="EA413" s="4"/>
      <c r="EB413" s="4"/>
      <c r="EC413" s="4"/>
      <c r="ED413" s="4"/>
      <c r="EE413" s="4"/>
      <c r="EF413" s="4"/>
      <c r="EG413" s="4"/>
      <c r="EH413" s="4"/>
      <c r="EI413" s="5">
        <v>39331</v>
      </c>
    </row>
    <row r="414" spans="1:139" hidden="1" x14ac:dyDescent="0.2">
      <c r="A414">
        <f>VLOOKUP(B414,Sheet1!$A$1:$B$18,2,FALSE)</f>
        <v>0</v>
      </c>
      <c r="B414" t="str">
        <f t="shared" si="7"/>
        <v>AKL</v>
      </c>
      <c r="C414" s="2">
        <v>413</v>
      </c>
      <c r="D414" s="3" t="str">
        <f>HYPERLINK("https://sitebase.nzcomms.co.nz/spm/spmnominalview/AKL-008-039/","AKL-008-039")</f>
        <v>AKL-008-039</v>
      </c>
      <c r="E414" s="4"/>
      <c r="F414" s="3" t="str">
        <f>HYPERLINK("https://sitebase.nzcomms.co.nz/spm/spmcandidateview/AKL-008-039-C/","AKL-008-039-C")</f>
        <v>AKL-008-039-C</v>
      </c>
      <c r="G414" s="4" t="s">
        <v>1379</v>
      </c>
      <c r="H414" s="4" t="s">
        <v>1296</v>
      </c>
      <c r="I414" s="4"/>
      <c r="J414" s="4" t="s">
        <v>139</v>
      </c>
      <c r="K414" s="4" t="s">
        <v>141</v>
      </c>
      <c r="L414" s="4" t="s">
        <v>150</v>
      </c>
      <c r="M414" s="4" t="s">
        <v>354</v>
      </c>
      <c r="N414" s="4" t="s">
        <v>291</v>
      </c>
      <c r="O414" s="4" t="s">
        <v>144</v>
      </c>
      <c r="P414" s="4"/>
      <c r="Q414" s="4"/>
      <c r="R414" s="4">
        <v>20</v>
      </c>
      <c r="S414" s="4">
        <v>20</v>
      </c>
      <c r="T414" s="4"/>
      <c r="U414" s="4">
        <v>-36.988275510000001</v>
      </c>
      <c r="V414" s="4">
        <v>174.86616029000001</v>
      </c>
      <c r="W414" s="4"/>
      <c r="X414" s="4"/>
      <c r="Y414" s="4"/>
      <c r="Z414" s="4"/>
      <c r="AA414" s="4" t="s">
        <v>171</v>
      </c>
      <c r="AB414" s="3" t="str">
        <f>HYPERLINK("https://sitebase.nzcomms.co.nz/spm/spmcandidateview/AKL-008-004-A/","AKL-008-004-A")</f>
        <v>AKL-008-004-A</v>
      </c>
      <c r="AC414" s="4"/>
      <c r="AD414" s="4"/>
      <c r="AE414" s="4"/>
      <c r="AF414" s="4"/>
      <c r="AG414" s="4"/>
      <c r="AH414" s="4" t="s">
        <v>357</v>
      </c>
      <c r="AI414" s="4"/>
      <c r="AJ414" s="4"/>
      <c r="AK414" s="4"/>
      <c r="AL414" s="4"/>
      <c r="AM414" s="4"/>
      <c r="AN414" s="5">
        <v>39693</v>
      </c>
      <c r="AO414" s="4">
        <v>1</v>
      </c>
      <c r="AP414" s="5">
        <v>39693</v>
      </c>
      <c r="AQ414" s="5">
        <v>39693</v>
      </c>
      <c r="AR414" s="4"/>
      <c r="AS414" s="4"/>
      <c r="AT414" s="4"/>
      <c r="AU414" s="5">
        <v>39735</v>
      </c>
      <c r="AV414" s="4">
        <v>1</v>
      </c>
      <c r="AW414" s="5">
        <v>39843</v>
      </c>
      <c r="AX414" s="5">
        <v>40071</v>
      </c>
      <c r="AY414" s="4"/>
      <c r="AZ414" s="4"/>
      <c r="BA414" s="4"/>
      <c r="BB414" s="5">
        <v>39738</v>
      </c>
      <c r="BC414" s="4"/>
      <c r="BD414" s="4"/>
      <c r="BE414" s="5">
        <v>39738</v>
      </c>
      <c r="BF414" s="5">
        <v>39738</v>
      </c>
      <c r="BG414" s="4"/>
      <c r="BH414" s="5">
        <v>39717</v>
      </c>
      <c r="BI414" s="4"/>
      <c r="BJ414" s="5">
        <v>39738</v>
      </c>
      <c r="BK414" s="4">
        <v>1</v>
      </c>
      <c r="BL414" s="4">
        <v>1</v>
      </c>
      <c r="BM414" s="5">
        <v>39738</v>
      </c>
      <c r="BN414" s="5">
        <v>39738</v>
      </c>
      <c r="BO414" s="5">
        <v>39801</v>
      </c>
      <c r="BP414" s="4"/>
      <c r="BQ414" s="4"/>
      <c r="BR414" s="4"/>
      <c r="BS414" s="4"/>
      <c r="BT414" s="4"/>
      <c r="BU414" s="5">
        <v>39820</v>
      </c>
      <c r="BV414" s="5">
        <v>39871</v>
      </c>
      <c r="BW414" s="5">
        <v>39841</v>
      </c>
      <c r="BX414" s="4"/>
      <c r="BY414" s="5">
        <v>39842</v>
      </c>
      <c r="BZ414" s="5">
        <v>39846</v>
      </c>
      <c r="CA414" s="4"/>
      <c r="CB414" s="4"/>
      <c r="CC414" s="4"/>
      <c r="CD414" s="4"/>
      <c r="CE414" s="4"/>
      <c r="CF414" s="4"/>
      <c r="CG414" s="4"/>
      <c r="CH414" s="4"/>
      <c r="CI414" s="5">
        <v>39847</v>
      </c>
      <c r="CJ414" s="5">
        <v>39870</v>
      </c>
      <c r="CK414" s="5">
        <v>39847</v>
      </c>
      <c r="CL414" s="4"/>
      <c r="CM414" s="4"/>
      <c r="CN414" s="4"/>
      <c r="CO414" s="4"/>
      <c r="CP414" s="4" t="s">
        <v>428</v>
      </c>
      <c r="CQ414" s="4"/>
      <c r="CR414" s="5">
        <v>39870</v>
      </c>
      <c r="CS414" s="4"/>
      <c r="CT414" s="4"/>
      <c r="CU414" s="4"/>
      <c r="CV414" s="4"/>
      <c r="CW414" s="5">
        <v>39804</v>
      </c>
      <c r="CX414" s="5">
        <v>39801</v>
      </c>
      <c r="CY414" s="4"/>
      <c r="CZ414" s="4"/>
      <c r="DA414" s="4"/>
      <c r="DB414" s="4"/>
      <c r="DC414" s="4"/>
      <c r="DD414" s="4"/>
      <c r="DE414" s="4"/>
      <c r="DF414" s="4"/>
      <c r="DG414" s="4"/>
      <c r="DH414" s="4"/>
      <c r="DI414" s="4"/>
      <c r="DJ414" s="4" t="b">
        <v>0</v>
      </c>
      <c r="DK414" s="4"/>
      <c r="DL414" s="4">
        <v>2676482</v>
      </c>
      <c r="DM414" s="4">
        <v>6466480</v>
      </c>
      <c r="DN414" s="4" t="s">
        <v>1380</v>
      </c>
      <c r="DO414" s="4"/>
      <c r="DP414" s="4"/>
      <c r="DQ414" s="4" t="s">
        <v>148</v>
      </c>
      <c r="DR414" s="4"/>
      <c r="DS414" s="4"/>
      <c r="DT414" s="5">
        <v>41894</v>
      </c>
      <c r="DU414" s="4"/>
      <c r="DV414" s="4"/>
      <c r="DW414" s="4"/>
      <c r="DX414" s="4"/>
      <c r="DY414" s="4"/>
      <c r="DZ414" s="5">
        <v>39771</v>
      </c>
      <c r="EA414" s="4"/>
      <c r="EB414" s="4"/>
      <c r="EC414" s="4"/>
      <c r="ED414" s="4"/>
      <c r="EE414" s="4"/>
      <c r="EF414" s="4"/>
      <c r="EG414" s="4"/>
      <c r="EH414" s="4"/>
      <c r="EI414" s="5">
        <v>39674</v>
      </c>
    </row>
    <row r="415" spans="1:139" hidden="1" x14ac:dyDescent="0.2">
      <c r="A415">
        <f>VLOOKUP(B415,Sheet1!$A$1:$B$18,2,FALSE)</f>
        <v>0</v>
      </c>
      <c r="B415" t="str">
        <f t="shared" si="7"/>
        <v>AKL</v>
      </c>
      <c r="C415" s="2">
        <v>414</v>
      </c>
      <c r="D415" s="3" t="str">
        <f>HYPERLINK("https://sitebase.nzcomms.co.nz/spm/spmnominalview/AKL-008-041/","AKL-008-041")</f>
        <v>AKL-008-041</v>
      </c>
      <c r="E415" s="4"/>
      <c r="F415" s="3" t="str">
        <f>HYPERLINK("https://sitebase.nzcomms.co.nz/spm/spmcandidateview/AKL-008-041-H/","AKL-008-041-H")</f>
        <v>AKL-008-041-H</v>
      </c>
      <c r="G415" s="4" t="s">
        <v>1381</v>
      </c>
      <c r="H415" s="4" t="s">
        <v>1296</v>
      </c>
      <c r="I415" s="4"/>
      <c r="J415" s="4" t="s">
        <v>139</v>
      </c>
      <c r="K415" s="4" t="s">
        <v>141</v>
      </c>
      <c r="L415" s="4" t="s">
        <v>150</v>
      </c>
      <c r="M415" s="4" t="s">
        <v>368</v>
      </c>
      <c r="N415" s="4" t="s">
        <v>156</v>
      </c>
      <c r="O415" s="4" t="s">
        <v>144</v>
      </c>
      <c r="P415" s="4"/>
      <c r="Q415" s="4"/>
      <c r="R415" s="4"/>
      <c r="S415" s="4"/>
      <c r="T415" s="4"/>
      <c r="U415" s="4">
        <v>-36.985463889999998</v>
      </c>
      <c r="V415" s="4">
        <v>174.78206754000001</v>
      </c>
      <c r="W415" s="4"/>
      <c r="X415" s="4"/>
      <c r="Y415" s="4"/>
      <c r="Z415" s="4"/>
      <c r="AA415" s="4" t="s">
        <v>171</v>
      </c>
      <c r="AB415" s="3" t="str">
        <f>HYPERLINK("https://sitebase.nzcomms.co.nz/spm/spmcandidateview/AKL-008-008-C/","AKL-008-008-C")</f>
        <v>AKL-008-008-C</v>
      </c>
      <c r="AC415" s="4"/>
      <c r="AD415" s="4"/>
      <c r="AE415" s="4"/>
      <c r="AF415" s="4"/>
      <c r="AG415" s="4"/>
      <c r="AH415" s="4"/>
      <c r="AI415" s="5">
        <v>40059</v>
      </c>
      <c r="AJ415" s="5">
        <v>40059</v>
      </c>
      <c r="AK415" s="4"/>
      <c r="AL415" s="4"/>
      <c r="AM415" s="4"/>
      <c r="AN415" s="5">
        <v>40064</v>
      </c>
      <c r="AO415" s="4">
        <v>2</v>
      </c>
      <c r="AP415" s="5">
        <v>40101</v>
      </c>
      <c r="AQ415" s="5">
        <v>40105</v>
      </c>
      <c r="AR415" s="4"/>
      <c r="AS415" s="4"/>
      <c r="AT415" s="5">
        <v>40086</v>
      </c>
      <c r="AU415" s="5">
        <v>40085</v>
      </c>
      <c r="AV415" s="4"/>
      <c r="AW415" s="5">
        <v>40137</v>
      </c>
      <c r="AX415" s="5">
        <v>40136</v>
      </c>
      <c r="AY415" s="4"/>
      <c r="AZ415" s="5">
        <v>40085</v>
      </c>
      <c r="BA415" s="4"/>
      <c r="BB415" s="5">
        <v>40137</v>
      </c>
      <c r="BC415" s="4"/>
      <c r="BD415" s="4"/>
      <c r="BE415" s="5">
        <v>40137</v>
      </c>
      <c r="BF415" s="5">
        <v>40141</v>
      </c>
      <c r="BG415" s="5">
        <v>40109</v>
      </c>
      <c r="BH415" s="5">
        <v>40080</v>
      </c>
      <c r="BI415" s="4"/>
      <c r="BJ415" s="5">
        <v>40109</v>
      </c>
      <c r="BK415" s="4">
        <v>1</v>
      </c>
      <c r="BL415" s="4"/>
      <c r="BM415" s="5">
        <v>40109</v>
      </c>
      <c r="BN415" s="5">
        <v>40109</v>
      </c>
      <c r="BO415" s="5">
        <v>39843</v>
      </c>
      <c r="BP415" s="4"/>
      <c r="BQ415" s="4"/>
      <c r="BR415" s="4"/>
      <c r="BS415" s="4"/>
      <c r="BT415" s="5">
        <v>40147</v>
      </c>
      <c r="BU415" s="5">
        <v>40147</v>
      </c>
      <c r="BV415" s="5">
        <v>40169</v>
      </c>
      <c r="BW415" s="5">
        <v>40169</v>
      </c>
      <c r="BX415" s="4"/>
      <c r="BY415" s="5">
        <v>40203</v>
      </c>
      <c r="BZ415" s="5">
        <v>40200</v>
      </c>
      <c r="CA415" s="4"/>
      <c r="CB415" s="4"/>
      <c r="CC415" s="4"/>
      <c r="CD415" s="4"/>
      <c r="CE415" s="4"/>
      <c r="CF415" s="4"/>
      <c r="CG415" s="4"/>
      <c r="CH415" s="4"/>
      <c r="CI415" s="5">
        <v>40203</v>
      </c>
      <c r="CJ415" s="5">
        <v>40206</v>
      </c>
      <c r="CK415" s="5">
        <v>40203</v>
      </c>
      <c r="CL415" s="4"/>
      <c r="CM415" s="4"/>
      <c r="CN415" s="4"/>
      <c r="CO415" s="4"/>
      <c r="CP415" s="4" t="s">
        <v>457</v>
      </c>
      <c r="CQ415" s="4"/>
      <c r="CR415" s="5">
        <v>40206</v>
      </c>
      <c r="CS415" s="4"/>
      <c r="CT415" s="4"/>
      <c r="CU415" s="4"/>
      <c r="CV415" s="4"/>
      <c r="CW415" s="5">
        <v>39843</v>
      </c>
      <c r="CX415" s="5">
        <v>39843</v>
      </c>
      <c r="CY415" s="4"/>
      <c r="CZ415" s="4"/>
      <c r="DA415" s="4"/>
      <c r="DB415" s="4"/>
      <c r="DC415" s="4"/>
      <c r="DD415" s="4"/>
      <c r="DE415" s="4"/>
      <c r="DF415" s="4"/>
      <c r="DG415" s="4"/>
      <c r="DH415" s="4"/>
      <c r="DI415" s="4"/>
      <c r="DJ415" s="4" t="b">
        <v>0</v>
      </c>
      <c r="DK415" s="4"/>
      <c r="DL415" s="4">
        <v>2669004</v>
      </c>
      <c r="DM415" s="4">
        <v>6466950</v>
      </c>
      <c r="DN415" s="4" t="s">
        <v>1382</v>
      </c>
      <c r="DO415" s="4"/>
      <c r="DP415" s="4"/>
      <c r="DQ415" s="4" t="s">
        <v>148</v>
      </c>
      <c r="DR415" s="4"/>
      <c r="DS415" s="4"/>
      <c r="DT415" s="5">
        <v>41863</v>
      </c>
      <c r="DU415" s="4"/>
      <c r="DV415" s="4"/>
      <c r="DW415" s="4"/>
      <c r="DX415" s="4"/>
      <c r="DY415" s="5">
        <v>40147</v>
      </c>
      <c r="DZ415" s="5">
        <v>40147</v>
      </c>
      <c r="EA415" s="4"/>
      <c r="EB415" s="4"/>
      <c r="EC415" s="4"/>
      <c r="ED415" s="4"/>
      <c r="EE415" s="4"/>
      <c r="EF415" s="4"/>
      <c r="EG415" s="4"/>
      <c r="EH415" s="4"/>
      <c r="EI415" s="5">
        <v>40059</v>
      </c>
    </row>
    <row r="416" spans="1:139" hidden="1" x14ac:dyDescent="0.2">
      <c r="A416">
        <f>VLOOKUP(B416,Sheet1!$A$1:$B$18,2,FALSE)</f>
        <v>0</v>
      </c>
      <c r="B416" t="str">
        <f t="shared" si="7"/>
        <v>AKL</v>
      </c>
      <c r="C416" s="2">
        <v>415</v>
      </c>
      <c r="D416" s="3" t="str">
        <f>HYPERLINK("https://sitebase.nzcomms.co.nz/spm/spmnominalview/AKL-008-042/","AKL-008-042")</f>
        <v>AKL-008-042</v>
      </c>
      <c r="E416" s="4"/>
      <c r="F416" s="3" t="str">
        <f>HYPERLINK("https://sitebase.nzcomms.co.nz/spm/spmcandidateview/AKL-008-042-A/","AKL-008-042-A")</f>
        <v>AKL-008-042-A</v>
      </c>
      <c r="G416" s="4" t="s">
        <v>1383</v>
      </c>
      <c r="H416" s="4" t="s">
        <v>1296</v>
      </c>
      <c r="I416" s="4"/>
      <c r="J416" s="4" t="s">
        <v>139</v>
      </c>
      <c r="K416" s="4" t="s">
        <v>141</v>
      </c>
      <c r="L416" s="4" t="s">
        <v>181</v>
      </c>
      <c r="M416" s="4" t="s">
        <v>378</v>
      </c>
      <c r="N416" s="4" t="s">
        <v>364</v>
      </c>
      <c r="O416" s="4" t="s">
        <v>144</v>
      </c>
      <c r="P416" s="4"/>
      <c r="Q416" s="4"/>
      <c r="R416" s="4">
        <v>28</v>
      </c>
      <c r="S416" s="4">
        <v>28</v>
      </c>
      <c r="T416" s="4"/>
      <c r="U416" s="4">
        <v>-37.005291300000003</v>
      </c>
      <c r="V416" s="4">
        <v>174.78323029000001</v>
      </c>
      <c r="W416" s="4"/>
      <c r="X416" s="4"/>
      <c r="Y416" s="4"/>
      <c r="Z416" s="4"/>
      <c r="AA416" s="4" t="s">
        <v>171</v>
      </c>
      <c r="AB416" s="3" t="str">
        <f>HYPERLINK("https://sitebase.nzcomms.co.nz/spm/spmcandidateview/AKL-008-018-A/","AKL-008-018-A")</f>
        <v>AKL-008-018-A</v>
      </c>
      <c r="AC416" s="4"/>
      <c r="AD416" s="4"/>
      <c r="AE416" s="4"/>
      <c r="AF416" s="4"/>
      <c r="AG416" s="4"/>
      <c r="AH416" s="4" t="s">
        <v>360</v>
      </c>
      <c r="AI416" s="4"/>
      <c r="AJ416" s="4"/>
      <c r="AK416" s="4"/>
      <c r="AL416" s="4"/>
      <c r="AM416" s="4"/>
      <c r="AN416" s="5">
        <v>39268</v>
      </c>
      <c r="AO416" s="4">
        <v>1</v>
      </c>
      <c r="AP416" s="4"/>
      <c r="AQ416" s="5">
        <v>39268</v>
      </c>
      <c r="AR416" s="4"/>
      <c r="AS416" s="4"/>
      <c r="AT416" s="5">
        <v>39360</v>
      </c>
      <c r="AU416" s="5">
        <v>39360</v>
      </c>
      <c r="AV416" s="4">
        <v>1</v>
      </c>
      <c r="AW416" s="5">
        <v>39360</v>
      </c>
      <c r="AX416" s="5">
        <v>39360</v>
      </c>
      <c r="AY416" s="4"/>
      <c r="AZ416" s="4"/>
      <c r="BA416" s="4"/>
      <c r="BB416" s="5">
        <v>39173</v>
      </c>
      <c r="BC416" s="4"/>
      <c r="BD416" s="4"/>
      <c r="BE416" s="5">
        <v>39173</v>
      </c>
      <c r="BF416" s="5">
        <v>39173</v>
      </c>
      <c r="BG416" s="4"/>
      <c r="BH416" s="5">
        <v>39379</v>
      </c>
      <c r="BI416" s="4"/>
      <c r="BJ416" s="5">
        <v>39380</v>
      </c>
      <c r="BK416" s="4">
        <v>1</v>
      </c>
      <c r="BL416" s="4">
        <v>1</v>
      </c>
      <c r="BM416" s="5">
        <v>39380</v>
      </c>
      <c r="BN416" s="5">
        <v>39380</v>
      </c>
      <c r="BO416" s="4"/>
      <c r="BP416" s="4"/>
      <c r="BQ416" s="4"/>
      <c r="BR416" s="4"/>
      <c r="BS416" s="4"/>
      <c r="BT416" s="4"/>
      <c r="BU416" s="5">
        <v>39416</v>
      </c>
      <c r="BV416" s="5">
        <v>39458</v>
      </c>
      <c r="BW416" s="5">
        <v>39458</v>
      </c>
      <c r="BX416" s="4"/>
      <c r="BY416" s="5">
        <v>39463</v>
      </c>
      <c r="BZ416" s="5">
        <v>39463</v>
      </c>
      <c r="CA416" s="4"/>
      <c r="CB416" s="4"/>
      <c r="CC416" s="4"/>
      <c r="CD416" s="4"/>
      <c r="CE416" s="4"/>
      <c r="CF416" s="4"/>
      <c r="CG416" s="4"/>
      <c r="CH416" s="4"/>
      <c r="CI416" s="5">
        <v>39463</v>
      </c>
      <c r="CJ416" s="4"/>
      <c r="CK416" s="5">
        <v>39463</v>
      </c>
      <c r="CL416" s="4"/>
      <c r="CM416" s="4"/>
      <c r="CN416" s="4"/>
      <c r="CO416" s="4"/>
      <c r="CP416" s="4" t="s">
        <v>405</v>
      </c>
      <c r="CQ416" s="4"/>
      <c r="CR416" s="5">
        <v>39463</v>
      </c>
      <c r="CS416" s="4"/>
      <c r="CT416" s="4"/>
      <c r="CU416" s="4"/>
      <c r="CV416" s="4"/>
      <c r="CW416" s="4"/>
      <c r="CX416" s="4"/>
      <c r="CY416" s="4"/>
      <c r="CZ416" s="4"/>
      <c r="DA416" s="4"/>
      <c r="DB416" s="4"/>
      <c r="DC416" s="4"/>
      <c r="DD416" s="4"/>
      <c r="DE416" s="4"/>
      <c r="DF416" s="4"/>
      <c r="DG416" s="4"/>
      <c r="DH416" s="4"/>
      <c r="DI416" s="4"/>
      <c r="DJ416" s="4" t="b">
        <v>0</v>
      </c>
      <c r="DK416" s="4"/>
      <c r="DL416" s="4">
        <v>2669062</v>
      </c>
      <c r="DM416" s="4">
        <v>6464748</v>
      </c>
      <c r="DN416" s="4" t="s">
        <v>1384</v>
      </c>
      <c r="DO416" s="4"/>
      <c r="DP416" s="4"/>
      <c r="DQ416" s="4" t="s">
        <v>148</v>
      </c>
      <c r="DR416" s="4"/>
      <c r="DS416" s="4"/>
      <c r="DT416" s="5">
        <v>41863</v>
      </c>
      <c r="DU416" s="4"/>
      <c r="DV416" s="4"/>
      <c r="DW416" s="4"/>
      <c r="DX416" s="4"/>
      <c r="DY416" s="4"/>
      <c r="DZ416" s="5">
        <v>39416</v>
      </c>
      <c r="EA416" s="4"/>
      <c r="EB416" s="4"/>
      <c r="EC416" s="4"/>
      <c r="ED416" s="4"/>
      <c r="EE416" s="4"/>
      <c r="EF416" s="4"/>
      <c r="EG416" s="4"/>
      <c r="EH416" s="4"/>
      <c r="EI416" s="5">
        <v>39252</v>
      </c>
    </row>
    <row r="417" spans="1:139" hidden="1" x14ac:dyDescent="0.2">
      <c r="A417">
        <f>VLOOKUP(B417,Sheet1!$A$1:$B$18,2,FALSE)</f>
        <v>0</v>
      </c>
      <c r="B417" t="str">
        <f t="shared" si="7"/>
        <v>AKL</v>
      </c>
      <c r="C417" s="2">
        <v>416</v>
      </c>
      <c r="D417" s="3" t="str">
        <f>HYPERLINK("https://sitebase.nzcomms.co.nz/spm/spmnominalview/AKL-008-043/","AKL-008-043")</f>
        <v>AKL-008-043</v>
      </c>
      <c r="E417" s="4" t="s">
        <v>1385</v>
      </c>
      <c r="F417" s="3" t="str">
        <f>HYPERLINK("https://sitebase.nzcomms.co.nz/spm/spmcandidateview/AKL-008-043-C/","AKL-008-043-C")</f>
        <v>AKL-008-043-C</v>
      </c>
      <c r="G417" s="4" t="s">
        <v>1386</v>
      </c>
      <c r="H417" s="4" t="s">
        <v>1296</v>
      </c>
      <c r="I417" s="4">
        <v>3</v>
      </c>
      <c r="J417" s="4" t="s">
        <v>139</v>
      </c>
      <c r="K417" s="4" t="s">
        <v>141</v>
      </c>
      <c r="L417" s="4" t="s">
        <v>150</v>
      </c>
      <c r="M417" s="4" t="s">
        <v>354</v>
      </c>
      <c r="N417" s="4" t="s">
        <v>156</v>
      </c>
      <c r="O417" s="4" t="s">
        <v>144</v>
      </c>
      <c r="P417" s="4"/>
      <c r="Q417" s="4"/>
      <c r="R417" s="4">
        <v>25</v>
      </c>
      <c r="S417" s="4">
        <v>25</v>
      </c>
      <c r="T417" s="4"/>
      <c r="U417" s="4">
        <v>-36.95931049</v>
      </c>
      <c r="V417" s="4">
        <v>174.89388776999999</v>
      </c>
      <c r="W417" s="4"/>
      <c r="X417" s="4"/>
      <c r="Y417" s="4"/>
      <c r="Z417" s="4"/>
      <c r="AA417" s="4" t="s">
        <v>171</v>
      </c>
      <c r="AB417" s="3" t="str">
        <f>HYPERLINK("https://sitebase.nzcomms.co.nz/spm/spmcandidateview/AKL-008-018-A/","AKL-008-018-A")</f>
        <v>AKL-008-018-A</v>
      </c>
      <c r="AC417" s="4" t="b">
        <v>0</v>
      </c>
      <c r="AD417" s="4" t="b">
        <v>0</v>
      </c>
      <c r="AE417" s="4"/>
      <c r="AF417" s="4"/>
      <c r="AG417" s="4" t="b">
        <v>0</v>
      </c>
      <c r="AH417" s="4" t="s">
        <v>360</v>
      </c>
      <c r="AI417" s="4"/>
      <c r="AJ417" s="4"/>
      <c r="AK417" s="4"/>
      <c r="AL417" s="4"/>
      <c r="AM417" s="4"/>
      <c r="AN417" s="5">
        <v>39610</v>
      </c>
      <c r="AO417" s="4">
        <v>3</v>
      </c>
      <c r="AP417" s="5">
        <v>39610</v>
      </c>
      <c r="AQ417" s="5">
        <v>40745</v>
      </c>
      <c r="AR417" s="4"/>
      <c r="AS417" s="4"/>
      <c r="AT417" s="5">
        <v>39691</v>
      </c>
      <c r="AU417" s="5">
        <v>39598</v>
      </c>
      <c r="AV417" s="4">
        <v>3</v>
      </c>
      <c r="AW417" s="5">
        <v>39691</v>
      </c>
      <c r="AX417" s="5">
        <v>39598</v>
      </c>
      <c r="AY417" s="4"/>
      <c r="AZ417" s="4"/>
      <c r="BA417" s="4"/>
      <c r="BB417" s="5">
        <v>39721</v>
      </c>
      <c r="BC417" s="4"/>
      <c r="BD417" s="4"/>
      <c r="BE417" s="5">
        <v>39699</v>
      </c>
      <c r="BF417" s="5">
        <v>39699</v>
      </c>
      <c r="BG417" s="4"/>
      <c r="BH417" s="5">
        <v>39631</v>
      </c>
      <c r="BI417" s="4"/>
      <c r="BJ417" s="5">
        <v>39645</v>
      </c>
      <c r="BK417" s="4">
        <v>6</v>
      </c>
      <c r="BL417" s="4"/>
      <c r="BM417" s="5">
        <v>39658</v>
      </c>
      <c r="BN417" s="5">
        <v>40834</v>
      </c>
      <c r="BO417" s="5">
        <v>39805</v>
      </c>
      <c r="BP417" s="4"/>
      <c r="BQ417" s="4"/>
      <c r="BR417" s="4"/>
      <c r="BS417" s="4"/>
      <c r="BT417" s="4"/>
      <c r="BU417" s="5">
        <v>39792</v>
      </c>
      <c r="BV417" s="5">
        <v>39847</v>
      </c>
      <c r="BW417" s="5">
        <v>39847</v>
      </c>
      <c r="BX417" s="4"/>
      <c r="BY417" s="5">
        <v>39848</v>
      </c>
      <c r="BZ417" s="5">
        <v>39847</v>
      </c>
      <c r="CA417" s="4"/>
      <c r="CB417" s="4"/>
      <c r="CC417" s="4"/>
      <c r="CD417" s="4"/>
      <c r="CE417" s="4"/>
      <c r="CF417" s="4"/>
      <c r="CG417" s="4"/>
      <c r="CH417" s="4"/>
      <c r="CI417" s="5">
        <v>39891</v>
      </c>
      <c r="CJ417" s="5">
        <v>39893</v>
      </c>
      <c r="CK417" s="5">
        <v>39891</v>
      </c>
      <c r="CL417" s="4"/>
      <c r="CM417" s="4"/>
      <c r="CN417" s="4"/>
      <c r="CO417" s="4"/>
      <c r="CP417" s="4" t="s">
        <v>1387</v>
      </c>
      <c r="CQ417" s="4"/>
      <c r="CR417" s="5">
        <v>39893</v>
      </c>
      <c r="CS417" s="4"/>
      <c r="CT417" s="4"/>
      <c r="CU417" s="4"/>
      <c r="CV417" s="4"/>
      <c r="CW417" s="5">
        <v>39813</v>
      </c>
      <c r="CX417" s="5">
        <v>39805</v>
      </c>
      <c r="CY417" s="4"/>
      <c r="CZ417" s="4"/>
      <c r="DA417" s="4"/>
      <c r="DB417" s="4"/>
      <c r="DC417" s="4"/>
      <c r="DD417" s="4"/>
      <c r="DE417" s="4"/>
      <c r="DF417" s="4"/>
      <c r="DG417" s="4"/>
      <c r="DH417" s="4"/>
      <c r="DI417" s="4"/>
      <c r="DJ417" s="4" t="b">
        <v>0</v>
      </c>
      <c r="DK417" s="4"/>
      <c r="DL417" s="4">
        <v>2679020</v>
      </c>
      <c r="DM417" s="4">
        <v>6469640</v>
      </c>
      <c r="DN417" s="4" t="s">
        <v>1388</v>
      </c>
      <c r="DO417" s="4"/>
      <c r="DP417" s="4"/>
      <c r="DQ417" s="4" t="s">
        <v>148</v>
      </c>
      <c r="DR417" s="4"/>
      <c r="DS417" s="4"/>
      <c r="DT417" s="5">
        <v>41894</v>
      </c>
      <c r="DU417" s="4"/>
      <c r="DV417" s="4"/>
      <c r="DW417" s="4"/>
      <c r="DX417" s="4"/>
      <c r="DY417" s="4"/>
      <c r="DZ417" s="5">
        <v>39787</v>
      </c>
      <c r="EA417" s="4"/>
      <c r="EB417" s="4"/>
      <c r="EC417" s="4"/>
      <c r="ED417" s="4"/>
      <c r="EE417" s="4"/>
      <c r="EF417" s="4"/>
      <c r="EG417" s="4"/>
      <c r="EH417" s="4"/>
      <c r="EI417" s="5">
        <v>39574</v>
      </c>
    </row>
    <row r="418" spans="1:139" hidden="1" x14ac:dyDescent="0.2">
      <c r="A418">
        <f>VLOOKUP(B418,Sheet1!$A$1:$B$18,2,FALSE)</f>
        <v>0</v>
      </c>
      <c r="B418" t="str">
        <f t="shared" si="7"/>
        <v>AKL</v>
      </c>
      <c r="C418" s="2">
        <v>417</v>
      </c>
      <c r="D418" s="3" t="str">
        <f>HYPERLINK("https://sitebase.nzcomms.co.nz/spm/spmnominalview/AKL-008-044/","AKL-008-044")</f>
        <v>AKL-008-044</v>
      </c>
      <c r="E418" s="4"/>
      <c r="F418" s="3" t="str">
        <f>HYPERLINK("https://sitebase.nzcomms.co.nz/spm/spmcandidateview/AKL-008-044-E/","AKL-008-044-E")</f>
        <v>AKL-008-044-E</v>
      </c>
      <c r="G418" s="4" t="s">
        <v>1389</v>
      </c>
      <c r="H418" s="4" t="s">
        <v>1296</v>
      </c>
      <c r="I418" s="4"/>
      <c r="J418" s="4" t="s">
        <v>139</v>
      </c>
      <c r="K418" s="4" t="s">
        <v>141</v>
      </c>
      <c r="L418" s="4" t="s">
        <v>150</v>
      </c>
      <c r="M418" s="4" t="s">
        <v>354</v>
      </c>
      <c r="N418" s="4" t="s">
        <v>156</v>
      </c>
      <c r="O418" s="4" t="s">
        <v>144</v>
      </c>
      <c r="P418" s="4"/>
      <c r="Q418" s="4"/>
      <c r="R418" s="4">
        <v>25</v>
      </c>
      <c r="S418" s="4">
        <v>25</v>
      </c>
      <c r="T418" s="4"/>
      <c r="U418" s="4">
        <v>-36.951686029999998</v>
      </c>
      <c r="V418" s="4">
        <v>174.90511275</v>
      </c>
      <c r="W418" s="4"/>
      <c r="X418" s="4"/>
      <c r="Y418" s="4"/>
      <c r="Z418" s="4"/>
      <c r="AA418" s="4" t="s">
        <v>171</v>
      </c>
      <c r="AB418" s="3" t="str">
        <f>HYPERLINK("https://sitebase.nzcomms.co.nz/spm/spmcandidateview/AKL-008-043-C/","AKL-008-043-C")</f>
        <v>AKL-008-043-C</v>
      </c>
      <c r="AC418" s="4"/>
      <c r="AD418" s="4"/>
      <c r="AE418" s="4"/>
      <c r="AF418" s="4"/>
      <c r="AG418" s="4"/>
      <c r="AH418" s="4" t="s">
        <v>357</v>
      </c>
      <c r="AI418" s="4"/>
      <c r="AJ418" s="4"/>
      <c r="AK418" s="4"/>
      <c r="AL418" s="4"/>
      <c r="AM418" s="4"/>
      <c r="AN418" s="5">
        <v>39653</v>
      </c>
      <c r="AO418" s="4">
        <v>1</v>
      </c>
      <c r="AP418" s="5">
        <v>39653</v>
      </c>
      <c r="AQ418" s="5">
        <v>39653</v>
      </c>
      <c r="AR418" s="4"/>
      <c r="AS418" s="4"/>
      <c r="AT418" s="5">
        <v>39660</v>
      </c>
      <c r="AU418" s="5">
        <v>39686</v>
      </c>
      <c r="AV418" s="4">
        <v>1</v>
      </c>
      <c r="AW418" s="5">
        <v>39660</v>
      </c>
      <c r="AX418" s="5">
        <v>39686</v>
      </c>
      <c r="AY418" s="4"/>
      <c r="AZ418" s="4"/>
      <c r="BA418" s="4"/>
      <c r="BB418" s="4"/>
      <c r="BC418" s="4"/>
      <c r="BD418" s="4"/>
      <c r="BE418" s="4"/>
      <c r="BF418" s="5">
        <v>39715</v>
      </c>
      <c r="BG418" s="4"/>
      <c r="BH418" s="5">
        <v>39699</v>
      </c>
      <c r="BI418" s="4"/>
      <c r="BJ418" s="5">
        <v>39720</v>
      </c>
      <c r="BK418" s="4">
        <v>1</v>
      </c>
      <c r="BL418" s="4">
        <v>1</v>
      </c>
      <c r="BM418" s="5">
        <v>39720</v>
      </c>
      <c r="BN418" s="5">
        <v>39720</v>
      </c>
      <c r="BO418" s="5">
        <v>39805</v>
      </c>
      <c r="BP418" s="4"/>
      <c r="BQ418" s="4"/>
      <c r="BR418" s="4"/>
      <c r="BS418" s="4"/>
      <c r="BT418" s="4"/>
      <c r="BU418" s="5">
        <v>39749</v>
      </c>
      <c r="BV418" s="5">
        <v>39862</v>
      </c>
      <c r="BW418" s="5">
        <v>39862</v>
      </c>
      <c r="BX418" s="4"/>
      <c r="BY418" s="5">
        <v>39864</v>
      </c>
      <c r="BZ418" s="5">
        <v>39863</v>
      </c>
      <c r="CA418" s="4"/>
      <c r="CB418" s="4"/>
      <c r="CC418" s="4"/>
      <c r="CD418" s="4"/>
      <c r="CE418" s="4"/>
      <c r="CF418" s="4"/>
      <c r="CG418" s="4"/>
      <c r="CH418" s="4"/>
      <c r="CI418" s="5">
        <v>39891</v>
      </c>
      <c r="CJ418" s="5">
        <v>39893</v>
      </c>
      <c r="CK418" s="5">
        <v>39891</v>
      </c>
      <c r="CL418" s="4"/>
      <c r="CM418" s="4"/>
      <c r="CN418" s="4"/>
      <c r="CO418" s="4"/>
      <c r="CP418" s="4" t="s">
        <v>870</v>
      </c>
      <c r="CQ418" s="4"/>
      <c r="CR418" s="5">
        <v>39893</v>
      </c>
      <c r="CS418" s="4"/>
      <c r="CT418" s="4"/>
      <c r="CU418" s="4"/>
      <c r="CV418" s="4"/>
      <c r="CW418" s="5">
        <v>39805</v>
      </c>
      <c r="CX418" s="5">
        <v>39805</v>
      </c>
      <c r="CY418" s="4"/>
      <c r="CZ418" s="4"/>
      <c r="DA418" s="4"/>
      <c r="DB418" s="4"/>
      <c r="DC418" s="4"/>
      <c r="DD418" s="4"/>
      <c r="DE418" s="4"/>
      <c r="DF418" s="4"/>
      <c r="DG418" s="4"/>
      <c r="DH418" s="4"/>
      <c r="DI418" s="4"/>
      <c r="DJ418" s="4" t="b">
        <v>0</v>
      </c>
      <c r="DK418" s="4"/>
      <c r="DL418" s="4">
        <v>2680038</v>
      </c>
      <c r="DM418" s="4">
        <v>6470464</v>
      </c>
      <c r="DN418" s="4" t="s">
        <v>1390</v>
      </c>
      <c r="DO418" s="4"/>
      <c r="DP418" s="4"/>
      <c r="DQ418" s="4" t="s">
        <v>148</v>
      </c>
      <c r="DR418" s="4"/>
      <c r="DS418" s="4"/>
      <c r="DT418" s="5">
        <v>41894</v>
      </c>
      <c r="DU418" s="4"/>
      <c r="DV418" s="4"/>
      <c r="DW418" s="4"/>
      <c r="DX418" s="4"/>
      <c r="DY418" s="4"/>
      <c r="DZ418" s="5">
        <v>39745</v>
      </c>
      <c r="EA418" s="4"/>
      <c r="EB418" s="4"/>
      <c r="EC418" s="4"/>
      <c r="ED418" s="4"/>
      <c r="EE418" s="4"/>
      <c r="EF418" s="4"/>
      <c r="EG418" s="4"/>
      <c r="EH418" s="4"/>
      <c r="EI418" s="5">
        <v>39617</v>
      </c>
    </row>
    <row r="419" spans="1:139" hidden="1" x14ac:dyDescent="0.2">
      <c r="A419">
        <f>VLOOKUP(B419,Sheet1!$A$1:$B$18,2,FALSE)</f>
        <v>0</v>
      </c>
      <c r="B419" t="str">
        <f t="shared" si="7"/>
        <v>AKL</v>
      </c>
      <c r="C419" s="2">
        <v>418</v>
      </c>
      <c r="D419" s="3" t="str">
        <f>HYPERLINK("https://sitebase.nzcomms.co.nz/spm/spmnominalview/AKL-008-045/","AKL-008-045")</f>
        <v>AKL-008-045</v>
      </c>
      <c r="E419" s="4"/>
      <c r="F419" s="3" t="str">
        <f>HYPERLINK("https://sitebase.nzcomms.co.nz/spm/spmcandidateview/AKL-008-045-A/","AKL-008-045-A")</f>
        <v>AKL-008-045-A</v>
      </c>
      <c r="G419" s="4" t="s">
        <v>1391</v>
      </c>
      <c r="H419" s="4" t="s">
        <v>1296</v>
      </c>
      <c r="I419" s="4"/>
      <c r="J419" s="4" t="s">
        <v>139</v>
      </c>
      <c r="K419" s="4" t="s">
        <v>141</v>
      </c>
      <c r="L419" s="4" t="s">
        <v>150</v>
      </c>
      <c r="M419" s="4" t="s">
        <v>354</v>
      </c>
      <c r="N419" s="4" t="s">
        <v>156</v>
      </c>
      <c r="O419" s="4" t="s">
        <v>144</v>
      </c>
      <c r="P419" s="4"/>
      <c r="Q419" s="4"/>
      <c r="R419" s="4">
        <v>20</v>
      </c>
      <c r="S419" s="4">
        <v>20</v>
      </c>
      <c r="T419" s="4"/>
      <c r="U419" s="4">
        <v>-36.931274569999999</v>
      </c>
      <c r="V419" s="4">
        <v>174.89824419000001</v>
      </c>
      <c r="W419" s="4"/>
      <c r="X419" s="4"/>
      <c r="Y419" s="4"/>
      <c r="Z419" s="4"/>
      <c r="AA419" s="4" t="s">
        <v>382</v>
      </c>
      <c r="AB419" s="4" t="s">
        <v>1392</v>
      </c>
      <c r="AC419" s="4"/>
      <c r="AD419" s="4"/>
      <c r="AE419" s="4"/>
      <c r="AF419" s="4"/>
      <c r="AG419" s="4"/>
      <c r="AH419" s="4"/>
      <c r="AI419" s="4"/>
      <c r="AJ419" s="4"/>
      <c r="AK419" s="4"/>
      <c r="AL419" s="4"/>
      <c r="AM419" s="4"/>
      <c r="AN419" s="5">
        <v>39315</v>
      </c>
      <c r="AO419" s="4">
        <v>5</v>
      </c>
      <c r="AP419" s="4"/>
      <c r="AQ419" s="4"/>
      <c r="AR419" s="4"/>
      <c r="AS419" s="4"/>
      <c r="AT419" s="5">
        <v>39465</v>
      </c>
      <c r="AU419" s="5">
        <v>39465</v>
      </c>
      <c r="AV419" s="4">
        <v>2</v>
      </c>
      <c r="AW419" s="5">
        <v>39465</v>
      </c>
      <c r="AX419" s="5">
        <v>39465</v>
      </c>
      <c r="AY419" s="4" t="s">
        <v>183</v>
      </c>
      <c r="AZ419" s="4"/>
      <c r="BA419" s="5">
        <v>40744</v>
      </c>
      <c r="BB419" s="5">
        <v>39659</v>
      </c>
      <c r="BC419" s="5">
        <v>40772</v>
      </c>
      <c r="BD419" s="4">
        <v>4</v>
      </c>
      <c r="BE419" s="5">
        <v>39659</v>
      </c>
      <c r="BF419" s="5">
        <v>40773</v>
      </c>
      <c r="BG419" s="4"/>
      <c r="BH419" s="5">
        <v>39406</v>
      </c>
      <c r="BI419" s="4"/>
      <c r="BJ419" s="5">
        <v>39563</v>
      </c>
      <c r="BK419" s="4">
        <v>1</v>
      </c>
      <c r="BL419" s="4">
        <v>3</v>
      </c>
      <c r="BM419" s="5">
        <v>39563</v>
      </c>
      <c r="BN419" s="5">
        <v>39563</v>
      </c>
      <c r="BO419" s="4"/>
      <c r="BP419" s="4"/>
      <c r="BQ419" s="4"/>
      <c r="BR419" s="4"/>
      <c r="BS419" s="4"/>
      <c r="BT419" s="4"/>
      <c r="BU419" s="5">
        <v>39650</v>
      </c>
      <c r="BV419" s="5">
        <v>39682</v>
      </c>
      <c r="BW419" s="5">
        <v>39682</v>
      </c>
      <c r="BX419" s="4"/>
      <c r="BY419" s="5">
        <v>39689</v>
      </c>
      <c r="BZ419" s="5">
        <v>39688</v>
      </c>
      <c r="CA419" s="4"/>
      <c r="CB419" s="4"/>
      <c r="CC419" s="4"/>
      <c r="CD419" s="4"/>
      <c r="CE419" s="4"/>
      <c r="CF419" s="4"/>
      <c r="CG419" s="4"/>
      <c r="CH419" s="4"/>
      <c r="CI419" s="5">
        <v>39897</v>
      </c>
      <c r="CJ419" s="5">
        <v>39913</v>
      </c>
      <c r="CK419" s="5">
        <v>39897</v>
      </c>
      <c r="CL419" s="4"/>
      <c r="CM419" s="4"/>
      <c r="CN419" s="4"/>
      <c r="CO419" s="4"/>
      <c r="CP419" s="4" t="s">
        <v>157</v>
      </c>
      <c r="CQ419" s="4"/>
      <c r="CR419" s="5">
        <v>39913</v>
      </c>
      <c r="CS419" s="4"/>
      <c r="CT419" s="4"/>
      <c r="CU419" s="4"/>
      <c r="CV419" s="4"/>
      <c r="CW419" s="4"/>
      <c r="CX419" s="4"/>
      <c r="CY419" s="4"/>
      <c r="CZ419" s="4"/>
      <c r="DA419" s="4"/>
      <c r="DB419" s="4"/>
      <c r="DC419" s="4"/>
      <c r="DD419" s="4"/>
      <c r="DE419" s="4"/>
      <c r="DF419" s="4"/>
      <c r="DG419" s="4"/>
      <c r="DH419" s="4"/>
      <c r="DI419" s="4"/>
      <c r="DJ419" s="4" t="b">
        <v>0</v>
      </c>
      <c r="DK419" s="4"/>
      <c r="DL419" s="4">
        <v>2679476</v>
      </c>
      <c r="DM419" s="4">
        <v>6472742</v>
      </c>
      <c r="DN419" s="4" t="s">
        <v>1393</v>
      </c>
      <c r="DO419" s="4"/>
      <c r="DP419" s="4" t="s">
        <v>1394</v>
      </c>
      <c r="DQ419" s="4" t="s">
        <v>148</v>
      </c>
      <c r="DR419" s="4"/>
      <c r="DS419" s="4"/>
      <c r="DT419" s="5">
        <v>41894</v>
      </c>
      <c r="DU419" s="4"/>
      <c r="DV419" s="4"/>
      <c r="DW419" s="4"/>
      <c r="DX419" s="4"/>
      <c r="DY419" s="4"/>
      <c r="DZ419" s="5">
        <v>39632</v>
      </c>
      <c r="EA419" s="4"/>
      <c r="EB419" s="4"/>
      <c r="EC419" s="4"/>
      <c r="ED419" s="4"/>
      <c r="EE419" s="4"/>
      <c r="EF419" s="4"/>
      <c r="EG419" s="4"/>
      <c r="EH419" s="4"/>
      <c r="EI419" s="5">
        <v>39322</v>
      </c>
    </row>
    <row r="420" spans="1:139" hidden="1" x14ac:dyDescent="0.2">
      <c r="A420">
        <f>VLOOKUP(B420,Sheet1!$A$1:$B$18,2,FALSE)</f>
        <v>0</v>
      </c>
      <c r="B420" t="str">
        <f t="shared" si="7"/>
        <v>AKL</v>
      </c>
      <c r="C420" s="2">
        <v>419</v>
      </c>
      <c r="D420" s="3" t="str">
        <f>HYPERLINK("https://sitebase.nzcomms.co.nz/spm/spmnominalview/AKL-008-046/","AKL-008-046")</f>
        <v>AKL-008-046</v>
      </c>
      <c r="E420" s="4"/>
      <c r="F420" s="3" t="str">
        <f>HYPERLINK("https://sitebase.nzcomms.co.nz/spm/spmcandidateview/AKL-008-046-F/","AKL-008-046-F")</f>
        <v>AKL-008-046-F</v>
      </c>
      <c r="G420" s="4" t="s">
        <v>1395</v>
      </c>
      <c r="H420" s="4" t="s">
        <v>1296</v>
      </c>
      <c r="I420" s="4"/>
      <c r="J420" s="4" t="s">
        <v>139</v>
      </c>
      <c r="K420" s="4" t="s">
        <v>141</v>
      </c>
      <c r="L420" s="4" t="s">
        <v>181</v>
      </c>
      <c r="M420" s="4" t="s">
        <v>442</v>
      </c>
      <c r="N420" s="4" t="s">
        <v>364</v>
      </c>
      <c r="O420" s="4" t="s">
        <v>144</v>
      </c>
      <c r="P420" s="4"/>
      <c r="Q420" s="4"/>
      <c r="R420" s="4"/>
      <c r="S420" s="4"/>
      <c r="T420" s="4"/>
      <c r="U420" s="4">
        <v>-36.894835780000001</v>
      </c>
      <c r="V420" s="4">
        <v>174.93316096000001</v>
      </c>
      <c r="W420" s="4"/>
      <c r="X420" s="4"/>
      <c r="Y420" s="4"/>
      <c r="Z420" s="4"/>
      <c r="AA420" s="4"/>
      <c r="AB420" s="4"/>
      <c r="AC420" s="4"/>
      <c r="AD420" s="4"/>
      <c r="AE420" s="4"/>
      <c r="AF420" s="4"/>
      <c r="AG420" s="4"/>
      <c r="AH420" s="4"/>
      <c r="AI420" s="4"/>
      <c r="AJ420" s="4"/>
      <c r="AK420" s="4"/>
      <c r="AL420" s="4"/>
      <c r="AM420" s="4"/>
      <c r="AN420" s="5">
        <v>40092</v>
      </c>
      <c r="AO420" s="4">
        <v>4</v>
      </c>
      <c r="AP420" s="5">
        <v>40247</v>
      </c>
      <c r="AQ420" s="5">
        <v>40247</v>
      </c>
      <c r="AR420" s="4"/>
      <c r="AS420" s="4"/>
      <c r="AT420" s="5">
        <v>40151</v>
      </c>
      <c r="AU420" s="5">
        <v>40154</v>
      </c>
      <c r="AV420" s="4">
        <v>4</v>
      </c>
      <c r="AW420" s="5">
        <v>40151</v>
      </c>
      <c r="AX420" s="5">
        <v>40154</v>
      </c>
      <c r="AY420" s="4"/>
      <c r="AZ420" s="5">
        <v>40122</v>
      </c>
      <c r="BA420" s="4"/>
      <c r="BB420" s="5">
        <v>40154</v>
      </c>
      <c r="BC420" s="4"/>
      <c r="BD420" s="4"/>
      <c r="BE420" s="5">
        <v>40154</v>
      </c>
      <c r="BF420" s="5">
        <v>40144</v>
      </c>
      <c r="BG420" s="5">
        <v>40112</v>
      </c>
      <c r="BH420" s="5">
        <v>40106</v>
      </c>
      <c r="BI420" s="4"/>
      <c r="BJ420" s="5">
        <v>40170</v>
      </c>
      <c r="BK420" s="4">
        <v>2</v>
      </c>
      <c r="BL420" s="4">
        <v>4</v>
      </c>
      <c r="BM420" s="5">
        <v>40255</v>
      </c>
      <c r="BN420" s="5">
        <v>40255</v>
      </c>
      <c r="BO420" s="4"/>
      <c r="BP420" s="4"/>
      <c r="BQ420" s="4"/>
      <c r="BR420" s="4"/>
      <c r="BS420" s="4"/>
      <c r="BT420" s="5">
        <v>40310</v>
      </c>
      <c r="BU420" s="5">
        <v>40310</v>
      </c>
      <c r="BV420" s="5">
        <v>40340</v>
      </c>
      <c r="BW420" s="5">
        <v>40337</v>
      </c>
      <c r="BX420" s="4"/>
      <c r="BY420" s="5">
        <v>40343</v>
      </c>
      <c r="BZ420" s="5">
        <v>40344</v>
      </c>
      <c r="CA420" s="4"/>
      <c r="CB420" s="4"/>
      <c r="CC420" s="4"/>
      <c r="CD420" s="4"/>
      <c r="CE420" s="4"/>
      <c r="CF420" s="4"/>
      <c r="CG420" s="4"/>
      <c r="CH420" s="4"/>
      <c r="CI420" s="5">
        <v>40344</v>
      </c>
      <c r="CJ420" s="5">
        <v>40344</v>
      </c>
      <c r="CK420" s="5">
        <v>40344</v>
      </c>
      <c r="CL420" s="4"/>
      <c r="CM420" s="4"/>
      <c r="CN420" s="4"/>
      <c r="CO420" s="4"/>
      <c r="CP420" s="4" t="s">
        <v>1396</v>
      </c>
      <c r="CQ420" s="4"/>
      <c r="CR420" s="5">
        <v>40344</v>
      </c>
      <c r="CS420" s="4"/>
      <c r="CT420" s="4"/>
      <c r="CU420" s="4"/>
      <c r="CV420" s="4"/>
      <c r="CW420" s="4"/>
      <c r="CX420" s="4"/>
      <c r="CY420" s="4"/>
      <c r="CZ420" s="4"/>
      <c r="DA420" s="4"/>
      <c r="DB420" s="4"/>
      <c r="DC420" s="4"/>
      <c r="DD420" s="4"/>
      <c r="DE420" s="4"/>
      <c r="DF420" s="4"/>
      <c r="DG420" s="4"/>
      <c r="DH420" s="4"/>
      <c r="DI420" s="4"/>
      <c r="DJ420" s="4" t="b">
        <v>0</v>
      </c>
      <c r="DK420" s="4"/>
      <c r="DL420" s="4">
        <v>2682676</v>
      </c>
      <c r="DM420" s="4">
        <v>6476716</v>
      </c>
      <c r="DN420" s="4" t="s">
        <v>1397</v>
      </c>
      <c r="DO420" s="4"/>
      <c r="DP420" s="4"/>
      <c r="DQ420" s="4" t="s">
        <v>148</v>
      </c>
      <c r="DR420" s="4"/>
      <c r="DS420" s="4"/>
      <c r="DT420" s="4"/>
      <c r="DU420" s="4"/>
      <c r="DV420" s="4"/>
      <c r="DW420" s="4"/>
      <c r="DX420" s="4"/>
      <c r="DY420" s="5">
        <v>40224</v>
      </c>
      <c r="DZ420" s="5">
        <v>40310</v>
      </c>
      <c r="EA420" s="4"/>
      <c r="EB420" s="4"/>
      <c r="EC420" s="4"/>
      <c r="ED420" s="4"/>
      <c r="EE420" s="4"/>
      <c r="EF420" s="4"/>
      <c r="EG420" s="4"/>
      <c r="EH420" s="4"/>
      <c r="EI420" s="5">
        <v>40063</v>
      </c>
    </row>
    <row r="421" spans="1:139" hidden="1" x14ac:dyDescent="0.2">
      <c r="A421">
        <f>VLOOKUP(B421,Sheet1!$A$1:$B$18,2,FALSE)</f>
        <v>0</v>
      </c>
      <c r="B421" t="str">
        <f t="shared" si="7"/>
        <v>AKL</v>
      </c>
      <c r="C421" s="2">
        <v>420</v>
      </c>
      <c r="D421" s="3" t="str">
        <f>HYPERLINK("https://sitebase.nzcomms.co.nz/spm/spmnominalview/AKL-008-047/","AKL-008-047")</f>
        <v>AKL-008-047</v>
      </c>
      <c r="E421" s="4"/>
      <c r="F421" s="3" t="str">
        <f>HYPERLINK("https://sitebase.nzcomms.co.nz/spm/spmcandidateview/AKL-008-047-A/","AKL-008-047-A")</f>
        <v>AKL-008-047-A</v>
      </c>
      <c r="G421" s="4" t="s">
        <v>1398</v>
      </c>
      <c r="H421" s="4" t="s">
        <v>1296</v>
      </c>
      <c r="I421" s="4"/>
      <c r="J421" s="4" t="s">
        <v>139</v>
      </c>
      <c r="K421" s="4" t="s">
        <v>141</v>
      </c>
      <c r="L421" s="4" t="s">
        <v>150</v>
      </c>
      <c r="M421" s="4" t="s">
        <v>143</v>
      </c>
      <c r="N421" s="4" t="s">
        <v>246</v>
      </c>
      <c r="O421" s="4" t="s">
        <v>356</v>
      </c>
      <c r="P421" s="4"/>
      <c r="Q421" s="4"/>
      <c r="R421" s="4">
        <v>15.8</v>
      </c>
      <c r="S421" s="4">
        <v>15.8</v>
      </c>
      <c r="T421" s="4"/>
      <c r="U421" s="4">
        <v>-36.908567480000002</v>
      </c>
      <c r="V421" s="4">
        <v>174.88398755</v>
      </c>
      <c r="W421" s="4"/>
      <c r="X421" s="4"/>
      <c r="Y421" s="4"/>
      <c r="Z421" s="4"/>
      <c r="AA421" s="4" t="s">
        <v>382</v>
      </c>
      <c r="AB421" s="4" t="s">
        <v>1399</v>
      </c>
      <c r="AC421" s="4"/>
      <c r="AD421" s="4"/>
      <c r="AE421" s="4"/>
      <c r="AF421" s="4"/>
      <c r="AG421" s="4"/>
      <c r="AH421" s="4" t="s">
        <v>360</v>
      </c>
      <c r="AI421" s="4"/>
      <c r="AJ421" s="4"/>
      <c r="AK421" s="4"/>
      <c r="AL421" s="4"/>
      <c r="AM421" s="4"/>
      <c r="AN421" s="5">
        <v>39278</v>
      </c>
      <c r="AO421" s="4">
        <v>2</v>
      </c>
      <c r="AP421" s="4"/>
      <c r="AQ421" s="5">
        <v>39650</v>
      </c>
      <c r="AR421" s="4"/>
      <c r="AS421" s="4"/>
      <c r="AT421" s="5">
        <v>39171</v>
      </c>
      <c r="AU421" s="5">
        <v>39171</v>
      </c>
      <c r="AV421" s="4">
        <v>2</v>
      </c>
      <c r="AW421" s="5">
        <v>39171</v>
      </c>
      <c r="AX421" s="5">
        <v>39171</v>
      </c>
      <c r="AY421" s="4"/>
      <c r="AZ421" s="4"/>
      <c r="BA421" s="4"/>
      <c r="BB421" s="5">
        <v>39691</v>
      </c>
      <c r="BC421" s="4"/>
      <c r="BD421" s="4"/>
      <c r="BE421" s="5">
        <v>39691</v>
      </c>
      <c r="BF421" s="5">
        <v>39689</v>
      </c>
      <c r="BG421" s="4"/>
      <c r="BH421" s="5">
        <v>39386</v>
      </c>
      <c r="BI421" s="4"/>
      <c r="BJ421" s="5">
        <v>39588</v>
      </c>
      <c r="BK421" s="4">
        <v>1</v>
      </c>
      <c r="BL421" s="4">
        <v>2</v>
      </c>
      <c r="BM421" s="5">
        <v>39588</v>
      </c>
      <c r="BN421" s="5">
        <v>39588</v>
      </c>
      <c r="BO421" s="4"/>
      <c r="BP421" s="4"/>
      <c r="BQ421" s="4"/>
      <c r="BR421" s="4"/>
      <c r="BS421" s="4"/>
      <c r="BT421" s="4"/>
      <c r="BU421" s="5">
        <v>39706</v>
      </c>
      <c r="BV421" s="5">
        <v>39738</v>
      </c>
      <c r="BW421" s="5">
        <v>39738</v>
      </c>
      <c r="BX421" s="4"/>
      <c r="BY421" s="5">
        <v>39744</v>
      </c>
      <c r="BZ421" s="5">
        <v>39738</v>
      </c>
      <c r="CA421" s="4"/>
      <c r="CB421" s="4"/>
      <c r="CC421" s="4"/>
      <c r="CD421" s="4"/>
      <c r="CE421" s="4"/>
      <c r="CF421" s="4"/>
      <c r="CG421" s="4"/>
      <c r="CH421" s="4"/>
      <c r="CI421" s="5">
        <v>39891</v>
      </c>
      <c r="CJ421" s="5">
        <v>39890</v>
      </c>
      <c r="CK421" s="5">
        <v>39891</v>
      </c>
      <c r="CL421" s="4"/>
      <c r="CM421" s="4"/>
      <c r="CN421" s="4"/>
      <c r="CO421" s="4"/>
      <c r="CP421" s="4" t="s">
        <v>157</v>
      </c>
      <c r="CQ421" s="4"/>
      <c r="CR421" s="5">
        <v>39890</v>
      </c>
      <c r="CS421" s="4"/>
      <c r="CT421" s="4"/>
      <c r="CU421" s="4"/>
      <c r="CV421" s="4"/>
      <c r="CW421" s="4"/>
      <c r="CX421" s="4"/>
      <c r="CY421" s="4"/>
      <c r="CZ421" s="4"/>
      <c r="DA421" s="4"/>
      <c r="DB421" s="4"/>
      <c r="DC421" s="4"/>
      <c r="DD421" s="4"/>
      <c r="DE421" s="4"/>
      <c r="DF421" s="4"/>
      <c r="DG421" s="4"/>
      <c r="DH421" s="4"/>
      <c r="DI421" s="4"/>
      <c r="DJ421" s="4" t="b">
        <v>0</v>
      </c>
      <c r="DK421" s="4"/>
      <c r="DL421" s="4">
        <v>2678261</v>
      </c>
      <c r="DM421" s="4">
        <v>6475289</v>
      </c>
      <c r="DN421" s="4" t="s">
        <v>1400</v>
      </c>
      <c r="DO421" s="4"/>
      <c r="DP421" s="4"/>
      <c r="DQ421" s="4" t="s">
        <v>148</v>
      </c>
      <c r="DR421" s="4"/>
      <c r="DS421" s="4"/>
      <c r="DT421" s="4"/>
      <c r="DU421" s="4"/>
      <c r="DV421" s="4"/>
      <c r="DW421" s="4"/>
      <c r="DX421" s="4"/>
      <c r="DY421" s="4"/>
      <c r="DZ421" s="5">
        <v>39709</v>
      </c>
      <c r="EA421" s="4"/>
      <c r="EB421" s="4"/>
      <c r="EC421" s="4"/>
      <c r="ED421" s="4"/>
      <c r="EE421" s="4"/>
      <c r="EF421" s="4"/>
      <c r="EG421" s="4"/>
      <c r="EH421" s="4"/>
      <c r="EI421" s="5">
        <v>39171</v>
      </c>
    </row>
    <row r="422" spans="1:139" hidden="1" x14ac:dyDescent="0.2">
      <c r="A422">
        <f>VLOOKUP(B422,Sheet1!$A$1:$B$18,2,FALSE)</f>
        <v>0</v>
      </c>
      <c r="B422" t="str">
        <f t="shared" si="7"/>
        <v>AKL</v>
      </c>
      <c r="C422" s="2">
        <v>421</v>
      </c>
      <c r="D422" s="3" t="str">
        <f>HYPERLINK("https://sitebase.nzcomms.co.nz/spm/spmnominalview/AKL-008-049/","AKL-008-049")</f>
        <v>AKL-008-049</v>
      </c>
      <c r="E422" s="4"/>
      <c r="F422" s="3" t="str">
        <f>HYPERLINK("https://sitebase.nzcomms.co.nz/spm/spmcandidateview/AKL-008-049-D/","AKL-008-049-D")</f>
        <v>AKL-008-049-D</v>
      </c>
      <c r="G422" s="4" t="s">
        <v>1401</v>
      </c>
      <c r="H422" s="4" t="s">
        <v>1296</v>
      </c>
      <c r="I422" s="4"/>
      <c r="J422" s="4" t="s">
        <v>139</v>
      </c>
      <c r="K422" s="4" t="s">
        <v>141</v>
      </c>
      <c r="L422" s="4" t="s">
        <v>189</v>
      </c>
      <c r="M422" s="4" t="s">
        <v>296</v>
      </c>
      <c r="N422" s="4" t="s">
        <v>191</v>
      </c>
      <c r="O422" s="4" t="s">
        <v>356</v>
      </c>
      <c r="P422" s="4"/>
      <c r="Q422" s="4"/>
      <c r="R422" s="4"/>
      <c r="S422" s="4">
        <v>11.7</v>
      </c>
      <c r="T422" s="4"/>
      <c r="U422" s="4">
        <v>-36.868865540000002</v>
      </c>
      <c r="V422" s="4">
        <v>174.90593211000001</v>
      </c>
      <c r="W422" s="4"/>
      <c r="X422" s="4"/>
      <c r="Y422" s="4"/>
      <c r="Z422" s="4"/>
      <c r="AA422" s="4" t="s">
        <v>171</v>
      </c>
      <c r="AB422" s="3" t="str">
        <f>HYPERLINK("https://sitebase.nzcomms.co.nz/spm/spmcandidateview/AKL-007-113-A/","AKL-007-113-A")</f>
        <v>AKL-007-113-A</v>
      </c>
      <c r="AC422" s="4"/>
      <c r="AD422" s="4"/>
      <c r="AE422" s="4"/>
      <c r="AF422" s="4"/>
      <c r="AG422" s="4"/>
      <c r="AH422" s="4"/>
      <c r="AI422" s="4"/>
      <c r="AJ422" s="4"/>
      <c r="AK422" s="4"/>
      <c r="AL422" s="4"/>
      <c r="AM422" s="4"/>
      <c r="AN422" s="5">
        <v>39969</v>
      </c>
      <c r="AO422" s="4">
        <v>1</v>
      </c>
      <c r="AP422" s="5">
        <v>39973</v>
      </c>
      <c r="AQ422" s="5">
        <v>39969</v>
      </c>
      <c r="AR422" s="4"/>
      <c r="AS422" s="4"/>
      <c r="AT422" s="5">
        <v>40084</v>
      </c>
      <c r="AU422" s="5">
        <v>40081</v>
      </c>
      <c r="AV422" s="4"/>
      <c r="AW422" s="5">
        <v>40107</v>
      </c>
      <c r="AX422" s="5">
        <v>40087</v>
      </c>
      <c r="AY422" s="4"/>
      <c r="AZ422" s="5">
        <v>40085</v>
      </c>
      <c r="BA422" s="4"/>
      <c r="BB422" s="5">
        <v>40085</v>
      </c>
      <c r="BC422" s="4"/>
      <c r="BD422" s="4"/>
      <c r="BE422" s="5">
        <v>40085</v>
      </c>
      <c r="BF422" s="5">
        <v>40081</v>
      </c>
      <c r="BG422" s="5">
        <v>39979</v>
      </c>
      <c r="BH422" s="5">
        <v>39979</v>
      </c>
      <c r="BI422" s="4"/>
      <c r="BJ422" s="5">
        <v>39990</v>
      </c>
      <c r="BK422" s="4">
        <v>1</v>
      </c>
      <c r="BL422" s="4">
        <v>1</v>
      </c>
      <c r="BM422" s="5">
        <v>39994</v>
      </c>
      <c r="BN422" s="5">
        <v>39990</v>
      </c>
      <c r="BO422" s="5">
        <v>40109</v>
      </c>
      <c r="BP422" s="4"/>
      <c r="BQ422" s="4"/>
      <c r="BR422" s="4"/>
      <c r="BS422" s="4"/>
      <c r="BT422" s="5">
        <v>40189</v>
      </c>
      <c r="BU422" s="5">
        <v>40189</v>
      </c>
      <c r="BV422" s="5">
        <v>40196</v>
      </c>
      <c r="BW422" s="5">
        <v>40193</v>
      </c>
      <c r="BX422" s="4"/>
      <c r="BY422" s="5">
        <v>40198</v>
      </c>
      <c r="BZ422" s="5">
        <v>40193</v>
      </c>
      <c r="CA422" s="4"/>
      <c r="CB422" s="4"/>
      <c r="CC422" s="4"/>
      <c r="CD422" s="4"/>
      <c r="CE422" s="4"/>
      <c r="CF422" s="4"/>
      <c r="CG422" s="4"/>
      <c r="CH422" s="4"/>
      <c r="CI422" s="5">
        <v>40193</v>
      </c>
      <c r="CJ422" s="5">
        <v>40203</v>
      </c>
      <c r="CK422" s="5">
        <v>40193</v>
      </c>
      <c r="CL422" s="4"/>
      <c r="CM422" s="4"/>
      <c r="CN422" s="4"/>
      <c r="CO422" s="4"/>
      <c r="CP422" s="4" t="s">
        <v>1402</v>
      </c>
      <c r="CQ422" s="4"/>
      <c r="CR422" s="5">
        <v>40203</v>
      </c>
      <c r="CS422" s="4"/>
      <c r="CT422" s="4"/>
      <c r="CU422" s="4"/>
      <c r="CV422" s="4"/>
      <c r="CW422" s="5">
        <v>40109</v>
      </c>
      <c r="CX422" s="5">
        <v>40109</v>
      </c>
      <c r="CY422" s="4"/>
      <c r="CZ422" s="4"/>
      <c r="DA422" s="4"/>
      <c r="DB422" s="4"/>
      <c r="DC422" s="4"/>
      <c r="DD422" s="4"/>
      <c r="DE422" s="4"/>
      <c r="DF422" s="4"/>
      <c r="DG422" s="4"/>
      <c r="DH422" s="4"/>
      <c r="DI422" s="4"/>
      <c r="DJ422" s="4" t="b">
        <v>0</v>
      </c>
      <c r="DK422" s="4"/>
      <c r="DL422" s="4">
        <v>2680313</v>
      </c>
      <c r="DM422" s="4">
        <v>6479651</v>
      </c>
      <c r="DN422" s="4" t="s">
        <v>1403</v>
      </c>
      <c r="DO422" s="4"/>
      <c r="DP422" s="4"/>
      <c r="DQ422" s="4" t="s">
        <v>148</v>
      </c>
      <c r="DR422" s="4"/>
      <c r="DS422" s="4"/>
      <c r="DT422" s="4"/>
      <c r="DU422" s="4"/>
      <c r="DV422" s="4"/>
      <c r="DW422" s="4"/>
      <c r="DX422" s="4"/>
      <c r="DY422" s="5">
        <v>40189</v>
      </c>
      <c r="DZ422" s="5">
        <v>40189</v>
      </c>
      <c r="EA422" s="4"/>
      <c r="EB422" s="4"/>
      <c r="EC422" s="4"/>
      <c r="ED422" s="4"/>
      <c r="EE422" s="4"/>
      <c r="EF422" s="4"/>
      <c r="EG422" s="4"/>
      <c r="EH422" s="4"/>
      <c r="EI422" s="5">
        <v>39968</v>
      </c>
    </row>
    <row r="423" spans="1:139" hidden="1" x14ac:dyDescent="0.2">
      <c r="A423">
        <f>VLOOKUP(B423,Sheet1!$A$1:$B$18,2,FALSE)</f>
        <v>0</v>
      </c>
      <c r="B423" t="str">
        <f t="shared" si="7"/>
        <v>AKL</v>
      </c>
      <c r="C423" s="2">
        <v>422</v>
      </c>
      <c r="D423" s="3" t="str">
        <f>HYPERLINK("https://sitebase.nzcomms.co.nz/spm/spmnominalview/AKL-008-055/","AKL-008-055")</f>
        <v>AKL-008-055</v>
      </c>
      <c r="E423" s="4"/>
      <c r="F423" s="3" t="str">
        <f>HYPERLINK("https://sitebase.nzcomms.co.nz/spm/spmcandidateview/AKL-008-055-A/","AKL-008-055-A")</f>
        <v>AKL-008-055-A</v>
      </c>
      <c r="G423" s="4" t="s">
        <v>1404</v>
      </c>
      <c r="H423" s="4" t="s">
        <v>1296</v>
      </c>
      <c r="I423" s="4"/>
      <c r="J423" s="4" t="s">
        <v>139</v>
      </c>
      <c r="K423" s="4" t="s">
        <v>141</v>
      </c>
      <c r="L423" s="4" t="s">
        <v>181</v>
      </c>
      <c r="M423" s="4" t="s">
        <v>378</v>
      </c>
      <c r="N423" s="4" t="s">
        <v>364</v>
      </c>
      <c r="O423" s="4" t="s">
        <v>144</v>
      </c>
      <c r="P423" s="4"/>
      <c r="Q423" s="4"/>
      <c r="R423" s="4">
        <v>11</v>
      </c>
      <c r="S423" s="4">
        <v>11</v>
      </c>
      <c r="T423" s="4"/>
      <c r="U423" s="4">
        <v>-37.005886330000003</v>
      </c>
      <c r="V423" s="4">
        <v>174.78973005</v>
      </c>
      <c r="W423" s="4"/>
      <c r="X423" s="4"/>
      <c r="Y423" s="4"/>
      <c r="Z423" s="4"/>
      <c r="AA423" s="4" t="s">
        <v>446</v>
      </c>
      <c r="AB423" s="4" t="s">
        <v>1405</v>
      </c>
      <c r="AC423" s="4"/>
      <c r="AD423" s="4"/>
      <c r="AE423" s="4"/>
      <c r="AF423" s="4"/>
      <c r="AG423" s="4"/>
      <c r="AH423" s="4" t="s">
        <v>357</v>
      </c>
      <c r="AI423" s="4"/>
      <c r="AJ423" s="4"/>
      <c r="AK423" s="4"/>
      <c r="AL423" s="4"/>
      <c r="AM423" s="4"/>
      <c r="AN423" s="5">
        <v>39268</v>
      </c>
      <c r="AO423" s="4">
        <v>1</v>
      </c>
      <c r="AP423" s="4"/>
      <c r="AQ423" s="5">
        <v>39268</v>
      </c>
      <c r="AR423" s="4"/>
      <c r="AS423" s="4"/>
      <c r="AT423" s="5">
        <v>39360</v>
      </c>
      <c r="AU423" s="5">
        <v>39360</v>
      </c>
      <c r="AV423" s="4">
        <v>1</v>
      </c>
      <c r="AW423" s="5">
        <v>39360</v>
      </c>
      <c r="AX423" s="5">
        <v>39360</v>
      </c>
      <c r="AY423" s="4"/>
      <c r="AZ423" s="4"/>
      <c r="BA423" s="4"/>
      <c r="BB423" s="5">
        <v>39264</v>
      </c>
      <c r="BC423" s="4"/>
      <c r="BD423" s="4"/>
      <c r="BE423" s="5">
        <v>39264</v>
      </c>
      <c r="BF423" s="5">
        <v>39264</v>
      </c>
      <c r="BG423" s="4"/>
      <c r="BH423" s="5">
        <v>39468</v>
      </c>
      <c r="BI423" s="4"/>
      <c r="BJ423" s="5">
        <v>39380</v>
      </c>
      <c r="BK423" s="4">
        <v>1</v>
      </c>
      <c r="BL423" s="4">
        <v>1</v>
      </c>
      <c r="BM423" s="5">
        <v>39380</v>
      </c>
      <c r="BN423" s="5">
        <v>39380</v>
      </c>
      <c r="BO423" s="4"/>
      <c r="BP423" s="4"/>
      <c r="BQ423" s="4"/>
      <c r="BR423" s="4"/>
      <c r="BS423" s="4"/>
      <c r="BT423" s="4"/>
      <c r="BU423" s="5">
        <v>39412</v>
      </c>
      <c r="BV423" s="5">
        <v>39423</v>
      </c>
      <c r="BW423" s="5">
        <v>39423</v>
      </c>
      <c r="BX423" s="4"/>
      <c r="BY423" s="5">
        <v>39434</v>
      </c>
      <c r="BZ423" s="5">
        <v>39434</v>
      </c>
      <c r="CA423" s="4"/>
      <c r="CB423" s="4"/>
      <c r="CC423" s="4"/>
      <c r="CD423" s="4"/>
      <c r="CE423" s="4"/>
      <c r="CF423" s="4"/>
      <c r="CG423" s="4"/>
      <c r="CH423" s="4"/>
      <c r="CI423" s="5">
        <v>39505</v>
      </c>
      <c r="CJ423" s="4"/>
      <c r="CK423" s="5">
        <v>39505</v>
      </c>
      <c r="CL423" s="4"/>
      <c r="CM423" s="4"/>
      <c r="CN423" s="4"/>
      <c r="CO423" s="4"/>
      <c r="CP423" s="4" t="s">
        <v>405</v>
      </c>
      <c r="CQ423" s="4"/>
      <c r="CR423" s="5">
        <v>39505</v>
      </c>
      <c r="CS423" s="4"/>
      <c r="CT423" s="4"/>
      <c r="CU423" s="4"/>
      <c r="CV423" s="4"/>
      <c r="CW423" s="4"/>
      <c r="CX423" s="4"/>
      <c r="CY423" s="4"/>
      <c r="CZ423" s="4"/>
      <c r="DA423" s="4"/>
      <c r="DB423" s="4"/>
      <c r="DC423" s="4"/>
      <c r="DD423" s="4"/>
      <c r="DE423" s="4"/>
      <c r="DF423" s="4"/>
      <c r="DG423" s="4"/>
      <c r="DH423" s="4"/>
      <c r="DI423" s="4"/>
      <c r="DJ423" s="4" t="b">
        <v>0</v>
      </c>
      <c r="DK423" s="4"/>
      <c r="DL423" s="4">
        <v>2669639</v>
      </c>
      <c r="DM423" s="4">
        <v>6464670</v>
      </c>
      <c r="DN423" s="4" t="s">
        <v>1384</v>
      </c>
      <c r="DO423" s="4"/>
      <c r="DP423" s="4"/>
      <c r="DQ423" s="4" t="s">
        <v>148</v>
      </c>
      <c r="DR423" s="4"/>
      <c r="DS423" s="4"/>
      <c r="DT423" s="5">
        <v>41863</v>
      </c>
      <c r="DU423" s="4"/>
      <c r="DV423" s="4"/>
      <c r="DW423" s="4"/>
      <c r="DX423" s="4"/>
      <c r="DY423" s="4"/>
      <c r="DZ423" s="5">
        <v>39412</v>
      </c>
      <c r="EA423" s="4"/>
      <c r="EB423" s="4"/>
      <c r="EC423" s="4"/>
      <c r="ED423" s="4"/>
      <c r="EE423" s="4"/>
      <c r="EF423" s="4"/>
      <c r="EG423" s="4"/>
      <c r="EH423" s="4"/>
      <c r="EI423" s="5">
        <v>39262</v>
      </c>
    </row>
    <row r="424" spans="1:139" hidden="1" x14ac:dyDescent="0.2">
      <c r="A424">
        <f>VLOOKUP(B424,Sheet1!$A$1:$B$18,2,FALSE)</f>
        <v>0</v>
      </c>
      <c r="B424" t="str">
        <f t="shared" si="7"/>
        <v>AKL</v>
      </c>
      <c r="C424" s="2">
        <v>423</v>
      </c>
      <c r="D424" s="3" t="str">
        <f>HYPERLINK("https://sitebase.nzcomms.co.nz/spm/spmnominalview/AKL-008-056/","AKL-008-056")</f>
        <v>AKL-008-056</v>
      </c>
      <c r="E424" s="4"/>
      <c r="F424" s="3" t="str">
        <f>HYPERLINK("https://sitebase.nzcomms.co.nz/spm/spmcandidateview/AKL-008-056-B/","AKL-008-056-B")</f>
        <v>AKL-008-056-B</v>
      </c>
      <c r="G424" s="4" t="s">
        <v>1406</v>
      </c>
      <c r="H424" s="4" t="s">
        <v>1296</v>
      </c>
      <c r="I424" s="4"/>
      <c r="J424" s="4" t="s">
        <v>139</v>
      </c>
      <c r="K424" s="4" t="s">
        <v>141</v>
      </c>
      <c r="L424" s="4" t="s">
        <v>189</v>
      </c>
      <c r="M424" s="4" t="s">
        <v>354</v>
      </c>
      <c r="N424" s="4" t="s">
        <v>191</v>
      </c>
      <c r="O424" s="4" t="s">
        <v>356</v>
      </c>
      <c r="P424" s="4"/>
      <c r="Q424" s="4"/>
      <c r="R424" s="4">
        <v>11</v>
      </c>
      <c r="S424" s="4">
        <v>11</v>
      </c>
      <c r="T424" s="4"/>
      <c r="U424" s="4">
        <v>-36.935754609999996</v>
      </c>
      <c r="V424" s="4">
        <v>174.91455733999999</v>
      </c>
      <c r="W424" s="4"/>
      <c r="X424" s="4"/>
      <c r="Y424" s="4"/>
      <c r="Z424" s="4"/>
      <c r="AA424" s="4" t="s">
        <v>152</v>
      </c>
      <c r="AB424" s="3" t="str">
        <f>HYPERLINK("https://sitebase.nzcomms.co.nz/spm/spmcandidateview/AKL-007-106-A/","AKL-007-106-A")</f>
        <v>AKL-007-106-A</v>
      </c>
      <c r="AC424" s="4"/>
      <c r="AD424" s="4"/>
      <c r="AE424" s="4"/>
      <c r="AF424" s="4"/>
      <c r="AG424" s="4"/>
      <c r="AH424" s="4"/>
      <c r="AI424" s="4"/>
      <c r="AJ424" s="4"/>
      <c r="AK424" s="4"/>
      <c r="AL424" s="4"/>
      <c r="AM424" s="4"/>
      <c r="AN424" s="5">
        <v>39353</v>
      </c>
      <c r="AO424" s="4">
        <v>3</v>
      </c>
      <c r="AP424" s="4"/>
      <c r="AQ424" s="5">
        <v>39737</v>
      </c>
      <c r="AR424" s="4"/>
      <c r="AS424" s="4"/>
      <c r="AT424" s="5">
        <v>39599</v>
      </c>
      <c r="AU424" s="5">
        <v>39629</v>
      </c>
      <c r="AV424" s="4">
        <v>2</v>
      </c>
      <c r="AW424" s="5">
        <v>39599</v>
      </c>
      <c r="AX424" s="5">
        <v>39629</v>
      </c>
      <c r="AY424" s="4"/>
      <c r="AZ424" s="4"/>
      <c r="BA424" s="4"/>
      <c r="BB424" s="5">
        <v>39766</v>
      </c>
      <c r="BC424" s="4"/>
      <c r="BD424" s="4"/>
      <c r="BE424" s="5">
        <v>39766</v>
      </c>
      <c r="BF424" s="5">
        <v>39766</v>
      </c>
      <c r="BG424" s="4"/>
      <c r="BH424" s="5">
        <v>39636</v>
      </c>
      <c r="BI424" s="4"/>
      <c r="BJ424" s="5">
        <v>39710</v>
      </c>
      <c r="BK424" s="4">
        <v>1</v>
      </c>
      <c r="BL424" s="4">
        <v>2</v>
      </c>
      <c r="BM424" s="5">
        <v>39710</v>
      </c>
      <c r="BN424" s="5">
        <v>39710</v>
      </c>
      <c r="BO424" s="4"/>
      <c r="BP424" s="4"/>
      <c r="BQ424" s="4"/>
      <c r="BR424" s="4"/>
      <c r="BS424" s="4"/>
      <c r="BT424" s="4"/>
      <c r="BU424" s="5">
        <v>39786</v>
      </c>
      <c r="BV424" s="5">
        <v>39801</v>
      </c>
      <c r="BW424" s="5">
        <v>39800</v>
      </c>
      <c r="BX424" s="4"/>
      <c r="BY424" s="5">
        <v>39801</v>
      </c>
      <c r="BZ424" s="5">
        <v>39801</v>
      </c>
      <c r="CA424" s="4"/>
      <c r="CB424" s="4"/>
      <c r="CC424" s="4"/>
      <c r="CD424" s="4"/>
      <c r="CE424" s="4"/>
      <c r="CF424" s="4"/>
      <c r="CG424" s="4"/>
      <c r="CH424" s="4"/>
      <c r="CI424" s="5">
        <v>39911</v>
      </c>
      <c r="CJ424" s="5">
        <v>39912</v>
      </c>
      <c r="CK424" s="5">
        <v>39911</v>
      </c>
      <c r="CL424" s="4"/>
      <c r="CM424" s="4"/>
      <c r="CN424" s="4"/>
      <c r="CO424" s="4"/>
      <c r="CP424" s="4" t="s">
        <v>157</v>
      </c>
      <c r="CQ424" s="4"/>
      <c r="CR424" s="5">
        <v>39912</v>
      </c>
      <c r="CS424" s="4"/>
      <c r="CT424" s="4"/>
      <c r="CU424" s="4"/>
      <c r="CV424" s="4"/>
      <c r="CW424" s="4"/>
      <c r="CX424" s="4"/>
      <c r="CY424" s="4"/>
      <c r="CZ424" s="4"/>
      <c r="DA424" s="4"/>
      <c r="DB424" s="4"/>
      <c r="DC424" s="4"/>
      <c r="DD424" s="4"/>
      <c r="DE424" s="4"/>
      <c r="DF424" s="4"/>
      <c r="DG424" s="4"/>
      <c r="DH424" s="4"/>
      <c r="DI424" s="4"/>
      <c r="DJ424" s="4" t="b">
        <v>0</v>
      </c>
      <c r="DK424" s="4"/>
      <c r="DL424" s="4">
        <v>2680918</v>
      </c>
      <c r="DM424" s="4">
        <v>6472213</v>
      </c>
      <c r="DN424" s="4" t="s">
        <v>1407</v>
      </c>
      <c r="DO424" s="4"/>
      <c r="DP424" s="4"/>
      <c r="DQ424" s="4" t="s">
        <v>148</v>
      </c>
      <c r="DR424" s="4"/>
      <c r="DS424" s="4"/>
      <c r="DT424" s="5">
        <v>41894</v>
      </c>
      <c r="DU424" s="4"/>
      <c r="DV424" s="4"/>
      <c r="DW424" s="4"/>
      <c r="DX424" s="4"/>
      <c r="DY424" s="4"/>
      <c r="DZ424" s="5">
        <v>39784</v>
      </c>
      <c r="EA424" s="4"/>
      <c r="EB424" s="4"/>
      <c r="EC424" s="4"/>
      <c r="ED424" s="4"/>
      <c r="EE424" s="4"/>
      <c r="EF424" s="4"/>
      <c r="EG424" s="4"/>
      <c r="EH424" s="4"/>
      <c r="EI424" s="5">
        <v>39342</v>
      </c>
    </row>
    <row r="425" spans="1:139" hidden="1" x14ac:dyDescent="0.2">
      <c r="A425">
        <f>VLOOKUP(B425,Sheet1!$A$1:$B$18,2,FALSE)</f>
        <v>0</v>
      </c>
      <c r="B425" t="str">
        <f t="shared" si="7"/>
        <v>AKL</v>
      </c>
      <c r="C425" s="2">
        <v>424</v>
      </c>
      <c r="D425" s="3" t="str">
        <f>HYPERLINK("https://sitebase.nzcomms.co.nz/spm/spmnominalview/AKL-008-058/","AKL-008-058")</f>
        <v>AKL-008-058</v>
      </c>
      <c r="E425" s="4"/>
      <c r="F425" s="3" t="str">
        <f>HYPERLINK("https://sitebase.nzcomms.co.nz/spm/spmcandidateview/AKL-008-058-D/","AKL-008-058-D")</f>
        <v>AKL-008-058-D</v>
      </c>
      <c r="G425" s="4" t="s">
        <v>1408</v>
      </c>
      <c r="H425" s="4" t="s">
        <v>1296</v>
      </c>
      <c r="I425" s="4">
        <v>3</v>
      </c>
      <c r="J425" s="4" t="s">
        <v>139</v>
      </c>
      <c r="K425" s="4" t="s">
        <v>141</v>
      </c>
      <c r="L425" s="4" t="s">
        <v>150</v>
      </c>
      <c r="M425" s="4" t="s">
        <v>354</v>
      </c>
      <c r="N425" s="4" t="s">
        <v>291</v>
      </c>
      <c r="O425" s="4" t="s">
        <v>144</v>
      </c>
      <c r="P425" s="4"/>
      <c r="Q425" s="4"/>
      <c r="R425" s="4">
        <v>20</v>
      </c>
      <c r="S425" s="4">
        <v>20</v>
      </c>
      <c r="T425" s="4"/>
      <c r="U425" s="4">
        <v>-37.013068879999999</v>
      </c>
      <c r="V425" s="4">
        <v>174.87460455999999</v>
      </c>
      <c r="W425" s="4"/>
      <c r="X425" s="4"/>
      <c r="Y425" s="4"/>
      <c r="Z425" s="4"/>
      <c r="AA425" s="4" t="s">
        <v>171</v>
      </c>
      <c r="AB425" s="3" t="str">
        <f>HYPERLINK("https://sitebase.nzcomms.co.nz/spm/spmcandidateview/AKL-008-018-A/","AKL-008-018-A")</f>
        <v>AKL-008-018-A</v>
      </c>
      <c r="AC425" s="4" t="b">
        <v>0</v>
      </c>
      <c r="AD425" s="4" t="b">
        <v>0</v>
      </c>
      <c r="AE425" s="4"/>
      <c r="AF425" s="4"/>
      <c r="AG425" s="4" t="b">
        <v>0</v>
      </c>
      <c r="AH425" s="4" t="s">
        <v>360</v>
      </c>
      <c r="AI425" s="4"/>
      <c r="AJ425" s="4"/>
      <c r="AK425" s="4"/>
      <c r="AL425" s="4"/>
      <c r="AM425" s="4"/>
      <c r="AN425" s="5">
        <v>39524</v>
      </c>
      <c r="AO425" s="4">
        <v>1</v>
      </c>
      <c r="AP425" s="4"/>
      <c r="AQ425" s="5">
        <v>39524</v>
      </c>
      <c r="AR425" s="4"/>
      <c r="AS425" s="4"/>
      <c r="AT425" s="5">
        <v>39660</v>
      </c>
      <c r="AU425" s="5">
        <v>39632</v>
      </c>
      <c r="AV425" s="4">
        <v>1</v>
      </c>
      <c r="AW425" s="5">
        <v>39660</v>
      </c>
      <c r="AX425" s="5">
        <v>39632</v>
      </c>
      <c r="AY425" s="4"/>
      <c r="AZ425" s="4"/>
      <c r="BA425" s="4"/>
      <c r="BB425" s="5">
        <v>39764</v>
      </c>
      <c r="BC425" s="4"/>
      <c r="BD425" s="4"/>
      <c r="BE425" s="5">
        <v>39764</v>
      </c>
      <c r="BF425" s="5">
        <v>39770</v>
      </c>
      <c r="BG425" s="4"/>
      <c r="BH425" s="5">
        <v>39567</v>
      </c>
      <c r="BI425" s="4"/>
      <c r="BJ425" s="5">
        <v>39652</v>
      </c>
      <c r="BK425" s="4">
        <v>1</v>
      </c>
      <c r="BL425" s="4">
        <v>1</v>
      </c>
      <c r="BM425" s="5">
        <v>39652</v>
      </c>
      <c r="BN425" s="5">
        <v>39652</v>
      </c>
      <c r="BO425" s="5">
        <v>39801</v>
      </c>
      <c r="BP425" s="4"/>
      <c r="BQ425" s="4"/>
      <c r="BR425" s="4"/>
      <c r="BS425" s="4"/>
      <c r="BT425" s="4"/>
      <c r="BU425" s="5">
        <v>39790</v>
      </c>
      <c r="BV425" s="5">
        <v>39836</v>
      </c>
      <c r="BW425" s="5">
        <v>39833</v>
      </c>
      <c r="BX425" s="4"/>
      <c r="BY425" s="5">
        <v>39840</v>
      </c>
      <c r="BZ425" s="5">
        <v>39832</v>
      </c>
      <c r="CA425" s="4"/>
      <c r="CB425" s="4"/>
      <c r="CC425" s="4"/>
      <c r="CD425" s="4"/>
      <c r="CE425" s="4"/>
      <c r="CF425" s="4"/>
      <c r="CG425" s="4"/>
      <c r="CH425" s="4"/>
      <c r="CI425" s="5">
        <v>39864</v>
      </c>
      <c r="CJ425" s="5">
        <v>39870</v>
      </c>
      <c r="CK425" s="5">
        <v>39864</v>
      </c>
      <c r="CL425" s="4"/>
      <c r="CM425" s="4"/>
      <c r="CN425" s="4"/>
      <c r="CO425" s="4"/>
      <c r="CP425" s="4" t="s">
        <v>1409</v>
      </c>
      <c r="CQ425" s="4"/>
      <c r="CR425" s="5">
        <v>39870</v>
      </c>
      <c r="CS425" s="4"/>
      <c r="CT425" s="4"/>
      <c r="CU425" s="4"/>
      <c r="CV425" s="4"/>
      <c r="CW425" s="5">
        <v>39801</v>
      </c>
      <c r="CX425" s="5">
        <v>39801</v>
      </c>
      <c r="CY425" s="4"/>
      <c r="CZ425" s="4"/>
      <c r="DA425" s="4"/>
      <c r="DB425" s="4"/>
      <c r="DC425" s="4"/>
      <c r="DD425" s="4"/>
      <c r="DE425" s="4"/>
      <c r="DF425" s="4"/>
      <c r="DG425" s="4"/>
      <c r="DH425" s="4"/>
      <c r="DI425" s="4"/>
      <c r="DJ425" s="4" t="b">
        <v>0</v>
      </c>
      <c r="DK425" s="4"/>
      <c r="DL425" s="4">
        <v>2677174</v>
      </c>
      <c r="DM425" s="4">
        <v>6463713</v>
      </c>
      <c r="DN425" s="4" t="s">
        <v>1410</v>
      </c>
      <c r="DO425" s="4"/>
      <c r="DP425" s="4"/>
      <c r="DQ425" s="4" t="s">
        <v>148</v>
      </c>
      <c r="DR425" s="4"/>
      <c r="DS425" s="4"/>
      <c r="DT425" s="5">
        <v>41894</v>
      </c>
      <c r="DU425" s="4"/>
      <c r="DV425" s="4"/>
      <c r="DW425" s="4"/>
      <c r="DX425" s="4"/>
      <c r="DY425" s="4"/>
      <c r="DZ425" s="5">
        <v>39771</v>
      </c>
      <c r="EA425" s="4"/>
      <c r="EB425" s="4"/>
      <c r="EC425" s="4"/>
      <c r="ED425" s="4"/>
      <c r="EE425" s="4"/>
      <c r="EF425" s="4"/>
      <c r="EG425" s="4"/>
      <c r="EH425" s="4"/>
      <c r="EI425" s="5">
        <v>39493</v>
      </c>
    </row>
    <row r="426" spans="1:139" hidden="1" x14ac:dyDescent="0.2">
      <c r="A426">
        <f>VLOOKUP(B426,Sheet1!$A$1:$B$18,2,FALSE)</f>
        <v>0</v>
      </c>
      <c r="B426" t="str">
        <f t="shared" si="7"/>
        <v>AKL</v>
      </c>
      <c r="C426" s="2">
        <v>425</v>
      </c>
      <c r="D426" s="3" t="str">
        <f>HYPERLINK("https://sitebase.nzcomms.co.nz/spm/spmnominalview/AKL-008-059/","AKL-008-059")</f>
        <v>AKL-008-059</v>
      </c>
      <c r="E426" s="4"/>
      <c r="F426" s="3" t="str">
        <f>HYPERLINK("https://sitebase.nzcomms.co.nz/spm/spmcandidateview/AKL-008-059-B/","AKL-008-059-B")</f>
        <v>AKL-008-059-B</v>
      </c>
      <c r="G426" s="4" t="s">
        <v>1411</v>
      </c>
      <c r="H426" s="4" t="s">
        <v>1296</v>
      </c>
      <c r="I426" s="4"/>
      <c r="J426" s="4" t="s">
        <v>139</v>
      </c>
      <c r="K426" s="4" t="s">
        <v>141</v>
      </c>
      <c r="L426" s="4" t="s">
        <v>189</v>
      </c>
      <c r="M426" s="4" t="s">
        <v>354</v>
      </c>
      <c r="N426" s="4" t="s">
        <v>191</v>
      </c>
      <c r="O426" s="4" t="s">
        <v>356</v>
      </c>
      <c r="P426" s="4"/>
      <c r="Q426" s="4"/>
      <c r="R426" s="4">
        <v>14</v>
      </c>
      <c r="S426" s="4">
        <v>14</v>
      </c>
      <c r="T426" s="4"/>
      <c r="U426" s="4">
        <v>-37.036685230000003</v>
      </c>
      <c r="V426" s="4">
        <v>174.88952092</v>
      </c>
      <c r="W426" s="4"/>
      <c r="X426" s="4"/>
      <c r="Y426" s="4"/>
      <c r="Z426" s="4"/>
      <c r="AA426" s="4" t="s">
        <v>171</v>
      </c>
      <c r="AB426" s="3" t="str">
        <f>HYPERLINK("https://sitebase.nzcomms.co.nz/spm/spmcandidateview/AKL-009-005-B/","AKL-009-005-B")</f>
        <v>AKL-009-005-B</v>
      </c>
      <c r="AC426" s="4"/>
      <c r="AD426" s="4"/>
      <c r="AE426" s="4"/>
      <c r="AF426" s="4"/>
      <c r="AG426" s="4"/>
      <c r="AH426" s="4" t="s">
        <v>357</v>
      </c>
      <c r="AI426" s="4"/>
      <c r="AJ426" s="4"/>
      <c r="AK426" s="4"/>
      <c r="AL426" s="4"/>
      <c r="AM426" s="4"/>
      <c r="AN426" s="5">
        <v>39493</v>
      </c>
      <c r="AO426" s="4">
        <v>2</v>
      </c>
      <c r="AP426" s="4"/>
      <c r="AQ426" s="5">
        <v>39561</v>
      </c>
      <c r="AR426" s="4"/>
      <c r="AS426" s="4"/>
      <c r="AT426" s="5">
        <v>39629</v>
      </c>
      <c r="AU426" s="5">
        <v>39629</v>
      </c>
      <c r="AV426" s="4">
        <v>1</v>
      </c>
      <c r="AW426" s="5">
        <v>39629</v>
      </c>
      <c r="AX426" s="5">
        <v>39629</v>
      </c>
      <c r="AY426" s="4"/>
      <c r="AZ426" s="4"/>
      <c r="BA426" s="4"/>
      <c r="BB426" s="5">
        <v>39629</v>
      </c>
      <c r="BC426" s="4"/>
      <c r="BD426" s="4"/>
      <c r="BE426" s="5">
        <v>39629</v>
      </c>
      <c r="BF426" s="5">
        <v>39612</v>
      </c>
      <c r="BG426" s="4"/>
      <c r="BH426" s="5">
        <v>39567</v>
      </c>
      <c r="BI426" s="4"/>
      <c r="BJ426" s="5">
        <v>39588</v>
      </c>
      <c r="BK426" s="4">
        <v>2</v>
      </c>
      <c r="BL426" s="4">
        <v>2</v>
      </c>
      <c r="BM426" s="5">
        <v>39703</v>
      </c>
      <c r="BN426" s="5">
        <v>39703</v>
      </c>
      <c r="BO426" s="4"/>
      <c r="BP426" s="4"/>
      <c r="BQ426" s="4"/>
      <c r="BR426" s="4"/>
      <c r="BS426" s="4"/>
      <c r="BT426" s="4"/>
      <c r="BU426" s="5">
        <v>39694</v>
      </c>
      <c r="BV426" s="5">
        <v>39721</v>
      </c>
      <c r="BW426" s="5">
        <v>39714</v>
      </c>
      <c r="BX426" s="4"/>
      <c r="BY426" s="5">
        <v>39731</v>
      </c>
      <c r="BZ426" s="5">
        <v>39714</v>
      </c>
      <c r="CA426" s="4"/>
      <c r="CB426" s="4"/>
      <c r="CC426" s="4"/>
      <c r="CD426" s="4"/>
      <c r="CE426" s="4"/>
      <c r="CF426" s="4"/>
      <c r="CG426" s="4"/>
      <c r="CH426" s="4"/>
      <c r="CI426" s="5">
        <v>39773</v>
      </c>
      <c r="CJ426" s="5">
        <v>39792</v>
      </c>
      <c r="CK426" s="5">
        <v>39773</v>
      </c>
      <c r="CL426" s="4"/>
      <c r="CM426" s="4"/>
      <c r="CN426" s="4"/>
      <c r="CO426" s="4"/>
      <c r="CP426" s="4" t="s">
        <v>405</v>
      </c>
      <c r="CQ426" s="4"/>
      <c r="CR426" s="5">
        <v>39778</v>
      </c>
      <c r="CS426" s="4"/>
      <c r="CT426" s="4"/>
      <c r="CU426" s="4"/>
      <c r="CV426" s="4"/>
      <c r="CW426" s="4"/>
      <c r="CX426" s="4"/>
      <c r="CY426" s="4"/>
      <c r="CZ426" s="4"/>
      <c r="DA426" s="4"/>
      <c r="DB426" s="4"/>
      <c r="DC426" s="4"/>
      <c r="DD426" s="4"/>
      <c r="DE426" s="4"/>
      <c r="DF426" s="4"/>
      <c r="DG426" s="4"/>
      <c r="DH426" s="4"/>
      <c r="DI426" s="4"/>
      <c r="DJ426" s="4" t="b">
        <v>0</v>
      </c>
      <c r="DK426" s="4"/>
      <c r="DL426" s="4">
        <v>2678444</v>
      </c>
      <c r="DM426" s="4">
        <v>6461064</v>
      </c>
      <c r="DN426" s="4" t="s">
        <v>1412</v>
      </c>
      <c r="DO426" s="4"/>
      <c r="DP426" s="4"/>
      <c r="DQ426" s="4" t="s">
        <v>148</v>
      </c>
      <c r="DR426" s="4"/>
      <c r="DS426" s="4"/>
      <c r="DT426" s="5">
        <v>41894</v>
      </c>
      <c r="DU426" s="4"/>
      <c r="DV426" s="4"/>
      <c r="DW426" s="4"/>
      <c r="DX426" s="4"/>
      <c r="DY426" s="4"/>
      <c r="DZ426" s="5">
        <v>39659</v>
      </c>
      <c r="EA426" s="4"/>
      <c r="EB426" s="4"/>
      <c r="EC426" s="4"/>
      <c r="ED426" s="4"/>
      <c r="EE426" s="4"/>
      <c r="EF426" s="4"/>
      <c r="EG426" s="4"/>
      <c r="EH426" s="4"/>
      <c r="EI426" s="5">
        <v>39478</v>
      </c>
    </row>
    <row r="427" spans="1:139" hidden="1" x14ac:dyDescent="0.2">
      <c r="A427">
        <f>VLOOKUP(B427,Sheet1!$A$1:$B$18,2,FALSE)</f>
        <v>0</v>
      </c>
      <c r="B427" t="str">
        <f t="shared" si="7"/>
        <v>AKL</v>
      </c>
      <c r="C427" s="2">
        <v>426</v>
      </c>
      <c r="D427" s="3" t="str">
        <f>HYPERLINK("https://sitebase.nzcomms.co.nz/spm/spmnominalview/AKL-008-060/","AKL-008-060")</f>
        <v>AKL-008-060</v>
      </c>
      <c r="E427" s="4"/>
      <c r="F427" s="3" t="str">
        <f>HYPERLINK("https://sitebase.nzcomms.co.nz/spm/spmcandidateview/AKL-008-060-B/","AKL-008-060-B")</f>
        <v>AKL-008-060-B</v>
      </c>
      <c r="G427" s="4" t="s">
        <v>1413</v>
      </c>
      <c r="H427" s="4" t="s">
        <v>1296</v>
      </c>
      <c r="I427" s="4"/>
      <c r="J427" s="4" t="s">
        <v>139</v>
      </c>
      <c r="K427" s="4" t="s">
        <v>141</v>
      </c>
      <c r="L427" s="4" t="s">
        <v>181</v>
      </c>
      <c r="M427" s="4" t="s">
        <v>378</v>
      </c>
      <c r="N427" s="4" t="s">
        <v>364</v>
      </c>
      <c r="O427" s="4" t="s">
        <v>144</v>
      </c>
      <c r="P427" s="4"/>
      <c r="Q427" s="4"/>
      <c r="R427" s="4">
        <v>15</v>
      </c>
      <c r="S427" s="4">
        <v>15</v>
      </c>
      <c r="T427" s="4"/>
      <c r="U427" s="4">
        <v>-36.955610129999997</v>
      </c>
      <c r="V427" s="4">
        <v>174.80436653999999</v>
      </c>
      <c r="W427" s="4"/>
      <c r="X427" s="4"/>
      <c r="Y427" s="4"/>
      <c r="Z427" s="4"/>
      <c r="AA427" s="4" t="s">
        <v>382</v>
      </c>
      <c r="AB427" s="4" t="s">
        <v>749</v>
      </c>
      <c r="AC427" s="4"/>
      <c r="AD427" s="4"/>
      <c r="AE427" s="4"/>
      <c r="AF427" s="4"/>
      <c r="AG427" s="4"/>
      <c r="AH427" s="4"/>
      <c r="AI427" s="4"/>
      <c r="AJ427" s="4"/>
      <c r="AK427" s="4"/>
      <c r="AL427" s="4"/>
      <c r="AM427" s="4"/>
      <c r="AN427" s="5">
        <v>39498</v>
      </c>
      <c r="AO427" s="4">
        <v>3</v>
      </c>
      <c r="AP427" s="5">
        <v>39729</v>
      </c>
      <c r="AQ427" s="5">
        <v>39729</v>
      </c>
      <c r="AR427" s="4"/>
      <c r="AS427" s="4"/>
      <c r="AT427" s="5">
        <v>39599</v>
      </c>
      <c r="AU427" s="5">
        <v>39582</v>
      </c>
      <c r="AV427" s="4">
        <v>1</v>
      </c>
      <c r="AW427" s="5">
        <v>39599</v>
      </c>
      <c r="AX427" s="5">
        <v>39582</v>
      </c>
      <c r="AY427" s="4"/>
      <c r="AZ427" s="4"/>
      <c r="BA427" s="4"/>
      <c r="BB427" s="5">
        <v>39691</v>
      </c>
      <c r="BC427" s="4"/>
      <c r="BD427" s="4"/>
      <c r="BE427" s="5">
        <v>39691</v>
      </c>
      <c r="BF427" s="5">
        <v>39685</v>
      </c>
      <c r="BG427" s="4"/>
      <c r="BH427" s="5">
        <v>39539</v>
      </c>
      <c r="BI427" s="4"/>
      <c r="BJ427" s="5">
        <v>39658</v>
      </c>
      <c r="BK427" s="4">
        <v>2</v>
      </c>
      <c r="BL427" s="4">
        <v>2</v>
      </c>
      <c r="BM427" s="5">
        <v>39727</v>
      </c>
      <c r="BN427" s="5">
        <v>39727</v>
      </c>
      <c r="BO427" s="4"/>
      <c r="BP427" s="4"/>
      <c r="BQ427" s="4"/>
      <c r="BR427" s="4"/>
      <c r="BS427" s="4"/>
      <c r="BT427" s="4"/>
      <c r="BU427" s="5">
        <v>39702</v>
      </c>
      <c r="BV427" s="5">
        <v>39738</v>
      </c>
      <c r="BW427" s="5">
        <v>39738</v>
      </c>
      <c r="BX427" s="4"/>
      <c r="BY427" s="5">
        <v>39825</v>
      </c>
      <c r="BZ427" s="5">
        <v>39822</v>
      </c>
      <c r="CA427" s="4"/>
      <c r="CB427" s="4"/>
      <c r="CC427" s="4"/>
      <c r="CD427" s="4"/>
      <c r="CE427" s="4"/>
      <c r="CF427" s="4"/>
      <c r="CG427" s="4"/>
      <c r="CH427" s="4"/>
      <c r="CI427" s="5">
        <v>39874</v>
      </c>
      <c r="CJ427" s="5">
        <v>39883</v>
      </c>
      <c r="CK427" s="5">
        <v>39874</v>
      </c>
      <c r="CL427" s="4"/>
      <c r="CM427" s="4"/>
      <c r="CN427" s="4"/>
      <c r="CO427" s="4"/>
      <c r="CP427" s="4" t="s">
        <v>460</v>
      </c>
      <c r="CQ427" s="4"/>
      <c r="CR427" s="5">
        <v>39883</v>
      </c>
      <c r="CS427" s="4"/>
      <c r="CT427" s="4"/>
      <c r="CU427" s="4"/>
      <c r="CV427" s="4"/>
      <c r="CW427" s="4"/>
      <c r="CX427" s="4"/>
      <c r="CY427" s="4"/>
      <c r="CZ427" s="4"/>
      <c r="DA427" s="4"/>
      <c r="DB427" s="4"/>
      <c r="DC427" s="4"/>
      <c r="DD427" s="4"/>
      <c r="DE427" s="4"/>
      <c r="DF427" s="4"/>
      <c r="DG427" s="4"/>
      <c r="DH427" s="4"/>
      <c r="DI427" s="4"/>
      <c r="DJ427" s="4" t="b">
        <v>0</v>
      </c>
      <c r="DK427" s="4"/>
      <c r="DL427" s="4">
        <v>2671058</v>
      </c>
      <c r="DM427" s="4">
        <v>6470221</v>
      </c>
      <c r="DN427" s="4" t="s">
        <v>1414</v>
      </c>
      <c r="DO427" s="4"/>
      <c r="DP427" s="4"/>
      <c r="DQ427" s="4" t="s">
        <v>148</v>
      </c>
      <c r="DR427" s="4"/>
      <c r="DS427" s="4"/>
      <c r="DT427" s="5">
        <v>41863</v>
      </c>
      <c r="DU427" s="4"/>
      <c r="DV427" s="4"/>
      <c r="DW427" s="4"/>
      <c r="DX427" s="4"/>
      <c r="DY427" s="4"/>
      <c r="DZ427" s="5">
        <v>39692</v>
      </c>
      <c r="EA427" s="4"/>
      <c r="EB427" s="4"/>
      <c r="EC427" s="4"/>
      <c r="ED427" s="4"/>
      <c r="EE427" s="4"/>
      <c r="EF427" s="4"/>
      <c r="EG427" s="4"/>
      <c r="EH427" s="4"/>
      <c r="EI427" s="5">
        <v>39443</v>
      </c>
    </row>
    <row r="428" spans="1:139" hidden="1" x14ac:dyDescent="0.2">
      <c r="A428">
        <f>VLOOKUP(B428,Sheet1!$A$1:$B$18,2,FALSE)</f>
        <v>0</v>
      </c>
      <c r="B428" t="str">
        <f t="shared" si="7"/>
        <v>AKL</v>
      </c>
      <c r="C428" s="2">
        <v>427</v>
      </c>
      <c r="D428" s="3" t="str">
        <f>HYPERLINK("https://sitebase.nzcomms.co.nz/spm/spmnominalview/AKL-008-061/","AKL-008-061")</f>
        <v>AKL-008-061</v>
      </c>
      <c r="E428" s="4"/>
      <c r="F428" s="3" t="str">
        <f>HYPERLINK("https://sitebase.nzcomms.co.nz/spm/spmcandidateview/AKL-008-061-D/","AKL-008-061-D")</f>
        <v>AKL-008-061-D</v>
      </c>
      <c r="G428" s="4" t="s">
        <v>1415</v>
      </c>
      <c r="H428" s="4" t="s">
        <v>1296</v>
      </c>
      <c r="I428" s="4"/>
      <c r="J428" s="4" t="s">
        <v>139</v>
      </c>
      <c r="K428" s="4" t="s">
        <v>141</v>
      </c>
      <c r="L428" s="4" t="s">
        <v>150</v>
      </c>
      <c r="M428" s="4" t="s">
        <v>354</v>
      </c>
      <c r="N428" s="4" t="s">
        <v>156</v>
      </c>
      <c r="O428" s="4" t="s">
        <v>144</v>
      </c>
      <c r="P428" s="4"/>
      <c r="Q428" s="4"/>
      <c r="R428" s="4">
        <v>23.8</v>
      </c>
      <c r="S428" s="4">
        <v>23.8</v>
      </c>
      <c r="T428" s="4"/>
      <c r="U428" s="4">
        <v>-36.978049900000002</v>
      </c>
      <c r="V428" s="4">
        <v>174.82325165</v>
      </c>
      <c r="W428" s="4"/>
      <c r="X428" s="4"/>
      <c r="Y428" s="4"/>
      <c r="Z428" s="4"/>
      <c r="AA428" s="4" t="s">
        <v>171</v>
      </c>
      <c r="AB428" s="3" t="str">
        <f>HYPERLINK("https://sitebase.nzcomms.co.nz/spm/spmcandidateview/AKL-008-024-A/","AKL-008-024-A")</f>
        <v>AKL-008-024-A</v>
      </c>
      <c r="AC428" s="4"/>
      <c r="AD428" s="4"/>
      <c r="AE428" s="4"/>
      <c r="AF428" s="4"/>
      <c r="AG428" s="4"/>
      <c r="AH428" s="4"/>
      <c r="AI428" s="4"/>
      <c r="AJ428" s="4"/>
      <c r="AK428" s="4"/>
      <c r="AL428" s="4"/>
      <c r="AM428" s="4"/>
      <c r="AN428" s="5">
        <v>39703</v>
      </c>
      <c r="AO428" s="4">
        <v>2</v>
      </c>
      <c r="AP428" s="5">
        <v>39862</v>
      </c>
      <c r="AQ428" s="5">
        <v>39862</v>
      </c>
      <c r="AR428" s="4"/>
      <c r="AS428" s="4"/>
      <c r="AT428" s="4"/>
      <c r="AU428" s="5">
        <v>39713</v>
      </c>
      <c r="AV428" s="4">
        <v>2</v>
      </c>
      <c r="AW428" s="5">
        <v>39917</v>
      </c>
      <c r="AX428" s="5">
        <v>39917</v>
      </c>
      <c r="AY428" s="4"/>
      <c r="AZ428" s="5">
        <v>39864</v>
      </c>
      <c r="BA428" s="4"/>
      <c r="BB428" s="5">
        <v>39906</v>
      </c>
      <c r="BC428" s="4"/>
      <c r="BD428" s="4"/>
      <c r="BE428" s="5">
        <v>39920</v>
      </c>
      <c r="BF428" s="5">
        <v>39924</v>
      </c>
      <c r="BG428" s="5">
        <v>39917</v>
      </c>
      <c r="BH428" s="5">
        <v>39918</v>
      </c>
      <c r="BI428" s="4"/>
      <c r="BJ428" s="5">
        <v>39938</v>
      </c>
      <c r="BK428" s="4">
        <v>2</v>
      </c>
      <c r="BL428" s="4">
        <v>2</v>
      </c>
      <c r="BM428" s="5">
        <v>39933</v>
      </c>
      <c r="BN428" s="5">
        <v>39980</v>
      </c>
      <c r="BO428" s="5">
        <v>39846</v>
      </c>
      <c r="BP428" s="4"/>
      <c r="BQ428" s="4"/>
      <c r="BR428" s="4"/>
      <c r="BS428" s="4"/>
      <c r="BT428" s="5">
        <v>39951</v>
      </c>
      <c r="BU428" s="5">
        <v>39951</v>
      </c>
      <c r="BV428" s="5">
        <v>40018</v>
      </c>
      <c r="BW428" s="5">
        <v>40018</v>
      </c>
      <c r="BX428" s="4"/>
      <c r="BY428" s="5">
        <v>40018</v>
      </c>
      <c r="BZ428" s="5">
        <v>40018</v>
      </c>
      <c r="CA428" s="4"/>
      <c r="CB428" s="4"/>
      <c r="CC428" s="4"/>
      <c r="CD428" s="4"/>
      <c r="CE428" s="4"/>
      <c r="CF428" s="4"/>
      <c r="CG428" s="4"/>
      <c r="CH428" s="4"/>
      <c r="CI428" s="5">
        <v>40025</v>
      </c>
      <c r="CJ428" s="5">
        <v>40024</v>
      </c>
      <c r="CK428" s="5">
        <v>40025</v>
      </c>
      <c r="CL428" s="4"/>
      <c r="CM428" s="4"/>
      <c r="CN428" s="4"/>
      <c r="CO428" s="4"/>
      <c r="CP428" s="4" t="s">
        <v>157</v>
      </c>
      <c r="CQ428" s="4"/>
      <c r="CR428" s="5">
        <v>40024</v>
      </c>
      <c r="CS428" s="4"/>
      <c r="CT428" s="4"/>
      <c r="CU428" s="4"/>
      <c r="CV428" s="4"/>
      <c r="CW428" s="5">
        <v>39832</v>
      </c>
      <c r="CX428" s="5">
        <v>39846</v>
      </c>
      <c r="CY428" s="4"/>
      <c r="CZ428" s="4"/>
      <c r="DA428" s="4"/>
      <c r="DB428" s="4"/>
      <c r="DC428" s="4"/>
      <c r="DD428" s="4"/>
      <c r="DE428" s="4"/>
      <c r="DF428" s="4"/>
      <c r="DG428" s="4"/>
      <c r="DH428" s="4"/>
      <c r="DI428" s="4"/>
      <c r="DJ428" s="4" t="b">
        <v>0</v>
      </c>
      <c r="DK428" s="4"/>
      <c r="DL428" s="4">
        <v>2672687</v>
      </c>
      <c r="DM428" s="4">
        <v>6467696</v>
      </c>
      <c r="DN428" s="4" t="s">
        <v>1416</v>
      </c>
      <c r="DO428" s="4"/>
      <c r="DP428" s="4"/>
      <c r="DQ428" s="4" t="s">
        <v>148</v>
      </c>
      <c r="DR428" s="4"/>
      <c r="DS428" s="4"/>
      <c r="DT428" s="5">
        <v>41894</v>
      </c>
      <c r="DU428" s="4"/>
      <c r="DV428" s="4"/>
      <c r="DW428" s="4"/>
      <c r="DX428" s="4"/>
      <c r="DY428" s="5">
        <v>39951</v>
      </c>
      <c r="DZ428" s="5">
        <v>39951</v>
      </c>
      <c r="EA428" s="4"/>
      <c r="EB428" s="4"/>
      <c r="EC428" s="4"/>
      <c r="ED428" s="4"/>
      <c r="EE428" s="4"/>
      <c r="EF428" s="4"/>
      <c r="EG428" s="4"/>
      <c r="EH428" s="4"/>
      <c r="EI428" s="5">
        <v>39692</v>
      </c>
    </row>
    <row r="429" spans="1:139" hidden="1" x14ac:dyDescent="0.2">
      <c r="A429">
        <f>VLOOKUP(B429,Sheet1!$A$1:$B$18,2,FALSE)</f>
        <v>0</v>
      </c>
      <c r="B429" t="str">
        <f t="shared" si="7"/>
        <v>AKL</v>
      </c>
      <c r="C429" s="2">
        <v>428</v>
      </c>
      <c r="D429" s="3" t="str">
        <f>HYPERLINK("https://sitebase.nzcomms.co.nz/spm/spmnominalview/AKL-008-064/","AKL-008-064")</f>
        <v>AKL-008-064</v>
      </c>
      <c r="E429" s="4"/>
      <c r="F429" s="3" t="str">
        <f>HYPERLINK("https://sitebase.nzcomms.co.nz/spm/spmcandidateview/AKL-008-064-A/","AKL-008-064-A")</f>
        <v>AKL-008-064-A</v>
      </c>
      <c r="G429" s="4" t="s">
        <v>1417</v>
      </c>
      <c r="H429" s="4" t="s">
        <v>1296</v>
      </c>
      <c r="I429" s="4"/>
      <c r="J429" s="4" t="s">
        <v>139</v>
      </c>
      <c r="K429" s="4" t="s">
        <v>141</v>
      </c>
      <c r="L429" s="4" t="s">
        <v>181</v>
      </c>
      <c r="M429" s="4" t="s">
        <v>378</v>
      </c>
      <c r="N429" s="4" t="s">
        <v>364</v>
      </c>
      <c r="O429" s="4" t="s">
        <v>144</v>
      </c>
      <c r="P429" s="4"/>
      <c r="Q429" s="4"/>
      <c r="R429" s="4">
        <v>9.1999999999999993</v>
      </c>
      <c r="S429" s="4">
        <v>9.1999999999999993</v>
      </c>
      <c r="T429" s="4"/>
      <c r="U429" s="4">
        <v>-37.029505569999998</v>
      </c>
      <c r="V429" s="4">
        <v>174.88102907999999</v>
      </c>
      <c r="W429" s="4"/>
      <c r="X429" s="4"/>
      <c r="Y429" s="4"/>
      <c r="Z429" s="4"/>
      <c r="AA429" s="4" t="s">
        <v>152</v>
      </c>
      <c r="AB429" s="3" t="str">
        <f>HYPERLINK("https://sitebase.nzcomms.co.nz/spm/spmcandidateview/AKL-007-106-A/","AKL-007-106-A")</f>
        <v>AKL-007-106-A</v>
      </c>
      <c r="AC429" s="4"/>
      <c r="AD429" s="4"/>
      <c r="AE429" s="4"/>
      <c r="AF429" s="4"/>
      <c r="AG429" s="4"/>
      <c r="AH429" s="4"/>
      <c r="AI429" s="4"/>
      <c r="AJ429" s="4"/>
      <c r="AK429" s="4"/>
      <c r="AL429" s="4"/>
      <c r="AM429" s="4"/>
      <c r="AN429" s="5">
        <v>39332</v>
      </c>
      <c r="AO429" s="4">
        <v>1</v>
      </c>
      <c r="AP429" s="4"/>
      <c r="AQ429" s="5">
        <v>39332</v>
      </c>
      <c r="AR429" s="4"/>
      <c r="AS429" s="4"/>
      <c r="AT429" s="5">
        <v>39321</v>
      </c>
      <c r="AU429" s="5">
        <v>39321</v>
      </c>
      <c r="AV429" s="4">
        <v>1</v>
      </c>
      <c r="AW429" s="5">
        <v>39321</v>
      </c>
      <c r="AX429" s="5">
        <v>39321</v>
      </c>
      <c r="AY429" s="4"/>
      <c r="AZ429" s="4"/>
      <c r="BA429" s="4"/>
      <c r="BB429" s="5">
        <v>39599</v>
      </c>
      <c r="BC429" s="4"/>
      <c r="BD429" s="4"/>
      <c r="BE429" s="5">
        <v>39599</v>
      </c>
      <c r="BF429" s="5">
        <v>39598</v>
      </c>
      <c r="BG429" s="4"/>
      <c r="BH429" s="5">
        <v>39378</v>
      </c>
      <c r="BI429" s="4"/>
      <c r="BJ429" s="5">
        <v>39408</v>
      </c>
      <c r="BK429" s="4">
        <v>2</v>
      </c>
      <c r="BL429" s="4">
        <v>1</v>
      </c>
      <c r="BM429" s="5">
        <v>39408</v>
      </c>
      <c r="BN429" s="5">
        <v>39643</v>
      </c>
      <c r="BO429" s="4"/>
      <c r="BP429" s="4"/>
      <c r="BQ429" s="4"/>
      <c r="BR429" s="4"/>
      <c r="BS429" s="4"/>
      <c r="BT429" s="4"/>
      <c r="BU429" s="5">
        <v>39611</v>
      </c>
      <c r="BV429" s="5">
        <v>39626</v>
      </c>
      <c r="BW429" s="5">
        <v>39626</v>
      </c>
      <c r="BX429" s="4"/>
      <c r="BY429" s="5">
        <v>39633</v>
      </c>
      <c r="BZ429" s="5">
        <v>39651</v>
      </c>
      <c r="CA429" s="4"/>
      <c r="CB429" s="4"/>
      <c r="CC429" s="4"/>
      <c r="CD429" s="4"/>
      <c r="CE429" s="4"/>
      <c r="CF429" s="4"/>
      <c r="CG429" s="4"/>
      <c r="CH429" s="4"/>
      <c r="CI429" s="5">
        <v>39882</v>
      </c>
      <c r="CJ429" s="5">
        <v>39881</v>
      </c>
      <c r="CK429" s="5">
        <v>39882</v>
      </c>
      <c r="CL429" s="4"/>
      <c r="CM429" s="4"/>
      <c r="CN429" s="4"/>
      <c r="CO429" s="4"/>
      <c r="CP429" s="4" t="s">
        <v>157</v>
      </c>
      <c r="CQ429" s="4"/>
      <c r="CR429" s="5">
        <v>39881</v>
      </c>
      <c r="CS429" s="4"/>
      <c r="CT429" s="4"/>
      <c r="CU429" s="4"/>
      <c r="CV429" s="4"/>
      <c r="CW429" s="4"/>
      <c r="CX429" s="4"/>
      <c r="CY429" s="4"/>
      <c r="CZ429" s="4"/>
      <c r="DA429" s="4"/>
      <c r="DB429" s="4"/>
      <c r="DC429" s="4"/>
      <c r="DD429" s="4"/>
      <c r="DE429" s="4"/>
      <c r="DF429" s="4"/>
      <c r="DG429" s="4"/>
      <c r="DH429" s="4"/>
      <c r="DI429" s="4"/>
      <c r="DJ429" s="4" t="b">
        <v>0</v>
      </c>
      <c r="DK429" s="4"/>
      <c r="DL429" s="4">
        <v>2677706</v>
      </c>
      <c r="DM429" s="4">
        <v>6461877</v>
      </c>
      <c r="DN429" s="4" t="s">
        <v>1418</v>
      </c>
      <c r="DO429" s="4"/>
      <c r="DP429" s="4"/>
      <c r="DQ429" s="4" t="s">
        <v>148</v>
      </c>
      <c r="DR429" s="4"/>
      <c r="DS429" s="4"/>
      <c r="DT429" s="5">
        <v>41894</v>
      </c>
      <c r="DU429" s="4"/>
      <c r="DV429" s="4"/>
      <c r="DW429" s="4"/>
      <c r="DX429" s="4"/>
      <c r="DY429" s="4"/>
      <c r="DZ429" s="5">
        <v>39602</v>
      </c>
      <c r="EA429" s="4"/>
      <c r="EB429" s="4"/>
      <c r="EC429" s="4"/>
      <c r="ED429" s="4"/>
      <c r="EE429" s="4"/>
      <c r="EF429" s="4"/>
      <c r="EG429" s="4"/>
      <c r="EH429" s="4"/>
      <c r="EI429" s="5">
        <v>39321</v>
      </c>
    </row>
    <row r="430" spans="1:139" hidden="1" x14ac:dyDescent="0.2">
      <c r="A430">
        <f>VLOOKUP(B430,Sheet1!$A$1:$B$18,2,FALSE)</f>
        <v>0</v>
      </c>
      <c r="B430" t="str">
        <f t="shared" si="7"/>
        <v>AKL</v>
      </c>
      <c r="C430" s="2">
        <v>429</v>
      </c>
      <c r="D430" s="3" t="str">
        <f>HYPERLINK("https://sitebase.nzcomms.co.nz/spm/spmnominalview/AKL-008-066/","AKL-008-066")</f>
        <v>AKL-008-066</v>
      </c>
      <c r="E430" s="4"/>
      <c r="F430" s="3" t="str">
        <f>HYPERLINK("https://sitebase.nzcomms.co.nz/spm/spmcandidateview/AKL-008-066-I/","AKL-008-066-I")</f>
        <v>AKL-008-066-I</v>
      </c>
      <c r="G430" s="4" t="s">
        <v>1419</v>
      </c>
      <c r="H430" s="4" t="s">
        <v>1296</v>
      </c>
      <c r="I430" s="4"/>
      <c r="J430" s="4" t="s">
        <v>139</v>
      </c>
      <c r="K430" s="4" t="s">
        <v>141</v>
      </c>
      <c r="L430" s="4" t="s">
        <v>189</v>
      </c>
      <c r="M430" s="4" t="s">
        <v>296</v>
      </c>
      <c r="N430" s="4" t="s">
        <v>191</v>
      </c>
      <c r="O430" s="4" t="s">
        <v>356</v>
      </c>
      <c r="P430" s="4"/>
      <c r="Q430" s="4"/>
      <c r="R430" s="4">
        <v>9.9</v>
      </c>
      <c r="S430" s="4">
        <v>9.9</v>
      </c>
      <c r="T430" s="4"/>
      <c r="U430" s="4">
        <v>-36.909308340000003</v>
      </c>
      <c r="V430" s="4">
        <v>174.91765770999999</v>
      </c>
      <c r="W430" s="4"/>
      <c r="X430" s="4"/>
      <c r="Y430" s="4"/>
      <c r="Z430" s="4"/>
      <c r="AA430" s="4"/>
      <c r="AB430" s="4"/>
      <c r="AC430" s="4"/>
      <c r="AD430" s="4"/>
      <c r="AE430" s="4"/>
      <c r="AF430" s="4"/>
      <c r="AG430" s="4"/>
      <c r="AH430" s="4"/>
      <c r="AI430" s="4"/>
      <c r="AJ430" s="4"/>
      <c r="AK430" s="4"/>
      <c r="AL430" s="4"/>
      <c r="AM430" s="4"/>
      <c r="AN430" s="5">
        <v>39976</v>
      </c>
      <c r="AO430" s="4">
        <v>2</v>
      </c>
      <c r="AP430" s="5">
        <v>39976</v>
      </c>
      <c r="AQ430" s="5">
        <v>40007</v>
      </c>
      <c r="AR430" s="4"/>
      <c r="AS430" s="4"/>
      <c r="AT430" s="5">
        <v>40046</v>
      </c>
      <c r="AU430" s="5">
        <v>40025</v>
      </c>
      <c r="AV430" s="4"/>
      <c r="AW430" s="5">
        <v>40102</v>
      </c>
      <c r="AX430" s="5">
        <v>40046</v>
      </c>
      <c r="AY430" s="4"/>
      <c r="AZ430" s="5">
        <v>40028</v>
      </c>
      <c r="BA430" s="4"/>
      <c r="BB430" s="5">
        <v>40028</v>
      </c>
      <c r="BC430" s="4"/>
      <c r="BD430" s="4"/>
      <c r="BE430" s="5">
        <v>40028</v>
      </c>
      <c r="BF430" s="5">
        <v>40025</v>
      </c>
      <c r="BG430" s="5">
        <v>39986</v>
      </c>
      <c r="BH430" s="5">
        <v>39987</v>
      </c>
      <c r="BI430" s="4"/>
      <c r="BJ430" s="5">
        <v>39990</v>
      </c>
      <c r="BK430" s="4">
        <v>2</v>
      </c>
      <c r="BL430" s="4">
        <v>2</v>
      </c>
      <c r="BM430" s="5">
        <v>40004</v>
      </c>
      <c r="BN430" s="5">
        <v>40035</v>
      </c>
      <c r="BO430" s="5">
        <v>40081</v>
      </c>
      <c r="BP430" s="4"/>
      <c r="BQ430" s="4"/>
      <c r="BR430" s="4"/>
      <c r="BS430" s="4"/>
      <c r="BT430" s="5">
        <v>40106</v>
      </c>
      <c r="BU430" s="5">
        <v>40106</v>
      </c>
      <c r="BV430" s="5">
        <v>40126</v>
      </c>
      <c r="BW430" s="5">
        <v>40119</v>
      </c>
      <c r="BX430" s="4"/>
      <c r="BY430" s="5">
        <v>40127</v>
      </c>
      <c r="BZ430" s="5">
        <v>40119</v>
      </c>
      <c r="CA430" s="4"/>
      <c r="CB430" s="4"/>
      <c r="CC430" s="4"/>
      <c r="CD430" s="4"/>
      <c r="CE430" s="4"/>
      <c r="CF430" s="4"/>
      <c r="CG430" s="4"/>
      <c r="CH430" s="4"/>
      <c r="CI430" s="5">
        <v>40126</v>
      </c>
      <c r="CJ430" s="5">
        <v>40130</v>
      </c>
      <c r="CK430" s="5">
        <v>40126</v>
      </c>
      <c r="CL430" s="4"/>
      <c r="CM430" s="4"/>
      <c r="CN430" s="4"/>
      <c r="CO430" s="4"/>
      <c r="CP430" s="4" t="s">
        <v>157</v>
      </c>
      <c r="CQ430" s="4"/>
      <c r="CR430" s="5">
        <v>40130</v>
      </c>
      <c r="CS430" s="4"/>
      <c r="CT430" s="4"/>
      <c r="CU430" s="4"/>
      <c r="CV430" s="4"/>
      <c r="CW430" s="5">
        <v>40081</v>
      </c>
      <c r="CX430" s="5">
        <v>40081</v>
      </c>
      <c r="CY430" s="4"/>
      <c r="CZ430" s="4"/>
      <c r="DA430" s="4"/>
      <c r="DB430" s="4"/>
      <c r="DC430" s="4"/>
      <c r="DD430" s="4"/>
      <c r="DE430" s="4"/>
      <c r="DF430" s="4"/>
      <c r="DG430" s="4"/>
      <c r="DH430" s="4"/>
      <c r="DI430" s="4"/>
      <c r="DJ430" s="4" t="b">
        <v>0</v>
      </c>
      <c r="DK430" s="4"/>
      <c r="DL430" s="4">
        <v>2681259</v>
      </c>
      <c r="DM430" s="4">
        <v>6475141</v>
      </c>
      <c r="DN430" s="4" t="s">
        <v>1420</v>
      </c>
      <c r="DO430" s="4"/>
      <c r="DP430" s="4"/>
      <c r="DQ430" s="4" t="s">
        <v>148</v>
      </c>
      <c r="DR430" s="4"/>
      <c r="DS430" s="4"/>
      <c r="DT430" s="5">
        <v>42348</v>
      </c>
      <c r="DU430" s="4"/>
      <c r="DV430" s="4"/>
      <c r="DW430" s="4"/>
      <c r="DX430" s="4"/>
      <c r="DY430" s="5">
        <v>40106</v>
      </c>
      <c r="DZ430" s="5">
        <v>40106</v>
      </c>
      <c r="EA430" s="4"/>
      <c r="EB430" s="4"/>
      <c r="EC430" s="4"/>
      <c r="ED430" s="4"/>
      <c r="EE430" s="4"/>
      <c r="EF430" s="4"/>
      <c r="EG430" s="4"/>
      <c r="EH430" s="4"/>
      <c r="EI430" s="5">
        <v>39968</v>
      </c>
    </row>
    <row r="431" spans="1:139" hidden="1" x14ac:dyDescent="0.2">
      <c r="A431">
        <f>VLOOKUP(B431,Sheet1!$A$1:$B$18,2,FALSE)</f>
        <v>0</v>
      </c>
      <c r="B431" t="str">
        <f t="shared" si="7"/>
        <v>AKL</v>
      </c>
      <c r="C431" s="2">
        <v>430</v>
      </c>
      <c r="D431" s="3" t="str">
        <f>HYPERLINK("https://sitebase.nzcomms.co.nz/spm/spmnominalview/AKL-008-068/","AKL-008-068")</f>
        <v>AKL-008-068</v>
      </c>
      <c r="E431" s="4" t="s">
        <v>1421</v>
      </c>
      <c r="F431" s="4"/>
      <c r="G431" s="4"/>
      <c r="H431" s="4" t="s">
        <v>1296</v>
      </c>
      <c r="I431" s="4"/>
      <c r="J431" s="4" t="s">
        <v>139</v>
      </c>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t="s">
        <v>1422</v>
      </c>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row>
    <row r="432" spans="1:139" hidden="1" x14ac:dyDescent="0.2">
      <c r="A432">
        <f>VLOOKUP(B432,Sheet1!$A$1:$B$18,2,FALSE)</f>
        <v>0</v>
      </c>
      <c r="B432" t="str">
        <f t="shared" si="7"/>
        <v>AKL</v>
      </c>
      <c r="C432" s="2">
        <v>431</v>
      </c>
      <c r="D432" s="3" t="str">
        <f>HYPERLINK("https://sitebase.nzcomms.co.nz/spm/spmnominalview/AKL-008-069/","AKL-008-069")</f>
        <v>AKL-008-069</v>
      </c>
      <c r="E432" s="4" t="s">
        <v>1423</v>
      </c>
      <c r="F432" s="3" t="str">
        <f>HYPERLINK("https://sitebase.nzcomms.co.nz/spm/spmcandidateview/AKL-008-069-B/","AKL-008-069-B")</f>
        <v>AKL-008-069-B</v>
      </c>
      <c r="G432" s="4" t="s">
        <v>1424</v>
      </c>
      <c r="H432" s="4" t="s">
        <v>1296</v>
      </c>
      <c r="I432" s="4">
        <v>22</v>
      </c>
      <c r="J432" s="4" t="s">
        <v>165</v>
      </c>
      <c r="K432" s="4" t="s">
        <v>141</v>
      </c>
      <c r="L432" s="4" t="s">
        <v>142</v>
      </c>
      <c r="M432" s="4" t="s">
        <v>190</v>
      </c>
      <c r="N432" s="4" t="s">
        <v>142</v>
      </c>
      <c r="O432" s="4"/>
      <c r="P432" s="4" t="s">
        <v>169</v>
      </c>
      <c r="Q432" s="4" t="s">
        <v>142</v>
      </c>
      <c r="R432" s="4">
        <v>20</v>
      </c>
      <c r="S432" s="4">
        <v>20</v>
      </c>
      <c r="T432" s="4">
        <v>1</v>
      </c>
      <c r="U432" s="4">
        <v>-36.987963129999997</v>
      </c>
      <c r="V432" s="4">
        <v>175.05615298999999</v>
      </c>
      <c r="W432" s="5">
        <v>40344</v>
      </c>
      <c r="X432" s="5">
        <v>41058</v>
      </c>
      <c r="Y432" s="5">
        <v>40354</v>
      </c>
      <c r="Z432" s="5">
        <v>40350</v>
      </c>
      <c r="AA432" s="4" t="s">
        <v>145</v>
      </c>
      <c r="AB432" s="3" t="str">
        <f>HYPERLINK("https://sitebase.nzcomms.co.nz/spm/spmcandidateview/AKL-008-091-A/","AKL-008-091-A")</f>
        <v>AKL-008-091-A</v>
      </c>
      <c r="AC432" s="4" t="b">
        <v>0</v>
      </c>
      <c r="AD432" s="4" t="b">
        <v>0</v>
      </c>
      <c r="AE432" s="4"/>
      <c r="AF432" s="5">
        <v>40361</v>
      </c>
      <c r="AG432" s="4" t="b">
        <v>0</v>
      </c>
      <c r="AH432" s="4"/>
      <c r="AI432" s="5">
        <v>41129</v>
      </c>
      <c r="AJ432" s="5">
        <v>41129</v>
      </c>
      <c r="AK432" s="5">
        <v>41130</v>
      </c>
      <c r="AL432" s="5">
        <v>41130</v>
      </c>
      <c r="AM432" s="5">
        <v>41151</v>
      </c>
      <c r="AN432" s="5">
        <v>41156</v>
      </c>
      <c r="AO432" s="4">
        <v>3</v>
      </c>
      <c r="AP432" s="5">
        <v>42058</v>
      </c>
      <c r="AQ432" s="5">
        <v>42124</v>
      </c>
      <c r="AR432" s="5">
        <v>42118</v>
      </c>
      <c r="AS432" s="5">
        <v>42094</v>
      </c>
      <c r="AT432" s="5">
        <v>42192</v>
      </c>
      <c r="AU432" s="5">
        <v>42188</v>
      </c>
      <c r="AV432" s="4"/>
      <c r="AW432" s="5">
        <v>42213</v>
      </c>
      <c r="AX432" s="5">
        <v>42188</v>
      </c>
      <c r="AY432" s="4" t="s">
        <v>183</v>
      </c>
      <c r="AZ432" s="5">
        <v>42124</v>
      </c>
      <c r="BA432" s="5">
        <v>42125</v>
      </c>
      <c r="BB432" s="5">
        <v>42166</v>
      </c>
      <c r="BC432" s="5">
        <v>42165</v>
      </c>
      <c r="BD432" s="4">
        <v>3</v>
      </c>
      <c r="BE432" s="5">
        <v>42166</v>
      </c>
      <c r="BF432" s="5">
        <v>42165</v>
      </c>
      <c r="BG432" s="5">
        <v>42124</v>
      </c>
      <c r="BH432" s="5">
        <v>42124</v>
      </c>
      <c r="BI432" s="5">
        <v>42159</v>
      </c>
      <c r="BJ432" s="5">
        <v>42152</v>
      </c>
      <c r="BK432" s="4">
        <v>1</v>
      </c>
      <c r="BL432" s="4"/>
      <c r="BM432" s="5">
        <v>42163</v>
      </c>
      <c r="BN432" s="5">
        <v>42152</v>
      </c>
      <c r="BO432" s="4"/>
      <c r="BP432" s="4"/>
      <c r="BQ432" s="4"/>
      <c r="BR432" s="4"/>
      <c r="BS432" s="4"/>
      <c r="BT432" s="5">
        <v>42212</v>
      </c>
      <c r="BU432" s="5">
        <v>42205</v>
      </c>
      <c r="BV432" s="5">
        <v>42236</v>
      </c>
      <c r="BW432" s="5">
        <v>42240</v>
      </c>
      <c r="BX432" s="5">
        <v>42240</v>
      </c>
      <c r="BY432" s="5">
        <v>42244</v>
      </c>
      <c r="BZ432" s="5">
        <v>42244</v>
      </c>
      <c r="CA432" s="5">
        <v>42262</v>
      </c>
      <c r="CB432" s="4"/>
      <c r="CC432" s="4"/>
      <c r="CD432" s="4"/>
      <c r="CE432" s="4"/>
      <c r="CF432" s="4"/>
      <c r="CG432" s="4"/>
      <c r="CH432" s="4"/>
      <c r="CI432" s="4"/>
      <c r="CJ432" s="5">
        <v>42272</v>
      </c>
      <c r="CK432" s="5">
        <v>42271</v>
      </c>
      <c r="CL432" s="5">
        <v>42283</v>
      </c>
      <c r="CM432" s="5">
        <v>42283</v>
      </c>
      <c r="CN432" s="4"/>
      <c r="CO432" s="4"/>
      <c r="CP432" s="4" t="s">
        <v>1425</v>
      </c>
      <c r="CQ432" s="4" t="s">
        <v>230</v>
      </c>
      <c r="CR432" s="5">
        <v>42235</v>
      </c>
      <c r="CS432" s="4"/>
      <c r="CT432" s="4"/>
      <c r="CU432" s="4"/>
      <c r="CV432" s="4"/>
      <c r="CW432" s="4"/>
      <c r="CX432" s="4"/>
      <c r="CY432" s="5">
        <v>42230</v>
      </c>
      <c r="CZ432" s="5">
        <v>42243</v>
      </c>
      <c r="DA432" s="5">
        <v>42268</v>
      </c>
      <c r="DB432" s="5">
        <v>42265</v>
      </c>
      <c r="DC432" s="4"/>
      <c r="DD432" s="4"/>
      <c r="DE432" s="4"/>
      <c r="DF432" s="5">
        <v>42262</v>
      </c>
      <c r="DG432" s="5">
        <v>42258</v>
      </c>
      <c r="DH432" s="4" t="s">
        <v>174</v>
      </c>
      <c r="DI432" s="5">
        <v>42229</v>
      </c>
      <c r="DJ432" s="4" t="b">
        <v>0</v>
      </c>
      <c r="DK432" s="4"/>
      <c r="DL432" s="4">
        <v>2693392</v>
      </c>
      <c r="DM432" s="4">
        <v>6466133</v>
      </c>
      <c r="DN432" s="4" t="s">
        <v>1426</v>
      </c>
      <c r="DO432" s="4"/>
      <c r="DP432" s="4"/>
      <c r="DQ432" s="4" t="s">
        <v>148</v>
      </c>
      <c r="DR432" s="4"/>
      <c r="DS432" s="4"/>
      <c r="DT432" s="4"/>
      <c r="DU432" s="4" t="s">
        <v>178</v>
      </c>
      <c r="DV432" s="4"/>
      <c r="DW432" s="4"/>
      <c r="DX432" s="5">
        <v>42128</v>
      </c>
      <c r="DY432" s="5">
        <v>42226</v>
      </c>
      <c r="DZ432" s="5">
        <v>42131</v>
      </c>
      <c r="EA432" s="4"/>
      <c r="EB432" s="5">
        <v>42095</v>
      </c>
      <c r="EC432" s="5">
        <v>42114</v>
      </c>
      <c r="ED432" s="5">
        <v>42123</v>
      </c>
      <c r="EE432" s="5">
        <v>42201</v>
      </c>
      <c r="EF432" s="5">
        <v>42201</v>
      </c>
      <c r="EG432" s="5">
        <v>42261</v>
      </c>
      <c r="EH432" s="4"/>
      <c r="EI432" s="5">
        <v>41130</v>
      </c>
    </row>
    <row r="433" spans="1:139" hidden="1" x14ac:dyDescent="0.2">
      <c r="A433">
        <f>VLOOKUP(B433,Sheet1!$A$1:$B$18,2,FALSE)</f>
        <v>0</v>
      </c>
      <c r="B433" t="str">
        <f t="shared" si="7"/>
        <v>AKL</v>
      </c>
      <c r="C433" s="2">
        <v>432</v>
      </c>
      <c r="D433" s="3" t="str">
        <f>HYPERLINK("https://sitebase.nzcomms.co.nz/spm/spmnominalview/AKL-008-070/","AKL-008-070")</f>
        <v>AKL-008-070</v>
      </c>
      <c r="E433" s="4" t="s">
        <v>1427</v>
      </c>
      <c r="F433" s="4"/>
      <c r="G433" s="4"/>
      <c r="H433" s="4" t="s">
        <v>1296</v>
      </c>
      <c r="I433" s="4"/>
      <c r="J433" s="4" t="s">
        <v>196</v>
      </c>
      <c r="K433" s="4"/>
      <c r="L433" s="4"/>
      <c r="M433" s="4"/>
      <c r="N433" s="4"/>
      <c r="O433" s="4"/>
      <c r="P433" s="4"/>
      <c r="Q433" s="4"/>
      <c r="R433" s="4"/>
      <c r="S433" s="4"/>
      <c r="T433" s="4"/>
      <c r="U433" s="4"/>
      <c r="V433" s="4"/>
      <c r="W433" s="4"/>
      <c r="X433" s="4"/>
      <c r="Y433" s="4"/>
      <c r="Z433" s="4"/>
      <c r="AA433" s="4"/>
      <c r="AB433" s="4"/>
      <c r="AC433" s="4"/>
      <c r="AD433" s="4"/>
      <c r="AE433" s="4"/>
      <c r="AF433" s="4"/>
      <c r="AG433" s="4" t="b">
        <v>0</v>
      </c>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t="s">
        <v>1428</v>
      </c>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row>
    <row r="434" spans="1:139" hidden="1" x14ac:dyDescent="0.2">
      <c r="A434">
        <f>VLOOKUP(B434,Sheet1!$A$1:$B$18,2,FALSE)</f>
        <v>0</v>
      </c>
      <c r="B434" t="str">
        <f t="shared" si="7"/>
        <v>AKL</v>
      </c>
      <c r="C434" s="2">
        <v>433</v>
      </c>
      <c r="D434" s="3" t="str">
        <f>HYPERLINK("https://sitebase.nzcomms.co.nz/spm/spmnominalview/AKL-008-071/","AKL-008-071")</f>
        <v>AKL-008-071</v>
      </c>
      <c r="E434" s="4"/>
      <c r="F434" s="3" t="str">
        <f>HYPERLINK("https://sitebase.nzcomms.co.nz/spm/spmcandidateview/AKL-008-071-A/","AKL-008-071-A")</f>
        <v>AKL-008-071-A</v>
      </c>
      <c r="G434" s="4" t="s">
        <v>1429</v>
      </c>
      <c r="H434" s="4" t="s">
        <v>1296</v>
      </c>
      <c r="I434" s="4"/>
      <c r="J434" s="4" t="s">
        <v>139</v>
      </c>
      <c r="K434" s="4" t="s">
        <v>141</v>
      </c>
      <c r="L434" s="4" t="s">
        <v>325</v>
      </c>
      <c r="M434" s="4" t="s">
        <v>354</v>
      </c>
      <c r="N434" s="4" t="s">
        <v>364</v>
      </c>
      <c r="O434" s="4" t="s">
        <v>144</v>
      </c>
      <c r="P434" s="4"/>
      <c r="Q434" s="4"/>
      <c r="R434" s="4">
        <v>0</v>
      </c>
      <c r="S434" s="4">
        <v>0</v>
      </c>
      <c r="T434" s="4"/>
      <c r="U434" s="4">
        <v>-37.007640260000002</v>
      </c>
      <c r="V434" s="4">
        <v>174.78180739000001</v>
      </c>
      <c r="W434" s="4"/>
      <c r="X434" s="4"/>
      <c r="Y434" s="4"/>
      <c r="Z434" s="4"/>
      <c r="AA434" s="4"/>
      <c r="AB434" s="4"/>
      <c r="AC434" s="4"/>
      <c r="AD434" s="4"/>
      <c r="AE434" s="4"/>
      <c r="AF434" s="4"/>
      <c r="AG434" s="4"/>
      <c r="AH434" s="4"/>
      <c r="AI434" s="4"/>
      <c r="AJ434" s="4"/>
      <c r="AK434" s="4"/>
      <c r="AL434" s="4"/>
      <c r="AM434" s="4"/>
      <c r="AN434" s="5">
        <v>39252</v>
      </c>
      <c r="AO434" s="4">
        <v>1</v>
      </c>
      <c r="AP434" s="4"/>
      <c r="AQ434" s="5">
        <v>39252</v>
      </c>
      <c r="AR434" s="4"/>
      <c r="AS434" s="4"/>
      <c r="AT434" s="5">
        <v>39360</v>
      </c>
      <c r="AU434" s="5">
        <v>39360</v>
      </c>
      <c r="AV434" s="4">
        <v>1</v>
      </c>
      <c r="AW434" s="5">
        <v>39360</v>
      </c>
      <c r="AX434" s="5">
        <v>39360</v>
      </c>
      <c r="AY434" s="4"/>
      <c r="AZ434" s="4"/>
      <c r="BA434" s="4"/>
      <c r="BB434" s="5">
        <v>39173</v>
      </c>
      <c r="BC434" s="4"/>
      <c r="BD434" s="4"/>
      <c r="BE434" s="5">
        <v>39173</v>
      </c>
      <c r="BF434" s="5">
        <v>39173</v>
      </c>
      <c r="BG434" s="4"/>
      <c r="BH434" s="5">
        <v>39328</v>
      </c>
      <c r="BI434" s="4"/>
      <c r="BJ434" s="5">
        <v>39380</v>
      </c>
      <c r="BK434" s="4">
        <v>2</v>
      </c>
      <c r="BL434" s="4">
        <v>1</v>
      </c>
      <c r="BM434" s="5">
        <v>39332</v>
      </c>
      <c r="BN434" s="5">
        <v>39332</v>
      </c>
      <c r="BO434" s="4"/>
      <c r="BP434" s="4"/>
      <c r="BQ434" s="4"/>
      <c r="BR434" s="4"/>
      <c r="BS434" s="4"/>
      <c r="BT434" s="4"/>
      <c r="BU434" s="5">
        <v>39517</v>
      </c>
      <c r="BV434" s="5">
        <v>39520</v>
      </c>
      <c r="BW434" s="5">
        <v>39520</v>
      </c>
      <c r="BX434" s="4"/>
      <c r="BY434" s="5">
        <v>40035</v>
      </c>
      <c r="BZ434" s="5">
        <v>40035</v>
      </c>
      <c r="CA434" s="4"/>
      <c r="CB434" s="4"/>
      <c r="CC434" s="4"/>
      <c r="CD434" s="4"/>
      <c r="CE434" s="4"/>
      <c r="CF434" s="4"/>
      <c r="CG434" s="4"/>
      <c r="CH434" s="4"/>
      <c r="CI434" s="5">
        <v>39983</v>
      </c>
      <c r="CJ434" s="5">
        <v>39983</v>
      </c>
      <c r="CK434" s="5">
        <v>39983</v>
      </c>
      <c r="CL434" s="4"/>
      <c r="CM434" s="4"/>
      <c r="CN434" s="4"/>
      <c r="CO434" s="4"/>
      <c r="CP434" s="4" t="s">
        <v>1430</v>
      </c>
      <c r="CQ434" s="4"/>
      <c r="CR434" s="5">
        <v>39983</v>
      </c>
      <c r="CS434" s="4"/>
      <c r="CT434" s="4"/>
      <c r="CU434" s="4"/>
      <c r="CV434" s="4"/>
      <c r="CW434" s="4"/>
      <c r="CX434" s="4"/>
      <c r="CY434" s="4"/>
      <c r="CZ434" s="4"/>
      <c r="DA434" s="4"/>
      <c r="DB434" s="4"/>
      <c r="DC434" s="4"/>
      <c r="DD434" s="4"/>
      <c r="DE434" s="4"/>
      <c r="DF434" s="4"/>
      <c r="DG434" s="4"/>
      <c r="DH434" s="4"/>
      <c r="DI434" s="4"/>
      <c r="DJ434" s="4" t="b">
        <v>0</v>
      </c>
      <c r="DK434" s="4"/>
      <c r="DL434" s="4">
        <v>2668930</v>
      </c>
      <c r="DM434" s="4">
        <v>6464490</v>
      </c>
      <c r="DN434" s="4" t="s">
        <v>1431</v>
      </c>
      <c r="DO434" s="4"/>
      <c r="DP434" s="4"/>
      <c r="DQ434" s="4" t="s">
        <v>148</v>
      </c>
      <c r="DR434" s="4"/>
      <c r="DS434" s="4"/>
      <c r="DT434" s="5">
        <v>41863</v>
      </c>
      <c r="DU434" s="4"/>
      <c r="DV434" s="4"/>
      <c r="DW434" s="4"/>
      <c r="DX434" s="4"/>
      <c r="DY434" s="4"/>
      <c r="DZ434" s="5">
        <v>39512</v>
      </c>
      <c r="EA434" s="4"/>
      <c r="EB434" s="4"/>
      <c r="EC434" s="4"/>
      <c r="ED434" s="4"/>
      <c r="EE434" s="4"/>
      <c r="EF434" s="4"/>
      <c r="EG434" s="4"/>
      <c r="EH434" s="4"/>
      <c r="EI434" s="5">
        <v>39252</v>
      </c>
    </row>
    <row r="435" spans="1:139" hidden="1" x14ac:dyDescent="0.2">
      <c r="A435">
        <f>VLOOKUP(B435,Sheet1!$A$1:$B$18,2,FALSE)</f>
        <v>0</v>
      </c>
      <c r="B435" t="str">
        <f t="shared" si="7"/>
        <v>AKL</v>
      </c>
      <c r="C435" s="2">
        <v>434</v>
      </c>
      <c r="D435" s="3" t="str">
        <f>HYPERLINK("https://sitebase.nzcomms.co.nz/spm/spmnominalview/AKL-008-073/","AKL-008-073")</f>
        <v>AKL-008-073</v>
      </c>
      <c r="E435" s="4"/>
      <c r="F435" s="3" t="str">
        <f>HYPERLINK("https://sitebase.nzcomms.co.nz/spm/spmcandidateview/AKL-008-073-A/","AKL-008-073-A")</f>
        <v>AKL-008-073-A</v>
      </c>
      <c r="G435" s="4" t="s">
        <v>1432</v>
      </c>
      <c r="H435" s="4" t="s">
        <v>1296</v>
      </c>
      <c r="I435" s="4"/>
      <c r="J435" s="4" t="s">
        <v>139</v>
      </c>
      <c r="K435" s="4" t="s">
        <v>141</v>
      </c>
      <c r="L435" s="4" t="s">
        <v>150</v>
      </c>
      <c r="M435" s="4" t="s">
        <v>354</v>
      </c>
      <c r="N435" s="4" t="s">
        <v>246</v>
      </c>
      <c r="O435" s="4" t="s">
        <v>144</v>
      </c>
      <c r="P435" s="4"/>
      <c r="Q435" s="4"/>
      <c r="R435" s="4">
        <v>11</v>
      </c>
      <c r="S435" s="4">
        <v>11</v>
      </c>
      <c r="T435" s="4"/>
      <c r="U435" s="4">
        <v>-36.998818409999998</v>
      </c>
      <c r="V435" s="4">
        <v>174.8268434</v>
      </c>
      <c r="W435" s="4"/>
      <c r="X435" s="4"/>
      <c r="Y435" s="4"/>
      <c r="Z435" s="4"/>
      <c r="AA435" s="4" t="s">
        <v>171</v>
      </c>
      <c r="AB435" s="3" t="str">
        <f>HYPERLINK("https://sitebase.nzcomms.co.nz/spm/spmcandidateview/AKL-008-042-A/","AKL-008-042-A")</f>
        <v>AKL-008-042-A</v>
      </c>
      <c r="AC435" s="4"/>
      <c r="AD435" s="4"/>
      <c r="AE435" s="4"/>
      <c r="AF435" s="4"/>
      <c r="AG435" s="4"/>
      <c r="AH435" s="4" t="s">
        <v>360</v>
      </c>
      <c r="AI435" s="4"/>
      <c r="AJ435" s="4"/>
      <c r="AK435" s="4"/>
      <c r="AL435" s="4"/>
      <c r="AM435" s="4"/>
      <c r="AN435" s="5">
        <v>39587</v>
      </c>
      <c r="AO435" s="4">
        <v>2</v>
      </c>
      <c r="AP435" s="5">
        <v>39623</v>
      </c>
      <c r="AQ435" s="5">
        <v>39623</v>
      </c>
      <c r="AR435" s="4"/>
      <c r="AS435" s="4"/>
      <c r="AT435" s="5">
        <v>39629</v>
      </c>
      <c r="AU435" s="5">
        <v>39583</v>
      </c>
      <c r="AV435" s="4">
        <v>2</v>
      </c>
      <c r="AW435" s="5">
        <v>39629</v>
      </c>
      <c r="AX435" s="5">
        <v>39583</v>
      </c>
      <c r="AY435" s="4"/>
      <c r="AZ435" s="4"/>
      <c r="BA435" s="4"/>
      <c r="BB435" s="5">
        <v>39766</v>
      </c>
      <c r="BC435" s="4"/>
      <c r="BD435" s="4"/>
      <c r="BE435" s="5">
        <v>39766</v>
      </c>
      <c r="BF435" s="5">
        <v>39759</v>
      </c>
      <c r="BG435" s="4"/>
      <c r="BH435" s="5">
        <v>39699</v>
      </c>
      <c r="BI435" s="4"/>
      <c r="BJ435" s="5">
        <v>39720</v>
      </c>
      <c r="BK435" s="4">
        <v>2</v>
      </c>
      <c r="BL435" s="4">
        <v>2</v>
      </c>
      <c r="BM435" s="5">
        <v>39723</v>
      </c>
      <c r="BN435" s="5">
        <v>39723</v>
      </c>
      <c r="BO435" s="5">
        <v>39867</v>
      </c>
      <c r="BP435" s="4"/>
      <c r="BQ435" s="4"/>
      <c r="BR435" s="4"/>
      <c r="BS435" s="4"/>
      <c r="BT435" s="4"/>
      <c r="BU435" s="5">
        <v>39793</v>
      </c>
      <c r="BV435" s="5">
        <v>39872</v>
      </c>
      <c r="BW435" s="5">
        <v>39870</v>
      </c>
      <c r="BX435" s="4"/>
      <c r="BY435" s="5">
        <v>39872</v>
      </c>
      <c r="BZ435" s="5">
        <v>39872</v>
      </c>
      <c r="CA435" s="4"/>
      <c r="CB435" s="4"/>
      <c r="CC435" s="4"/>
      <c r="CD435" s="4"/>
      <c r="CE435" s="4"/>
      <c r="CF435" s="4"/>
      <c r="CG435" s="4"/>
      <c r="CH435" s="4"/>
      <c r="CI435" s="5">
        <v>39969</v>
      </c>
      <c r="CJ435" s="5">
        <v>39967</v>
      </c>
      <c r="CK435" s="5">
        <v>39969</v>
      </c>
      <c r="CL435" s="4"/>
      <c r="CM435" s="4"/>
      <c r="CN435" s="4"/>
      <c r="CO435" s="4"/>
      <c r="CP435" s="4" t="s">
        <v>1433</v>
      </c>
      <c r="CQ435" s="4"/>
      <c r="CR435" s="5">
        <v>39967</v>
      </c>
      <c r="CS435" s="4"/>
      <c r="CT435" s="4"/>
      <c r="CU435" s="4"/>
      <c r="CV435" s="4"/>
      <c r="CW435" s="5">
        <v>39867</v>
      </c>
      <c r="CX435" s="5">
        <v>39867</v>
      </c>
      <c r="CY435" s="4"/>
      <c r="CZ435" s="4"/>
      <c r="DA435" s="4"/>
      <c r="DB435" s="4"/>
      <c r="DC435" s="4"/>
      <c r="DD435" s="4"/>
      <c r="DE435" s="4"/>
      <c r="DF435" s="4"/>
      <c r="DG435" s="4"/>
      <c r="DH435" s="4"/>
      <c r="DI435" s="4"/>
      <c r="DJ435" s="4" t="b">
        <v>0</v>
      </c>
      <c r="DK435" s="4"/>
      <c r="DL435" s="4">
        <v>2672958</v>
      </c>
      <c r="DM435" s="4">
        <v>6465385</v>
      </c>
      <c r="DN435" s="4" t="s">
        <v>1434</v>
      </c>
      <c r="DO435" s="4"/>
      <c r="DP435" s="4"/>
      <c r="DQ435" s="4" t="s">
        <v>148</v>
      </c>
      <c r="DR435" s="4"/>
      <c r="DS435" s="4"/>
      <c r="DT435" s="5">
        <v>41894</v>
      </c>
      <c r="DU435" s="4"/>
      <c r="DV435" s="4"/>
      <c r="DW435" s="4"/>
      <c r="DX435" s="4"/>
      <c r="DY435" s="4"/>
      <c r="DZ435" s="5">
        <v>39771</v>
      </c>
      <c r="EA435" s="4"/>
      <c r="EB435" s="4"/>
      <c r="EC435" s="4"/>
      <c r="ED435" s="4"/>
      <c r="EE435" s="4"/>
      <c r="EF435" s="4"/>
      <c r="EG435" s="4"/>
      <c r="EH435" s="4"/>
      <c r="EI435" s="5">
        <v>39534</v>
      </c>
    </row>
    <row r="436" spans="1:139" hidden="1" x14ac:dyDescent="0.2">
      <c r="A436">
        <f>VLOOKUP(B436,Sheet1!$A$1:$B$18,2,FALSE)</f>
        <v>0</v>
      </c>
      <c r="B436" t="str">
        <f t="shared" si="7"/>
        <v>AKL</v>
      </c>
      <c r="C436" s="2">
        <v>435</v>
      </c>
      <c r="D436" s="3" t="str">
        <f>HYPERLINK("https://sitebase.nzcomms.co.nz/spm/spmnominalview/AKL-008-074/","AKL-008-074")</f>
        <v>AKL-008-074</v>
      </c>
      <c r="E436" s="4"/>
      <c r="F436" s="3" t="str">
        <f>HYPERLINK("https://sitebase.nzcomms.co.nz/spm/spmcandidateview/AKL-008-074-A/","AKL-008-074-A")</f>
        <v>AKL-008-074-A</v>
      </c>
      <c r="G436" s="4" t="s">
        <v>1435</v>
      </c>
      <c r="H436" s="4" t="s">
        <v>1296</v>
      </c>
      <c r="I436" s="4"/>
      <c r="J436" s="4" t="s">
        <v>139</v>
      </c>
      <c r="K436" s="4" t="s">
        <v>141</v>
      </c>
      <c r="L436" s="4" t="s">
        <v>189</v>
      </c>
      <c r="M436" s="4" t="s">
        <v>296</v>
      </c>
      <c r="N436" s="4" t="s">
        <v>191</v>
      </c>
      <c r="O436" s="4" t="s">
        <v>356</v>
      </c>
      <c r="P436" s="4"/>
      <c r="Q436" s="4" t="s">
        <v>192</v>
      </c>
      <c r="R436" s="4"/>
      <c r="S436" s="4"/>
      <c r="T436" s="4"/>
      <c r="U436" s="4">
        <v>-36.883437110000003</v>
      </c>
      <c r="V436" s="4">
        <v>174.92692041999999</v>
      </c>
      <c r="W436" s="4"/>
      <c r="X436" s="4"/>
      <c r="Y436" s="4"/>
      <c r="Z436" s="4"/>
      <c r="AA436" s="4"/>
      <c r="AB436" s="4"/>
      <c r="AC436" s="4"/>
      <c r="AD436" s="4"/>
      <c r="AE436" s="4"/>
      <c r="AF436" s="4"/>
      <c r="AG436" s="4"/>
      <c r="AH436" s="4"/>
      <c r="AI436" s="4"/>
      <c r="AJ436" s="4"/>
      <c r="AK436" s="4"/>
      <c r="AL436" s="4"/>
      <c r="AM436" s="4"/>
      <c r="AN436" s="5">
        <v>39589</v>
      </c>
      <c r="AO436" s="4">
        <v>3</v>
      </c>
      <c r="AP436" s="5">
        <v>39961</v>
      </c>
      <c r="AQ436" s="5">
        <v>40212</v>
      </c>
      <c r="AR436" s="4"/>
      <c r="AS436" s="4"/>
      <c r="AT436" s="5">
        <v>39629</v>
      </c>
      <c r="AU436" s="5">
        <v>39629</v>
      </c>
      <c r="AV436" s="4">
        <v>1</v>
      </c>
      <c r="AW436" s="5">
        <v>39629</v>
      </c>
      <c r="AX436" s="5">
        <v>39629</v>
      </c>
      <c r="AY436" s="4"/>
      <c r="AZ436" s="5">
        <v>40087</v>
      </c>
      <c r="BA436" s="4"/>
      <c r="BB436" s="5">
        <v>40144</v>
      </c>
      <c r="BC436" s="4"/>
      <c r="BD436" s="4"/>
      <c r="BE436" s="5">
        <v>40170</v>
      </c>
      <c r="BF436" s="5">
        <v>40168</v>
      </c>
      <c r="BG436" s="5">
        <v>40135</v>
      </c>
      <c r="BH436" s="5">
        <v>40135</v>
      </c>
      <c r="BI436" s="4"/>
      <c r="BJ436" s="5">
        <v>39626</v>
      </c>
      <c r="BK436" s="4">
        <v>2</v>
      </c>
      <c r="BL436" s="4"/>
      <c r="BM436" s="5">
        <v>40163</v>
      </c>
      <c r="BN436" s="5">
        <v>40162</v>
      </c>
      <c r="BO436" s="5">
        <v>40155</v>
      </c>
      <c r="BP436" s="4"/>
      <c r="BQ436" s="4"/>
      <c r="BR436" s="4"/>
      <c r="BS436" s="4"/>
      <c r="BT436" s="5">
        <v>40189</v>
      </c>
      <c r="BU436" s="5">
        <v>40189</v>
      </c>
      <c r="BV436" s="5">
        <v>40196</v>
      </c>
      <c r="BW436" s="5">
        <v>40193</v>
      </c>
      <c r="BX436" s="4"/>
      <c r="BY436" s="5">
        <v>40198</v>
      </c>
      <c r="BZ436" s="5">
        <v>40193</v>
      </c>
      <c r="CA436" s="4"/>
      <c r="CB436" s="4"/>
      <c r="CC436" s="4"/>
      <c r="CD436" s="4"/>
      <c r="CE436" s="4"/>
      <c r="CF436" s="4"/>
      <c r="CG436" s="4"/>
      <c r="CH436" s="4"/>
      <c r="CI436" s="5">
        <v>40226</v>
      </c>
      <c r="CJ436" s="5">
        <v>40263</v>
      </c>
      <c r="CK436" s="5">
        <v>40226</v>
      </c>
      <c r="CL436" s="4"/>
      <c r="CM436" s="4"/>
      <c r="CN436" s="4"/>
      <c r="CO436" s="4"/>
      <c r="CP436" s="4" t="s">
        <v>1436</v>
      </c>
      <c r="CQ436" s="4"/>
      <c r="CR436" s="5">
        <v>40263</v>
      </c>
      <c r="CS436" s="4"/>
      <c r="CT436" s="4"/>
      <c r="CU436" s="4"/>
      <c r="CV436" s="4"/>
      <c r="CW436" s="5">
        <v>40171</v>
      </c>
      <c r="CX436" s="5">
        <v>40155</v>
      </c>
      <c r="CY436" s="4"/>
      <c r="CZ436" s="4"/>
      <c r="DA436" s="4"/>
      <c r="DB436" s="4"/>
      <c r="DC436" s="4"/>
      <c r="DD436" s="4"/>
      <c r="DE436" s="4"/>
      <c r="DF436" s="4"/>
      <c r="DG436" s="4"/>
      <c r="DH436" s="4"/>
      <c r="DI436" s="4"/>
      <c r="DJ436" s="4" t="b">
        <v>0</v>
      </c>
      <c r="DK436" s="4"/>
      <c r="DL436" s="4">
        <v>2682148</v>
      </c>
      <c r="DM436" s="4">
        <v>6477993</v>
      </c>
      <c r="DN436" s="4" t="s">
        <v>1437</v>
      </c>
      <c r="DO436" s="4"/>
      <c r="DP436" s="4"/>
      <c r="DQ436" s="4" t="s">
        <v>148</v>
      </c>
      <c r="DR436" s="4"/>
      <c r="DS436" s="4"/>
      <c r="DT436" s="4"/>
      <c r="DU436" s="4"/>
      <c r="DV436" s="4"/>
      <c r="DW436" s="4"/>
      <c r="DX436" s="4"/>
      <c r="DY436" s="5">
        <v>40189</v>
      </c>
      <c r="DZ436" s="5">
        <v>40189</v>
      </c>
      <c r="EA436" s="4"/>
      <c r="EB436" s="4"/>
      <c r="EC436" s="4"/>
      <c r="ED436" s="4"/>
      <c r="EE436" s="4"/>
      <c r="EF436" s="4"/>
      <c r="EG436" s="4"/>
      <c r="EH436" s="4"/>
      <c r="EI436" s="5">
        <v>39556</v>
      </c>
    </row>
    <row r="437" spans="1:139" hidden="1" x14ac:dyDescent="0.2">
      <c r="A437">
        <f>VLOOKUP(B437,Sheet1!$A$1:$B$18,2,FALSE)</f>
        <v>0</v>
      </c>
      <c r="B437" t="str">
        <f t="shared" si="7"/>
        <v>AKL</v>
      </c>
      <c r="C437" s="2">
        <v>436</v>
      </c>
      <c r="D437" s="3" t="str">
        <f>HYPERLINK("https://sitebase.nzcomms.co.nz/spm/spmnominalview/AKL-008-075/","AKL-008-075")</f>
        <v>AKL-008-075</v>
      </c>
      <c r="E437" s="4"/>
      <c r="F437" s="3" t="str">
        <f>HYPERLINK("https://sitebase.nzcomms.co.nz/spm/spmcandidateview/AKL-008-075-B/","AKL-008-075-B")</f>
        <v>AKL-008-075-B</v>
      </c>
      <c r="G437" s="4" t="s">
        <v>1438</v>
      </c>
      <c r="H437" s="4" t="s">
        <v>1296</v>
      </c>
      <c r="I437" s="4"/>
      <c r="J437" s="4" t="s">
        <v>139</v>
      </c>
      <c r="K437" s="4" t="s">
        <v>141</v>
      </c>
      <c r="L437" s="4" t="s">
        <v>189</v>
      </c>
      <c r="M437" s="4" t="s">
        <v>296</v>
      </c>
      <c r="N437" s="4" t="s">
        <v>191</v>
      </c>
      <c r="O437" s="4" t="s">
        <v>356</v>
      </c>
      <c r="P437" s="4"/>
      <c r="Q437" s="4"/>
      <c r="R437" s="4">
        <v>13.6</v>
      </c>
      <c r="S437" s="4">
        <v>13.6</v>
      </c>
      <c r="T437" s="4"/>
      <c r="U437" s="4">
        <v>-36.925255669999999</v>
      </c>
      <c r="V437" s="4">
        <v>174.92055551000001</v>
      </c>
      <c r="W437" s="4"/>
      <c r="X437" s="4"/>
      <c r="Y437" s="4"/>
      <c r="Z437" s="4"/>
      <c r="AA437" s="4" t="s">
        <v>171</v>
      </c>
      <c r="AB437" s="3" t="str">
        <f>HYPERLINK("https://sitebase.nzcomms.co.nz/spm/spmcandidateview/AKL-008-014-C/","AKL-008-014-C")</f>
        <v>AKL-008-014-C</v>
      </c>
      <c r="AC437" s="4"/>
      <c r="AD437" s="4"/>
      <c r="AE437" s="4"/>
      <c r="AF437" s="4"/>
      <c r="AG437" s="4"/>
      <c r="AH437" s="4" t="s">
        <v>1439</v>
      </c>
      <c r="AI437" s="4"/>
      <c r="AJ437" s="4"/>
      <c r="AK437" s="4"/>
      <c r="AL437" s="4"/>
      <c r="AM437" s="4"/>
      <c r="AN437" s="5">
        <v>39969</v>
      </c>
      <c r="AO437" s="4">
        <v>3</v>
      </c>
      <c r="AP437" s="5">
        <v>39994</v>
      </c>
      <c r="AQ437" s="5">
        <v>39994</v>
      </c>
      <c r="AR437" s="4"/>
      <c r="AS437" s="4"/>
      <c r="AT437" s="5">
        <v>40046</v>
      </c>
      <c r="AU437" s="5">
        <v>40025</v>
      </c>
      <c r="AV437" s="4"/>
      <c r="AW437" s="5">
        <v>40044</v>
      </c>
      <c r="AX437" s="5">
        <v>40046</v>
      </c>
      <c r="AY437" s="4"/>
      <c r="AZ437" s="5">
        <v>39983</v>
      </c>
      <c r="BA437" s="4"/>
      <c r="BB437" s="5">
        <v>40057</v>
      </c>
      <c r="BC437" s="4"/>
      <c r="BD437" s="4"/>
      <c r="BE437" s="5">
        <v>40057</v>
      </c>
      <c r="BF437" s="5">
        <v>40042</v>
      </c>
      <c r="BG437" s="5">
        <v>39979</v>
      </c>
      <c r="BH437" s="5">
        <v>39979</v>
      </c>
      <c r="BI437" s="4"/>
      <c r="BJ437" s="5">
        <v>39990</v>
      </c>
      <c r="BK437" s="4">
        <v>2</v>
      </c>
      <c r="BL437" s="4">
        <v>3</v>
      </c>
      <c r="BM437" s="5">
        <v>40004</v>
      </c>
      <c r="BN437" s="5">
        <v>40007</v>
      </c>
      <c r="BO437" s="5">
        <v>40070</v>
      </c>
      <c r="BP437" s="4"/>
      <c r="BQ437" s="4"/>
      <c r="BR437" s="4"/>
      <c r="BS437" s="4"/>
      <c r="BT437" s="5">
        <v>40078</v>
      </c>
      <c r="BU437" s="5">
        <v>40078</v>
      </c>
      <c r="BV437" s="5">
        <v>40087</v>
      </c>
      <c r="BW437" s="5">
        <v>40087</v>
      </c>
      <c r="BX437" s="4"/>
      <c r="BY437" s="5">
        <v>40091</v>
      </c>
      <c r="BZ437" s="5">
        <v>40087</v>
      </c>
      <c r="CA437" s="4"/>
      <c r="CB437" s="4"/>
      <c r="CC437" s="4"/>
      <c r="CD437" s="4"/>
      <c r="CE437" s="4"/>
      <c r="CF437" s="4"/>
      <c r="CG437" s="4"/>
      <c r="CH437" s="4"/>
      <c r="CI437" s="5">
        <v>40092</v>
      </c>
      <c r="CJ437" s="5">
        <v>40092</v>
      </c>
      <c r="CK437" s="5">
        <v>40092</v>
      </c>
      <c r="CL437" s="4"/>
      <c r="CM437" s="4"/>
      <c r="CN437" s="4"/>
      <c r="CO437" s="4"/>
      <c r="CP437" s="4" t="s">
        <v>157</v>
      </c>
      <c r="CQ437" s="4"/>
      <c r="CR437" s="5">
        <v>40092</v>
      </c>
      <c r="CS437" s="4"/>
      <c r="CT437" s="4"/>
      <c r="CU437" s="4"/>
      <c r="CV437" s="4"/>
      <c r="CW437" s="5">
        <v>40074</v>
      </c>
      <c r="CX437" s="5">
        <v>40070</v>
      </c>
      <c r="CY437" s="4"/>
      <c r="CZ437" s="4"/>
      <c r="DA437" s="4"/>
      <c r="DB437" s="4"/>
      <c r="DC437" s="4"/>
      <c r="DD437" s="4"/>
      <c r="DE437" s="4"/>
      <c r="DF437" s="4"/>
      <c r="DG437" s="4"/>
      <c r="DH437" s="4"/>
      <c r="DI437" s="4"/>
      <c r="DJ437" s="4" t="b">
        <v>0</v>
      </c>
      <c r="DK437" s="4"/>
      <c r="DL437" s="4">
        <v>2681478</v>
      </c>
      <c r="DM437" s="4">
        <v>6473366</v>
      </c>
      <c r="DN437" s="4" t="s">
        <v>1440</v>
      </c>
      <c r="DO437" s="4"/>
      <c r="DP437" s="4"/>
      <c r="DQ437" s="4" t="s">
        <v>148</v>
      </c>
      <c r="DR437" s="4"/>
      <c r="DS437" s="4"/>
      <c r="DT437" s="4"/>
      <c r="DU437" s="4"/>
      <c r="DV437" s="4"/>
      <c r="DW437" s="4"/>
      <c r="DX437" s="4"/>
      <c r="DY437" s="5">
        <v>40078</v>
      </c>
      <c r="DZ437" s="5">
        <v>40078</v>
      </c>
      <c r="EA437" s="4"/>
      <c r="EB437" s="4"/>
      <c r="EC437" s="4"/>
      <c r="ED437" s="4"/>
      <c r="EE437" s="4"/>
      <c r="EF437" s="4"/>
      <c r="EG437" s="4"/>
      <c r="EH437" s="4"/>
      <c r="EI437" s="5">
        <v>39968</v>
      </c>
    </row>
    <row r="438" spans="1:139" hidden="1" x14ac:dyDescent="0.2">
      <c r="A438">
        <f>VLOOKUP(B438,Sheet1!$A$1:$B$18,2,FALSE)</f>
        <v>0</v>
      </c>
      <c r="B438" t="str">
        <f t="shared" si="7"/>
        <v>AKL</v>
      </c>
      <c r="C438" s="2">
        <v>437</v>
      </c>
      <c r="D438" s="3" t="str">
        <f>HYPERLINK("https://sitebase.nzcomms.co.nz/spm/spmnominalview/AKL-008-076/","AKL-008-076")</f>
        <v>AKL-008-076</v>
      </c>
      <c r="E438" s="4" t="s">
        <v>1441</v>
      </c>
      <c r="F438" s="3" t="str">
        <f>HYPERLINK("https://sitebase.nzcomms.co.nz/spm/spmcandidateview/AKL-008-076-E/","AKL-008-076-E")</f>
        <v>AKL-008-076-E</v>
      </c>
      <c r="G438" s="4" t="s">
        <v>1442</v>
      </c>
      <c r="H438" s="4" t="s">
        <v>1296</v>
      </c>
      <c r="I438" s="4">
        <v>3</v>
      </c>
      <c r="J438" s="4" t="s">
        <v>194</v>
      </c>
      <c r="K438" s="4" t="s">
        <v>141</v>
      </c>
      <c r="L438" s="4" t="s">
        <v>181</v>
      </c>
      <c r="M438" s="4" t="s">
        <v>442</v>
      </c>
      <c r="N438" s="4" t="s">
        <v>181</v>
      </c>
      <c r="O438" s="4" t="s">
        <v>144</v>
      </c>
      <c r="P438" s="4" t="s">
        <v>182</v>
      </c>
      <c r="Q438" s="4" t="s">
        <v>142</v>
      </c>
      <c r="R438" s="4">
        <v>18.2</v>
      </c>
      <c r="S438" s="4">
        <v>16</v>
      </c>
      <c r="T438" s="4">
        <v>1</v>
      </c>
      <c r="U438" s="4">
        <v>-36.847294650000002</v>
      </c>
      <c r="V438" s="4">
        <v>174.90143896000001</v>
      </c>
      <c r="W438" s="4"/>
      <c r="X438" s="4"/>
      <c r="Y438" s="4"/>
      <c r="Z438" s="4"/>
      <c r="AA438" s="4" t="s">
        <v>171</v>
      </c>
      <c r="AB438" s="3" t="str">
        <f>HYPERLINK("https://sitebase.nzcomms.co.nz/spm/spmcandidateview/AKL-007-079-A/","AKL-007-079-A")</f>
        <v>AKL-007-079-A</v>
      </c>
      <c r="AC438" s="4" t="b">
        <v>0</v>
      </c>
      <c r="AD438" s="4" t="b">
        <v>0</v>
      </c>
      <c r="AE438" s="4"/>
      <c r="AF438" s="4"/>
      <c r="AG438" s="4" t="b">
        <v>0</v>
      </c>
      <c r="AH438" s="4" t="s">
        <v>1443</v>
      </c>
      <c r="AI438" s="5">
        <v>40576</v>
      </c>
      <c r="AJ438" s="5">
        <v>40577</v>
      </c>
      <c r="AK438" s="5">
        <v>40660</v>
      </c>
      <c r="AL438" s="5">
        <v>40660</v>
      </c>
      <c r="AM438" s="4"/>
      <c r="AN438" s="5">
        <v>40323</v>
      </c>
      <c r="AO438" s="4">
        <v>4</v>
      </c>
      <c r="AP438" s="5">
        <v>40431</v>
      </c>
      <c r="AQ438" s="5">
        <v>40434</v>
      </c>
      <c r="AR438" s="4"/>
      <c r="AS438" s="5">
        <v>40632</v>
      </c>
      <c r="AT438" s="5">
        <v>40662</v>
      </c>
      <c r="AU438" s="5">
        <v>40632</v>
      </c>
      <c r="AV438" s="4"/>
      <c r="AW438" s="5">
        <v>40900</v>
      </c>
      <c r="AX438" s="5">
        <v>41334</v>
      </c>
      <c r="AY438" s="4" t="s">
        <v>183</v>
      </c>
      <c r="AZ438" s="5">
        <v>40444</v>
      </c>
      <c r="BA438" s="5">
        <v>40480</v>
      </c>
      <c r="BB438" s="5">
        <v>40512</v>
      </c>
      <c r="BC438" s="5">
        <v>40536</v>
      </c>
      <c r="BD438" s="4">
        <v>4</v>
      </c>
      <c r="BE438" s="5">
        <v>40512</v>
      </c>
      <c r="BF438" s="5">
        <v>40536</v>
      </c>
      <c r="BG438" s="4"/>
      <c r="BH438" s="4"/>
      <c r="BI438" s="5">
        <v>40746</v>
      </c>
      <c r="BJ438" s="5">
        <v>40746</v>
      </c>
      <c r="BK438" s="4">
        <v>1</v>
      </c>
      <c r="BL438" s="4"/>
      <c r="BM438" s="5">
        <v>40746</v>
      </c>
      <c r="BN438" s="5">
        <v>40746</v>
      </c>
      <c r="BO438" s="5">
        <v>40780</v>
      </c>
      <c r="BP438" s="4"/>
      <c r="BQ438" s="4"/>
      <c r="BR438" s="4"/>
      <c r="BS438" s="4"/>
      <c r="BT438" s="5">
        <v>40780</v>
      </c>
      <c r="BU438" s="5">
        <v>40786</v>
      </c>
      <c r="BV438" s="5">
        <v>40802</v>
      </c>
      <c r="BW438" s="5">
        <v>40800</v>
      </c>
      <c r="BX438" s="5">
        <v>40794</v>
      </c>
      <c r="BY438" s="5">
        <v>40814</v>
      </c>
      <c r="BZ438" s="5">
        <v>40814</v>
      </c>
      <c r="CA438" s="4"/>
      <c r="CB438" s="4"/>
      <c r="CC438" s="4"/>
      <c r="CD438" s="4"/>
      <c r="CE438" s="4"/>
      <c r="CF438" s="4"/>
      <c r="CG438" s="4"/>
      <c r="CH438" s="4"/>
      <c r="CI438" s="5">
        <v>40822</v>
      </c>
      <c r="CJ438" s="5">
        <v>40844</v>
      </c>
      <c r="CK438" s="5">
        <v>40834</v>
      </c>
      <c r="CL438" s="5">
        <v>40844</v>
      </c>
      <c r="CM438" s="5">
        <v>40844</v>
      </c>
      <c r="CN438" s="5">
        <v>40934</v>
      </c>
      <c r="CO438" s="5">
        <v>40974</v>
      </c>
      <c r="CP438" s="4" t="s">
        <v>1444</v>
      </c>
      <c r="CQ438" s="4" t="s">
        <v>205</v>
      </c>
      <c r="CR438" s="5">
        <v>40814</v>
      </c>
      <c r="CS438" s="5">
        <v>40777</v>
      </c>
      <c r="CT438" s="5">
        <v>40800</v>
      </c>
      <c r="CU438" s="5">
        <v>40780</v>
      </c>
      <c r="CV438" s="5">
        <v>40780</v>
      </c>
      <c r="CW438" s="5">
        <v>40780</v>
      </c>
      <c r="CX438" s="5">
        <v>40780</v>
      </c>
      <c r="CY438" s="5">
        <v>40802</v>
      </c>
      <c r="CZ438" s="5">
        <v>40806</v>
      </c>
      <c r="DA438" s="4"/>
      <c r="DB438" s="5">
        <v>40823</v>
      </c>
      <c r="DC438" s="4"/>
      <c r="DD438" s="4"/>
      <c r="DE438" s="4"/>
      <c r="DF438" s="4"/>
      <c r="DG438" s="4"/>
      <c r="DH438" s="4"/>
      <c r="DI438" s="5">
        <v>40787</v>
      </c>
      <c r="DJ438" s="4" t="b">
        <v>0</v>
      </c>
      <c r="DK438" s="4"/>
      <c r="DL438" s="4">
        <v>2679965</v>
      </c>
      <c r="DM438" s="4">
        <v>6482053</v>
      </c>
      <c r="DN438" s="4" t="s">
        <v>1445</v>
      </c>
      <c r="DO438" s="4"/>
      <c r="DP438" s="4" t="s">
        <v>1446</v>
      </c>
      <c r="DQ438" s="4" t="s">
        <v>148</v>
      </c>
      <c r="DR438" s="4"/>
      <c r="DS438" s="4"/>
      <c r="DT438" s="4"/>
      <c r="DU438" s="4"/>
      <c r="DV438" s="4"/>
      <c r="DW438" s="4"/>
      <c r="DX438" s="4"/>
      <c r="DY438" s="4"/>
      <c r="DZ438" s="4"/>
      <c r="EA438" s="4"/>
      <c r="EB438" s="4"/>
      <c r="EC438" s="4"/>
      <c r="ED438" s="4"/>
      <c r="EE438" s="4"/>
      <c r="EF438" s="4"/>
      <c r="EG438" s="5">
        <v>40830</v>
      </c>
      <c r="EH438" s="5">
        <v>40816</v>
      </c>
      <c r="EI438" s="4"/>
    </row>
    <row r="439" spans="1:139" hidden="1" x14ac:dyDescent="0.2">
      <c r="A439">
        <f>VLOOKUP(B439,Sheet1!$A$1:$B$18,2,FALSE)</f>
        <v>0</v>
      </c>
      <c r="B439" t="str">
        <f t="shared" si="7"/>
        <v>AKL</v>
      </c>
      <c r="C439" s="2">
        <v>438</v>
      </c>
      <c r="D439" s="3" t="str">
        <f>HYPERLINK("https://sitebase.nzcomms.co.nz/spm/spmnominalview/AKL-008-078/","AKL-008-078")</f>
        <v>AKL-008-078</v>
      </c>
      <c r="E439" s="4"/>
      <c r="F439" s="3" t="str">
        <f>HYPERLINK("https://sitebase.nzcomms.co.nz/spm/spmcandidateview/AKL-008-078-B/","AKL-008-078-B")</f>
        <v>AKL-008-078-B</v>
      </c>
      <c r="G439" s="4" t="s">
        <v>1447</v>
      </c>
      <c r="H439" s="4" t="s">
        <v>1296</v>
      </c>
      <c r="I439" s="4"/>
      <c r="J439" s="4" t="s">
        <v>139</v>
      </c>
      <c r="K439" s="4" t="s">
        <v>141</v>
      </c>
      <c r="L439" s="4" t="s">
        <v>189</v>
      </c>
      <c r="M439" s="4" t="s">
        <v>463</v>
      </c>
      <c r="N439" s="4" t="s">
        <v>191</v>
      </c>
      <c r="O439" s="4" t="s">
        <v>356</v>
      </c>
      <c r="P439" s="4"/>
      <c r="Q439" s="4"/>
      <c r="R439" s="4">
        <v>14.3</v>
      </c>
      <c r="S439" s="4">
        <v>14.3</v>
      </c>
      <c r="T439" s="4"/>
      <c r="U439" s="4">
        <v>-36.977781020000002</v>
      </c>
      <c r="V439" s="4">
        <v>174.89735678</v>
      </c>
      <c r="W439" s="4"/>
      <c r="X439" s="4"/>
      <c r="Y439" s="4"/>
      <c r="Z439" s="4"/>
      <c r="AA439" s="4" t="s">
        <v>171</v>
      </c>
      <c r="AB439" s="3" t="str">
        <f>HYPERLINK("https://sitebase.nzcomms.co.nz/spm/spmcandidateview/AKL-008-044-E/","AKL-008-044-E")</f>
        <v>AKL-008-044-E</v>
      </c>
      <c r="AC439" s="4"/>
      <c r="AD439" s="4"/>
      <c r="AE439" s="4"/>
      <c r="AF439" s="4"/>
      <c r="AG439" s="4"/>
      <c r="AH439" s="4" t="s">
        <v>1439</v>
      </c>
      <c r="AI439" s="4"/>
      <c r="AJ439" s="4"/>
      <c r="AK439" s="4"/>
      <c r="AL439" s="4"/>
      <c r="AM439" s="4"/>
      <c r="AN439" s="5">
        <v>39969</v>
      </c>
      <c r="AO439" s="4">
        <v>1</v>
      </c>
      <c r="AP439" s="5">
        <v>39972</v>
      </c>
      <c r="AQ439" s="5">
        <v>39969</v>
      </c>
      <c r="AR439" s="4"/>
      <c r="AS439" s="4"/>
      <c r="AT439" s="5">
        <v>40046</v>
      </c>
      <c r="AU439" s="5">
        <v>40025</v>
      </c>
      <c r="AV439" s="4"/>
      <c r="AW439" s="5">
        <v>40044</v>
      </c>
      <c r="AX439" s="5">
        <v>40046</v>
      </c>
      <c r="AY439" s="4"/>
      <c r="AZ439" s="5">
        <v>40028</v>
      </c>
      <c r="BA439" s="4"/>
      <c r="BB439" s="5">
        <v>40028</v>
      </c>
      <c r="BC439" s="4"/>
      <c r="BD439" s="4"/>
      <c r="BE439" s="5">
        <v>40028</v>
      </c>
      <c r="BF439" s="5">
        <v>40025</v>
      </c>
      <c r="BG439" s="5">
        <v>39979</v>
      </c>
      <c r="BH439" s="5">
        <v>39979</v>
      </c>
      <c r="BI439" s="4"/>
      <c r="BJ439" s="5">
        <v>39990</v>
      </c>
      <c r="BK439" s="4">
        <v>1</v>
      </c>
      <c r="BL439" s="4">
        <v>1</v>
      </c>
      <c r="BM439" s="5">
        <v>39994</v>
      </c>
      <c r="BN439" s="5">
        <v>39990</v>
      </c>
      <c r="BO439" s="5">
        <v>40077</v>
      </c>
      <c r="BP439" s="4"/>
      <c r="BQ439" s="4"/>
      <c r="BR439" s="4"/>
      <c r="BS439" s="4"/>
      <c r="BT439" s="5">
        <v>40093</v>
      </c>
      <c r="BU439" s="5">
        <v>40093</v>
      </c>
      <c r="BV439" s="5">
        <v>40102</v>
      </c>
      <c r="BW439" s="5">
        <v>40102</v>
      </c>
      <c r="BX439" s="4"/>
      <c r="BY439" s="5">
        <v>40102</v>
      </c>
      <c r="BZ439" s="5">
        <v>40102</v>
      </c>
      <c r="CA439" s="4"/>
      <c r="CB439" s="4"/>
      <c r="CC439" s="4"/>
      <c r="CD439" s="4"/>
      <c r="CE439" s="4"/>
      <c r="CF439" s="4"/>
      <c r="CG439" s="4"/>
      <c r="CH439" s="4"/>
      <c r="CI439" s="5">
        <v>40105</v>
      </c>
      <c r="CJ439" s="5">
        <v>40105</v>
      </c>
      <c r="CK439" s="5">
        <v>40105</v>
      </c>
      <c r="CL439" s="4"/>
      <c r="CM439" s="4"/>
      <c r="CN439" s="4"/>
      <c r="CO439" s="4"/>
      <c r="CP439" s="4"/>
      <c r="CQ439" s="4"/>
      <c r="CR439" s="5">
        <v>40105</v>
      </c>
      <c r="CS439" s="4"/>
      <c r="CT439" s="4"/>
      <c r="CU439" s="4"/>
      <c r="CV439" s="4"/>
      <c r="CW439" s="5">
        <v>40074</v>
      </c>
      <c r="CX439" s="5">
        <v>40077</v>
      </c>
      <c r="CY439" s="4"/>
      <c r="CZ439" s="4"/>
      <c r="DA439" s="4"/>
      <c r="DB439" s="4"/>
      <c r="DC439" s="4"/>
      <c r="DD439" s="4"/>
      <c r="DE439" s="4"/>
      <c r="DF439" s="4"/>
      <c r="DG439" s="4"/>
      <c r="DH439" s="4"/>
      <c r="DI439" s="4"/>
      <c r="DJ439" s="4" t="b">
        <v>0</v>
      </c>
      <c r="DK439" s="4"/>
      <c r="DL439" s="4">
        <v>2679284</v>
      </c>
      <c r="DM439" s="4">
        <v>6467584</v>
      </c>
      <c r="DN439" s="4" t="s">
        <v>1448</v>
      </c>
      <c r="DO439" s="4"/>
      <c r="DP439" s="4"/>
      <c r="DQ439" s="4" t="s">
        <v>148</v>
      </c>
      <c r="DR439" s="4"/>
      <c r="DS439" s="4"/>
      <c r="DT439" s="5">
        <v>41894</v>
      </c>
      <c r="DU439" s="4"/>
      <c r="DV439" s="4"/>
      <c r="DW439" s="4"/>
      <c r="DX439" s="4"/>
      <c r="DY439" s="5">
        <v>40093</v>
      </c>
      <c r="DZ439" s="5">
        <v>40093</v>
      </c>
      <c r="EA439" s="4"/>
      <c r="EB439" s="4"/>
      <c r="EC439" s="4"/>
      <c r="ED439" s="4"/>
      <c r="EE439" s="4"/>
      <c r="EF439" s="4"/>
      <c r="EG439" s="4"/>
      <c r="EH439" s="4"/>
      <c r="EI439" s="5">
        <v>39968</v>
      </c>
    </row>
    <row r="440" spans="1:139" hidden="1" x14ac:dyDescent="0.2">
      <c r="A440">
        <f>VLOOKUP(B440,Sheet1!$A$1:$B$18,2,FALSE)</f>
        <v>0</v>
      </c>
      <c r="B440" t="str">
        <f t="shared" si="7"/>
        <v>AKL</v>
      </c>
      <c r="C440" s="2">
        <v>439</v>
      </c>
      <c r="D440" s="3" t="str">
        <f>HYPERLINK("https://sitebase.nzcomms.co.nz/spm/spmnominalview/AKL-008-079/","AKL-008-079")</f>
        <v>AKL-008-079</v>
      </c>
      <c r="E440" s="4"/>
      <c r="F440" s="3" t="str">
        <f>HYPERLINK("https://sitebase.nzcomms.co.nz/spm/spmcandidateview/AKL-008-079-A/","AKL-008-079-A")</f>
        <v>AKL-008-079-A</v>
      </c>
      <c r="G440" s="4" t="s">
        <v>1449</v>
      </c>
      <c r="H440" s="4" t="s">
        <v>1296</v>
      </c>
      <c r="I440" s="4"/>
      <c r="J440" s="4" t="s">
        <v>139</v>
      </c>
      <c r="K440" s="4" t="s">
        <v>141</v>
      </c>
      <c r="L440" s="4" t="s">
        <v>189</v>
      </c>
      <c r="M440" s="4" t="s">
        <v>296</v>
      </c>
      <c r="N440" s="4" t="s">
        <v>191</v>
      </c>
      <c r="O440" s="4" t="s">
        <v>356</v>
      </c>
      <c r="P440" s="4"/>
      <c r="Q440" s="4"/>
      <c r="R440" s="4">
        <v>13.6</v>
      </c>
      <c r="S440" s="4">
        <v>13.6</v>
      </c>
      <c r="T440" s="4"/>
      <c r="U440" s="4">
        <v>-37.022038379999998</v>
      </c>
      <c r="V440" s="4">
        <v>174.92226084999999</v>
      </c>
      <c r="W440" s="4"/>
      <c r="X440" s="4"/>
      <c r="Y440" s="4"/>
      <c r="Z440" s="4"/>
      <c r="AA440" s="4" t="s">
        <v>171</v>
      </c>
      <c r="AB440" s="3" t="str">
        <f>HYPERLINK("https://sitebase.nzcomms.co.nz/spm/spmcandidateview/AKL-008-009-A/","AKL-008-009-A")</f>
        <v>AKL-008-009-A</v>
      </c>
      <c r="AC440" s="4"/>
      <c r="AD440" s="4"/>
      <c r="AE440" s="4"/>
      <c r="AF440" s="4"/>
      <c r="AG440" s="4"/>
      <c r="AH440" s="4" t="s">
        <v>1439</v>
      </c>
      <c r="AI440" s="4"/>
      <c r="AJ440" s="4"/>
      <c r="AK440" s="4"/>
      <c r="AL440" s="4"/>
      <c r="AM440" s="4"/>
      <c r="AN440" s="5">
        <v>39976</v>
      </c>
      <c r="AO440" s="4">
        <v>2</v>
      </c>
      <c r="AP440" s="5">
        <v>39980</v>
      </c>
      <c r="AQ440" s="5">
        <v>40008</v>
      </c>
      <c r="AR440" s="4"/>
      <c r="AS440" s="4"/>
      <c r="AT440" s="5">
        <v>40046</v>
      </c>
      <c r="AU440" s="5">
        <v>40025</v>
      </c>
      <c r="AV440" s="4"/>
      <c r="AW440" s="5">
        <v>40044</v>
      </c>
      <c r="AX440" s="5">
        <v>40046</v>
      </c>
      <c r="AY440" s="4"/>
      <c r="AZ440" s="5">
        <v>40028</v>
      </c>
      <c r="BA440" s="4"/>
      <c r="BB440" s="5">
        <v>40028</v>
      </c>
      <c r="BC440" s="4"/>
      <c r="BD440" s="4"/>
      <c r="BE440" s="5">
        <v>40028</v>
      </c>
      <c r="BF440" s="5">
        <v>40025</v>
      </c>
      <c r="BG440" s="5">
        <v>40008</v>
      </c>
      <c r="BH440" s="5">
        <v>40000</v>
      </c>
      <c r="BI440" s="4"/>
      <c r="BJ440" s="5">
        <v>40008</v>
      </c>
      <c r="BK440" s="4">
        <v>1</v>
      </c>
      <c r="BL440" s="4">
        <v>1</v>
      </c>
      <c r="BM440" s="5">
        <v>40004</v>
      </c>
      <c r="BN440" s="5">
        <v>40008</v>
      </c>
      <c r="BO440" s="5">
        <v>40077</v>
      </c>
      <c r="BP440" s="4"/>
      <c r="BQ440" s="4"/>
      <c r="BR440" s="4"/>
      <c r="BS440" s="4"/>
      <c r="BT440" s="5">
        <v>40086</v>
      </c>
      <c r="BU440" s="5">
        <v>40086</v>
      </c>
      <c r="BV440" s="5">
        <v>40098</v>
      </c>
      <c r="BW440" s="5">
        <v>40095</v>
      </c>
      <c r="BX440" s="4"/>
      <c r="BY440" s="5">
        <v>40098</v>
      </c>
      <c r="BZ440" s="5">
        <v>40095</v>
      </c>
      <c r="CA440" s="4"/>
      <c r="CB440" s="4"/>
      <c r="CC440" s="4"/>
      <c r="CD440" s="4"/>
      <c r="CE440" s="4"/>
      <c r="CF440" s="4"/>
      <c r="CG440" s="4"/>
      <c r="CH440" s="4"/>
      <c r="CI440" s="5">
        <v>40099</v>
      </c>
      <c r="CJ440" s="5">
        <v>40100</v>
      </c>
      <c r="CK440" s="5">
        <v>40099</v>
      </c>
      <c r="CL440" s="4"/>
      <c r="CM440" s="4"/>
      <c r="CN440" s="4"/>
      <c r="CO440" s="4"/>
      <c r="CP440" s="4" t="s">
        <v>157</v>
      </c>
      <c r="CQ440" s="4"/>
      <c r="CR440" s="5">
        <v>40100</v>
      </c>
      <c r="CS440" s="4"/>
      <c r="CT440" s="4"/>
      <c r="CU440" s="4"/>
      <c r="CV440" s="4"/>
      <c r="CW440" s="5">
        <v>40074</v>
      </c>
      <c r="CX440" s="5">
        <v>40077</v>
      </c>
      <c r="CY440" s="4"/>
      <c r="CZ440" s="4"/>
      <c r="DA440" s="4"/>
      <c r="DB440" s="4"/>
      <c r="DC440" s="4"/>
      <c r="DD440" s="4"/>
      <c r="DE440" s="4"/>
      <c r="DF440" s="4"/>
      <c r="DG440" s="4"/>
      <c r="DH440" s="4"/>
      <c r="DI440" s="4"/>
      <c r="DJ440" s="4" t="b">
        <v>0</v>
      </c>
      <c r="DK440" s="4"/>
      <c r="DL440" s="4">
        <v>2681392</v>
      </c>
      <c r="DM440" s="4">
        <v>6462625</v>
      </c>
      <c r="DN440" s="4" t="s">
        <v>1450</v>
      </c>
      <c r="DO440" s="4"/>
      <c r="DP440" s="4"/>
      <c r="DQ440" s="4" t="s">
        <v>148</v>
      </c>
      <c r="DR440" s="4"/>
      <c r="DS440" s="4"/>
      <c r="DT440" s="5">
        <v>42348</v>
      </c>
      <c r="DU440" s="4"/>
      <c r="DV440" s="4"/>
      <c r="DW440" s="4"/>
      <c r="DX440" s="4"/>
      <c r="DY440" s="5">
        <v>40086</v>
      </c>
      <c r="DZ440" s="5">
        <v>40086</v>
      </c>
      <c r="EA440" s="4"/>
      <c r="EB440" s="4"/>
      <c r="EC440" s="4"/>
      <c r="ED440" s="4"/>
      <c r="EE440" s="4"/>
      <c r="EF440" s="4"/>
      <c r="EG440" s="4"/>
      <c r="EH440" s="4"/>
      <c r="EI440" s="5">
        <v>39968</v>
      </c>
    </row>
    <row r="441" spans="1:139" hidden="1" x14ac:dyDescent="0.2">
      <c r="A441">
        <f>VLOOKUP(B441,Sheet1!$A$1:$B$18,2,FALSE)</f>
        <v>0</v>
      </c>
      <c r="B441" t="str">
        <f t="shared" si="7"/>
        <v>AKL</v>
      </c>
      <c r="C441" s="2">
        <v>440</v>
      </c>
      <c r="D441" s="3" t="str">
        <f>HYPERLINK("https://sitebase.nzcomms.co.nz/spm/spmnominalview/AKL-008-080/","AKL-008-080")</f>
        <v>AKL-008-080</v>
      </c>
      <c r="E441" s="4" t="s">
        <v>1451</v>
      </c>
      <c r="F441" s="4"/>
      <c r="G441" s="4"/>
      <c r="H441" s="4" t="s">
        <v>1296</v>
      </c>
      <c r="I441" s="4"/>
      <c r="J441" s="4" t="s">
        <v>196</v>
      </c>
      <c r="K441" s="4"/>
      <c r="L441" s="4"/>
      <c r="M441" s="4"/>
      <c r="N441" s="4"/>
      <c r="O441" s="4"/>
      <c r="P441" s="4"/>
      <c r="Q441" s="4"/>
      <c r="R441" s="4"/>
      <c r="S441" s="4"/>
      <c r="T441" s="4"/>
      <c r="U441" s="4"/>
      <c r="V441" s="4"/>
      <c r="W441" s="4"/>
      <c r="X441" s="4"/>
      <c r="Y441" s="4"/>
      <c r="Z441" s="4"/>
      <c r="AA441" s="4"/>
      <c r="AB441" s="4"/>
      <c r="AC441" s="4"/>
      <c r="AD441" s="4"/>
      <c r="AE441" s="4"/>
      <c r="AF441" s="4"/>
      <c r="AG441" s="4" t="b">
        <v>0</v>
      </c>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t="s">
        <v>1452</v>
      </c>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row>
    <row r="442" spans="1:139" hidden="1" x14ac:dyDescent="0.2">
      <c r="A442">
        <f>VLOOKUP(B442,Sheet1!$A$1:$B$18,2,FALSE)</f>
        <v>0</v>
      </c>
      <c r="B442" t="str">
        <f t="shared" si="7"/>
        <v>AKL</v>
      </c>
      <c r="C442" s="2">
        <v>441</v>
      </c>
      <c r="D442" s="3" t="str">
        <f>HYPERLINK("https://sitebase.nzcomms.co.nz/spm/spmnominalview/AKL-008-081/","AKL-008-081")</f>
        <v>AKL-008-081</v>
      </c>
      <c r="E442" s="4" t="s">
        <v>1453</v>
      </c>
      <c r="F442" s="3" t="str">
        <f>HYPERLINK("https://sitebase.nzcomms.co.nz/spm/spmcandidateview/AKL-008-081-C/","AKL-008-081-C")</f>
        <v>AKL-008-081-C</v>
      </c>
      <c r="G442" s="4" t="s">
        <v>1454</v>
      </c>
      <c r="H442" s="4" t="s">
        <v>1296</v>
      </c>
      <c r="I442" s="4">
        <v>3</v>
      </c>
      <c r="J442" s="4" t="s">
        <v>194</v>
      </c>
      <c r="K442" s="4" t="s">
        <v>141</v>
      </c>
      <c r="L442" s="4" t="s">
        <v>142</v>
      </c>
      <c r="M442" s="4" t="s">
        <v>368</v>
      </c>
      <c r="N442" s="4" t="s">
        <v>142</v>
      </c>
      <c r="O442" s="4" t="s">
        <v>168</v>
      </c>
      <c r="P442" s="4" t="s">
        <v>169</v>
      </c>
      <c r="Q442" s="4" t="s">
        <v>142</v>
      </c>
      <c r="R442" s="4">
        <v>29.1</v>
      </c>
      <c r="S442" s="4">
        <v>29.6</v>
      </c>
      <c r="T442" s="4">
        <v>1</v>
      </c>
      <c r="U442" s="4">
        <v>-36.976704990000002</v>
      </c>
      <c r="V442" s="4">
        <v>174.84822313000001</v>
      </c>
      <c r="W442" s="4"/>
      <c r="X442" s="4"/>
      <c r="Y442" s="4"/>
      <c r="Z442" s="4"/>
      <c r="AA442" s="4" t="s">
        <v>171</v>
      </c>
      <c r="AB442" s="3" t="str">
        <f>HYPERLINK("https://sitebase.nzcomms.co.nz/spm/spmcandidateview/AKL-008-018-A/","AKL-008-018-A")</f>
        <v>AKL-008-018-A</v>
      </c>
      <c r="AC442" s="4" t="b">
        <v>0</v>
      </c>
      <c r="AD442" s="4" t="b">
        <v>0</v>
      </c>
      <c r="AE442" s="4"/>
      <c r="AF442" s="4"/>
      <c r="AG442" s="4" t="b">
        <v>0</v>
      </c>
      <c r="AH442" s="4"/>
      <c r="AI442" s="5">
        <v>40666</v>
      </c>
      <c r="AJ442" s="5">
        <v>40666</v>
      </c>
      <c r="AK442" s="5">
        <v>40683</v>
      </c>
      <c r="AL442" s="5">
        <v>40680</v>
      </c>
      <c r="AM442" s="5">
        <v>40729</v>
      </c>
      <c r="AN442" s="5">
        <v>40725</v>
      </c>
      <c r="AO442" s="4">
        <v>5</v>
      </c>
      <c r="AP442" s="5">
        <v>40725</v>
      </c>
      <c r="AQ442" s="5">
        <v>41184</v>
      </c>
      <c r="AR442" s="5">
        <v>40784</v>
      </c>
      <c r="AS442" s="5">
        <v>40763</v>
      </c>
      <c r="AT442" s="5">
        <v>40851</v>
      </c>
      <c r="AU442" s="5">
        <v>40837</v>
      </c>
      <c r="AV442" s="4"/>
      <c r="AW442" s="5">
        <v>40877</v>
      </c>
      <c r="AX442" s="5">
        <v>40869</v>
      </c>
      <c r="AY442" s="4" t="s">
        <v>198</v>
      </c>
      <c r="AZ442" s="5">
        <v>40781</v>
      </c>
      <c r="BA442" s="5">
        <v>41164</v>
      </c>
      <c r="BB442" s="5">
        <v>40823</v>
      </c>
      <c r="BC442" s="5">
        <v>41191</v>
      </c>
      <c r="BD442" s="4">
        <v>4</v>
      </c>
      <c r="BE442" s="5">
        <v>40830</v>
      </c>
      <c r="BF442" s="5">
        <v>40815</v>
      </c>
      <c r="BG442" s="4"/>
      <c r="BH442" s="4"/>
      <c r="BI442" s="4"/>
      <c r="BJ442" s="5">
        <v>40870</v>
      </c>
      <c r="BK442" s="4">
        <v>1</v>
      </c>
      <c r="BL442" s="4"/>
      <c r="BM442" s="4"/>
      <c r="BN442" s="5">
        <v>40870</v>
      </c>
      <c r="BO442" s="5">
        <v>40967</v>
      </c>
      <c r="BP442" s="4"/>
      <c r="BQ442" s="4"/>
      <c r="BR442" s="4"/>
      <c r="BS442" s="4"/>
      <c r="BT442" s="5">
        <v>40924</v>
      </c>
      <c r="BU442" s="5">
        <v>40924</v>
      </c>
      <c r="BV442" s="5">
        <v>40947</v>
      </c>
      <c r="BW442" s="5">
        <v>40927</v>
      </c>
      <c r="BX442" s="5">
        <v>40931</v>
      </c>
      <c r="BY442" s="5">
        <v>40961</v>
      </c>
      <c r="BZ442" s="5">
        <v>40967</v>
      </c>
      <c r="CA442" s="4"/>
      <c r="CB442" s="4"/>
      <c r="CC442" s="4"/>
      <c r="CD442" s="4"/>
      <c r="CE442" s="4"/>
      <c r="CF442" s="4"/>
      <c r="CG442" s="4"/>
      <c r="CH442" s="4"/>
      <c r="CI442" s="5">
        <v>40967</v>
      </c>
      <c r="CJ442" s="5">
        <v>40963</v>
      </c>
      <c r="CK442" s="5">
        <v>40968</v>
      </c>
      <c r="CL442" s="5">
        <v>40959</v>
      </c>
      <c r="CM442" s="5">
        <v>40983</v>
      </c>
      <c r="CN442" s="5">
        <v>41379</v>
      </c>
      <c r="CO442" s="5">
        <v>41359</v>
      </c>
      <c r="CP442" s="4" t="s">
        <v>1455</v>
      </c>
      <c r="CQ442" s="4" t="s">
        <v>230</v>
      </c>
      <c r="CR442" s="5">
        <v>40962</v>
      </c>
      <c r="CS442" s="5">
        <v>40967</v>
      </c>
      <c r="CT442" s="5">
        <v>40967</v>
      </c>
      <c r="CU442" s="5">
        <v>40967</v>
      </c>
      <c r="CV442" s="5">
        <v>40967</v>
      </c>
      <c r="CW442" s="5">
        <v>40967</v>
      </c>
      <c r="CX442" s="5">
        <v>40967</v>
      </c>
      <c r="CY442" s="5">
        <v>40946</v>
      </c>
      <c r="CZ442" s="5">
        <v>40947</v>
      </c>
      <c r="DA442" s="5">
        <v>40949</v>
      </c>
      <c r="DB442" s="5">
        <v>40949</v>
      </c>
      <c r="DC442" s="4"/>
      <c r="DD442" s="4"/>
      <c r="DE442" s="4"/>
      <c r="DF442" s="4"/>
      <c r="DG442" s="4"/>
      <c r="DH442" s="4"/>
      <c r="DI442" s="5">
        <v>40949</v>
      </c>
      <c r="DJ442" s="4" t="b">
        <v>0</v>
      </c>
      <c r="DK442" s="4"/>
      <c r="DL442" s="4">
        <v>2674913</v>
      </c>
      <c r="DM442" s="4">
        <v>6467798</v>
      </c>
      <c r="DN442" s="4" t="s">
        <v>1456</v>
      </c>
      <c r="DO442" s="4"/>
      <c r="DP442" s="4" t="s">
        <v>1457</v>
      </c>
      <c r="DQ442" s="4" t="s">
        <v>148</v>
      </c>
      <c r="DR442" s="4"/>
      <c r="DS442" s="4"/>
      <c r="DT442" s="5">
        <v>41894</v>
      </c>
      <c r="DU442" s="4"/>
      <c r="DV442" s="4"/>
      <c r="DW442" s="4"/>
      <c r="DX442" s="4"/>
      <c r="DY442" s="4"/>
      <c r="DZ442" s="4"/>
      <c r="EA442" s="4"/>
      <c r="EB442" s="4"/>
      <c r="EC442" s="4"/>
      <c r="ED442" s="4"/>
      <c r="EE442" s="4"/>
      <c r="EF442" s="4"/>
      <c r="EG442" s="5">
        <v>40966</v>
      </c>
      <c r="EH442" s="5">
        <v>40966</v>
      </c>
      <c r="EI442" s="4"/>
    </row>
    <row r="443" spans="1:139" hidden="1" x14ac:dyDescent="0.2">
      <c r="A443">
        <f>VLOOKUP(B443,Sheet1!$A$1:$B$18,2,FALSE)</f>
        <v>0</v>
      </c>
      <c r="B443" t="str">
        <f t="shared" si="7"/>
        <v>AKL</v>
      </c>
      <c r="C443" s="2">
        <v>442</v>
      </c>
      <c r="D443" s="3" t="str">
        <f>HYPERLINK("https://sitebase.nzcomms.co.nz/spm/spmnominalview/AKL-008-082/","AKL-008-082")</f>
        <v>AKL-008-082</v>
      </c>
      <c r="E443" s="4" t="s">
        <v>1458</v>
      </c>
      <c r="F443" s="3" t="str">
        <f>HYPERLINK("https://sitebase.nzcomms.co.nz/spm/spmcandidateview/AKL-008-082-A/","AKL-008-082-A")</f>
        <v>AKL-008-082-A</v>
      </c>
      <c r="G443" s="4" t="s">
        <v>1459</v>
      </c>
      <c r="H443" s="4" t="s">
        <v>1296</v>
      </c>
      <c r="I443" s="4">
        <v>3</v>
      </c>
      <c r="J443" s="4" t="s">
        <v>194</v>
      </c>
      <c r="K443" s="4" t="s">
        <v>141</v>
      </c>
      <c r="L443" s="4" t="s">
        <v>189</v>
      </c>
      <c r="M443" s="4" t="s">
        <v>190</v>
      </c>
      <c r="N443" s="4" t="s">
        <v>191</v>
      </c>
      <c r="O443" s="4" t="s">
        <v>297</v>
      </c>
      <c r="P443" s="4" t="s">
        <v>182</v>
      </c>
      <c r="Q443" s="4" t="s">
        <v>192</v>
      </c>
      <c r="R443" s="4">
        <v>14</v>
      </c>
      <c r="S443" s="4">
        <v>14.5</v>
      </c>
      <c r="T443" s="4">
        <v>1</v>
      </c>
      <c r="U443" s="4">
        <v>-37.044916710000003</v>
      </c>
      <c r="V443" s="4">
        <v>174.86396174000001</v>
      </c>
      <c r="W443" s="4"/>
      <c r="X443" s="4"/>
      <c r="Y443" s="4"/>
      <c r="Z443" s="4"/>
      <c r="AA443" s="4" t="s">
        <v>171</v>
      </c>
      <c r="AB443" s="3" t="str">
        <f>HYPERLINK("https://sitebase.nzcomms.co.nz/spm/spmcandidateview/AKL-008-010-A/","AKL-008-010-A")</f>
        <v>AKL-008-010-A</v>
      </c>
      <c r="AC443" s="4" t="b">
        <v>0</v>
      </c>
      <c r="AD443" s="4" t="b">
        <v>0</v>
      </c>
      <c r="AE443" s="4"/>
      <c r="AF443" s="4"/>
      <c r="AG443" s="4" t="b">
        <v>0</v>
      </c>
      <c r="AH443" s="4" t="s">
        <v>402</v>
      </c>
      <c r="AI443" s="5">
        <v>40679</v>
      </c>
      <c r="AJ443" s="5">
        <v>40666</v>
      </c>
      <c r="AK443" s="5">
        <v>40687</v>
      </c>
      <c r="AL443" s="5">
        <v>40668</v>
      </c>
      <c r="AM443" s="5">
        <v>40721</v>
      </c>
      <c r="AN443" s="5">
        <v>40716</v>
      </c>
      <c r="AO443" s="4">
        <v>4</v>
      </c>
      <c r="AP443" s="5">
        <v>40763</v>
      </c>
      <c r="AQ443" s="5">
        <v>42115</v>
      </c>
      <c r="AR443" s="5">
        <v>40954</v>
      </c>
      <c r="AS443" s="5">
        <v>40948</v>
      </c>
      <c r="AT443" s="5">
        <v>40956</v>
      </c>
      <c r="AU443" s="5">
        <v>40963</v>
      </c>
      <c r="AV443" s="4"/>
      <c r="AW443" s="5">
        <v>40963</v>
      </c>
      <c r="AX443" s="5">
        <v>40969</v>
      </c>
      <c r="AY443" s="4" t="s">
        <v>183</v>
      </c>
      <c r="AZ443" s="5">
        <v>40774</v>
      </c>
      <c r="BA443" s="5">
        <v>40774</v>
      </c>
      <c r="BB443" s="5">
        <v>40812</v>
      </c>
      <c r="BC443" s="5">
        <v>40807</v>
      </c>
      <c r="BD443" s="4">
        <v>2</v>
      </c>
      <c r="BE443" s="5">
        <v>40819</v>
      </c>
      <c r="BF443" s="5">
        <v>40807</v>
      </c>
      <c r="BG443" s="4"/>
      <c r="BH443" s="4"/>
      <c r="BI443" s="5">
        <v>41073</v>
      </c>
      <c r="BJ443" s="5">
        <v>41059</v>
      </c>
      <c r="BK443" s="4">
        <v>1</v>
      </c>
      <c r="BL443" s="4"/>
      <c r="BM443" s="5">
        <v>41073</v>
      </c>
      <c r="BN443" s="5">
        <v>41059</v>
      </c>
      <c r="BO443" s="5">
        <v>41093</v>
      </c>
      <c r="BP443" s="4"/>
      <c r="BQ443" s="4"/>
      <c r="BR443" s="4"/>
      <c r="BS443" s="4"/>
      <c r="BT443" s="5">
        <v>41141</v>
      </c>
      <c r="BU443" s="5">
        <v>41141</v>
      </c>
      <c r="BV443" s="5">
        <v>41145</v>
      </c>
      <c r="BW443" s="5">
        <v>41148</v>
      </c>
      <c r="BX443" s="5">
        <v>41145</v>
      </c>
      <c r="BY443" s="5">
        <v>41152</v>
      </c>
      <c r="BZ443" s="5">
        <v>41151</v>
      </c>
      <c r="CA443" s="4"/>
      <c r="CB443" s="4"/>
      <c r="CC443" s="4"/>
      <c r="CD443" s="4"/>
      <c r="CE443" s="4"/>
      <c r="CF443" s="4"/>
      <c r="CG443" s="4"/>
      <c r="CH443" s="4"/>
      <c r="CI443" s="5">
        <v>41157</v>
      </c>
      <c r="CJ443" s="5">
        <v>41176</v>
      </c>
      <c r="CK443" s="5">
        <v>41165</v>
      </c>
      <c r="CL443" s="5">
        <v>41191</v>
      </c>
      <c r="CM443" s="5">
        <v>41177</v>
      </c>
      <c r="CN443" s="5">
        <v>41516</v>
      </c>
      <c r="CO443" s="5">
        <v>41543</v>
      </c>
      <c r="CP443" s="4" t="s">
        <v>712</v>
      </c>
      <c r="CQ443" s="4"/>
      <c r="CR443" s="5">
        <v>41151</v>
      </c>
      <c r="CS443" s="5">
        <v>41093</v>
      </c>
      <c r="CT443" s="5">
        <v>41093</v>
      </c>
      <c r="CU443" s="5">
        <v>41093</v>
      </c>
      <c r="CV443" s="5">
        <v>41093</v>
      </c>
      <c r="CW443" s="5">
        <v>41093</v>
      </c>
      <c r="CX443" s="5">
        <v>41093</v>
      </c>
      <c r="CY443" s="5">
        <v>41148</v>
      </c>
      <c r="CZ443" s="5">
        <v>41148</v>
      </c>
      <c r="DA443" s="5">
        <v>41159</v>
      </c>
      <c r="DB443" s="5">
        <v>41159</v>
      </c>
      <c r="DC443" s="4"/>
      <c r="DD443" s="4"/>
      <c r="DE443" s="4"/>
      <c r="DF443" s="4"/>
      <c r="DG443" s="4"/>
      <c r="DH443" s="4" t="s">
        <v>174</v>
      </c>
      <c r="DI443" s="5">
        <v>41145</v>
      </c>
      <c r="DJ443" s="4" t="b">
        <v>0</v>
      </c>
      <c r="DK443" s="4"/>
      <c r="DL443" s="4">
        <v>2676151</v>
      </c>
      <c r="DM443" s="4">
        <v>6460200</v>
      </c>
      <c r="DN443" s="4" t="s">
        <v>1460</v>
      </c>
      <c r="DO443" s="4"/>
      <c r="DP443" s="4" t="s">
        <v>1461</v>
      </c>
      <c r="DQ443" s="4" t="s">
        <v>148</v>
      </c>
      <c r="DR443" s="4"/>
      <c r="DS443" s="4"/>
      <c r="DT443" s="4"/>
      <c r="DU443" s="4"/>
      <c r="DV443" s="4"/>
      <c r="DW443" s="4"/>
      <c r="DX443" s="4"/>
      <c r="DY443" s="4"/>
      <c r="DZ443" s="4"/>
      <c r="EA443" s="4"/>
      <c r="EB443" s="4"/>
      <c r="EC443" s="4"/>
      <c r="ED443" s="4"/>
      <c r="EE443" s="4"/>
      <c r="EF443" s="4"/>
      <c r="EG443" s="5">
        <v>41162</v>
      </c>
      <c r="EH443" s="5">
        <v>41162</v>
      </c>
      <c r="EI443" s="4"/>
    </row>
    <row r="444" spans="1:139" hidden="1" x14ac:dyDescent="0.2">
      <c r="A444">
        <f>VLOOKUP(B444,Sheet1!$A$1:$B$18,2,FALSE)</f>
        <v>0</v>
      </c>
      <c r="B444" t="str">
        <f t="shared" si="7"/>
        <v>AKL</v>
      </c>
      <c r="C444" s="2">
        <v>443</v>
      </c>
      <c r="D444" s="3" t="str">
        <f>HYPERLINK("https://sitebase.nzcomms.co.nz/spm/spmnominalview/AKL-008-083/","AKL-008-083")</f>
        <v>AKL-008-083</v>
      </c>
      <c r="E444" s="4" t="s">
        <v>1462</v>
      </c>
      <c r="F444" s="3" t="str">
        <f>HYPERLINK("https://sitebase.nzcomms.co.nz/spm/spmcandidateview/AKL-008-083-A/","AKL-008-083-A")</f>
        <v>AKL-008-083-A</v>
      </c>
      <c r="G444" s="4" t="s">
        <v>1463</v>
      </c>
      <c r="H444" s="4" t="s">
        <v>1296</v>
      </c>
      <c r="I444" s="4">
        <v>3</v>
      </c>
      <c r="J444" s="4" t="s">
        <v>194</v>
      </c>
      <c r="K444" s="4" t="s">
        <v>141</v>
      </c>
      <c r="L444" s="4" t="s">
        <v>189</v>
      </c>
      <c r="M444" s="4" t="s">
        <v>571</v>
      </c>
      <c r="N444" s="4" t="s">
        <v>191</v>
      </c>
      <c r="O444" s="4" t="s">
        <v>297</v>
      </c>
      <c r="P444" s="4" t="s">
        <v>182</v>
      </c>
      <c r="Q444" s="4" t="s">
        <v>192</v>
      </c>
      <c r="R444" s="4">
        <v>14.5</v>
      </c>
      <c r="S444" s="4">
        <v>15</v>
      </c>
      <c r="T444" s="4">
        <v>1</v>
      </c>
      <c r="U444" s="4">
        <v>-36.978315899999998</v>
      </c>
      <c r="V444" s="4">
        <v>174.87188054999999</v>
      </c>
      <c r="W444" s="4"/>
      <c r="X444" s="4"/>
      <c r="Y444" s="4"/>
      <c r="Z444" s="4"/>
      <c r="AA444" s="4" t="s">
        <v>145</v>
      </c>
      <c r="AB444" s="3" t="str">
        <f>HYPERLINK("https://sitebase.nzcomms.co.nz/spm/spmcandidateview/AKL-008-091-A/","AKL-008-091-A")</f>
        <v>AKL-008-091-A</v>
      </c>
      <c r="AC444" s="4" t="b">
        <v>0</v>
      </c>
      <c r="AD444" s="4" t="b">
        <v>0</v>
      </c>
      <c r="AE444" s="4"/>
      <c r="AF444" s="4"/>
      <c r="AG444" s="4" t="b">
        <v>0</v>
      </c>
      <c r="AH444" s="4"/>
      <c r="AI444" s="5">
        <v>40679</v>
      </c>
      <c r="AJ444" s="5">
        <v>40666</v>
      </c>
      <c r="AK444" s="5">
        <v>40687</v>
      </c>
      <c r="AL444" s="5">
        <v>40668</v>
      </c>
      <c r="AM444" s="5">
        <v>40721</v>
      </c>
      <c r="AN444" s="5">
        <v>40714</v>
      </c>
      <c r="AO444" s="4">
        <v>5</v>
      </c>
      <c r="AP444" s="5">
        <v>40732</v>
      </c>
      <c r="AQ444" s="5">
        <v>40847</v>
      </c>
      <c r="AR444" s="5">
        <v>40954</v>
      </c>
      <c r="AS444" s="5">
        <v>40948</v>
      </c>
      <c r="AT444" s="5">
        <v>40956</v>
      </c>
      <c r="AU444" s="5">
        <v>40963</v>
      </c>
      <c r="AV444" s="4"/>
      <c r="AW444" s="5">
        <v>40963</v>
      </c>
      <c r="AX444" s="5">
        <v>40969</v>
      </c>
      <c r="AY444" s="4" t="s">
        <v>193</v>
      </c>
      <c r="AZ444" s="5">
        <v>40752</v>
      </c>
      <c r="BA444" s="5">
        <v>40753</v>
      </c>
      <c r="BB444" s="5">
        <v>40794</v>
      </c>
      <c r="BC444" s="5">
        <v>40774</v>
      </c>
      <c r="BD444" s="4">
        <v>2</v>
      </c>
      <c r="BE444" s="5">
        <v>40801</v>
      </c>
      <c r="BF444" s="5">
        <v>40774</v>
      </c>
      <c r="BG444" s="4"/>
      <c r="BH444" s="4"/>
      <c r="BI444" s="5">
        <v>41039</v>
      </c>
      <c r="BJ444" s="5">
        <v>41039</v>
      </c>
      <c r="BK444" s="4">
        <v>1</v>
      </c>
      <c r="BL444" s="4"/>
      <c r="BM444" s="4"/>
      <c r="BN444" s="5">
        <v>41039</v>
      </c>
      <c r="BO444" s="5">
        <v>41065</v>
      </c>
      <c r="BP444" s="4"/>
      <c r="BQ444" s="4"/>
      <c r="BR444" s="4"/>
      <c r="BS444" s="4"/>
      <c r="BT444" s="5">
        <v>41065</v>
      </c>
      <c r="BU444" s="5">
        <v>41065</v>
      </c>
      <c r="BV444" s="5">
        <v>41072</v>
      </c>
      <c r="BW444" s="5">
        <v>41072</v>
      </c>
      <c r="BX444" s="5">
        <v>41072</v>
      </c>
      <c r="BY444" s="5">
        <v>41081</v>
      </c>
      <c r="BZ444" s="5">
        <v>41085</v>
      </c>
      <c r="CA444" s="4"/>
      <c r="CB444" s="4"/>
      <c r="CC444" s="4"/>
      <c r="CD444" s="4"/>
      <c r="CE444" s="4"/>
      <c r="CF444" s="4"/>
      <c r="CG444" s="4"/>
      <c r="CH444" s="4"/>
      <c r="CI444" s="5">
        <v>41086</v>
      </c>
      <c r="CJ444" s="5">
        <v>41103</v>
      </c>
      <c r="CK444" s="5">
        <v>41087</v>
      </c>
      <c r="CL444" s="5">
        <v>41111</v>
      </c>
      <c r="CM444" s="5">
        <v>41106</v>
      </c>
      <c r="CN444" s="5">
        <v>41376</v>
      </c>
      <c r="CO444" s="5">
        <v>41360</v>
      </c>
      <c r="CP444" s="4" t="s">
        <v>712</v>
      </c>
      <c r="CQ444" s="4"/>
      <c r="CR444" s="5">
        <v>41086</v>
      </c>
      <c r="CS444" s="5">
        <v>41037</v>
      </c>
      <c r="CT444" s="5">
        <v>41037</v>
      </c>
      <c r="CU444" s="5">
        <v>41064</v>
      </c>
      <c r="CV444" s="5">
        <v>41064</v>
      </c>
      <c r="CW444" s="5">
        <v>41065</v>
      </c>
      <c r="CX444" s="5">
        <v>41065</v>
      </c>
      <c r="CY444" s="5">
        <v>41074</v>
      </c>
      <c r="CZ444" s="5">
        <v>41074</v>
      </c>
      <c r="DA444" s="4"/>
      <c r="DB444" s="4"/>
      <c r="DC444" s="4"/>
      <c r="DD444" s="4"/>
      <c r="DE444" s="4"/>
      <c r="DF444" s="4"/>
      <c r="DG444" s="4"/>
      <c r="DH444" s="4"/>
      <c r="DI444" s="5">
        <v>41072</v>
      </c>
      <c r="DJ444" s="4" t="b">
        <v>0</v>
      </c>
      <c r="DK444" s="4"/>
      <c r="DL444" s="4">
        <v>2677015</v>
      </c>
      <c r="DM444" s="4">
        <v>6467574</v>
      </c>
      <c r="DN444" s="4" t="s">
        <v>1464</v>
      </c>
      <c r="DO444" s="4"/>
      <c r="DP444" s="4" t="s">
        <v>1465</v>
      </c>
      <c r="DQ444" s="4" t="s">
        <v>148</v>
      </c>
      <c r="DR444" s="4"/>
      <c r="DS444" s="4"/>
      <c r="DT444" s="5">
        <v>41894</v>
      </c>
      <c r="DU444" s="4"/>
      <c r="DV444" s="4"/>
      <c r="DW444" s="4"/>
      <c r="DX444" s="4"/>
      <c r="DY444" s="4"/>
      <c r="DZ444" s="4"/>
      <c r="EA444" s="4"/>
      <c r="EB444" s="4"/>
      <c r="EC444" s="4"/>
      <c r="ED444" s="4"/>
      <c r="EE444" s="4"/>
      <c r="EF444" s="4"/>
      <c r="EG444" s="5">
        <v>41094</v>
      </c>
      <c r="EH444" s="5">
        <v>41093</v>
      </c>
      <c r="EI444" s="4"/>
    </row>
    <row r="445" spans="1:139" hidden="1" x14ac:dyDescent="0.2">
      <c r="A445">
        <f>VLOOKUP(B445,Sheet1!$A$1:$B$18,2,FALSE)</f>
        <v>0</v>
      </c>
      <c r="B445" t="str">
        <f t="shared" si="7"/>
        <v>AKL</v>
      </c>
      <c r="C445" s="2">
        <v>444</v>
      </c>
      <c r="D445" s="3" t="str">
        <f>HYPERLINK("https://sitebase.nzcomms.co.nz/spm/spmnominalview/AKL-008-084/","AKL-008-084")</f>
        <v>AKL-008-084</v>
      </c>
      <c r="E445" s="4" t="s">
        <v>1466</v>
      </c>
      <c r="F445" s="3" t="str">
        <f>HYPERLINK("https://sitebase.nzcomms.co.nz/spm/spmcandidateview/AKL-008-084-E/","AKL-008-084-E")</f>
        <v>AKL-008-084-E</v>
      </c>
      <c r="G445" s="4" t="s">
        <v>1467</v>
      </c>
      <c r="H445" s="4" t="s">
        <v>1296</v>
      </c>
      <c r="I445" s="4">
        <v>3</v>
      </c>
      <c r="J445" s="4" t="s">
        <v>194</v>
      </c>
      <c r="K445" s="4" t="s">
        <v>141</v>
      </c>
      <c r="L445" s="4" t="s">
        <v>181</v>
      </c>
      <c r="M445" s="4" t="s">
        <v>368</v>
      </c>
      <c r="N445" s="4" t="s">
        <v>181</v>
      </c>
      <c r="O445" s="4" t="s">
        <v>356</v>
      </c>
      <c r="P445" s="4" t="s">
        <v>182</v>
      </c>
      <c r="Q445" s="4" t="s">
        <v>170</v>
      </c>
      <c r="R445" s="4"/>
      <c r="S445" s="4">
        <v>10</v>
      </c>
      <c r="T445" s="4">
        <v>1</v>
      </c>
      <c r="U445" s="4">
        <v>-36.947914480000001</v>
      </c>
      <c r="V445" s="4">
        <v>174.77723756</v>
      </c>
      <c r="W445" s="4"/>
      <c r="X445" s="4"/>
      <c r="Y445" s="4"/>
      <c r="Z445" s="4"/>
      <c r="AA445" s="4"/>
      <c r="AB445" s="4"/>
      <c r="AC445" s="4" t="b">
        <v>0</v>
      </c>
      <c r="AD445" s="4" t="b">
        <v>0</v>
      </c>
      <c r="AE445" s="4"/>
      <c r="AF445" s="4"/>
      <c r="AG445" s="4" t="b">
        <v>0</v>
      </c>
      <c r="AH445" s="4"/>
      <c r="AI445" s="5">
        <v>40666</v>
      </c>
      <c r="AJ445" s="5">
        <v>40666</v>
      </c>
      <c r="AK445" s="5">
        <v>40728</v>
      </c>
      <c r="AL445" s="5">
        <v>40728</v>
      </c>
      <c r="AM445" s="5">
        <v>40805</v>
      </c>
      <c r="AN445" s="5">
        <v>40807</v>
      </c>
      <c r="AO445" s="4">
        <v>4</v>
      </c>
      <c r="AP445" s="5">
        <v>40805</v>
      </c>
      <c r="AQ445" s="5">
        <v>41050</v>
      </c>
      <c r="AR445" s="5">
        <v>40785</v>
      </c>
      <c r="AS445" s="5">
        <v>40766</v>
      </c>
      <c r="AT445" s="5">
        <v>40885</v>
      </c>
      <c r="AU445" s="5">
        <v>40879</v>
      </c>
      <c r="AV445" s="4"/>
      <c r="AW445" s="5">
        <v>40885</v>
      </c>
      <c r="AX445" s="5">
        <v>40879</v>
      </c>
      <c r="AY445" s="4" t="s">
        <v>183</v>
      </c>
      <c r="AZ445" s="5">
        <v>40850</v>
      </c>
      <c r="BA445" s="5">
        <v>40849</v>
      </c>
      <c r="BB445" s="5">
        <v>40991</v>
      </c>
      <c r="BC445" s="5">
        <v>40998</v>
      </c>
      <c r="BD445" s="4">
        <v>1</v>
      </c>
      <c r="BE445" s="5">
        <v>40991</v>
      </c>
      <c r="BF445" s="5">
        <v>40998</v>
      </c>
      <c r="BG445" s="4"/>
      <c r="BH445" s="4"/>
      <c r="BI445" s="4"/>
      <c r="BJ445" s="5">
        <v>41031</v>
      </c>
      <c r="BK445" s="4">
        <v>1</v>
      </c>
      <c r="BL445" s="4"/>
      <c r="BM445" s="4"/>
      <c r="BN445" s="5">
        <v>41031</v>
      </c>
      <c r="BO445" s="5">
        <v>41071</v>
      </c>
      <c r="BP445" s="4"/>
      <c r="BQ445" s="4"/>
      <c r="BR445" s="4"/>
      <c r="BS445" s="4"/>
      <c r="BT445" s="5">
        <v>41046</v>
      </c>
      <c r="BU445" s="5">
        <v>41051</v>
      </c>
      <c r="BV445" s="5">
        <v>41071</v>
      </c>
      <c r="BW445" s="5">
        <v>41074</v>
      </c>
      <c r="BX445" s="5">
        <v>41073</v>
      </c>
      <c r="BY445" s="5">
        <v>41085</v>
      </c>
      <c r="BZ445" s="5">
        <v>41085</v>
      </c>
      <c r="CA445" s="4"/>
      <c r="CB445" s="4"/>
      <c r="CC445" s="4"/>
      <c r="CD445" s="4"/>
      <c r="CE445" s="4"/>
      <c r="CF445" s="4"/>
      <c r="CG445" s="4"/>
      <c r="CH445" s="4"/>
      <c r="CI445" s="5">
        <v>41092</v>
      </c>
      <c r="CJ445" s="5">
        <v>41103</v>
      </c>
      <c r="CK445" s="5">
        <v>41095</v>
      </c>
      <c r="CL445" s="5">
        <v>41110</v>
      </c>
      <c r="CM445" s="5">
        <v>41109</v>
      </c>
      <c r="CN445" s="5">
        <v>41351</v>
      </c>
      <c r="CO445" s="5">
        <v>41354</v>
      </c>
      <c r="CP445" s="4" t="s">
        <v>1455</v>
      </c>
      <c r="CQ445" s="4"/>
      <c r="CR445" s="5">
        <v>41092</v>
      </c>
      <c r="CS445" s="5">
        <v>41071</v>
      </c>
      <c r="CT445" s="5">
        <v>41071</v>
      </c>
      <c r="CU445" s="5">
        <v>41071</v>
      </c>
      <c r="CV445" s="5">
        <v>41071</v>
      </c>
      <c r="CW445" s="5">
        <v>41040</v>
      </c>
      <c r="CX445" s="5">
        <v>41071</v>
      </c>
      <c r="CY445" s="5">
        <v>41078</v>
      </c>
      <c r="CZ445" s="5">
        <v>41088</v>
      </c>
      <c r="DA445" s="4"/>
      <c r="DB445" s="4"/>
      <c r="DC445" s="4"/>
      <c r="DD445" s="4"/>
      <c r="DE445" s="4"/>
      <c r="DF445" s="4"/>
      <c r="DG445" s="4"/>
      <c r="DH445" s="4"/>
      <c r="DI445" s="5">
        <v>41044</v>
      </c>
      <c r="DJ445" s="4" t="b">
        <v>0</v>
      </c>
      <c r="DK445" s="4"/>
      <c r="DL445" s="4">
        <v>2668660</v>
      </c>
      <c r="DM445" s="4">
        <v>6471125</v>
      </c>
      <c r="DN445" s="4" t="s">
        <v>1468</v>
      </c>
      <c r="DO445" s="4"/>
      <c r="DP445" s="4" t="s">
        <v>1469</v>
      </c>
      <c r="DQ445" s="4" t="s">
        <v>148</v>
      </c>
      <c r="DR445" s="4"/>
      <c r="DS445" s="4"/>
      <c r="DT445" s="5">
        <v>41863</v>
      </c>
      <c r="DU445" s="4"/>
      <c r="DV445" s="4"/>
      <c r="DW445" s="4"/>
      <c r="DX445" s="4"/>
      <c r="DY445" s="4"/>
      <c r="DZ445" s="4"/>
      <c r="EA445" s="4"/>
      <c r="EB445" s="4"/>
      <c r="EC445" s="4"/>
      <c r="ED445" s="4"/>
      <c r="EE445" s="4"/>
      <c r="EF445" s="4"/>
      <c r="EG445" s="5">
        <v>41096</v>
      </c>
      <c r="EH445" s="5">
        <v>41096</v>
      </c>
      <c r="EI445" s="4"/>
    </row>
    <row r="446" spans="1:139" hidden="1" x14ac:dyDescent="0.2">
      <c r="A446">
        <f>VLOOKUP(B446,Sheet1!$A$1:$B$18,2,FALSE)</f>
        <v>0</v>
      </c>
      <c r="B446" t="str">
        <f t="shared" si="7"/>
        <v>AKL</v>
      </c>
      <c r="C446" s="2">
        <v>445</v>
      </c>
      <c r="D446" s="3" t="str">
        <f>HYPERLINK("https://sitebase.nzcomms.co.nz/spm/spmnominalview/AKL-008-085/","AKL-008-085")</f>
        <v>AKL-008-085</v>
      </c>
      <c r="E446" s="4" t="s">
        <v>1470</v>
      </c>
      <c r="F446" s="3" t="str">
        <f>HYPERLINK("https://sitebase.nzcomms.co.nz/spm/spmcandidateview/AKL-008-085-C/","AKL-008-085-C")</f>
        <v>AKL-008-085-C</v>
      </c>
      <c r="G446" s="4" t="s">
        <v>1471</v>
      </c>
      <c r="H446" s="4" t="s">
        <v>1296</v>
      </c>
      <c r="I446" s="4">
        <v>3</v>
      </c>
      <c r="J446" s="4" t="s">
        <v>194</v>
      </c>
      <c r="K446" s="4" t="s">
        <v>141</v>
      </c>
      <c r="L446" s="4" t="s">
        <v>189</v>
      </c>
      <c r="M446" s="4" t="s">
        <v>368</v>
      </c>
      <c r="N446" s="4" t="s">
        <v>191</v>
      </c>
      <c r="O446" s="4" t="s">
        <v>297</v>
      </c>
      <c r="P446" s="4" t="s">
        <v>182</v>
      </c>
      <c r="Q446" s="4" t="s">
        <v>192</v>
      </c>
      <c r="R446" s="4">
        <v>14.1</v>
      </c>
      <c r="S446" s="4">
        <v>14.6</v>
      </c>
      <c r="T446" s="4">
        <v>1</v>
      </c>
      <c r="U446" s="4">
        <v>-36.96154447</v>
      </c>
      <c r="V446" s="4">
        <v>174.92608317</v>
      </c>
      <c r="W446" s="4"/>
      <c r="X446" s="4"/>
      <c r="Y446" s="4"/>
      <c r="Z446" s="4"/>
      <c r="AA446" s="4" t="s">
        <v>171</v>
      </c>
      <c r="AB446" s="3" t="str">
        <f>HYPERLINK("https://sitebase.nzcomms.co.nz/spm/spmcandidateview/AKL-008-043-C/","AKL-008-043-C")</f>
        <v>AKL-008-043-C</v>
      </c>
      <c r="AC446" s="4" t="b">
        <v>0</v>
      </c>
      <c r="AD446" s="4" t="b">
        <v>0</v>
      </c>
      <c r="AE446" s="4"/>
      <c r="AF446" s="4"/>
      <c r="AG446" s="4" t="b">
        <v>0</v>
      </c>
      <c r="AH446" s="4" t="s">
        <v>1472</v>
      </c>
      <c r="AI446" s="5">
        <v>40667</v>
      </c>
      <c r="AJ446" s="5">
        <v>40667</v>
      </c>
      <c r="AK446" s="5">
        <v>40673</v>
      </c>
      <c r="AL446" s="5">
        <v>40668</v>
      </c>
      <c r="AM446" s="5">
        <v>40721</v>
      </c>
      <c r="AN446" s="5">
        <v>40716</v>
      </c>
      <c r="AO446" s="4">
        <v>3</v>
      </c>
      <c r="AP446" s="5">
        <v>40721</v>
      </c>
      <c r="AQ446" s="5">
        <v>40794</v>
      </c>
      <c r="AR446" s="5">
        <v>40954</v>
      </c>
      <c r="AS446" s="5">
        <v>40948</v>
      </c>
      <c r="AT446" s="5">
        <v>40956</v>
      </c>
      <c r="AU446" s="5">
        <v>40963</v>
      </c>
      <c r="AV446" s="4"/>
      <c r="AW446" s="5">
        <v>40963</v>
      </c>
      <c r="AX446" s="5">
        <v>40969</v>
      </c>
      <c r="AY446" s="4" t="s">
        <v>183</v>
      </c>
      <c r="AZ446" s="5">
        <v>40752</v>
      </c>
      <c r="BA446" s="5">
        <v>40753</v>
      </c>
      <c r="BB446" s="5">
        <v>40794</v>
      </c>
      <c r="BC446" s="5">
        <v>40785</v>
      </c>
      <c r="BD446" s="4">
        <v>1</v>
      </c>
      <c r="BE446" s="5">
        <v>40801</v>
      </c>
      <c r="BF446" s="5">
        <v>40785</v>
      </c>
      <c r="BG446" s="4"/>
      <c r="BH446" s="4"/>
      <c r="BI446" s="5">
        <v>40980</v>
      </c>
      <c r="BJ446" s="5">
        <v>40990</v>
      </c>
      <c r="BK446" s="4">
        <v>1</v>
      </c>
      <c r="BL446" s="4"/>
      <c r="BM446" s="4"/>
      <c r="BN446" s="5">
        <v>40990</v>
      </c>
      <c r="BO446" s="5">
        <v>41001</v>
      </c>
      <c r="BP446" s="4"/>
      <c r="BQ446" s="4"/>
      <c r="BR446" s="4"/>
      <c r="BS446" s="4"/>
      <c r="BT446" s="5">
        <v>41001</v>
      </c>
      <c r="BU446" s="5">
        <v>40995</v>
      </c>
      <c r="BV446" s="5">
        <v>41004</v>
      </c>
      <c r="BW446" s="5">
        <v>41004</v>
      </c>
      <c r="BX446" s="5">
        <v>41004</v>
      </c>
      <c r="BY446" s="5">
        <v>41012</v>
      </c>
      <c r="BZ446" s="5">
        <v>41011</v>
      </c>
      <c r="CA446" s="4"/>
      <c r="CB446" s="4"/>
      <c r="CC446" s="4"/>
      <c r="CD446" s="4"/>
      <c r="CE446" s="4"/>
      <c r="CF446" s="4"/>
      <c r="CG446" s="4"/>
      <c r="CH446" s="4"/>
      <c r="CI446" s="5">
        <v>41012</v>
      </c>
      <c r="CJ446" s="5">
        <v>41012</v>
      </c>
      <c r="CK446" s="5">
        <v>41013</v>
      </c>
      <c r="CL446" s="5">
        <v>41052</v>
      </c>
      <c r="CM446" s="5">
        <v>41033</v>
      </c>
      <c r="CN446" s="5">
        <v>41123</v>
      </c>
      <c r="CO446" s="5">
        <v>41155</v>
      </c>
      <c r="CP446" s="4" t="s">
        <v>1473</v>
      </c>
      <c r="CQ446" s="4"/>
      <c r="CR446" s="5">
        <v>41012</v>
      </c>
      <c r="CS446" s="5">
        <v>41001</v>
      </c>
      <c r="CT446" s="5">
        <v>41001</v>
      </c>
      <c r="CU446" s="5">
        <v>41001</v>
      </c>
      <c r="CV446" s="5">
        <v>41001</v>
      </c>
      <c r="CW446" s="5">
        <v>41001</v>
      </c>
      <c r="CX446" s="5">
        <v>41001</v>
      </c>
      <c r="CY446" s="5">
        <v>41004</v>
      </c>
      <c r="CZ446" s="5">
        <v>41010</v>
      </c>
      <c r="DA446" s="4"/>
      <c r="DB446" s="4"/>
      <c r="DC446" s="4"/>
      <c r="DD446" s="4"/>
      <c r="DE446" s="4"/>
      <c r="DF446" s="4"/>
      <c r="DG446" s="4"/>
      <c r="DH446" s="4"/>
      <c r="DI446" s="5">
        <v>41004</v>
      </c>
      <c r="DJ446" s="4" t="b">
        <v>0</v>
      </c>
      <c r="DK446" s="4"/>
      <c r="DL446" s="4">
        <v>2681881</v>
      </c>
      <c r="DM446" s="4">
        <v>6469329</v>
      </c>
      <c r="DN446" s="4" t="s">
        <v>1474</v>
      </c>
      <c r="DO446" s="4"/>
      <c r="DP446" s="4" t="s">
        <v>1475</v>
      </c>
      <c r="DQ446" s="4" t="s">
        <v>148</v>
      </c>
      <c r="DR446" s="4"/>
      <c r="DS446" s="4"/>
      <c r="DT446" s="5">
        <v>41894</v>
      </c>
      <c r="DU446" s="4"/>
      <c r="DV446" s="4"/>
      <c r="DW446" s="4"/>
      <c r="DX446" s="4"/>
      <c r="DY446" s="4"/>
      <c r="DZ446" s="4"/>
      <c r="EA446" s="4"/>
      <c r="EB446" s="4"/>
      <c r="EC446" s="4"/>
      <c r="ED446" s="4"/>
      <c r="EE446" s="4"/>
      <c r="EF446" s="4"/>
      <c r="EG446" s="5">
        <v>41023</v>
      </c>
      <c r="EH446" s="5">
        <v>41023</v>
      </c>
      <c r="EI446" s="4"/>
    </row>
    <row r="447" spans="1:139" hidden="1" x14ac:dyDescent="0.2">
      <c r="A447">
        <f>VLOOKUP(B447,Sheet1!$A$1:$B$18,2,FALSE)</f>
        <v>0</v>
      </c>
      <c r="B447" t="str">
        <f t="shared" si="7"/>
        <v>AKL</v>
      </c>
      <c r="C447" s="2">
        <v>446</v>
      </c>
      <c r="D447" s="3" t="str">
        <f>HYPERLINK("https://sitebase.nzcomms.co.nz/spm/spmnominalview/AKL-008-086/","AKL-008-086")</f>
        <v>AKL-008-086</v>
      </c>
      <c r="E447" s="4" t="s">
        <v>1476</v>
      </c>
      <c r="F447" s="3" t="str">
        <f>HYPERLINK("https://sitebase.nzcomms.co.nz/spm/spmcandidateview/AKL-008-086-F/","AKL-008-086-F")</f>
        <v>AKL-008-086-F</v>
      </c>
      <c r="G447" s="4" t="s">
        <v>1477</v>
      </c>
      <c r="H447" s="4" t="s">
        <v>1296</v>
      </c>
      <c r="I447" s="4">
        <v>3</v>
      </c>
      <c r="J447" s="4" t="s">
        <v>194</v>
      </c>
      <c r="K447" s="4" t="s">
        <v>141</v>
      </c>
      <c r="L447" s="4" t="s">
        <v>189</v>
      </c>
      <c r="M447" s="4" t="s">
        <v>571</v>
      </c>
      <c r="N447" s="4" t="s">
        <v>191</v>
      </c>
      <c r="O447" s="4" t="s">
        <v>297</v>
      </c>
      <c r="P447" s="4" t="s">
        <v>182</v>
      </c>
      <c r="Q447" s="4" t="s">
        <v>192</v>
      </c>
      <c r="R447" s="4">
        <v>15.5</v>
      </c>
      <c r="S447" s="4">
        <v>16</v>
      </c>
      <c r="T447" s="4">
        <v>1</v>
      </c>
      <c r="U447" s="4">
        <v>-36.965208830000002</v>
      </c>
      <c r="V447" s="4">
        <v>174.81509625999999</v>
      </c>
      <c r="W447" s="4"/>
      <c r="X447" s="4"/>
      <c r="Y447" s="4"/>
      <c r="Z447" s="4"/>
      <c r="AA447" s="4" t="s">
        <v>171</v>
      </c>
      <c r="AB447" s="3" t="str">
        <f>HYPERLINK("https://sitebase.nzcomms.co.nz/spm/spmcandidateview/AKL-008-013-F/","AKL-008-013-F")</f>
        <v>AKL-008-013-F</v>
      </c>
      <c r="AC447" s="4" t="b">
        <v>0</v>
      </c>
      <c r="AD447" s="4" t="b">
        <v>0</v>
      </c>
      <c r="AE447" s="4"/>
      <c r="AF447" s="4"/>
      <c r="AG447" s="4" t="b">
        <v>0</v>
      </c>
      <c r="AH447" s="4" t="s">
        <v>1478</v>
      </c>
      <c r="AI447" s="5">
        <v>40666</v>
      </c>
      <c r="AJ447" s="5">
        <v>40666</v>
      </c>
      <c r="AK447" s="5">
        <v>40708</v>
      </c>
      <c r="AL447" s="5">
        <v>40702</v>
      </c>
      <c r="AM447" s="5">
        <v>40752</v>
      </c>
      <c r="AN447" s="5">
        <v>40756</v>
      </c>
      <c r="AO447" s="4">
        <v>1</v>
      </c>
      <c r="AP447" s="5">
        <v>40752</v>
      </c>
      <c r="AQ447" s="5">
        <v>40756</v>
      </c>
      <c r="AR447" s="5">
        <v>40954</v>
      </c>
      <c r="AS447" s="5">
        <v>40948</v>
      </c>
      <c r="AT447" s="5">
        <v>40956</v>
      </c>
      <c r="AU447" s="5">
        <v>40963</v>
      </c>
      <c r="AV447" s="4"/>
      <c r="AW447" s="5">
        <v>40963</v>
      </c>
      <c r="AX447" s="5">
        <v>40969</v>
      </c>
      <c r="AY447" s="4" t="s">
        <v>193</v>
      </c>
      <c r="AZ447" s="5">
        <v>40756</v>
      </c>
      <c r="BA447" s="5">
        <v>40759</v>
      </c>
      <c r="BB447" s="5">
        <v>40798</v>
      </c>
      <c r="BC447" s="5">
        <v>40779</v>
      </c>
      <c r="BD447" s="4">
        <v>1</v>
      </c>
      <c r="BE447" s="5">
        <v>40805</v>
      </c>
      <c r="BF447" s="5">
        <v>40793</v>
      </c>
      <c r="BG447" s="4"/>
      <c r="BH447" s="4"/>
      <c r="BI447" s="4"/>
      <c r="BJ447" s="5">
        <v>41103</v>
      </c>
      <c r="BK447" s="4">
        <v>1</v>
      </c>
      <c r="BL447" s="4"/>
      <c r="BM447" s="4"/>
      <c r="BN447" s="5">
        <v>41103</v>
      </c>
      <c r="BO447" s="5">
        <v>41111</v>
      </c>
      <c r="BP447" s="4"/>
      <c r="BQ447" s="4"/>
      <c r="BR447" s="4"/>
      <c r="BS447" s="4"/>
      <c r="BT447" s="5">
        <v>41107</v>
      </c>
      <c r="BU447" s="5">
        <v>41109</v>
      </c>
      <c r="BV447" s="5">
        <v>41117</v>
      </c>
      <c r="BW447" s="5">
        <v>41121</v>
      </c>
      <c r="BX447" s="5">
        <v>41114</v>
      </c>
      <c r="BY447" s="5">
        <v>41124</v>
      </c>
      <c r="BZ447" s="5">
        <v>41127</v>
      </c>
      <c r="CA447" s="4"/>
      <c r="CB447" s="4"/>
      <c r="CC447" s="4"/>
      <c r="CD447" s="4"/>
      <c r="CE447" s="4"/>
      <c r="CF447" s="4"/>
      <c r="CG447" s="4"/>
      <c r="CH447" s="4"/>
      <c r="CI447" s="5">
        <v>41128</v>
      </c>
      <c r="CJ447" s="5">
        <v>41135</v>
      </c>
      <c r="CK447" s="5">
        <v>41135</v>
      </c>
      <c r="CL447" s="5">
        <v>41188</v>
      </c>
      <c r="CM447" s="5">
        <v>41149</v>
      </c>
      <c r="CN447" s="5">
        <v>41361</v>
      </c>
      <c r="CO447" s="5">
        <v>41354</v>
      </c>
      <c r="CP447" s="4" t="s">
        <v>712</v>
      </c>
      <c r="CQ447" s="4"/>
      <c r="CR447" s="5">
        <v>41127</v>
      </c>
      <c r="CS447" s="5">
        <v>41111</v>
      </c>
      <c r="CT447" s="5">
        <v>41111</v>
      </c>
      <c r="CU447" s="5">
        <v>41111</v>
      </c>
      <c r="CV447" s="5">
        <v>41111</v>
      </c>
      <c r="CW447" s="5">
        <v>41111</v>
      </c>
      <c r="CX447" s="5">
        <v>41111</v>
      </c>
      <c r="CY447" s="5">
        <v>41130</v>
      </c>
      <c r="CZ447" s="5">
        <v>41127</v>
      </c>
      <c r="DA447" s="4"/>
      <c r="DB447" s="5">
        <v>41127</v>
      </c>
      <c r="DC447" s="4"/>
      <c r="DD447" s="4"/>
      <c r="DE447" s="4"/>
      <c r="DF447" s="4"/>
      <c r="DG447" s="4"/>
      <c r="DH447" s="4" t="s">
        <v>174</v>
      </c>
      <c r="DI447" s="5">
        <v>41114</v>
      </c>
      <c r="DJ447" s="4" t="b">
        <v>0</v>
      </c>
      <c r="DK447" s="4"/>
      <c r="DL447" s="4">
        <v>2671991</v>
      </c>
      <c r="DM447" s="4">
        <v>6469136</v>
      </c>
      <c r="DN447" s="4" t="s">
        <v>1479</v>
      </c>
      <c r="DO447" s="4"/>
      <c r="DP447" s="4" t="s">
        <v>1480</v>
      </c>
      <c r="DQ447" s="4" t="s">
        <v>148</v>
      </c>
      <c r="DR447" s="4"/>
      <c r="DS447" s="4"/>
      <c r="DT447" s="5">
        <v>41894</v>
      </c>
      <c r="DU447" s="4"/>
      <c r="DV447" s="4"/>
      <c r="DW447" s="4"/>
      <c r="DX447" s="4"/>
      <c r="DY447" s="4"/>
      <c r="DZ447" s="4"/>
      <c r="EA447" s="4"/>
      <c r="EB447" s="4"/>
      <c r="EC447" s="4"/>
      <c r="ED447" s="4"/>
      <c r="EE447" s="4"/>
      <c r="EF447" s="4"/>
      <c r="EG447" s="5">
        <v>41137</v>
      </c>
      <c r="EH447" s="5">
        <v>41131</v>
      </c>
      <c r="EI447" s="4"/>
    </row>
    <row r="448" spans="1:139" hidden="1" x14ac:dyDescent="0.2">
      <c r="A448">
        <f>VLOOKUP(B448,Sheet1!$A$1:$B$18,2,FALSE)</f>
        <v>0</v>
      </c>
      <c r="B448" t="str">
        <f t="shared" si="7"/>
        <v>AKL</v>
      </c>
      <c r="C448" s="2">
        <v>447</v>
      </c>
      <c r="D448" s="3" t="str">
        <f>HYPERLINK("https://sitebase.nzcomms.co.nz/spm/spmnominalview/AKL-008-087/","AKL-008-087")</f>
        <v>AKL-008-087</v>
      </c>
      <c r="E448" s="4" t="s">
        <v>1481</v>
      </c>
      <c r="F448" s="3" t="str">
        <f>HYPERLINK("https://sitebase.nzcomms.co.nz/spm/spmcandidateview/AKL-008-087-C/","AKL-008-087-C")</f>
        <v>AKL-008-087-C</v>
      </c>
      <c r="G448" s="4" t="s">
        <v>1481</v>
      </c>
      <c r="H448" s="4" t="s">
        <v>1296</v>
      </c>
      <c r="I448" s="4">
        <v>3</v>
      </c>
      <c r="J448" s="4" t="s">
        <v>194</v>
      </c>
      <c r="K448" s="4" t="s">
        <v>141</v>
      </c>
      <c r="L448" s="4" t="s">
        <v>189</v>
      </c>
      <c r="M448" s="4" t="s">
        <v>190</v>
      </c>
      <c r="N448" s="4" t="s">
        <v>191</v>
      </c>
      <c r="O448" s="4" t="s">
        <v>297</v>
      </c>
      <c r="P448" s="4" t="s">
        <v>182</v>
      </c>
      <c r="Q448" s="4" t="s">
        <v>192</v>
      </c>
      <c r="R448" s="4">
        <v>11.2</v>
      </c>
      <c r="S448" s="4">
        <v>11.7</v>
      </c>
      <c r="T448" s="4">
        <v>1</v>
      </c>
      <c r="U448" s="4">
        <v>-37.005473189999996</v>
      </c>
      <c r="V448" s="4">
        <v>174.92471405000001</v>
      </c>
      <c r="W448" s="4"/>
      <c r="X448" s="4"/>
      <c r="Y448" s="4"/>
      <c r="Z448" s="4"/>
      <c r="AA448" s="4" t="s">
        <v>171</v>
      </c>
      <c r="AB448" s="3" t="str">
        <f>HYPERLINK("https://sitebase.nzcomms.co.nz/spm/spmcandidateview/AKL-008-058-D/","AKL-008-058-D")</f>
        <v>AKL-008-058-D</v>
      </c>
      <c r="AC448" s="4" t="b">
        <v>0</v>
      </c>
      <c r="AD448" s="4" t="b">
        <v>0</v>
      </c>
      <c r="AE448" s="4"/>
      <c r="AF448" s="4"/>
      <c r="AG448" s="4" t="b">
        <v>0</v>
      </c>
      <c r="AH448" s="4"/>
      <c r="AI448" s="5">
        <v>40667</v>
      </c>
      <c r="AJ448" s="5">
        <v>40667</v>
      </c>
      <c r="AK448" s="5">
        <v>40673</v>
      </c>
      <c r="AL448" s="5">
        <v>40674</v>
      </c>
      <c r="AM448" s="5">
        <v>40721</v>
      </c>
      <c r="AN448" s="5">
        <v>40716</v>
      </c>
      <c r="AO448" s="4">
        <v>7</v>
      </c>
      <c r="AP448" s="5">
        <v>40721</v>
      </c>
      <c r="AQ448" s="5">
        <v>42125</v>
      </c>
      <c r="AR448" s="5">
        <v>40954</v>
      </c>
      <c r="AS448" s="5">
        <v>40948</v>
      </c>
      <c r="AT448" s="5">
        <v>40956</v>
      </c>
      <c r="AU448" s="5">
        <v>40963</v>
      </c>
      <c r="AV448" s="4"/>
      <c r="AW448" s="5">
        <v>40963</v>
      </c>
      <c r="AX448" s="5">
        <v>40969</v>
      </c>
      <c r="AY448" s="4" t="s">
        <v>193</v>
      </c>
      <c r="AZ448" s="5">
        <v>40746</v>
      </c>
      <c r="BA448" s="5">
        <v>40753</v>
      </c>
      <c r="BB448" s="5">
        <v>40788</v>
      </c>
      <c r="BC448" s="5">
        <v>40780</v>
      </c>
      <c r="BD448" s="4">
        <v>1</v>
      </c>
      <c r="BE448" s="5">
        <v>40795</v>
      </c>
      <c r="BF448" s="5">
        <v>40780</v>
      </c>
      <c r="BG448" s="4"/>
      <c r="BH448" s="4"/>
      <c r="BI448" s="5">
        <v>41060</v>
      </c>
      <c r="BJ448" s="5">
        <v>41057</v>
      </c>
      <c r="BK448" s="4">
        <v>1</v>
      </c>
      <c r="BL448" s="4"/>
      <c r="BM448" s="5">
        <v>41060</v>
      </c>
      <c r="BN448" s="5">
        <v>41057</v>
      </c>
      <c r="BO448" s="5">
        <v>41093</v>
      </c>
      <c r="BP448" s="4"/>
      <c r="BQ448" s="4"/>
      <c r="BR448" s="4"/>
      <c r="BS448" s="4"/>
      <c r="BT448" s="5">
        <v>41092</v>
      </c>
      <c r="BU448" s="5">
        <v>41092</v>
      </c>
      <c r="BV448" s="5">
        <v>41138</v>
      </c>
      <c r="BW448" s="5">
        <v>41136</v>
      </c>
      <c r="BX448" s="5">
        <v>41141</v>
      </c>
      <c r="BY448" s="5">
        <v>41145</v>
      </c>
      <c r="BZ448" s="5">
        <v>41149</v>
      </c>
      <c r="CA448" s="4"/>
      <c r="CB448" s="5">
        <v>41149</v>
      </c>
      <c r="CC448" s="4"/>
      <c r="CD448" s="4"/>
      <c r="CE448" s="4"/>
      <c r="CF448" s="4"/>
      <c r="CG448" s="4"/>
      <c r="CH448" s="4"/>
      <c r="CI448" s="5">
        <v>41149</v>
      </c>
      <c r="CJ448" s="5">
        <v>41176</v>
      </c>
      <c r="CK448" s="5">
        <v>41165</v>
      </c>
      <c r="CL448" s="5">
        <v>41184</v>
      </c>
      <c r="CM448" s="5">
        <v>41166</v>
      </c>
      <c r="CN448" s="5">
        <v>41411</v>
      </c>
      <c r="CO448" s="5">
        <v>41404</v>
      </c>
      <c r="CP448" s="4"/>
      <c r="CQ448" s="4"/>
      <c r="CR448" s="5">
        <v>41148</v>
      </c>
      <c r="CS448" s="5">
        <v>41093</v>
      </c>
      <c r="CT448" s="5">
        <v>41093</v>
      </c>
      <c r="CU448" s="5">
        <v>41093</v>
      </c>
      <c r="CV448" s="5">
        <v>41093</v>
      </c>
      <c r="CW448" s="5">
        <v>41093</v>
      </c>
      <c r="CX448" s="5">
        <v>41093</v>
      </c>
      <c r="CY448" s="5">
        <v>41142</v>
      </c>
      <c r="CZ448" s="5">
        <v>41143</v>
      </c>
      <c r="DA448" s="5">
        <v>41162</v>
      </c>
      <c r="DB448" s="5">
        <v>41180</v>
      </c>
      <c r="DC448" s="4"/>
      <c r="DD448" s="4"/>
      <c r="DE448" s="4"/>
      <c r="DF448" s="4"/>
      <c r="DG448" s="4"/>
      <c r="DH448" s="4" t="s">
        <v>174</v>
      </c>
      <c r="DI448" s="5">
        <v>41141</v>
      </c>
      <c r="DJ448" s="4" t="b">
        <v>0</v>
      </c>
      <c r="DK448" s="4"/>
      <c r="DL448" s="4">
        <v>2681651</v>
      </c>
      <c r="DM448" s="4">
        <v>6464458</v>
      </c>
      <c r="DN448" s="4" t="s">
        <v>1482</v>
      </c>
      <c r="DO448" s="4"/>
      <c r="DP448" s="4" t="s">
        <v>1483</v>
      </c>
      <c r="DQ448" s="4" t="s">
        <v>148</v>
      </c>
      <c r="DR448" s="4"/>
      <c r="DS448" s="4"/>
      <c r="DT448" s="5">
        <v>42348</v>
      </c>
      <c r="DU448" s="4"/>
      <c r="DV448" s="4"/>
      <c r="DW448" s="4"/>
      <c r="DX448" s="4"/>
      <c r="DY448" s="4"/>
      <c r="DZ448" s="4"/>
      <c r="EA448" s="4"/>
      <c r="EB448" s="4"/>
      <c r="EC448" s="4"/>
      <c r="ED448" s="4"/>
      <c r="EE448" s="4"/>
      <c r="EF448" s="4"/>
      <c r="EG448" s="5">
        <v>41152</v>
      </c>
      <c r="EH448" s="5">
        <v>41152</v>
      </c>
      <c r="EI448" s="4"/>
    </row>
    <row r="449" spans="1:139" hidden="1" x14ac:dyDescent="0.2">
      <c r="A449">
        <f>VLOOKUP(B449,Sheet1!$A$1:$B$18,2,FALSE)</f>
        <v>0</v>
      </c>
      <c r="B449" t="str">
        <f t="shared" si="7"/>
        <v>AKL</v>
      </c>
      <c r="C449" s="2">
        <v>448</v>
      </c>
      <c r="D449" s="3" t="str">
        <f>HYPERLINK("https://sitebase.nzcomms.co.nz/spm/spmnominalview/AKL-008-088/","AKL-008-088")</f>
        <v>AKL-008-088</v>
      </c>
      <c r="E449" s="4" t="s">
        <v>1484</v>
      </c>
      <c r="F449" s="3" t="str">
        <f>HYPERLINK("https://sitebase.nzcomms.co.nz/spm/spmcandidateview/AKL-008-088-A/","AKL-008-088-A")</f>
        <v>AKL-008-088-A</v>
      </c>
      <c r="G449" s="4" t="s">
        <v>1485</v>
      </c>
      <c r="H449" s="4" t="s">
        <v>1296</v>
      </c>
      <c r="I449" s="4"/>
      <c r="J449" s="4" t="s">
        <v>317</v>
      </c>
      <c r="K449" s="4" t="s">
        <v>141</v>
      </c>
      <c r="L449" s="4" t="s">
        <v>181</v>
      </c>
      <c r="M449" s="4" t="s">
        <v>1486</v>
      </c>
      <c r="N449" s="4" t="s">
        <v>181</v>
      </c>
      <c r="O449" s="4"/>
      <c r="P449" s="4"/>
      <c r="Q449" s="4" t="s">
        <v>192</v>
      </c>
      <c r="R449" s="4"/>
      <c r="S449" s="4"/>
      <c r="T449" s="4"/>
      <c r="U449" s="4">
        <v>-36.971773130000003</v>
      </c>
      <c r="V449" s="4">
        <v>174.86036978000001</v>
      </c>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t="s">
        <v>1487</v>
      </c>
      <c r="CQ449" s="4"/>
      <c r="CR449" s="4"/>
      <c r="CS449" s="4"/>
      <c r="CT449" s="4"/>
      <c r="CU449" s="4"/>
      <c r="CV449" s="4"/>
      <c r="CW449" s="4"/>
      <c r="CX449" s="4"/>
      <c r="CY449" s="4"/>
      <c r="CZ449" s="4"/>
      <c r="DA449" s="4"/>
      <c r="DB449" s="4"/>
      <c r="DC449" s="4"/>
      <c r="DD449" s="4"/>
      <c r="DE449" s="4"/>
      <c r="DF449" s="4"/>
      <c r="DG449" s="4"/>
      <c r="DH449" s="4"/>
      <c r="DI449" s="4"/>
      <c r="DJ449" s="4" t="b">
        <v>0</v>
      </c>
      <c r="DK449" s="4"/>
      <c r="DL449" s="4">
        <v>2676006</v>
      </c>
      <c r="DM449" s="4">
        <v>6468322</v>
      </c>
      <c r="DN449" s="4" t="s">
        <v>1488</v>
      </c>
      <c r="DO449" s="4"/>
      <c r="DP449" s="4"/>
      <c r="DQ449" s="4" t="s">
        <v>740</v>
      </c>
      <c r="DR449" s="4"/>
      <c r="DS449" s="4"/>
      <c r="DT449" s="4"/>
      <c r="DU449" s="4"/>
      <c r="DV449" s="4"/>
      <c r="DW449" s="4"/>
      <c r="DX449" s="4"/>
      <c r="DY449" s="4"/>
      <c r="DZ449" s="4"/>
      <c r="EA449" s="4"/>
      <c r="EB449" s="4"/>
      <c r="EC449" s="4"/>
      <c r="ED449" s="4"/>
      <c r="EE449" s="4"/>
      <c r="EF449" s="4"/>
      <c r="EG449" s="4"/>
      <c r="EH449" s="4"/>
      <c r="EI449" s="4"/>
    </row>
    <row r="450" spans="1:139" hidden="1" x14ac:dyDescent="0.2">
      <c r="A450">
        <f>VLOOKUP(B450,Sheet1!$A$1:$B$18,2,FALSE)</f>
        <v>0</v>
      </c>
      <c r="B450" t="str">
        <f t="shared" si="7"/>
        <v>AKL</v>
      </c>
      <c r="C450" s="2">
        <v>449</v>
      </c>
      <c r="D450" s="3" t="str">
        <f>HYPERLINK("https://sitebase.nzcomms.co.nz/spm/spmnominalview/AKL-008-089/","AKL-008-089")</f>
        <v>AKL-008-089</v>
      </c>
      <c r="E450" s="4" t="s">
        <v>1489</v>
      </c>
      <c r="F450" s="4"/>
      <c r="G450" s="4"/>
      <c r="H450" s="4" t="s">
        <v>1296</v>
      </c>
      <c r="I450" s="4"/>
      <c r="J450" s="4" t="s">
        <v>722</v>
      </c>
      <c r="K450" s="4"/>
      <c r="L450" s="4"/>
      <c r="M450" s="4"/>
      <c r="N450" s="4"/>
      <c r="O450" s="4"/>
      <c r="P450" s="4"/>
      <c r="Q450" s="4"/>
      <c r="R450" s="4"/>
      <c r="S450" s="4"/>
      <c r="T450" s="4"/>
      <c r="U450" s="4"/>
      <c r="V450" s="4"/>
      <c r="W450" s="4"/>
      <c r="X450" s="4"/>
      <c r="Y450" s="4"/>
      <c r="Z450" s="4"/>
      <c r="AA450" s="4"/>
      <c r="AB450" s="4"/>
      <c r="AC450" s="4"/>
      <c r="AD450" s="4"/>
      <c r="AE450" s="4"/>
      <c r="AF450" s="4"/>
      <c r="AG450" s="4" t="b">
        <v>0</v>
      </c>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row>
    <row r="451" spans="1:139" hidden="1" x14ac:dyDescent="0.2">
      <c r="A451">
        <f>VLOOKUP(B451,Sheet1!$A$1:$B$18,2,FALSE)</f>
        <v>0</v>
      </c>
      <c r="B451" t="str">
        <f t="shared" ref="B451:B514" si="8">LEFT(D451,3)</f>
        <v>AKL</v>
      </c>
      <c r="C451" s="2">
        <v>450</v>
      </c>
      <c r="D451" s="3" t="str">
        <f>HYPERLINK("https://sitebase.nzcomms.co.nz/spm/spmnominalview/AKL-008-090/","AKL-008-090")</f>
        <v>AKL-008-090</v>
      </c>
      <c r="E451" s="4" t="s">
        <v>1490</v>
      </c>
      <c r="F451" s="3" t="str">
        <f>HYPERLINK("https://sitebase.nzcomms.co.nz/spm/spmcandidateview/AKL-008-090-A/","AKL-008-090-A")</f>
        <v>AKL-008-090-A</v>
      </c>
      <c r="G451" s="4" t="s">
        <v>1491</v>
      </c>
      <c r="H451" s="4" t="s">
        <v>1296</v>
      </c>
      <c r="I451" s="4"/>
      <c r="J451" s="4" t="s">
        <v>317</v>
      </c>
      <c r="K451" s="4" t="s">
        <v>141</v>
      </c>
      <c r="L451" s="4" t="s">
        <v>1124</v>
      </c>
      <c r="M451" s="4" t="s">
        <v>738</v>
      </c>
      <c r="N451" s="4" t="s">
        <v>364</v>
      </c>
      <c r="O451" s="4"/>
      <c r="P451" s="4"/>
      <c r="Q451" s="4" t="s">
        <v>192</v>
      </c>
      <c r="R451" s="4"/>
      <c r="S451" s="4"/>
      <c r="T451" s="4"/>
      <c r="U451" s="4">
        <v>-37.021377700000002</v>
      </c>
      <c r="V451" s="4">
        <v>174.957629</v>
      </c>
      <c r="W451" s="4"/>
      <c r="X451" s="4"/>
      <c r="Y451" s="4"/>
      <c r="Z451" s="4"/>
      <c r="AA451" s="4"/>
      <c r="AB451" s="4"/>
      <c r="AC451" s="4"/>
      <c r="AD451" s="4"/>
      <c r="AE451" s="4"/>
      <c r="AF451" s="4"/>
      <c r="AG451" s="4"/>
      <c r="AH451" s="4"/>
      <c r="AI451" s="5">
        <v>40826</v>
      </c>
      <c r="AJ451" s="5">
        <v>40826</v>
      </c>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5">
        <v>40828</v>
      </c>
      <c r="CL451" s="4"/>
      <c r="CM451" s="4"/>
      <c r="CN451" s="4"/>
      <c r="CO451" s="4"/>
      <c r="CP451" s="4" t="s">
        <v>1492</v>
      </c>
      <c r="CQ451" s="4"/>
      <c r="CR451" s="4"/>
      <c r="CS451" s="4"/>
      <c r="CT451" s="4"/>
      <c r="CU451" s="4"/>
      <c r="CV451" s="4"/>
      <c r="CW451" s="4"/>
      <c r="CX451" s="4"/>
      <c r="CY451" s="4"/>
      <c r="CZ451" s="4"/>
      <c r="DA451" s="4"/>
      <c r="DB451" s="4"/>
      <c r="DC451" s="4"/>
      <c r="DD451" s="4"/>
      <c r="DE451" s="4"/>
      <c r="DF451" s="4"/>
      <c r="DG451" s="4"/>
      <c r="DH451" s="4" t="s">
        <v>174</v>
      </c>
      <c r="DI451" s="4"/>
      <c r="DJ451" s="4" t="b">
        <v>0</v>
      </c>
      <c r="DK451" s="4"/>
      <c r="DL451" s="4">
        <v>2684540</v>
      </c>
      <c r="DM451" s="4">
        <v>6462628</v>
      </c>
      <c r="DN451" s="4" t="s">
        <v>1493</v>
      </c>
      <c r="DO451" s="4"/>
      <c r="DP451" s="4"/>
      <c r="DQ451" s="4" t="s">
        <v>740</v>
      </c>
      <c r="DR451" s="4"/>
      <c r="DS451" s="4"/>
      <c r="DT451" s="4"/>
      <c r="DU451" s="4"/>
      <c r="DV451" s="4"/>
      <c r="DW451" s="4"/>
      <c r="DX451" s="4"/>
      <c r="DY451" s="4"/>
      <c r="DZ451" s="4"/>
      <c r="EA451" s="4"/>
      <c r="EB451" s="4"/>
      <c r="EC451" s="4"/>
      <c r="ED451" s="4"/>
      <c r="EE451" s="4"/>
      <c r="EF451" s="4"/>
      <c r="EG451" s="4"/>
      <c r="EH451" s="4"/>
      <c r="EI451" s="4"/>
    </row>
    <row r="452" spans="1:139" hidden="1" x14ac:dyDescent="0.2">
      <c r="A452">
        <f>VLOOKUP(B452,Sheet1!$A$1:$B$18,2,FALSE)</f>
        <v>0</v>
      </c>
      <c r="B452" t="str">
        <f t="shared" si="8"/>
        <v>AKL</v>
      </c>
      <c r="C452" s="2">
        <v>451</v>
      </c>
      <c r="D452" s="3" t="str">
        <f>HYPERLINK("https://sitebase.nzcomms.co.nz/spm/spmnominalview/AKL-008-091/","AKL-008-091")</f>
        <v>AKL-008-091</v>
      </c>
      <c r="E452" s="4" t="s">
        <v>1494</v>
      </c>
      <c r="F452" s="3" t="str">
        <f>HYPERLINK("https://sitebase.nzcomms.co.nz/spm/spmcandidateview/AKL-008-091-A/","AKL-008-091-A")</f>
        <v>AKL-008-091-A</v>
      </c>
      <c r="G452" s="4" t="s">
        <v>566</v>
      </c>
      <c r="H452" s="4" t="s">
        <v>1296</v>
      </c>
      <c r="I452" s="4"/>
      <c r="J452" s="4" t="s">
        <v>317</v>
      </c>
      <c r="K452" s="4" t="s">
        <v>141</v>
      </c>
      <c r="L452" s="4" t="s">
        <v>142</v>
      </c>
      <c r="M452" s="4" t="s">
        <v>324</v>
      </c>
      <c r="N452" s="4"/>
      <c r="O452" s="4"/>
      <c r="P452" s="4"/>
      <c r="Q452" s="4" t="s">
        <v>142</v>
      </c>
      <c r="R452" s="4"/>
      <c r="S452" s="4"/>
      <c r="T452" s="4"/>
      <c r="U452" s="4">
        <v>-36.9774156</v>
      </c>
      <c r="V452" s="4">
        <v>174.85355580000001</v>
      </c>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5">
        <v>40969</v>
      </c>
      <c r="CL452" s="4"/>
      <c r="CM452" s="5">
        <v>40969</v>
      </c>
      <c r="CN452" s="4"/>
      <c r="CO452" s="4"/>
      <c r="CP452" s="4" t="s">
        <v>1495</v>
      </c>
      <c r="CQ452" s="4" t="s">
        <v>205</v>
      </c>
      <c r="CR452" s="4"/>
      <c r="CS452" s="4"/>
      <c r="CT452" s="4"/>
      <c r="CU452" s="4"/>
      <c r="CV452" s="4"/>
      <c r="CW452" s="4"/>
      <c r="CX452" s="4"/>
      <c r="CY452" s="4"/>
      <c r="CZ452" s="4"/>
      <c r="DA452" s="4"/>
      <c r="DB452" s="4"/>
      <c r="DC452" s="4"/>
      <c r="DD452" s="4"/>
      <c r="DE452" s="4"/>
      <c r="DF452" s="4"/>
      <c r="DG452" s="4"/>
      <c r="DH452" s="4"/>
      <c r="DI452" s="4"/>
      <c r="DJ452" s="4" t="b">
        <v>0</v>
      </c>
      <c r="DK452" s="4"/>
      <c r="DL452" s="4">
        <v>2675386</v>
      </c>
      <c r="DM452" s="4">
        <v>6467709</v>
      </c>
      <c r="DN452" s="4" t="s">
        <v>1496</v>
      </c>
      <c r="DO452" s="4"/>
      <c r="DP452" s="4"/>
      <c r="DQ452" s="4" t="s">
        <v>328</v>
      </c>
      <c r="DR452" s="4"/>
      <c r="DS452" s="4"/>
      <c r="DT452" s="4"/>
      <c r="DU452" s="4"/>
      <c r="DV452" s="4"/>
      <c r="DW452" s="4"/>
      <c r="DX452" s="4"/>
      <c r="DY452" s="4"/>
      <c r="DZ452" s="4"/>
      <c r="EA452" s="4"/>
      <c r="EB452" s="4"/>
      <c r="EC452" s="4"/>
      <c r="ED452" s="4"/>
      <c r="EE452" s="4"/>
      <c r="EF452" s="4"/>
      <c r="EG452" s="4"/>
      <c r="EH452" s="4"/>
      <c r="EI452" s="4"/>
    </row>
    <row r="453" spans="1:139" hidden="1" x14ac:dyDescent="0.2">
      <c r="A453">
        <f>VLOOKUP(B453,Sheet1!$A$1:$B$18,2,FALSE)</f>
        <v>0</v>
      </c>
      <c r="B453" t="str">
        <f t="shared" si="8"/>
        <v>AKL</v>
      </c>
      <c r="C453" s="2">
        <v>452</v>
      </c>
      <c r="D453" s="3" t="str">
        <f>HYPERLINK("https://sitebase.nzcomms.co.nz/spm/spmnominalview/AKL-008-092/","AKL-008-092")</f>
        <v>AKL-008-092</v>
      </c>
      <c r="E453" s="4" t="s">
        <v>1497</v>
      </c>
      <c r="F453" s="3" t="str">
        <f>HYPERLINK("https://sitebase.nzcomms.co.nz/spm/spmcandidateview/AKL-008-092-A/","AKL-008-092-A")</f>
        <v>AKL-008-092-A</v>
      </c>
      <c r="G453" s="4" t="s">
        <v>1498</v>
      </c>
      <c r="H453" s="4" t="s">
        <v>1296</v>
      </c>
      <c r="I453" s="4">
        <v>2</v>
      </c>
      <c r="J453" s="4" t="s">
        <v>180</v>
      </c>
      <c r="K453" s="4" t="s">
        <v>141</v>
      </c>
      <c r="L453" s="4" t="s">
        <v>142</v>
      </c>
      <c r="M453" s="4" t="s">
        <v>190</v>
      </c>
      <c r="N453" s="4" t="s">
        <v>142</v>
      </c>
      <c r="O453" s="4"/>
      <c r="P453" s="4" t="s">
        <v>169</v>
      </c>
      <c r="Q453" s="4" t="s">
        <v>142</v>
      </c>
      <c r="R453" s="4"/>
      <c r="S453" s="4"/>
      <c r="T453" s="4">
        <v>1</v>
      </c>
      <c r="U453" s="4">
        <v>-36.890860590000003</v>
      </c>
      <c r="V453" s="4">
        <v>174.9908083</v>
      </c>
      <c r="W453" s="4"/>
      <c r="X453" s="4"/>
      <c r="Y453" s="4"/>
      <c r="Z453" s="4"/>
      <c r="AA453" s="4" t="s">
        <v>171</v>
      </c>
      <c r="AB453" s="3" t="str">
        <f>HYPERLINK("https://sitebase.nzcomms.co.nz/spm/spmcandidateview/AKL-007-112-A/","AKL-007-112-A")</f>
        <v>AKL-007-112-A</v>
      </c>
      <c r="AC453" s="4" t="b">
        <v>0</v>
      </c>
      <c r="AD453" s="4" t="b">
        <v>0</v>
      </c>
      <c r="AE453" s="4"/>
      <c r="AF453" s="4"/>
      <c r="AG453" s="4" t="b">
        <v>0</v>
      </c>
      <c r="AH453" s="4" t="s">
        <v>1499</v>
      </c>
      <c r="AI453" s="4"/>
      <c r="AJ453" s="5">
        <v>41155</v>
      </c>
      <c r="AK453" s="4"/>
      <c r="AL453" s="5">
        <v>41155</v>
      </c>
      <c r="AM453" s="5">
        <v>41206</v>
      </c>
      <c r="AN453" s="5">
        <v>41201</v>
      </c>
      <c r="AO453" s="4">
        <v>1</v>
      </c>
      <c r="AP453" s="5">
        <v>41206</v>
      </c>
      <c r="AQ453" s="5">
        <v>41201</v>
      </c>
      <c r="AR453" s="5">
        <v>41227</v>
      </c>
      <c r="AS453" s="5">
        <v>41226</v>
      </c>
      <c r="AT453" s="5">
        <v>41326</v>
      </c>
      <c r="AU453" s="5">
        <v>41312</v>
      </c>
      <c r="AV453" s="4"/>
      <c r="AW453" s="5">
        <v>41411</v>
      </c>
      <c r="AX453" s="5">
        <v>41492</v>
      </c>
      <c r="AY453" s="4" t="s">
        <v>183</v>
      </c>
      <c r="AZ453" s="5">
        <v>41219</v>
      </c>
      <c r="BA453" s="5">
        <v>41220</v>
      </c>
      <c r="BB453" s="5">
        <v>41261</v>
      </c>
      <c r="BC453" s="5">
        <v>41242</v>
      </c>
      <c r="BD453" s="4">
        <v>1</v>
      </c>
      <c r="BE453" s="5">
        <v>41261</v>
      </c>
      <c r="BF453" s="5">
        <v>41242</v>
      </c>
      <c r="BG453" s="5">
        <v>41228</v>
      </c>
      <c r="BH453" s="5">
        <v>41228</v>
      </c>
      <c r="BI453" s="5">
        <v>41243</v>
      </c>
      <c r="BJ453" s="5">
        <v>41264</v>
      </c>
      <c r="BK453" s="4">
        <v>1</v>
      </c>
      <c r="BL453" s="4"/>
      <c r="BM453" s="5">
        <v>41257</v>
      </c>
      <c r="BN453" s="5">
        <v>41264</v>
      </c>
      <c r="BO453" s="5">
        <v>41337</v>
      </c>
      <c r="BP453" s="4"/>
      <c r="BQ453" s="4"/>
      <c r="BR453" s="4"/>
      <c r="BS453" s="4"/>
      <c r="BT453" s="5">
        <v>41297</v>
      </c>
      <c r="BU453" s="5">
        <v>41297</v>
      </c>
      <c r="BV453" s="5">
        <v>41348</v>
      </c>
      <c r="BW453" s="5">
        <v>41351</v>
      </c>
      <c r="BX453" s="5">
        <v>41353</v>
      </c>
      <c r="BY453" s="5">
        <v>41359</v>
      </c>
      <c r="BZ453" s="5">
        <v>41367</v>
      </c>
      <c r="CA453" s="4"/>
      <c r="CB453" s="4"/>
      <c r="CC453" s="4"/>
      <c r="CD453" s="4"/>
      <c r="CE453" s="4"/>
      <c r="CF453" s="4"/>
      <c r="CG453" s="4"/>
      <c r="CH453" s="4"/>
      <c r="CI453" s="5">
        <v>41360</v>
      </c>
      <c r="CJ453" s="5">
        <v>41361</v>
      </c>
      <c r="CK453" s="5">
        <v>41368</v>
      </c>
      <c r="CL453" s="5">
        <v>41394</v>
      </c>
      <c r="CM453" s="5">
        <v>41394</v>
      </c>
      <c r="CN453" s="5">
        <v>41516</v>
      </c>
      <c r="CO453" s="5">
        <v>41527</v>
      </c>
      <c r="CP453" s="4" t="s">
        <v>1500</v>
      </c>
      <c r="CQ453" s="4" t="s">
        <v>230</v>
      </c>
      <c r="CR453" s="5">
        <v>41360</v>
      </c>
      <c r="CS453" s="5">
        <v>41309</v>
      </c>
      <c r="CT453" s="5">
        <v>41309</v>
      </c>
      <c r="CU453" s="5">
        <v>41333</v>
      </c>
      <c r="CV453" s="5">
        <v>41333</v>
      </c>
      <c r="CW453" s="5">
        <v>41337</v>
      </c>
      <c r="CX453" s="5">
        <v>41337</v>
      </c>
      <c r="CY453" s="5">
        <v>41359</v>
      </c>
      <c r="CZ453" s="5">
        <v>41359</v>
      </c>
      <c r="DA453" s="5">
        <v>41376</v>
      </c>
      <c r="DB453" s="5">
        <v>41372</v>
      </c>
      <c r="DC453" s="4"/>
      <c r="DD453" s="4"/>
      <c r="DE453" s="4" t="s">
        <v>194</v>
      </c>
      <c r="DF453" s="4"/>
      <c r="DG453" s="4"/>
      <c r="DH453" s="4" t="s">
        <v>174</v>
      </c>
      <c r="DI453" s="5">
        <v>41353</v>
      </c>
      <c r="DJ453" s="4" t="b">
        <v>0</v>
      </c>
      <c r="DK453" s="4"/>
      <c r="DL453" s="4">
        <v>2687823</v>
      </c>
      <c r="DM453" s="4">
        <v>6477041</v>
      </c>
      <c r="DN453" s="4" t="s">
        <v>1501</v>
      </c>
      <c r="DO453" s="4"/>
      <c r="DP453" s="4" t="s">
        <v>1502</v>
      </c>
      <c r="DQ453" s="4" t="s">
        <v>148</v>
      </c>
      <c r="DR453" s="4"/>
      <c r="DS453" s="4"/>
      <c r="DT453" s="4"/>
      <c r="DU453" s="4"/>
      <c r="DV453" s="4"/>
      <c r="DW453" s="4"/>
      <c r="DX453" s="4"/>
      <c r="DY453" s="5">
        <v>41281</v>
      </c>
      <c r="DZ453" s="4"/>
      <c r="EA453" s="4"/>
      <c r="EB453" s="4"/>
      <c r="EC453" s="4"/>
      <c r="ED453" s="4"/>
      <c r="EE453" s="4"/>
      <c r="EF453" s="4"/>
      <c r="EG453" s="5">
        <v>41386</v>
      </c>
      <c r="EH453" s="5">
        <v>41383</v>
      </c>
      <c r="EI453" s="4"/>
    </row>
    <row r="454" spans="1:139" hidden="1" x14ac:dyDescent="0.2">
      <c r="A454">
        <f>VLOOKUP(B454,Sheet1!$A$1:$B$18,2,FALSE)</f>
        <v>0</v>
      </c>
      <c r="B454" t="str">
        <f t="shared" si="8"/>
        <v>AKL</v>
      </c>
      <c r="C454" s="2">
        <v>453</v>
      </c>
      <c r="D454" s="3" t="str">
        <f>HYPERLINK("https://sitebase.nzcomms.co.nz/spm/spmnominalview/AKL-008-093/","AKL-008-093")</f>
        <v>AKL-008-093</v>
      </c>
      <c r="E454" s="4" t="s">
        <v>1503</v>
      </c>
      <c r="F454" s="3" t="str">
        <f>HYPERLINK("https://sitebase.nzcomms.co.nz/spm/spmcandidateview/AKL-008-093-A/","AKL-008-093-A")</f>
        <v>AKL-008-093-A</v>
      </c>
      <c r="G454" s="4" t="s">
        <v>1503</v>
      </c>
      <c r="H454" s="4" t="s">
        <v>1296</v>
      </c>
      <c r="I454" s="4"/>
      <c r="J454" s="4" t="s">
        <v>317</v>
      </c>
      <c r="K454" s="4" t="s">
        <v>141</v>
      </c>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t="s">
        <v>240</v>
      </c>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row>
    <row r="455" spans="1:139" hidden="1" x14ac:dyDescent="0.2">
      <c r="A455">
        <f>VLOOKUP(B455,Sheet1!$A$1:$B$18,2,FALSE)</f>
        <v>0</v>
      </c>
      <c r="B455" t="str">
        <f t="shared" si="8"/>
        <v>AKL</v>
      </c>
      <c r="C455" s="2">
        <v>454</v>
      </c>
      <c r="D455" s="3" t="str">
        <f>HYPERLINK("https://sitebase.nzcomms.co.nz/spm/spmnominalview/AKL-008-094/","AKL-008-094")</f>
        <v>AKL-008-094</v>
      </c>
      <c r="E455" s="4" t="s">
        <v>1451</v>
      </c>
      <c r="F455" s="4"/>
      <c r="G455" s="4"/>
      <c r="H455" s="4" t="s">
        <v>1296</v>
      </c>
      <c r="I455" s="4"/>
      <c r="J455" s="4" t="s">
        <v>196</v>
      </c>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row>
    <row r="456" spans="1:139" hidden="1" x14ac:dyDescent="0.2">
      <c r="A456">
        <f>VLOOKUP(B456,Sheet1!$A$1:$B$18,2,FALSE)</f>
        <v>0</v>
      </c>
      <c r="B456" t="str">
        <f t="shared" si="8"/>
        <v>AKL</v>
      </c>
      <c r="C456" s="2">
        <v>455</v>
      </c>
      <c r="D456" s="3" t="str">
        <f>HYPERLINK("https://sitebase.nzcomms.co.nz/spm/spmnominalview/AKL-008-095/","AKL-008-095")</f>
        <v>AKL-008-095</v>
      </c>
      <c r="E456" s="4" t="s">
        <v>1485</v>
      </c>
      <c r="F456" s="3" t="str">
        <f>HYPERLINK("https://sitebase.nzcomms.co.nz/spm/spmcandidateview/AKL-008-095-A/","AKL-008-095-A")</f>
        <v>AKL-008-095-A</v>
      </c>
      <c r="G456" s="4" t="s">
        <v>1504</v>
      </c>
      <c r="H456" s="4" t="s">
        <v>1296</v>
      </c>
      <c r="I456" s="4">
        <v>3</v>
      </c>
      <c r="J456" s="4" t="s">
        <v>584</v>
      </c>
      <c r="K456" s="4" t="s">
        <v>141</v>
      </c>
      <c r="L456" s="4" t="s">
        <v>325</v>
      </c>
      <c r="M456" s="4" t="s">
        <v>592</v>
      </c>
      <c r="N456" s="4" t="s">
        <v>620</v>
      </c>
      <c r="O456" s="4" t="s">
        <v>168</v>
      </c>
      <c r="P456" s="4"/>
      <c r="Q456" s="4"/>
      <c r="R456" s="4"/>
      <c r="S456" s="4"/>
      <c r="T456" s="4"/>
      <c r="U456" s="4">
        <v>-36.970761019999998</v>
      </c>
      <c r="V456" s="4">
        <v>174.86052240000001</v>
      </c>
      <c r="W456" s="4"/>
      <c r="X456" s="4"/>
      <c r="Y456" s="4"/>
      <c r="Z456" s="4"/>
      <c r="AA456" s="4" t="s">
        <v>145</v>
      </c>
      <c r="AB456" s="3" t="str">
        <f>HYPERLINK("https://sitebase.nzcomms.co.nz/spm/spmcandidateview/AKL-008-091-A/","AKL-008-091-A")</f>
        <v>AKL-008-091-A</v>
      </c>
      <c r="AC456" s="4" t="b">
        <v>0</v>
      </c>
      <c r="AD456" s="4" t="b">
        <v>0</v>
      </c>
      <c r="AE456" s="4"/>
      <c r="AF456" s="4"/>
      <c r="AG456" s="4" t="b">
        <v>0</v>
      </c>
      <c r="AH456" s="4"/>
      <c r="AI456" s="4"/>
      <c r="AJ456" s="5">
        <v>41598</v>
      </c>
      <c r="AK456" s="4"/>
      <c r="AL456" s="5">
        <v>41600</v>
      </c>
      <c r="AM456" s="5">
        <v>41653</v>
      </c>
      <c r="AN456" s="5">
        <v>41653</v>
      </c>
      <c r="AO456" s="4">
        <v>1</v>
      </c>
      <c r="AP456" s="5">
        <v>41653</v>
      </c>
      <c r="AQ456" s="5">
        <v>41653</v>
      </c>
      <c r="AR456" s="4"/>
      <c r="AS456" s="5">
        <v>41669</v>
      </c>
      <c r="AT456" s="4"/>
      <c r="AU456" s="5">
        <v>41669</v>
      </c>
      <c r="AV456" s="4"/>
      <c r="AW456" s="4"/>
      <c r="AX456" s="5">
        <v>41669</v>
      </c>
      <c r="AY456" s="4" t="s">
        <v>172</v>
      </c>
      <c r="AZ456" s="4"/>
      <c r="BA456" s="5">
        <v>41675</v>
      </c>
      <c r="BB456" s="4"/>
      <c r="BC456" s="5">
        <v>41675</v>
      </c>
      <c r="BD456" s="4">
        <v>1</v>
      </c>
      <c r="BE456" s="4"/>
      <c r="BF456" s="5">
        <v>41675</v>
      </c>
      <c r="BG456" s="5">
        <v>41688</v>
      </c>
      <c r="BH456" s="5">
        <v>41688</v>
      </c>
      <c r="BI456" s="5">
        <v>41702</v>
      </c>
      <c r="BJ456" s="5">
        <v>41710</v>
      </c>
      <c r="BK456" s="4">
        <v>1</v>
      </c>
      <c r="BL456" s="4"/>
      <c r="BM456" s="5">
        <v>41705</v>
      </c>
      <c r="BN456" s="5">
        <v>41710</v>
      </c>
      <c r="BO456" s="4"/>
      <c r="BP456" s="4"/>
      <c r="BQ456" s="4"/>
      <c r="BR456" s="4"/>
      <c r="BS456" s="4"/>
      <c r="BT456" s="5">
        <v>41722</v>
      </c>
      <c r="BU456" s="5">
        <v>41729</v>
      </c>
      <c r="BV456" s="5">
        <v>41760</v>
      </c>
      <c r="BW456" s="5">
        <v>41760</v>
      </c>
      <c r="BX456" s="5">
        <v>41760</v>
      </c>
      <c r="BY456" s="5">
        <v>41760</v>
      </c>
      <c r="BZ456" s="5">
        <v>41760</v>
      </c>
      <c r="CA456" s="5">
        <v>41757</v>
      </c>
      <c r="CB456" s="5">
        <v>41757</v>
      </c>
      <c r="CC456" s="4"/>
      <c r="CD456" s="4"/>
      <c r="CE456" s="4"/>
      <c r="CF456" s="4"/>
      <c r="CG456" s="4"/>
      <c r="CH456" s="4"/>
      <c r="CI456" s="4"/>
      <c r="CJ456" s="5">
        <v>41772</v>
      </c>
      <c r="CK456" s="5">
        <v>41771</v>
      </c>
      <c r="CL456" s="4"/>
      <c r="CM456" s="4"/>
      <c r="CN456" s="4"/>
      <c r="CO456" s="4"/>
      <c r="CP456" s="4" t="s">
        <v>1505</v>
      </c>
      <c r="CQ456" s="4"/>
      <c r="CR456" s="4"/>
      <c r="CS456" s="4"/>
      <c r="CT456" s="4"/>
      <c r="CU456" s="4"/>
      <c r="CV456" s="4"/>
      <c r="CW456" s="4"/>
      <c r="CX456" s="4"/>
      <c r="CY456" s="4"/>
      <c r="CZ456" s="4"/>
      <c r="DA456" s="5">
        <v>41760</v>
      </c>
      <c r="DB456" s="5">
        <v>41760</v>
      </c>
      <c r="DC456" s="4"/>
      <c r="DD456" s="4"/>
      <c r="DE456" s="4" t="s">
        <v>581</v>
      </c>
      <c r="DF456" s="4"/>
      <c r="DG456" s="5">
        <v>41731</v>
      </c>
      <c r="DH456" s="4" t="s">
        <v>174</v>
      </c>
      <c r="DI456" s="5">
        <v>41760</v>
      </c>
      <c r="DJ456" s="4" t="b">
        <v>0</v>
      </c>
      <c r="DK456" s="4"/>
      <c r="DL456" s="4">
        <v>2676022</v>
      </c>
      <c r="DM456" s="4">
        <v>6468434</v>
      </c>
      <c r="DN456" s="4" t="s">
        <v>1506</v>
      </c>
      <c r="DO456" s="4"/>
      <c r="DP456" s="4" t="s">
        <v>1507</v>
      </c>
      <c r="DQ456" s="4" t="s">
        <v>148</v>
      </c>
      <c r="DR456" s="4"/>
      <c r="DS456" s="4"/>
      <c r="DT456" s="4"/>
      <c r="DU456" s="4"/>
      <c r="DV456" s="4"/>
      <c r="DW456" s="4"/>
      <c r="DX456" s="4"/>
      <c r="DY456" s="5">
        <v>41715</v>
      </c>
      <c r="DZ456" s="4"/>
      <c r="EA456" s="4"/>
      <c r="EB456" s="4"/>
      <c r="EC456" s="4"/>
      <c r="ED456" s="4"/>
      <c r="EE456" s="4"/>
      <c r="EF456" s="4"/>
      <c r="EG456" s="4"/>
      <c r="EH456" s="4"/>
      <c r="EI456" s="5">
        <v>41600</v>
      </c>
    </row>
    <row r="457" spans="1:139" hidden="1" x14ac:dyDescent="0.2">
      <c r="A457">
        <f>VLOOKUP(B457,Sheet1!$A$1:$B$18,2,FALSE)</f>
        <v>0</v>
      </c>
      <c r="B457" t="str">
        <f t="shared" si="8"/>
        <v>AKL</v>
      </c>
      <c r="C457" s="2">
        <v>456</v>
      </c>
      <c r="D457" s="3" t="str">
        <f>HYPERLINK("https://sitebase.nzcomms.co.nz/spm/spmnominalview/AKL-008-096/","AKL-008-096")</f>
        <v>AKL-008-096</v>
      </c>
      <c r="E457" s="4" t="s">
        <v>1508</v>
      </c>
      <c r="F457" s="3" t="str">
        <f>HYPERLINK("https://sitebase.nzcomms.co.nz/spm/spmcandidateview/AKL-008-096-B/","AKL-008-096-B")</f>
        <v>AKL-008-096-B</v>
      </c>
      <c r="G457" s="4" t="s">
        <v>1509</v>
      </c>
      <c r="H457" s="4" t="s">
        <v>1296</v>
      </c>
      <c r="I457" s="4">
        <v>3</v>
      </c>
      <c r="J457" s="4" t="s">
        <v>584</v>
      </c>
      <c r="K457" s="4" t="s">
        <v>141</v>
      </c>
      <c r="L457" s="4" t="s">
        <v>150</v>
      </c>
      <c r="M457" s="4" t="s">
        <v>571</v>
      </c>
      <c r="N457" s="4" t="s">
        <v>246</v>
      </c>
      <c r="O457" s="4" t="s">
        <v>168</v>
      </c>
      <c r="P457" s="4" t="s">
        <v>182</v>
      </c>
      <c r="Q457" s="4" t="s">
        <v>170</v>
      </c>
      <c r="R457" s="4">
        <v>18.2</v>
      </c>
      <c r="S457" s="4">
        <v>20</v>
      </c>
      <c r="T457" s="4"/>
      <c r="U457" s="4">
        <v>-36.962549660000001</v>
      </c>
      <c r="V457" s="4">
        <v>174.90138916999999</v>
      </c>
      <c r="W457" s="4"/>
      <c r="X457" s="4"/>
      <c r="Y457" s="4"/>
      <c r="Z457" s="4"/>
      <c r="AA457" s="4" t="s">
        <v>145</v>
      </c>
      <c r="AB457" s="3" t="str">
        <f>HYPERLINK("https://sitebase.nzcomms.co.nz/spm/spmcandidateview/AKL-008-091-A/","AKL-008-091-A")</f>
        <v>AKL-008-091-A</v>
      </c>
      <c r="AC457" s="4" t="b">
        <v>0</v>
      </c>
      <c r="AD457" s="4" t="b">
        <v>0</v>
      </c>
      <c r="AE457" s="4"/>
      <c r="AF457" s="4"/>
      <c r="AG457" s="4" t="b">
        <v>0</v>
      </c>
      <c r="AH457" s="4"/>
      <c r="AI457" s="5">
        <v>41764</v>
      </c>
      <c r="AJ457" s="5">
        <v>41759</v>
      </c>
      <c r="AK457" s="5">
        <v>41760</v>
      </c>
      <c r="AL457" s="5">
        <v>41759</v>
      </c>
      <c r="AM457" s="5">
        <v>41785</v>
      </c>
      <c r="AN457" s="5">
        <v>41787</v>
      </c>
      <c r="AO457" s="4">
        <v>1</v>
      </c>
      <c r="AP457" s="5">
        <v>41789</v>
      </c>
      <c r="AQ457" s="5">
        <v>41787</v>
      </c>
      <c r="AR457" s="5">
        <v>41834</v>
      </c>
      <c r="AS457" s="5">
        <v>41829</v>
      </c>
      <c r="AT457" s="5">
        <v>41841</v>
      </c>
      <c r="AU457" s="5">
        <v>41831</v>
      </c>
      <c r="AV457" s="4">
        <v>1</v>
      </c>
      <c r="AW457" s="5">
        <v>41845</v>
      </c>
      <c r="AX457" s="5">
        <v>41920</v>
      </c>
      <c r="AY457" s="4" t="s">
        <v>183</v>
      </c>
      <c r="AZ457" s="5">
        <v>41815</v>
      </c>
      <c r="BA457" s="5">
        <v>41815</v>
      </c>
      <c r="BB457" s="5">
        <v>41857</v>
      </c>
      <c r="BC457" s="5">
        <v>41844</v>
      </c>
      <c r="BD457" s="4">
        <v>1</v>
      </c>
      <c r="BE457" s="5">
        <v>41859</v>
      </c>
      <c r="BF457" s="5">
        <v>41844</v>
      </c>
      <c r="BG457" s="5">
        <v>41810</v>
      </c>
      <c r="BH457" s="5">
        <v>41807</v>
      </c>
      <c r="BI457" s="5">
        <v>41824</v>
      </c>
      <c r="BJ457" s="5">
        <v>41824</v>
      </c>
      <c r="BK457" s="4">
        <v>2</v>
      </c>
      <c r="BL457" s="4"/>
      <c r="BM457" s="5">
        <v>41831</v>
      </c>
      <c r="BN457" s="5">
        <v>41834</v>
      </c>
      <c r="BO457" s="4"/>
      <c r="BP457" s="4"/>
      <c r="BQ457" s="4"/>
      <c r="BR457" s="4"/>
      <c r="BS457" s="4"/>
      <c r="BT457" s="5">
        <v>41890</v>
      </c>
      <c r="BU457" s="5">
        <v>41892</v>
      </c>
      <c r="BV457" s="5">
        <v>41913</v>
      </c>
      <c r="BW457" s="5">
        <v>41908</v>
      </c>
      <c r="BX457" s="5">
        <v>41908</v>
      </c>
      <c r="BY457" s="5">
        <v>41918</v>
      </c>
      <c r="BZ457" s="5">
        <v>41918</v>
      </c>
      <c r="CA457" s="5">
        <v>41914</v>
      </c>
      <c r="CB457" s="5">
        <v>41914</v>
      </c>
      <c r="CC457" s="4"/>
      <c r="CD457" s="4"/>
      <c r="CE457" s="4"/>
      <c r="CF457" s="4"/>
      <c r="CG457" s="4"/>
      <c r="CH457" s="4"/>
      <c r="CI457" s="4"/>
      <c r="CJ457" s="5">
        <v>41929</v>
      </c>
      <c r="CK457" s="5">
        <v>41927</v>
      </c>
      <c r="CL457" s="4"/>
      <c r="CM457" s="4"/>
      <c r="CN457" s="4"/>
      <c r="CO457" s="4"/>
      <c r="CP457" s="4" t="s">
        <v>1510</v>
      </c>
      <c r="CQ457" s="4"/>
      <c r="CR457" s="4"/>
      <c r="CS457" s="4"/>
      <c r="CT457" s="4"/>
      <c r="CU457" s="4"/>
      <c r="CV457" s="4"/>
      <c r="CW457" s="4"/>
      <c r="CX457" s="4"/>
      <c r="CY457" s="4"/>
      <c r="CZ457" s="4"/>
      <c r="DA457" s="5">
        <v>41918</v>
      </c>
      <c r="DB457" s="5">
        <v>41918</v>
      </c>
      <c r="DC457" s="5">
        <v>41815</v>
      </c>
      <c r="DD457" s="4" t="s">
        <v>586</v>
      </c>
      <c r="DE457" s="4"/>
      <c r="DF457" s="5">
        <v>41911</v>
      </c>
      <c r="DG457" s="5">
        <v>41904</v>
      </c>
      <c r="DH457" s="4" t="s">
        <v>174</v>
      </c>
      <c r="DI457" s="5">
        <v>41911</v>
      </c>
      <c r="DJ457" s="4" t="b">
        <v>1</v>
      </c>
      <c r="DK457" s="5">
        <v>41857</v>
      </c>
      <c r="DL457" s="4">
        <v>2679680</v>
      </c>
      <c r="DM457" s="4">
        <v>6469266</v>
      </c>
      <c r="DN457" s="4" t="s">
        <v>1511</v>
      </c>
      <c r="DO457" s="4" t="s">
        <v>1512</v>
      </c>
      <c r="DP457" s="4"/>
      <c r="DQ457" s="4" t="s">
        <v>148</v>
      </c>
      <c r="DR457" s="4"/>
      <c r="DS457" s="4"/>
      <c r="DT457" s="5">
        <v>41927</v>
      </c>
      <c r="DU457" s="4"/>
      <c r="DV457" s="4"/>
      <c r="DW457" s="4"/>
      <c r="DX457" s="4"/>
      <c r="DY457" s="4"/>
      <c r="DZ457" s="4"/>
      <c r="EA457" s="4"/>
      <c r="EB457" s="4"/>
      <c r="EC457" s="4"/>
      <c r="ED457" s="4"/>
      <c r="EE457" s="4"/>
      <c r="EF457" s="4"/>
      <c r="EG457" s="4"/>
      <c r="EH457" s="4"/>
      <c r="EI457" s="5">
        <v>41759</v>
      </c>
    </row>
    <row r="458" spans="1:139" hidden="1" x14ac:dyDescent="0.2">
      <c r="A458">
        <f>VLOOKUP(B458,Sheet1!$A$1:$B$18,2,FALSE)</f>
        <v>0</v>
      </c>
      <c r="B458" t="str">
        <f t="shared" si="8"/>
        <v>AKL</v>
      </c>
      <c r="C458" s="2">
        <v>457</v>
      </c>
      <c r="D458" s="3" t="str">
        <f>HYPERLINK("https://sitebase.nzcomms.co.nz/spm/spmnominalview/AKL-008-097/","AKL-008-097")</f>
        <v>AKL-008-097</v>
      </c>
      <c r="E458" s="4" t="s">
        <v>1513</v>
      </c>
      <c r="F458" s="3" t="str">
        <f>HYPERLINK("https://sitebase.nzcomms.co.nz/spm/spmcandidateview/AKL-008-097-B/","AKL-008-097-B")</f>
        <v>AKL-008-097-B</v>
      </c>
      <c r="G458" s="4" t="s">
        <v>1514</v>
      </c>
      <c r="H458" s="4" t="s">
        <v>1296</v>
      </c>
      <c r="I458" s="4">
        <v>23</v>
      </c>
      <c r="J458" s="4" t="s">
        <v>570</v>
      </c>
      <c r="K458" s="4" t="s">
        <v>141</v>
      </c>
      <c r="L458" s="4" t="s">
        <v>150</v>
      </c>
      <c r="M458" s="4" t="s">
        <v>571</v>
      </c>
      <c r="N458" s="4" t="s">
        <v>269</v>
      </c>
      <c r="O458" s="4"/>
      <c r="P458" s="4" t="s">
        <v>169</v>
      </c>
      <c r="Q458" s="4"/>
      <c r="R458" s="4"/>
      <c r="S458" s="4"/>
      <c r="T458" s="4"/>
      <c r="U458" s="4">
        <v>-36.947969360000002</v>
      </c>
      <c r="V458" s="4">
        <v>174.88630196</v>
      </c>
      <c r="W458" s="4"/>
      <c r="X458" s="4"/>
      <c r="Y458" s="4"/>
      <c r="Z458" s="4"/>
      <c r="AA458" s="4" t="s">
        <v>145</v>
      </c>
      <c r="AB458" s="3" t="str">
        <f>HYPERLINK("https://sitebase.nzcomms.co.nz/spm/spmcandidateview/AKL-008-081-C/","AKL-008-081-C")</f>
        <v>AKL-008-081-C</v>
      </c>
      <c r="AC458" s="4" t="b">
        <v>0</v>
      </c>
      <c r="AD458" s="4" t="b">
        <v>0</v>
      </c>
      <c r="AE458" s="4"/>
      <c r="AF458" s="4"/>
      <c r="AG458" s="4" t="b">
        <v>0</v>
      </c>
      <c r="AH458" s="4"/>
      <c r="AI458" s="5">
        <v>42237</v>
      </c>
      <c r="AJ458" s="5">
        <v>42221</v>
      </c>
      <c r="AK458" s="5">
        <v>42226</v>
      </c>
      <c r="AL458" s="5">
        <v>42228</v>
      </c>
      <c r="AM458" s="5">
        <v>42265</v>
      </c>
      <c r="AN458" s="5">
        <v>42264</v>
      </c>
      <c r="AO458" s="4">
        <v>1</v>
      </c>
      <c r="AP458" s="5">
        <v>42265</v>
      </c>
      <c r="AQ458" s="5">
        <v>42264</v>
      </c>
      <c r="AR458" s="5">
        <v>42307</v>
      </c>
      <c r="AS458" s="5">
        <v>42312</v>
      </c>
      <c r="AT458" s="5">
        <v>42335</v>
      </c>
      <c r="AU458" s="5">
        <v>42346</v>
      </c>
      <c r="AV458" s="4"/>
      <c r="AW458" s="5">
        <v>42335</v>
      </c>
      <c r="AX458" s="5">
        <v>42353</v>
      </c>
      <c r="AY458" s="4" t="s">
        <v>183</v>
      </c>
      <c r="AZ458" s="5">
        <v>42291</v>
      </c>
      <c r="BA458" s="5">
        <v>42290</v>
      </c>
      <c r="BB458" s="5">
        <v>42335</v>
      </c>
      <c r="BC458" s="5">
        <v>42327</v>
      </c>
      <c r="BD458" s="4">
        <v>1</v>
      </c>
      <c r="BE458" s="5">
        <v>42335</v>
      </c>
      <c r="BF458" s="5">
        <v>42327</v>
      </c>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t="s">
        <v>1515</v>
      </c>
      <c r="CQ458" s="4"/>
      <c r="CR458" s="4"/>
      <c r="CS458" s="4"/>
      <c r="CT458" s="4"/>
      <c r="CU458" s="4"/>
      <c r="CV458" s="4"/>
      <c r="CW458" s="4"/>
      <c r="CX458" s="4"/>
      <c r="CY458" s="4"/>
      <c r="CZ458" s="4"/>
      <c r="DA458" s="4"/>
      <c r="DB458" s="4"/>
      <c r="DC458" s="4"/>
      <c r="DD458" s="4"/>
      <c r="DE458" s="4"/>
      <c r="DF458" s="4"/>
      <c r="DG458" s="4"/>
      <c r="DH458" s="4" t="s">
        <v>240</v>
      </c>
      <c r="DI458" s="4"/>
      <c r="DJ458" s="4" t="b">
        <v>0</v>
      </c>
      <c r="DK458" s="4"/>
      <c r="DL458" s="4">
        <v>2678372</v>
      </c>
      <c r="DM458" s="4">
        <v>6470913</v>
      </c>
      <c r="DN458" s="4" t="s">
        <v>1516</v>
      </c>
      <c r="DO458" s="4"/>
      <c r="DP458" s="4"/>
      <c r="DQ458" s="4"/>
      <c r="DR458" s="4" t="s">
        <v>255</v>
      </c>
      <c r="DS458" s="4"/>
      <c r="DT458" s="4"/>
      <c r="DU458" s="4" t="s">
        <v>577</v>
      </c>
      <c r="DV458" s="4"/>
      <c r="DW458" s="4"/>
      <c r="DX458" s="4"/>
      <c r="DY458" s="4"/>
      <c r="DZ458" s="4"/>
      <c r="EA458" s="4"/>
      <c r="EB458" s="4"/>
      <c r="EC458" s="4"/>
      <c r="ED458" s="4"/>
      <c r="EE458" s="4"/>
      <c r="EF458" s="4"/>
      <c r="EG458" s="4"/>
      <c r="EH458" s="4"/>
      <c r="EI458" s="5">
        <v>42228</v>
      </c>
    </row>
    <row r="459" spans="1:139" hidden="1" x14ac:dyDescent="0.2">
      <c r="A459">
        <f>VLOOKUP(B459,Sheet1!$A$1:$B$18,2,FALSE)</f>
        <v>0</v>
      </c>
      <c r="B459" t="str">
        <f t="shared" si="8"/>
        <v>AKL</v>
      </c>
      <c r="C459" s="2">
        <v>458</v>
      </c>
      <c r="D459" s="3" t="str">
        <f>HYPERLINK("https://sitebase.nzcomms.co.nz/spm/spmnominalview/AKL-008-098/","AKL-008-098")</f>
        <v>AKL-008-098</v>
      </c>
      <c r="E459" s="4" t="s">
        <v>1517</v>
      </c>
      <c r="F459" s="3" t="str">
        <f>HYPERLINK("https://sitebase.nzcomms.co.nz/spm/spmcandidateview/AKL-008-098-A/","AKL-008-098-A")</f>
        <v>AKL-008-098-A</v>
      </c>
      <c r="G459" s="4" t="s">
        <v>597</v>
      </c>
      <c r="H459" s="4" t="s">
        <v>1296</v>
      </c>
      <c r="I459" s="4"/>
      <c r="J459" s="4" t="s">
        <v>317</v>
      </c>
      <c r="K459" s="4" t="s">
        <v>141</v>
      </c>
      <c r="L459" s="4" t="s">
        <v>142</v>
      </c>
      <c r="M459" s="4" t="s">
        <v>324</v>
      </c>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t="s">
        <v>1518</v>
      </c>
      <c r="DO459" s="4"/>
      <c r="DP459" s="4"/>
      <c r="DQ459" s="4" t="s">
        <v>328</v>
      </c>
      <c r="DR459" s="4" t="s">
        <v>255</v>
      </c>
      <c r="DS459" s="4"/>
      <c r="DT459" s="4"/>
      <c r="DU459" s="4"/>
      <c r="DV459" s="4"/>
      <c r="DW459" s="4"/>
      <c r="DX459" s="4"/>
      <c r="DY459" s="4"/>
      <c r="DZ459" s="4"/>
      <c r="EA459" s="4"/>
      <c r="EB459" s="4"/>
      <c r="EC459" s="4"/>
      <c r="ED459" s="4"/>
      <c r="EE459" s="4"/>
      <c r="EF459" s="4"/>
      <c r="EG459" s="4"/>
      <c r="EH459" s="4"/>
      <c r="EI459" s="4"/>
    </row>
    <row r="460" spans="1:139" hidden="1" x14ac:dyDescent="0.2">
      <c r="A460">
        <f>VLOOKUP(B460,Sheet1!$A$1:$B$18,2,FALSE)</f>
        <v>0</v>
      </c>
      <c r="B460" t="str">
        <f t="shared" si="8"/>
        <v>AKL</v>
      </c>
      <c r="C460" s="2">
        <v>459</v>
      </c>
      <c r="D460" s="3" t="str">
        <f>HYPERLINK("https://sitebase.nzcomms.co.nz/spm/spmnominalview/AKL-008-099/","AKL-008-099")</f>
        <v>AKL-008-099</v>
      </c>
      <c r="E460" s="4" t="s">
        <v>1519</v>
      </c>
      <c r="F460" s="3" t="str">
        <f>HYPERLINK("https://sitebase.nzcomms.co.nz/spm/spmcandidateview/AKL-008-099-A/","AKL-008-099-A")</f>
        <v>AKL-008-099-A</v>
      </c>
      <c r="G460" s="4" t="s">
        <v>1520</v>
      </c>
      <c r="H460" s="4" t="s">
        <v>1296</v>
      </c>
      <c r="I460" s="4"/>
      <c r="J460" s="4" t="s">
        <v>331</v>
      </c>
      <c r="K460" s="4" t="s">
        <v>141</v>
      </c>
      <c r="L460" s="4"/>
      <c r="M460" s="4"/>
      <c r="N460" s="4"/>
      <c r="O460" s="4"/>
      <c r="P460" s="4" t="s">
        <v>169</v>
      </c>
      <c r="Q460" s="4"/>
      <c r="R460" s="4"/>
      <c r="S460" s="4"/>
      <c r="T460" s="4"/>
      <c r="U460" s="4"/>
      <c r="V460" s="4"/>
      <c r="W460" s="4"/>
      <c r="X460" s="4"/>
      <c r="Y460" s="4"/>
      <c r="Z460" s="4"/>
      <c r="AA460" s="4"/>
      <c r="AB460" s="4"/>
      <c r="AC460" s="4" t="b">
        <v>0</v>
      </c>
      <c r="AD460" s="4" t="b">
        <v>0</v>
      </c>
      <c r="AE460" s="4"/>
      <c r="AF460" s="4"/>
      <c r="AG460" s="4" t="b">
        <v>0</v>
      </c>
      <c r="AH460" s="4"/>
      <c r="AI460" s="5">
        <v>42290</v>
      </c>
      <c r="AJ460" s="4"/>
      <c r="AK460" s="5">
        <v>42293</v>
      </c>
      <c r="AL460" s="4"/>
      <c r="AM460" s="5">
        <v>42321</v>
      </c>
      <c r="AN460" s="4"/>
      <c r="AO460" s="4"/>
      <c r="AP460" s="4"/>
      <c r="AQ460" s="4"/>
      <c r="AR460" s="5">
        <v>42335</v>
      </c>
      <c r="AS460" s="4"/>
      <c r="AT460" s="5">
        <v>42356</v>
      </c>
      <c r="AU460" s="4"/>
      <c r="AV460" s="4"/>
      <c r="AW460" s="4"/>
      <c r="AX460" s="4"/>
      <c r="AY460" s="4"/>
      <c r="AZ460" s="5">
        <v>42328</v>
      </c>
      <c r="BA460" s="4"/>
      <c r="BB460" s="5">
        <v>42356</v>
      </c>
      <c r="BC460" s="4"/>
      <c r="BD460" s="4"/>
      <c r="BE460" s="4"/>
      <c r="BF460" s="4"/>
      <c r="BG460" s="5">
        <v>42356</v>
      </c>
      <c r="BH460" s="4"/>
      <c r="BI460" s="5">
        <v>42398</v>
      </c>
      <c r="BJ460" s="4"/>
      <c r="BK460" s="4"/>
      <c r="BL460" s="4"/>
      <c r="BM460" s="4"/>
      <c r="BN460" s="4"/>
      <c r="BO460" s="4"/>
      <c r="BP460" s="4"/>
      <c r="BQ460" s="4"/>
      <c r="BR460" s="4"/>
      <c r="BS460" s="4"/>
      <c r="BT460" s="5">
        <v>42433</v>
      </c>
      <c r="BU460" s="4"/>
      <c r="BV460" s="5">
        <v>42468</v>
      </c>
      <c r="BW460" s="4"/>
      <c r="BX460" s="4"/>
      <c r="BY460" s="5">
        <v>42475</v>
      </c>
      <c r="BZ460" s="4"/>
      <c r="CA460" s="4"/>
      <c r="CB460" s="4"/>
      <c r="CC460" s="4"/>
      <c r="CD460" s="4"/>
      <c r="CE460" s="4"/>
      <c r="CF460" s="4"/>
      <c r="CG460" s="4"/>
      <c r="CH460" s="4"/>
      <c r="CI460" s="4"/>
      <c r="CJ460" s="5">
        <v>42489</v>
      </c>
      <c r="CK460" s="4"/>
      <c r="CL460" s="4"/>
      <c r="CM460" s="4"/>
      <c r="CN460" s="4"/>
      <c r="CO460" s="4"/>
      <c r="CP460" s="4"/>
      <c r="CQ460" s="4"/>
      <c r="CR460" s="4"/>
      <c r="CS460" s="4"/>
      <c r="CT460" s="4"/>
      <c r="CU460" s="4"/>
      <c r="CV460" s="4"/>
      <c r="CW460" s="4"/>
      <c r="CX460" s="4"/>
      <c r="CY460" s="4"/>
      <c r="CZ460" s="4"/>
      <c r="DA460" s="5">
        <v>42482</v>
      </c>
      <c r="DB460" s="4"/>
      <c r="DC460" s="4"/>
      <c r="DD460" s="4"/>
      <c r="DE460" s="4"/>
      <c r="DF460" s="4"/>
      <c r="DG460" s="4"/>
      <c r="DH460" s="4" t="s">
        <v>1521</v>
      </c>
      <c r="DI460" s="4"/>
      <c r="DJ460" s="4" t="b">
        <v>0</v>
      </c>
      <c r="DK460" s="4"/>
      <c r="DL460" s="4"/>
      <c r="DM460" s="4"/>
      <c r="DN460" s="4"/>
      <c r="DO460" s="4"/>
      <c r="DP460" s="4"/>
      <c r="DQ460" s="4" t="s">
        <v>148</v>
      </c>
      <c r="DR460" s="4"/>
      <c r="DS460" s="4"/>
      <c r="DT460" s="4"/>
      <c r="DU460" s="4" t="s">
        <v>178</v>
      </c>
      <c r="DV460" s="4"/>
      <c r="DW460" s="4"/>
      <c r="DX460" s="4"/>
      <c r="DY460" s="5">
        <v>42402</v>
      </c>
      <c r="DZ460" s="4"/>
      <c r="EA460" s="4"/>
      <c r="EB460" s="4"/>
      <c r="EC460" s="4"/>
      <c r="ED460" s="4"/>
      <c r="EE460" s="5">
        <v>42429</v>
      </c>
      <c r="EF460" s="4"/>
      <c r="EG460" s="4"/>
      <c r="EH460" s="4"/>
      <c r="EI460" s="4"/>
    </row>
    <row r="461" spans="1:139" hidden="1" x14ac:dyDescent="0.2">
      <c r="A461">
        <f>VLOOKUP(B461,Sheet1!$A$1:$B$18,2,FALSE)</f>
        <v>0</v>
      </c>
      <c r="B461" t="str">
        <f t="shared" si="8"/>
        <v>AKL</v>
      </c>
      <c r="C461" s="2">
        <v>460</v>
      </c>
      <c r="D461" s="3" t="str">
        <f>HYPERLINK("https://sitebase.nzcomms.co.nz/spm/spmnominalview/AKL-009-002/","AKL-009-002")</f>
        <v>AKL-009-002</v>
      </c>
      <c r="E461" s="4"/>
      <c r="F461" s="3" t="str">
        <f>HYPERLINK("https://sitebase.nzcomms.co.nz/spm/spmcandidateview/AKL-009-002-B/","AKL-009-002-B")</f>
        <v>AKL-009-002-B</v>
      </c>
      <c r="G461" s="4" t="s">
        <v>1522</v>
      </c>
      <c r="H461" s="4" t="s">
        <v>1523</v>
      </c>
      <c r="I461" s="4"/>
      <c r="J461" s="4" t="s">
        <v>139</v>
      </c>
      <c r="K461" s="4" t="s">
        <v>141</v>
      </c>
      <c r="L461" s="4" t="s">
        <v>150</v>
      </c>
      <c r="M461" s="4" t="s">
        <v>143</v>
      </c>
      <c r="N461" s="4" t="s">
        <v>156</v>
      </c>
      <c r="O461" s="4" t="s">
        <v>144</v>
      </c>
      <c r="P461" s="4"/>
      <c r="Q461" s="4"/>
      <c r="R461" s="4">
        <v>25</v>
      </c>
      <c r="S461" s="4">
        <v>25</v>
      </c>
      <c r="T461" s="4"/>
      <c r="U461" s="4">
        <v>-37.050084609999999</v>
      </c>
      <c r="V461" s="4">
        <v>174.93258309999999</v>
      </c>
      <c r="W461" s="4"/>
      <c r="X461" s="4"/>
      <c r="Y461" s="4"/>
      <c r="Z461" s="4"/>
      <c r="AA461" s="4" t="s">
        <v>171</v>
      </c>
      <c r="AB461" s="3" t="str">
        <f>HYPERLINK("https://sitebase.nzcomms.co.nz/spm/spmcandidateview/AKL-009-005-B/","AKL-009-005-B")</f>
        <v>AKL-009-005-B</v>
      </c>
      <c r="AC461" s="4"/>
      <c r="AD461" s="4"/>
      <c r="AE461" s="4"/>
      <c r="AF461" s="4"/>
      <c r="AG461" s="4"/>
      <c r="AH461" s="4" t="s">
        <v>357</v>
      </c>
      <c r="AI461" s="4"/>
      <c r="AJ461" s="4"/>
      <c r="AK461" s="4"/>
      <c r="AL461" s="4"/>
      <c r="AM461" s="4"/>
      <c r="AN461" s="5">
        <v>39385</v>
      </c>
      <c r="AO461" s="4">
        <v>2</v>
      </c>
      <c r="AP461" s="4"/>
      <c r="AQ461" s="5">
        <v>42250</v>
      </c>
      <c r="AR461" s="4"/>
      <c r="AS461" s="4"/>
      <c r="AT461" s="5">
        <v>39400</v>
      </c>
      <c r="AU461" s="5">
        <v>39400</v>
      </c>
      <c r="AV461" s="4">
        <v>1</v>
      </c>
      <c r="AW461" s="5">
        <v>39400</v>
      </c>
      <c r="AX461" s="5">
        <v>39400</v>
      </c>
      <c r="AY461" s="4"/>
      <c r="AZ461" s="4"/>
      <c r="BA461" s="4"/>
      <c r="BB461" s="5">
        <v>39538</v>
      </c>
      <c r="BC461" s="4"/>
      <c r="BD461" s="4"/>
      <c r="BE461" s="5">
        <v>39538</v>
      </c>
      <c r="BF461" s="5">
        <v>39538</v>
      </c>
      <c r="BG461" s="4"/>
      <c r="BH461" s="5">
        <v>39424</v>
      </c>
      <c r="BI461" s="4"/>
      <c r="BJ461" s="5">
        <v>39534</v>
      </c>
      <c r="BK461" s="4">
        <v>1</v>
      </c>
      <c r="BL461" s="4">
        <v>1</v>
      </c>
      <c r="BM461" s="5">
        <v>39534</v>
      </c>
      <c r="BN461" s="5">
        <v>39534</v>
      </c>
      <c r="BO461" s="4"/>
      <c r="BP461" s="4"/>
      <c r="BQ461" s="4"/>
      <c r="BR461" s="4"/>
      <c r="BS461" s="4"/>
      <c r="BT461" s="4"/>
      <c r="BU461" s="5">
        <v>39554</v>
      </c>
      <c r="BV461" s="5">
        <v>39598</v>
      </c>
      <c r="BW461" s="5">
        <v>39598</v>
      </c>
      <c r="BX461" s="4"/>
      <c r="BY461" s="5">
        <v>39598</v>
      </c>
      <c r="BZ461" s="5">
        <v>39598</v>
      </c>
      <c r="CA461" s="4"/>
      <c r="CB461" s="4"/>
      <c r="CC461" s="4"/>
      <c r="CD461" s="4"/>
      <c r="CE461" s="4"/>
      <c r="CF461" s="4"/>
      <c r="CG461" s="4"/>
      <c r="CH461" s="4"/>
      <c r="CI461" s="5">
        <v>39773</v>
      </c>
      <c r="CJ461" s="5">
        <v>39791</v>
      </c>
      <c r="CK461" s="5">
        <v>39773</v>
      </c>
      <c r="CL461" s="4"/>
      <c r="CM461" s="4"/>
      <c r="CN461" s="4"/>
      <c r="CO461" s="4"/>
      <c r="CP461" s="4" t="s">
        <v>405</v>
      </c>
      <c r="CQ461" s="4"/>
      <c r="CR461" s="5">
        <v>39777</v>
      </c>
      <c r="CS461" s="4"/>
      <c r="CT461" s="4"/>
      <c r="CU461" s="4"/>
      <c r="CV461" s="4"/>
      <c r="CW461" s="4"/>
      <c r="CX461" s="4"/>
      <c r="CY461" s="4"/>
      <c r="CZ461" s="4"/>
      <c r="DA461" s="4"/>
      <c r="DB461" s="4"/>
      <c r="DC461" s="4"/>
      <c r="DD461" s="4"/>
      <c r="DE461" s="4"/>
      <c r="DF461" s="4"/>
      <c r="DG461" s="4"/>
      <c r="DH461" s="4"/>
      <c r="DI461" s="4"/>
      <c r="DJ461" s="4" t="b">
        <v>0</v>
      </c>
      <c r="DK461" s="4"/>
      <c r="DL461" s="4">
        <v>2682241</v>
      </c>
      <c r="DM461" s="4">
        <v>6459493</v>
      </c>
      <c r="DN461" s="4" t="s">
        <v>1524</v>
      </c>
      <c r="DO461" s="4"/>
      <c r="DP461" s="4"/>
      <c r="DQ461" s="4" t="s">
        <v>148</v>
      </c>
      <c r="DR461" s="4"/>
      <c r="DS461" s="4"/>
      <c r="DT461" s="5">
        <v>42348</v>
      </c>
      <c r="DU461" s="4"/>
      <c r="DV461" s="4"/>
      <c r="DW461" s="4"/>
      <c r="DX461" s="4"/>
      <c r="DY461" s="4"/>
      <c r="DZ461" s="5">
        <v>39535</v>
      </c>
      <c r="EA461" s="4"/>
      <c r="EB461" s="4"/>
      <c r="EC461" s="4"/>
      <c r="ED461" s="4"/>
      <c r="EE461" s="4"/>
      <c r="EF461" s="4"/>
      <c r="EG461" s="4"/>
      <c r="EH461" s="4"/>
      <c r="EI461" s="5">
        <v>39374</v>
      </c>
    </row>
    <row r="462" spans="1:139" hidden="1" x14ac:dyDescent="0.2">
      <c r="A462">
        <f>VLOOKUP(B462,Sheet1!$A$1:$B$18,2,FALSE)</f>
        <v>0</v>
      </c>
      <c r="B462" t="str">
        <f t="shared" si="8"/>
        <v>AKL</v>
      </c>
      <c r="C462" s="2">
        <v>461</v>
      </c>
      <c r="D462" s="3" t="str">
        <f>HYPERLINK("https://sitebase.nzcomms.co.nz/spm/spmnominalview/AKL-009-003/","AKL-009-003")</f>
        <v>AKL-009-003</v>
      </c>
      <c r="E462" s="4"/>
      <c r="F462" s="3" t="str">
        <f>HYPERLINK("https://sitebase.nzcomms.co.nz/spm/spmcandidateview/AKL-009-003-C/","AKL-009-003-C")</f>
        <v>AKL-009-003-C</v>
      </c>
      <c r="G462" s="4" t="s">
        <v>1525</v>
      </c>
      <c r="H462" s="4" t="s">
        <v>1523</v>
      </c>
      <c r="I462" s="4"/>
      <c r="J462" s="4" t="s">
        <v>139</v>
      </c>
      <c r="K462" s="4" t="s">
        <v>141</v>
      </c>
      <c r="L462" s="4" t="s">
        <v>150</v>
      </c>
      <c r="M462" s="4" t="s">
        <v>143</v>
      </c>
      <c r="N462" s="4" t="s">
        <v>156</v>
      </c>
      <c r="O462" s="4" t="s">
        <v>144</v>
      </c>
      <c r="P462" s="4"/>
      <c r="Q462" s="4"/>
      <c r="R462" s="4">
        <v>25</v>
      </c>
      <c r="S462" s="4">
        <v>25</v>
      </c>
      <c r="T462" s="4"/>
      <c r="U462" s="4">
        <v>-37.034007029999998</v>
      </c>
      <c r="V462" s="4">
        <v>174.95355420999999</v>
      </c>
      <c r="W462" s="4"/>
      <c r="X462" s="4"/>
      <c r="Y462" s="4"/>
      <c r="Z462" s="4"/>
      <c r="AA462" s="4" t="s">
        <v>171</v>
      </c>
      <c r="AB462" s="3" t="str">
        <f>HYPERLINK("https://sitebase.nzcomms.co.nz/spm/spmcandidateview/AKL-009-005-B/","AKL-009-005-B")</f>
        <v>AKL-009-005-B</v>
      </c>
      <c r="AC462" s="4"/>
      <c r="AD462" s="4"/>
      <c r="AE462" s="4"/>
      <c r="AF462" s="4"/>
      <c r="AG462" s="4"/>
      <c r="AH462" s="4" t="s">
        <v>360</v>
      </c>
      <c r="AI462" s="4"/>
      <c r="AJ462" s="4"/>
      <c r="AK462" s="4"/>
      <c r="AL462" s="4"/>
      <c r="AM462" s="4"/>
      <c r="AN462" s="5">
        <v>39685</v>
      </c>
      <c r="AO462" s="4">
        <v>4</v>
      </c>
      <c r="AP462" s="5">
        <v>39871</v>
      </c>
      <c r="AQ462" s="5">
        <v>39874</v>
      </c>
      <c r="AR462" s="4"/>
      <c r="AS462" s="4"/>
      <c r="AT462" s="4"/>
      <c r="AU462" s="5">
        <v>39710</v>
      </c>
      <c r="AV462" s="4">
        <v>4</v>
      </c>
      <c r="AW462" s="5">
        <v>39918</v>
      </c>
      <c r="AX462" s="5">
        <v>39902</v>
      </c>
      <c r="AY462" s="4"/>
      <c r="AZ462" s="4"/>
      <c r="BA462" s="4"/>
      <c r="BB462" s="5">
        <v>39787</v>
      </c>
      <c r="BC462" s="4"/>
      <c r="BD462" s="4"/>
      <c r="BE462" s="5">
        <v>39892</v>
      </c>
      <c r="BF462" s="5">
        <v>39906</v>
      </c>
      <c r="BG462" s="4"/>
      <c r="BH462" s="5">
        <v>39699</v>
      </c>
      <c r="BI462" s="4"/>
      <c r="BJ462" s="5">
        <v>39717</v>
      </c>
      <c r="BK462" s="4">
        <v>4</v>
      </c>
      <c r="BL462" s="4">
        <v>2</v>
      </c>
      <c r="BM462" s="5">
        <v>39885</v>
      </c>
      <c r="BN462" s="5">
        <v>39832</v>
      </c>
      <c r="BO462" s="5">
        <v>39855</v>
      </c>
      <c r="BP462" s="4"/>
      <c r="BQ462" s="4"/>
      <c r="BR462" s="4"/>
      <c r="BS462" s="4"/>
      <c r="BT462" s="4"/>
      <c r="BU462" s="5">
        <v>39787</v>
      </c>
      <c r="BV462" s="5">
        <v>39899</v>
      </c>
      <c r="BW462" s="5">
        <v>39885</v>
      </c>
      <c r="BX462" s="4"/>
      <c r="BY462" s="5">
        <v>39899</v>
      </c>
      <c r="BZ462" s="5">
        <v>39885</v>
      </c>
      <c r="CA462" s="4"/>
      <c r="CB462" s="4"/>
      <c r="CC462" s="4"/>
      <c r="CD462" s="4"/>
      <c r="CE462" s="4"/>
      <c r="CF462" s="4"/>
      <c r="CG462" s="4"/>
      <c r="CH462" s="4"/>
      <c r="CI462" s="5">
        <v>39910</v>
      </c>
      <c r="CJ462" s="5">
        <v>39918</v>
      </c>
      <c r="CK462" s="5">
        <v>39910</v>
      </c>
      <c r="CL462" s="4"/>
      <c r="CM462" s="4"/>
      <c r="CN462" s="4"/>
      <c r="CO462" s="4"/>
      <c r="CP462" s="4" t="s">
        <v>157</v>
      </c>
      <c r="CQ462" s="4"/>
      <c r="CR462" s="5">
        <v>39918</v>
      </c>
      <c r="CS462" s="4"/>
      <c r="CT462" s="4"/>
      <c r="CU462" s="4"/>
      <c r="CV462" s="4"/>
      <c r="CW462" s="5">
        <v>39860</v>
      </c>
      <c r="CX462" s="5">
        <v>39855</v>
      </c>
      <c r="CY462" s="4"/>
      <c r="CZ462" s="4"/>
      <c r="DA462" s="4"/>
      <c r="DB462" s="4"/>
      <c r="DC462" s="4"/>
      <c r="DD462" s="4"/>
      <c r="DE462" s="4"/>
      <c r="DF462" s="4"/>
      <c r="DG462" s="4"/>
      <c r="DH462" s="4"/>
      <c r="DI462" s="4"/>
      <c r="DJ462" s="4" t="b">
        <v>0</v>
      </c>
      <c r="DK462" s="4"/>
      <c r="DL462" s="4">
        <v>2684146</v>
      </c>
      <c r="DM462" s="4">
        <v>6461235</v>
      </c>
      <c r="DN462" s="4" t="s">
        <v>1526</v>
      </c>
      <c r="DO462" s="4"/>
      <c r="DP462" s="4"/>
      <c r="DQ462" s="4" t="s">
        <v>148</v>
      </c>
      <c r="DR462" s="4"/>
      <c r="DS462" s="4"/>
      <c r="DT462" s="4"/>
      <c r="DU462" s="4"/>
      <c r="DV462" s="4"/>
      <c r="DW462" s="4"/>
      <c r="DX462" s="4"/>
      <c r="DY462" s="4"/>
      <c r="DZ462" s="5">
        <v>39792</v>
      </c>
      <c r="EA462" s="4"/>
      <c r="EB462" s="4"/>
      <c r="EC462" s="4"/>
      <c r="ED462" s="4"/>
      <c r="EE462" s="4"/>
      <c r="EF462" s="4"/>
      <c r="EG462" s="4"/>
      <c r="EH462" s="4"/>
      <c r="EI462" s="5">
        <v>39658</v>
      </c>
    </row>
    <row r="463" spans="1:139" hidden="1" x14ac:dyDescent="0.2">
      <c r="A463">
        <f>VLOOKUP(B463,Sheet1!$A$1:$B$18,2,FALSE)</f>
        <v>0</v>
      </c>
      <c r="B463" t="str">
        <f t="shared" si="8"/>
        <v>AKL</v>
      </c>
      <c r="C463" s="2">
        <v>462</v>
      </c>
      <c r="D463" s="3" t="str">
        <f>HYPERLINK("https://sitebase.nzcomms.co.nz/spm/spmnominalview/AKL-009-004/","AKL-009-004")</f>
        <v>AKL-009-004</v>
      </c>
      <c r="E463" s="4"/>
      <c r="F463" s="3" t="str">
        <f>HYPERLINK("https://sitebase.nzcomms.co.nz/spm/spmcandidateview/AKL-009-004-B/","AKL-009-004-B")</f>
        <v>AKL-009-004-B</v>
      </c>
      <c r="G463" s="4" t="s">
        <v>1527</v>
      </c>
      <c r="H463" s="4" t="s">
        <v>1523</v>
      </c>
      <c r="I463" s="4"/>
      <c r="J463" s="4" t="s">
        <v>139</v>
      </c>
      <c r="K463" s="4" t="s">
        <v>141</v>
      </c>
      <c r="L463" s="4" t="s">
        <v>181</v>
      </c>
      <c r="M463" s="4" t="s">
        <v>143</v>
      </c>
      <c r="N463" s="4" t="s">
        <v>364</v>
      </c>
      <c r="O463" s="4" t="s">
        <v>144</v>
      </c>
      <c r="P463" s="4"/>
      <c r="Q463" s="4"/>
      <c r="R463" s="4">
        <v>0</v>
      </c>
      <c r="S463" s="4">
        <v>0</v>
      </c>
      <c r="T463" s="4"/>
      <c r="U463" s="4">
        <v>-37.061860860000003</v>
      </c>
      <c r="V463" s="4">
        <v>174.94189650000001</v>
      </c>
      <c r="W463" s="4"/>
      <c r="X463" s="4"/>
      <c r="Y463" s="4"/>
      <c r="Z463" s="4"/>
      <c r="AA463" s="4" t="s">
        <v>171</v>
      </c>
      <c r="AB463" s="3" t="str">
        <f>HYPERLINK("https://sitebase.nzcomms.co.nz/spm/spmcandidateview/AKL-009-005-B/","AKL-009-005-B")</f>
        <v>AKL-009-005-B</v>
      </c>
      <c r="AC463" s="4"/>
      <c r="AD463" s="4"/>
      <c r="AE463" s="4"/>
      <c r="AF463" s="4"/>
      <c r="AG463" s="4"/>
      <c r="AH463" s="4" t="s">
        <v>357</v>
      </c>
      <c r="AI463" s="4"/>
      <c r="AJ463" s="4"/>
      <c r="AK463" s="4"/>
      <c r="AL463" s="4"/>
      <c r="AM463" s="4"/>
      <c r="AN463" s="5">
        <v>39253</v>
      </c>
      <c r="AO463" s="4">
        <v>4</v>
      </c>
      <c r="AP463" s="4"/>
      <c r="AQ463" s="5">
        <v>39917</v>
      </c>
      <c r="AR463" s="4"/>
      <c r="AS463" s="4"/>
      <c r="AT463" s="5">
        <v>39103</v>
      </c>
      <c r="AU463" s="5">
        <v>39103</v>
      </c>
      <c r="AV463" s="4">
        <v>2</v>
      </c>
      <c r="AW463" s="5">
        <v>39103</v>
      </c>
      <c r="AX463" s="5">
        <v>39103</v>
      </c>
      <c r="AY463" s="4"/>
      <c r="AZ463" s="4"/>
      <c r="BA463" s="4"/>
      <c r="BB463" s="5">
        <v>39468</v>
      </c>
      <c r="BC463" s="4"/>
      <c r="BD463" s="4"/>
      <c r="BE463" s="5">
        <v>39468</v>
      </c>
      <c r="BF463" s="5">
        <v>39468</v>
      </c>
      <c r="BG463" s="4"/>
      <c r="BH463" s="5">
        <v>39394</v>
      </c>
      <c r="BI463" s="4"/>
      <c r="BJ463" s="5">
        <v>39464</v>
      </c>
      <c r="BK463" s="4">
        <v>3</v>
      </c>
      <c r="BL463" s="4">
        <v>4</v>
      </c>
      <c r="BM463" s="5">
        <v>39464</v>
      </c>
      <c r="BN463" s="5">
        <v>39925</v>
      </c>
      <c r="BO463" s="4"/>
      <c r="BP463" s="4"/>
      <c r="BQ463" s="4"/>
      <c r="BR463" s="4"/>
      <c r="BS463" s="4"/>
      <c r="BT463" s="4"/>
      <c r="BU463" s="5">
        <v>39517</v>
      </c>
      <c r="BV463" s="5">
        <v>39568</v>
      </c>
      <c r="BW463" s="5">
        <v>39568</v>
      </c>
      <c r="BX463" s="4"/>
      <c r="BY463" s="5">
        <v>39574</v>
      </c>
      <c r="BZ463" s="5">
        <v>39577</v>
      </c>
      <c r="CA463" s="4"/>
      <c r="CB463" s="4"/>
      <c r="CC463" s="4"/>
      <c r="CD463" s="4"/>
      <c r="CE463" s="4"/>
      <c r="CF463" s="4"/>
      <c r="CG463" s="4"/>
      <c r="CH463" s="4"/>
      <c r="CI463" s="5">
        <v>39776</v>
      </c>
      <c r="CJ463" s="5">
        <v>39791</v>
      </c>
      <c r="CK463" s="5">
        <v>39776</v>
      </c>
      <c r="CL463" s="4"/>
      <c r="CM463" s="4"/>
      <c r="CN463" s="4"/>
      <c r="CO463" s="4"/>
      <c r="CP463" s="4" t="s">
        <v>157</v>
      </c>
      <c r="CQ463" s="4"/>
      <c r="CR463" s="5">
        <v>39777</v>
      </c>
      <c r="CS463" s="4"/>
      <c r="CT463" s="4"/>
      <c r="CU463" s="4"/>
      <c r="CV463" s="4"/>
      <c r="CW463" s="4"/>
      <c r="CX463" s="4"/>
      <c r="CY463" s="4"/>
      <c r="CZ463" s="4"/>
      <c r="DA463" s="4"/>
      <c r="DB463" s="4"/>
      <c r="DC463" s="4"/>
      <c r="DD463" s="4"/>
      <c r="DE463" s="4"/>
      <c r="DF463" s="4"/>
      <c r="DG463" s="4"/>
      <c r="DH463" s="4"/>
      <c r="DI463" s="4"/>
      <c r="DJ463" s="4" t="b">
        <v>0</v>
      </c>
      <c r="DK463" s="4"/>
      <c r="DL463" s="4">
        <v>2683040</v>
      </c>
      <c r="DM463" s="4">
        <v>6458168</v>
      </c>
      <c r="DN463" s="4" t="s">
        <v>1528</v>
      </c>
      <c r="DO463" s="4"/>
      <c r="DP463" s="4"/>
      <c r="DQ463" s="4" t="s">
        <v>148</v>
      </c>
      <c r="DR463" s="4"/>
      <c r="DS463" s="4"/>
      <c r="DT463" s="5">
        <v>42348</v>
      </c>
      <c r="DU463" s="4"/>
      <c r="DV463" s="4"/>
      <c r="DW463" s="4"/>
      <c r="DX463" s="4"/>
      <c r="DY463" s="4"/>
      <c r="DZ463" s="5">
        <v>39469</v>
      </c>
      <c r="EA463" s="4"/>
      <c r="EB463" s="4"/>
      <c r="EC463" s="4"/>
      <c r="ED463" s="4"/>
      <c r="EE463" s="4"/>
      <c r="EF463" s="4"/>
      <c r="EG463" s="4"/>
      <c r="EH463" s="4"/>
      <c r="EI463" s="5">
        <v>39234</v>
      </c>
    </row>
    <row r="464" spans="1:139" hidden="1" x14ac:dyDescent="0.2">
      <c r="A464">
        <f>VLOOKUP(B464,Sheet1!$A$1:$B$18,2,FALSE)</f>
        <v>0</v>
      </c>
      <c r="B464" t="str">
        <f t="shared" si="8"/>
        <v>AKL</v>
      </c>
      <c r="C464" s="2">
        <v>463</v>
      </c>
      <c r="D464" s="3" t="str">
        <f>HYPERLINK("https://sitebase.nzcomms.co.nz/spm/spmnominalview/AKL-009-005/","AKL-009-005")</f>
        <v>AKL-009-005</v>
      </c>
      <c r="E464" s="4"/>
      <c r="F464" s="3" t="str">
        <f>HYPERLINK("https://sitebase.nzcomms.co.nz/spm/spmcandidateview/AKL-009-005-B/","AKL-009-005-B")</f>
        <v>AKL-009-005-B</v>
      </c>
      <c r="G464" s="4" t="s">
        <v>1529</v>
      </c>
      <c r="H464" s="4" t="s">
        <v>1523</v>
      </c>
      <c r="I464" s="4"/>
      <c r="J464" s="4" t="s">
        <v>139</v>
      </c>
      <c r="K464" s="4" t="s">
        <v>141</v>
      </c>
      <c r="L464" s="4" t="s">
        <v>325</v>
      </c>
      <c r="M464" s="4" t="s">
        <v>143</v>
      </c>
      <c r="N464" s="4" t="s">
        <v>364</v>
      </c>
      <c r="O464" s="4" t="s">
        <v>356</v>
      </c>
      <c r="P464" s="4"/>
      <c r="Q464" s="4"/>
      <c r="R464" s="4"/>
      <c r="S464" s="4"/>
      <c r="T464" s="4"/>
      <c r="U464" s="4">
        <v>-37.06110211</v>
      </c>
      <c r="V464" s="4">
        <v>174.98480481000001</v>
      </c>
      <c r="W464" s="4"/>
      <c r="X464" s="4"/>
      <c r="Y464" s="4"/>
      <c r="Z464" s="4"/>
      <c r="AA464" s="4"/>
      <c r="AB464" s="4"/>
      <c r="AC464" s="4"/>
      <c r="AD464" s="4"/>
      <c r="AE464" s="4"/>
      <c r="AF464" s="4"/>
      <c r="AG464" s="4"/>
      <c r="AH464" s="4"/>
      <c r="AI464" s="4"/>
      <c r="AJ464" s="4"/>
      <c r="AK464" s="4"/>
      <c r="AL464" s="4"/>
      <c r="AM464" s="4"/>
      <c r="AN464" s="5">
        <v>39420</v>
      </c>
      <c r="AO464" s="4">
        <v>6</v>
      </c>
      <c r="AP464" s="4"/>
      <c r="AQ464" s="5">
        <v>40758</v>
      </c>
      <c r="AR464" s="4"/>
      <c r="AS464" s="4"/>
      <c r="AT464" s="5">
        <v>39660</v>
      </c>
      <c r="AU464" s="5">
        <v>39639</v>
      </c>
      <c r="AV464" s="4">
        <v>2</v>
      </c>
      <c r="AW464" s="5">
        <v>39660</v>
      </c>
      <c r="AX464" s="5">
        <v>39639</v>
      </c>
      <c r="AY464" s="4"/>
      <c r="AZ464" s="4"/>
      <c r="BA464" s="4"/>
      <c r="BB464" s="5">
        <v>39689</v>
      </c>
      <c r="BC464" s="4"/>
      <c r="BD464" s="4"/>
      <c r="BE464" s="5">
        <v>39689</v>
      </c>
      <c r="BF464" s="5">
        <v>39735</v>
      </c>
      <c r="BG464" s="4"/>
      <c r="BH464" s="5">
        <v>39560</v>
      </c>
      <c r="BI464" s="4"/>
      <c r="BJ464" s="5">
        <v>39668</v>
      </c>
      <c r="BK464" s="4">
        <v>4</v>
      </c>
      <c r="BL464" s="4"/>
      <c r="BM464" s="5">
        <v>39668</v>
      </c>
      <c r="BN464" s="5">
        <v>40834</v>
      </c>
      <c r="BO464" s="4"/>
      <c r="BP464" s="4"/>
      <c r="BQ464" s="4"/>
      <c r="BR464" s="4"/>
      <c r="BS464" s="4"/>
      <c r="BT464" s="4"/>
      <c r="BU464" s="5">
        <v>39692</v>
      </c>
      <c r="BV464" s="5">
        <v>39714</v>
      </c>
      <c r="BW464" s="5">
        <v>39710</v>
      </c>
      <c r="BX464" s="4"/>
      <c r="BY464" s="5">
        <v>39738</v>
      </c>
      <c r="BZ464" s="5">
        <v>39738</v>
      </c>
      <c r="CA464" s="4"/>
      <c r="CB464" s="4"/>
      <c r="CC464" s="4"/>
      <c r="CD464" s="4"/>
      <c r="CE464" s="4"/>
      <c r="CF464" s="4"/>
      <c r="CG464" s="4"/>
      <c r="CH464" s="4"/>
      <c r="CI464" s="5">
        <v>39776</v>
      </c>
      <c r="CJ464" s="5">
        <v>39813</v>
      </c>
      <c r="CK464" s="5">
        <v>39776</v>
      </c>
      <c r="CL464" s="4"/>
      <c r="CM464" s="4"/>
      <c r="CN464" s="4"/>
      <c r="CO464" s="4"/>
      <c r="CP464" s="4" t="s">
        <v>405</v>
      </c>
      <c r="CQ464" s="4"/>
      <c r="CR464" s="4"/>
      <c r="CS464" s="4"/>
      <c r="CT464" s="4"/>
      <c r="CU464" s="4"/>
      <c r="CV464" s="4"/>
      <c r="CW464" s="4"/>
      <c r="CX464" s="4"/>
      <c r="CY464" s="4"/>
      <c r="CZ464" s="4"/>
      <c r="DA464" s="4"/>
      <c r="DB464" s="4"/>
      <c r="DC464" s="4"/>
      <c r="DD464" s="4"/>
      <c r="DE464" s="4"/>
      <c r="DF464" s="4"/>
      <c r="DG464" s="4"/>
      <c r="DH464" s="4"/>
      <c r="DI464" s="4"/>
      <c r="DJ464" s="4" t="b">
        <v>0</v>
      </c>
      <c r="DK464" s="4"/>
      <c r="DL464" s="4">
        <v>2686857</v>
      </c>
      <c r="DM464" s="4">
        <v>6458166</v>
      </c>
      <c r="DN464" s="4" t="s">
        <v>1530</v>
      </c>
      <c r="DO464" s="4"/>
      <c r="DP464" s="4"/>
      <c r="DQ464" s="4" t="s">
        <v>148</v>
      </c>
      <c r="DR464" s="4"/>
      <c r="DS464" s="4"/>
      <c r="DT464" s="5">
        <v>42348</v>
      </c>
      <c r="DU464" s="4"/>
      <c r="DV464" s="4"/>
      <c r="DW464" s="4"/>
      <c r="DX464" s="4"/>
      <c r="DY464" s="4"/>
      <c r="DZ464" s="5">
        <v>39681</v>
      </c>
      <c r="EA464" s="4"/>
      <c r="EB464" s="4"/>
      <c r="EC464" s="4"/>
      <c r="ED464" s="4"/>
      <c r="EE464" s="4"/>
      <c r="EF464" s="4"/>
      <c r="EG464" s="4"/>
      <c r="EH464" s="4"/>
      <c r="EI464" s="5">
        <v>39386</v>
      </c>
    </row>
    <row r="465" spans="1:139" hidden="1" x14ac:dyDescent="0.2">
      <c r="A465">
        <f>VLOOKUP(B465,Sheet1!$A$1:$B$18,2,FALSE)</f>
        <v>0</v>
      </c>
      <c r="B465" t="str">
        <f t="shared" si="8"/>
        <v>AKL</v>
      </c>
      <c r="C465" s="2">
        <v>464</v>
      </c>
      <c r="D465" s="3" t="str">
        <f>HYPERLINK("https://sitebase.nzcomms.co.nz/spm/spmnominalview/AKL-009-006/","AKL-009-006")</f>
        <v>AKL-009-006</v>
      </c>
      <c r="E465" s="4"/>
      <c r="F465" s="3" t="str">
        <f>HYPERLINK("https://sitebase.nzcomms.co.nz/spm/spmcandidateview/AKL-009-006-A/","AKL-009-006-A")</f>
        <v>AKL-009-006-A</v>
      </c>
      <c r="G465" s="4" t="s">
        <v>1531</v>
      </c>
      <c r="H465" s="4" t="s">
        <v>1523</v>
      </c>
      <c r="I465" s="4"/>
      <c r="J465" s="4" t="s">
        <v>139</v>
      </c>
      <c r="K465" s="4" t="s">
        <v>141</v>
      </c>
      <c r="L465" s="4" t="s">
        <v>150</v>
      </c>
      <c r="M465" s="4" t="s">
        <v>143</v>
      </c>
      <c r="N465" s="4" t="s">
        <v>156</v>
      </c>
      <c r="O465" s="4" t="s">
        <v>356</v>
      </c>
      <c r="P465" s="4"/>
      <c r="Q465" s="4"/>
      <c r="R465" s="4">
        <v>24.2</v>
      </c>
      <c r="S465" s="4">
        <v>24.2</v>
      </c>
      <c r="T465" s="4"/>
      <c r="U465" s="4">
        <v>-37.074461300000003</v>
      </c>
      <c r="V465" s="4">
        <v>174.9308193</v>
      </c>
      <c r="W465" s="4"/>
      <c r="X465" s="4"/>
      <c r="Y465" s="4"/>
      <c r="Z465" s="4"/>
      <c r="AA465" s="4" t="s">
        <v>171</v>
      </c>
      <c r="AB465" s="3" t="str">
        <f>HYPERLINK("https://sitebase.nzcomms.co.nz/spm/spmcandidateview/AKL-009-005-B/","AKL-009-005-B")</f>
        <v>AKL-009-005-B</v>
      </c>
      <c r="AC465" s="4"/>
      <c r="AD465" s="4"/>
      <c r="AE465" s="4"/>
      <c r="AF465" s="4"/>
      <c r="AG465" s="4"/>
      <c r="AH465" s="4" t="s">
        <v>357</v>
      </c>
      <c r="AI465" s="4"/>
      <c r="AJ465" s="4"/>
      <c r="AK465" s="4"/>
      <c r="AL465" s="4"/>
      <c r="AM465" s="4"/>
      <c r="AN465" s="5">
        <v>39276</v>
      </c>
      <c r="AO465" s="4">
        <v>5</v>
      </c>
      <c r="AP465" s="4"/>
      <c r="AQ465" s="5">
        <v>39709</v>
      </c>
      <c r="AR465" s="4"/>
      <c r="AS465" s="4"/>
      <c r="AT465" s="5">
        <v>39503</v>
      </c>
      <c r="AU465" s="5">
        <v>39503</v>
      </c>
      <c r="AV465" s="4">
        <v>5</v>
      </c>
      <c r="AW465" s="5">
        <v>39503</v>
      </c>
      <c r="AX465" s="5">
        <v>39503</v>
      </c>
      <c r="AY465" s="4"/>
      <c r="AZ465" s="4"/>
      <c r="BA465" s="4"/>
      <c r="BB465" s="5">
        <v>39721</v>
      </c>
      <c r="BC465" s="4"/>
      <c r="BD465" s="4"/>
      <c r="BE465" s="5">
        <v>39721</v>
      </c>
      <c r="BF465" s="5">
        <v>39689</v>
      </c>
      <c r="BG465" s="4"/>
      <c r="BH465" s="5">
        <v>39513</v>
      </c>
      <c r="BI465" s="4"/>
      <c r="BJ465" s="5">
        <v>39554</v>
      </c>
      <c r="BK465" s="4">
        <v>3</v>
      </c>
      <c r="BL465" s="4">
        <v>4</v>
      </c>
      <c r="BM465" s="5">
        <v>39706</v>
      </c>
      <c r="BN465" s="5">
        <v>39706</v>
      </c>
      <c r="BO465" s="4"/>
      <c r="BP465" s="4"/>
      <c r="BQ465" s="4"/>
      <c r="BR465" s="4"/>
      <c r="BS465" s="4"/>
      <c r="BT465" s="4"/>
      <c r="BU465" s="5">
        <v>39702</v>
      </c>
      <c r="BV465" s="5">
        <v>39717</v>
      </c>
      <c r="BW465" s="5">
        <v>39717</v>
      </c>
      <c r="BX465" s="4"/>
      <c r="BY465" s="5">
        <v>39731</v>
      </c>
      <c r="BZ465" s="5">
        <v>39717</v>
      </c>
      <c r="CA465" s="4"/>
      <c r="CB465" s="4"/>
      <c r="CC465" s="4"/>
      <c r="CD465" s="4"/>
      <c r="CE465" s="4"/>
      <c r="CF465" s="4"/>
      <c r="CG465" s="4"/>
      <c r="CH465" s="4"/>
      <c r="CI465" s="5">
        <v>39773</v>
      </c>
      <c r="CJ465" s="5">
        <v>39792</v>
      </c>
      <c r="CK465" s="5">
        <v>39773</v>
      </c>
      <c r="CL465" s="4"/>
      <c r="CM465" s="4"/>
      <c r="CN465" s="4"/>
      <c r="CO465" s="4"/>
      <c r="CP465" s="4" t="s">
        <v>405</v>
      </c>
      <c r="CQ465" s="4"/>
      <c r="CR465" s="5">
        <v>39778</v>
      </c>
      <c r="CS465" s="4"/>
      <c r="CT465" s="4"/>
      <c r="CU465" s="4"/>
      <c r="CV465" s="4"/>
      <c r="CW465" s="4"/>
      <c r="CX465" s="4"/>
      <c r="CY465" s="4"/>
      <c r="CZ465" s="4"/>
      <c r="DA465" s="4"/>
      <c r="DB465" s="4"/>
      <c r="DC465" s="4"/>
      <c r="DD465" s="4"/>
      <c r="DE465" s="4"/>
      <c r="DF465" s="4"/>
      <c r="DG465" s="4"/>
      <c r="DH465" s="4"/>
      <c r="DI465" s="4"/>
      <c r="DJ465" s="4" t="b">
        <v>0</v>
      </c>
      <c r="DK465" s="4"/>
      <c r="DL465" s="4">
        <v>2682024</v>
      </c>
      <c r="DM465" s="4">
        <v>6456792</v>
      </c>
      <c r="DN465" s="4" t="s">
        <v>1532</v>
      </c>
      <c r="DO465" s="4"/>
      <c r="DP465" s="4"/>
      <c r="DQ465" s="4" t="s">
        <v>148</v>
      </c>
      <c r="DR465" s="4"/>
      <c r="DS465" s="4"/>
      <c r="DT465" s="5">
        <v>42348</v>
      </c>
      <c r="DU465" s="4"/>
      <c r="DV465" s="4"/>
      <c r="DW465" s="4"/>
      <c r="DX465" s="4"/>
      <c r="DY465" s="4"/>
      <c r="DZ465" s="5">
        <v>39700</v>
      </c>
      <c r="EA465" s="4"/>
      <c r="EB465" s="4"/>
      <c r="EC465" s="4"/>
      <c r="ED465" s="4"/>
      <c r="EE465" s="4"/>
      <c r="EF465" s="4"/>
      <c r="EG465" s="4"/>
      <c r="EH465" s="4"/>
      <c r="EI465" s="5">
        <v>39213</v>
      </c>
    </row>
    <row r="466" spans="1:139" hidden="1" x14ac:dyDescent="0.2">
      <c r="A466">
        <f>VLOOKUP(B466,Sheet1!$A$1:$B$18,2,FALSE)</f>
        <v>0</v>
      </c>
      <c r="B466" t="str">
        <f t="shared" si="8"/>
        <v>AKL</v>
      </c>
      <c r="C466" s="2">
        <v>465</v>
      </c>
      <c r="D466" s="3" t="str">
        <f>HYPERLINK("https://sitebase.nzcomms.co.nz/spm/spmnominalview/AKL-009-007/","AKL-009-007")</f>
        <v>AKL-009-007</v>
      </c>
      <c r="E466" s="4"/>
      <c r="F466" s="3" t="str">
        <f>HYPERLINK("https://sitebase.nzcomms.co.nz/spm/spmcandidateview/AKL-009-007-C/","AKL-009-007-C")</f>
        <v>AKL-009-007-C</v>
      </c>
      <c r="G466" s="4" t="s">
        <v>1533</v>
      </c>
      <c r="H466" s="4" t="s">
        <v>1523</v>
      </c>
      <c r="I466" s="4"/>
      <c r="J466" s="4" t="s">
        <v>139</v>
      </c>
      <c r="K466" s="4" t="s">
        <v>141</v>
      </c>
      <c r="L466" s="4" t="s">
        <v>189</v>
      </c>
      <c r="M466" s="4" t="s">
        <v>143</v>
      </c>
      <c r="N466" s="4" t="s">
        <v>355</v>
      </c>
      <c r="O466" s="4" t="s">
        <v>356</v>
      </c>
      <c r="P466" s="4"/>
      <c r="Q466" s="4"/>
      <c r="R466" s="4">
        <v>7</v>
      </c>
      <c r="S466" s="4">
        <v>7</v>
      </c>
      <c r="T466" s="4"/>
      <c r="U466" s="4">
        <v>-37.076710349999999</v>
      </c>
      <c r="V466" s="4">
        <v>174.94265959000001</v>
      </c>
      <c r="W466" s="4"/>
      <c r="X466" s="4"/>
      <c r="Y466" s="4"/>
      <c r="Z466" s="4"/>
      <c r="AA466" s="4" t="s">
        <v>152</v>
      </c>
      <c r="AB466" s="3" t="str">
        <f>HYPERLINK("https://sitebase.nzcomms.co.nz/spm/spmcandidateview/AKL-007-106-A/","AKL-007-106-A")</f>
        <v>AKL-007-106-A</v>
      </c>
      <c r="AC466" s="4"/>
      <c r="AD466" s="4"/>
      <c r="AE466" s="4"/>
      <c r="AF466" s="4"/>
      <c r="AG466" s="4"/>
      <c r="AH466" s="4"/>
      <c r="AI466" s="4"/>
      <c r="AJ466" s="4"/>
      <c r="AK466" s="4"/>
      <c r="AL466" s="4"/>
      <c r="AM466" s="4"/>
      <c r="AN466" s="5">
        <v>39282</v>
      </c>
      <c r="AO466" s="4">
        <v>1</v>
      </c>
      <c r="AP466" s="4"/>
      <c r="AQ466" s="5">
        <v>39282</v>
      </c>
      <c r="AR466" s="4"/>
      <c r="AS466" s="4"/>
      <c r="AT466" s="5">
        <v>39629</v>
      </c>
      <c r="AU466" s="5">
        <v>39685</v>
      </c>
      <c r="AV466" s="4">
        <v>1</v>
      </c>
      <c r="AW466" s="5">
        <v>39629</v>
      </c>
      <c r="AX466" s="5">
        <v>39685</v>
      </c>
      <c r="AY466" s="4"/>
      <c r="AZ466" s="4"/>
      <c r="BA466" s="4"/>
      <c r="BB466" s="5">
        <v>39364</v>
      </c>
      <c r="BC466" s="4"/>
      <c r="BD466" s="4"/>
      <c r="BE466" s="5">
        <v>39364</v>
      </c>
      <c r="BF466" s="5">
        <v>39618</v>
      </c>
      <c r="BG466" s="4"/>
      <c r="BH466" s="5">
        <v>39521</v>
      </c>
      <c r="BI466" s="4"/>
      <c r="BJ466" s="5">
        <v>39591</v>
      </c>
      <c r="BK466" s="4">
        <v>1</v>
      </c>
      <c r="BL466" s="4">
        <v>1</v>
      </c>
      <c r="BM466" s="5">
        <v>39591</v>
      </c>
      <c r="BN466" s="5">
        <v>39591</v>
      </c>
      <c r="BO466" s="4"/>
      <c r="BP466" s="4"/>
      <c r="BQ466" s="4"/>
      <c r="BR466" s="4"/>
      <c r="BS466" s="4"/>
      <c r="BT466" s="4"/>
      <c r="BU466" s="5">
        <v>39685</v>
      </c>
      <c r="BV466" s="5">
        <v>39721</v>
      </c>
      <c r="BW466" s="5">
        <v>39721</v>
      </c>
      <c r="BX466" s="4"/>
      <c r="BY466" s="5">
        <v>39724</v>
      </c>
      <c r="BZ466" s="5">
        <v>39721</v>
      </c>
      <c r="CA466" s="4"/>
      <c r="CB466" s="4"/>
      <c r="CC466" s="4"/>
      <c r="CD466" s="4"/>
      <c r="CE466" s="4"/>
      <c r="CF466" s="4"/>
      <c r="CG466" s="4"/>
      <c r="CH466" s="4"/>
      <c r="CI466" s="5">
        <v>39800</v>
      </c>
      <c r="CJ466" s="5">
        <v>39903</v>
      </c>
      <c r="CK466" s="5">
        <v>39800</v>
      </c>
      <c r="CL466" s="4"/>
      <c r="CM466" s="4"/>
      <c r="CN466" s="4"/>
      <c r="CO466" s="4"/>
      <c r="CP466" s="4" t="s">
        <v>405</v>
      </c>
      <c r="CQ466" s="4"/>
      <c r="CR466" s="5">
        <v>39903</v>
      </c>
      <c r="CS466" s="4"/>
      <c r="CT466" s="4"/>
      <c r="CU466" s="4"/>
      <c r="CV466" s="4"/>
      <c r="CW466" s="4"/>
      <c r="CX466" s="4"/>
      <c r="CY466" s="4"/>
      <c r="CZ466" s="4"/>
      <c r="DA466" s="4"/>
      <c r="DB466" s="4"/>
      <c r="DC466" s="4"/>
      <c r="DD466" s="4"/>
      <c r="DE466" s="4"/>
      <c r="DF466" s="4"/>
      <c r="DG466" s="4"/>
      <c r="DH466" s="4"/>
      <c r="DI466" s="4"/>
      <c r="DJ466" s="4" t="b">
        <v>0</v>
      </c>
      <c r="DK466" s="4"/>
      <c r="DL466" s="4">
        <v>2683071</v>
      </c>
      <c r="DM466" s="4">
        <v>6456519</v>
      </c>
      <c r="DN466" s="4" t="s">
        <v>1534</v>
      </c>
      <c r="DO466" s="4"/>
      <c r="DP466" s="4"/>
      <c r="DQ466" s="4" t="s">
        <v>148</v>
      </c>
      <c r="DR466" s="4"/>
      <c r="DS466" s="4"/>
      <c r="DT466" s="5">
        <v>42348</v>
      </c>
      <c r="DU466" s="4"/>
      <c r="DV466" s="4"/>
      <c r="DW466" s="4"/>
      <c r="DX466" s="4"/>
      <c r="DY466" s="4"/>
      <c r="DZ466" s="5">
        <v>39687</v>
      </c>
      <c r="EA466" s="4"/>
      <c r="EB466" s="4"/>
      <c r="EC466" s="4"/>
      <c r="ED466" s="4"/>
      <c r="EE466" s="4"/>
      <c r="EF466" s="4"/>
      <c r="EG466" s="4"/>
      <c r="EH466" s="4"/>
      <c r="EI466" s="5">
        <v>39246</v>
      </c>
    </row>
    <row r="467" spans="1:139" hidden="1" x14ac:dyDescent="0.2">
      <c r="A467">
        <f>VLOOKUP(B467,Sheet1!$A$1:$B$18,2,FALSE)</f>
        <v>0</v>
      </c>
      <c r="B467" t="str">
        <f t="shared" si="8"/>
        <v>AKL</v>
      </c>
      <c r="C467" s="2">
        <v>466</v>
      </c>
      <c r="D467" s="3" t="str">
        <f>HYPERLINK("https://sitebase.nzcomms.co.nz/spm/spmnominalview/AKL-009-008/","AKL-009-008")</f>
        <v>AKL-009-008</v>
      </c>
      <c r="E467" s="4"/>
      <c r="F467" s="3" t="str">
        <f>HYPERLINK("https://sitebase.nzcomms.co.nz/spm/spmcandidateview/AKL-009-008-A/","AKL-009-008-A")</f>
        <v>AKL-009-008-A</v>
      </c>
      <c r="G467" s="4" t="s">
        <v>1535</v>
      </c>
      <c r="H467" s="4" t="s">
        <v>1523</v>
      </c>
      <c r="I467" s="4"/>
      <c r="J467" s="4" t="s">
        <v>139</v>
      </c>
      <c r="K467" s="4" t="s">
        <v>141</v>
      </c>
      <c r="L467" s="4" t="s">
        <v>150</v>
      </c>
      <c r="M467" s="4" t="s">
        <v>143</v>
      </c>
      <c r="N467" s="4" t="s">
        <v>156</v>
      </c>
      <c r="O467" s="4" t="s">
        <v>144</v>
      </c>
      <c r="P467" s="4"/>
      <c r="Q467" s="4"/>
      <c r="R467" s="4">
        <v>25</v>
      </c>
      <c r="S467" s="4">
        <v>25</v>
      </c>
      <c r="T467" s="4"/>
      <c r="U467" s="4">
        <v>-37.105232610000002</v>
      </c>
      <c r="V467" s="4">
        <v>174.94647194999999</v>
      </c>
      <c r="W467" s="4"/>
      <c r="X467" s="4"/>
      <c r="Y467" s="4"/>
      <c r="Z467" s="4"/>
      <c r="AA467" s="4" t="s">
        <v>171</v>
      </c>
      <c r="AB467" s="3" t="str">
        <f>HYPERLINK("https://sitebase.nzcomms.co.nz/spm/spmcandidateview/AKL-009-005-B/","AKL-009-005-B")</f>
        <v>AKL-009-005-B</v>
      </c>
      <c r="AC467" s="4"/>
      <c r="AD467" s="4"/>
      <c r="AE467" s="4"/>
      <c r="AF467" s="4"/>
      <c r="AG467" s="4"/>
      <c r="AH467" s="4" t="s">
        <v>357</v>
      </c>
      <c r="AI467" s="4"/>
      <c r="AJ467" s="4"/>
      <c r="AK467" s="4"/>
      <c r="AL467" s="4"/>
      <c r="AM467" s="4"/>
      <c r="AN467" s="5">
        <v>39232</v>
      </c>
      <c r="AO467" s="4">
        <v>1</v>
      </c>
      <c r="AP467" s="4"/>
      <c r="AQ467" s="5">
        <v>39232</v>
      </c>
      <c r="AR467" s="4"/>
      <c r="AS467" s="4"/>
      <c r="AT467" s="5">
        <v>39263</v>
      </c>
      <c r="AU467" s="5">
        <v>39263</v>
      </c>
      <c r="AV467" s="4">
        <v>1</v>
      </c>
      <c r="AW467" s="5">
        <v>39263</v>
      </c>
      <c r="AX467" s="5">
        <v>39263</v>
      </c>
      <c r="AY467" s="4"/>
      <c r="AZ467" s="4"/>
      <c r="BA467" s="4"/>
      <c r="BB467" s="5">
        <v>39468</v>
      </c>
      <c r="BC467" s="4"/>
      <c r="BD467" s="4"/>
      <c r="BE467" s="5">
        <v>39468</v>
      </c>
      <c r="BF467" s="5">
        <v>39468</v>
      </c>
      <c r="BG467" s="4"/>
      <c r="BH467" s="5">
        <v>39378</v>
      </c>
      <c r="BI467" s="4"/>
      <c r="BJ467" s="5">
        <v>39379</v>
      </c>
      <c r="BK467" s="4">
        <v>1</v>
      </c>
      <c r="BL467" s="4">
        <v>1</v>
      </c>
      <c r="BM467" s="5">
        <v>39379</v>
      </c>
      <c r="BN467" s="5">
        <v>39379</v>
      </c>
      <c r="BO467" s="4"/>
      <c r="BP467" s="4"/>
      <c r="BQ467" s="4"/>
      <c r="BR467" s="4"/>
      <c r="BS467" s="4"/>
      <c r="BT467" s="4"/>
      <c r="BU467" s="5">
        <v>39524</v>
      </c>
      <c r="BV467" s="5">
        <v>39561</v>
      </c>
      <c r="BW467" s="5">
        <v>39561</v>
      </c>
      <c r="BX467" s="4"/>
      <c r="BY467" s="5">
        <v>39584</v>
      </c>
      <c r="BZ467" s="5">
        <v>39577</v>
      </c>
      <c r="CA467" s="4"/>
      <c r="CB467" s="4"/>
      <c r="CC467" s="4"/>
      <c r="CD467" s="4"/>
      <c r="CE467" s="4"/>
      <c r="CF467" s="4"/>
      <c r="CG467" s="4"/>
      <c r="CH467" s="4"/>
      <c r="CI467" s="5">
        <v>39773</v>
      </c>
      <c r="CJ467" s="4"/>
      <c r="CK467" s="5">
        <v>39773</v>
      </c>
      <c r="CL467" s="4"/>
      <c r="CM467" s="4"/>
      <c r="CN467" s="4"/>
      <c r="CO467" s="4"/>
      <c r="CP467" s="4" t="s">
        <v>405</v>
      </c>
      <c r="CQ467" s="4"/>
      <c r="CR467" s="4"/>
      <c r="CS467" s="4"/>
      <c r="CT467" s="4"/>
      <c r="CU467" s="4"/>
      <c r="CV467" s="4"/>
      <c r="CW467" s="4"/>
      <c r="CX467" s="4"/>
      <c r="CY467" s="4"/>
      <c r="CZ467" s="4"/>
      <c r="DA467" s="4"/>
      <c r="DB467" s="4"/>
      <c r="DC467" s="4"/>
      <c r="DD467" s="4"/>
      <c r="DE467" s="4"/>
      <c r="DF467" s="4"/>
      <c r="DG467" s="4"/>
      <c r="DH467" s="4"/>
      <c r="DI467" s="4"/>
      <c r="DJ467" s="4" t="b">
        <v>0</v>
      </c>
      <c r="DK467" s="4"/>
      <c r="DL467" s="4">
        <v>2683339</v>
      </c>
      <c r="DM467" s="4">
        <v>6453347</v>
      </c>
      <c r="DN467" s="4" t="s">
        <v>1536</v>
      </c>
      <c r="DO467" s="4"/>
      <c r="DP467" s="4"/>
      <c r="DQ467" s="4" t="s">
        <v>148</v>
      </c>
      <c r="DR467" s="4"/>
      <c r="DS467" s="4"/>
      <c r="DT467" s="5">
        <v>42348</v>
      </c>
      <c r="DU467" s="4"/>
      <c r="DV467" s="4"/>
      <c r="DW467" s="4"/>
      <c r="DX467" s="4"/>
      <c r="DY467" s="4"/>
      <c r="DZ467" s="5">
        <v>39469</v>
      </c>
      <c r="EA467" s="4"/>
      <c r="EB467" s="4"/>
      <c r="EC467" s="4"/>
      <c r="ED467" s="4"/>
      <c r="EE467" s="4"/>
      <c r="EF467" s="4"/>
      <c r="EG467" s="4"/>
      <c r="EH467" s="4"/>
      <c r="EI467" s="5">
        <v>39213</v>
      </c>
    </row>
    <row r="468" spans="1:139" hidden="1" x14ac:dyDescent="0.2">
      <c r="A468">
        <f>VLOOKUP(B468,Sheet1!$A$1:$B$18,2,FALSE)</f>
        <v>0</v>
      </c>
      <c r="B468" t="str">
        <f t="shared" si="8"/>
        <v>AKL</v>
      </c>
      <c r="C468" s="2">
        <v>467</v>
      </c>
      <c r="D468" s="3" t="str">
        <f>HYPERLINK("https://sitebase.nzcomms.co.nz/spm/spmnominalview/AKL-009-009/","AKL-009-009")</f>
        <v>AKL-009-009</v>
      </c>
      <c r="E468" s="4"/>
      <c r="F468" s="3" t="str">
        <f>HYPERLINK("https://sitebase.nzcomms.co.nz/spm/spmcandidateview/AKL-009-009-A/","AKL-009-009-A")</f>
        <v>AKL-009-009-A</v>
      </c>
      <c r="G468" s="4" t="s">
        <v>1537</v>
      </c>
      <c r="H468" s="4" t="s">
        <v>1523</v>
      </c>
      <c r="I468" s="4"/>
      <c r="J468" s="4" t="s">
        <v>139</v>
      </c>
      <c r="K468" s="4" t="s">
        <v>141</v>
      </c>
      <c r="L468" s="4" t="s">
        <v>150</v>
      </c>
      <c r="M468" s="4" t="s">
        <v>143</v>
      </c>
      <c r="N468" s="4" t="s">
        <v>156</v>
      </c>
      <c r="O468" s="4" t="s">
        <v>144</v>
      </c>
      <c r="P468" s="4"/>
      <c r="Q468" s="4"/>
      <c r="R468" s="4">
        <v>25</v>
      </c>
      <c r="S468" s="4">
        <v>25</v>
      </c>
      <c r="T468" s="4"/>
      <c r="U468" s="4">
        <v>-37.071755580000001</v>
      </c>
      <c r="V468" s="4">
        <v>174.96402836999999</v>
      </c>
      <c r="W468" s="4"/>
      <c r="X468" s="4"/>
      <c r="Y468" s="4"/>
      <c r="Z468" s="4"/>
      <c r="AA468" s="4" t="s">
        <v>171</v>
      </c>
      <c r="AB468" s="3" t="str">
        <f>HYPERLINK("https://sitebase.nzcomms.co.nz/spm/spmcandidateview/AKL-009-005-B/","AKL-009-005-B")</f>
        <v>AKL-009-005-B</v>
      </c>
      <c r="AC468" s="4"/>
      <c r="AD468" s="4"/>
      <c r="AE468" s="4"/>
      <c r="AF468" s="4"/>
      <c r="AG468" s="4"/>
      <c r="AH468" s="4" t="s">
        <v>357</v>
      </c>
      <c r="AI468" s="4"/>
      <c r="AJ468" s="4"/>
      <c r="AK468" s="4"/>
      <c r="AL468" s="4"/>
      <c r="AM468" s="4"/>
      <c r="AN468" s="5">
        <v>39324</v>
      </c>
      <c r="AO468" s="4">
        <v>1</v>
      </c>
      <c r="AP468" s="4"/>
      <c r="AQ468" s="5">
        <v>39324</v>
      </c>
      <c r="AR468" s="4"/>
      <c r="AS468" s="4"/>
      <c r="AT468" s="5">
        <v>39308</v>
      </c>
      <c r="AU468" s="5">
        <v>39308</v>
      </c>
      <c r="AV468" s="4">
        <v>1</v>
      </c>
      <c r="AW468" s="5">
        <v>39308</v>
      </c>
      <c r="AX468" s="5">
        <v>39308</v>
      </c>
      <c r="AY468" s="4"/>
      <c r="AZ468" s="4"/>
      <c r="BA468" s="4"/>
      <c r="BB468" s="5">
        <v>39386</v>
      </c>
      <c r="BC468" s="4"/>
      <c r="BD468" s="4"/>
      <c r="BE468" s="5">
        <v>39386</v>
      </c>
      <c r="BF468" s="5">
        <v>39386</v>
      </c>
      <c r="BG468" s="4"/>
      <c r="BH468" s="5">
        <v>39386</v>
      </c>
      <c r="BI468" s="4"/>
      <c r="BJ468" s="5">
        <v>39476</v>
      </c>
      <c r="BK468" s="4">
        <v>2</v>
      </c>
      <c r="BL468" s="4">
        <v>1</v>
      </c>
      <c r="BM468" s="5">
        <v>39476</v>
      </c>
      <c r="BN468" s="5">
        <v>39476</v>
      </c>
      <c r="BO468" s="4"/>
      <c r="BP468" s="4"/>
      <c r="BQ468" s="4"/>
      <c r="BR468" s="4"/>
      <c r="BS468" s="4"/>
      <c r="BT468" s="4"/>
      <c r="BU468" s="5">
        <v>39496</v>
      </c>
      <c r="BV468" s="5">
        <v>39542</v>
      </c>
      <c r="BW468" s="5">
        <v>39542</v>
      </c>
      <c r="BX468" s="4"/>
      <c r="BY468" s="5">
        <v>39549</v>
      </c>
      <c r="BZ468" s="5">
        <v>39549</v>
      </c>
      <c r="CA468" s="4"/>
      <c r="CB468" s="4"/>
      <c r="CC468" s="4"/>
      <c r="CD468" s="4"/>
      <c r="CE468" s="4"/>
      <c r="CF468" s="4"/>
      <c r="CG468" s="4"/>
      <c r="CH468" s="4"/>
      <c r="CI468" s="5">
        <v>39773</v>
      </c>
      <c r="CJ468" s="5">
        <v>39791</v>
      </c>
      <c r="CK468" s="5">
        <v>39773</v>
      </c>
      <c r="CL468" s="4"/>
      <c r="CM468" s="4"/>
      <c r="CN468" s="4"/>
      <c r="CO468" s="4"/>
      <c r="CP468" s="4" t="s">
        <v>405</v>
      </c>
      <c r="CQ468" s="4"/>
      <c r="CR468" s="5">
        <v>39777</v>
      </c>
      <c r="CS468" s="4"/>
      <c r="CT468" s="4"/>
      <c r="CU468" s="4"/>
      <c r="CV468" s="4"/>
      <c r="CW468" s="4"/>
      <c r="CX468" s="4"/>
      <c r="CY468" s="4"/>
      <c r="CZ468" s="4"/>
      <c r="DA468" s="4"/>
      <c r="DB468" s="4"/>
      <c r="DC468" s="4"/>
      <c r="DD468" s="4"/>
      <c r="DE468" s="4"/>
      <c r="DF468" s="4"/>
      <c r="DG468" s="4"/>
      <c r="DH468" s="4"/>
      <c r="DI468" s="4"/>
      <c r="DJ468" s="4" t="b">
        <v>0</v>
      </c>
      <c r="DK468" s="4"/>
      <c r="DL468" s="4">
        <v>2684983</v>
      </c>
      <c r="DM468" s="4">
        <v>6457026</v>
      </c>
      <c r="DN468" s="4" t="s">
        <v>1538</v>
      </c>
      <c r="DO468" s="4"/>
      <c r="DP468" s="4"/>
      <c r="DQ468" s="4" t="s">
        <v>148</v>
      </c>
      <c r="DR468" s="4"/>
      <c r="DS468" s="4"/>
      <c r="DT468" s="5">
        <v>42348</v>
      </c>
      <c r="DU468" s="4"/>
      <c r="DV468" s="4"/>
      <c r="DW468" s="4"/>
      <c r="DX468" s="4"/>
      <c r="DY468" s="4"/>
      <c r="DZ468" s="5">
        <v>39477</v>
      </c>
      <c r="EA468" s="4"/>
      <c r="EB468" s="4"/>
      <c r="EC468" s="4"/>
      <c r="ED468" s="4"/>
      <c r="EE468" s="4"/>
      <c r="EF468" s="4"/>
      <c r="EG468" s="4"/>
      <c r="EH468" s="4"/>
      <c r="EI468" s="5">
        <v>39337</v>
      </c>
    </row>
    <row r="469" spans="1:139" hidden="1" x14ac:dyDescent="0.2">
      <c r="A469">
        <f>VLOOKUP(B469,Sheet1!$A$1:$B$18,2,FALSE)</f>
        <v>0</v>
      </c>
      <c r="B469" t="str">
        <f t="shared" si="8"/>
        <v>AKL</v>
      </c>
      <c r="C469" s="2">
        <v>468</v>
      </c>
      <c r="D469" s="3" t="str">
        <f>HYPERLINK("https://sitebase.nzcomms.co.nz/spm/spmnominalview/AKL-009-010/","AKL-009-010")</f>
        <v>AKL-009-010</v>
      </c>
      <c r="E469" s="4" t="s">
        <v>1539</v>
      </c>
      <c r="F469" s="3" t="str">
        <f>HYPERLINK("https://sitebase.nzcomms.co.nz/spm/spmcandidateview/AKL-009-010-A/","AKL-009-010-A")</f>
        <v>AKL-009-010-A</v>
      </c>
      <c r="G469" s="4" t="s">
        <v>1540</v>
      </c>
      <c r="H469" s="4" t="s">
        <v>1523</v>
      </c>
      <c r="I469" s="4">
        <v>3</v>
      </c>
      <c r="J469" s="4" t="s">
        <v>194</v>
      </c>
      <c r="K469" s="4" t="s">
        <v>141</v>
      </c>
      <c r="L469" s="4" t="s">
        <v>181</v>
      </c>
      <c r="M469" s="4" t="s">
        <v>190</v>
      </c>
      <c r="N469" s="4" t="s">
        <v>181</v>
      </c>
      <c r="O469" s="4" t="s">
        <v>356</v>
      </c>
      <c r="P469" s="4" t="s">
        <v>182</v>
      </c>
      <c r="Q469" s="4" t="s">
        <v>170</v>
      </c>
      <c r="R469" s="4">
        <v>11.3</v>
      </c>
      <c r="S469" s="4">
        <v>12</v>
      </c>
      <c r="T469" s="4">
        <v>1</v>
      </c>
      <c r="U469" s="4">
        <v>-37.047274999999999</v>
      </c>
      <c r="V469" s="4">
        <v>174.91009435999999</v>
      </c>
      <c r="W469" s="4"/>
      <c r="X469" s="4"/>
      <c r="Y469" s="4"/>
      <c r="Z469" s="4"/>
      <c r="AA469" s="4" t="s">
        <v>145</v>
      </c>
      <c r="AB469" s="3" t="str">
        <f>HYPERLINK("https://sitebase.nzcomms.co.nz/spm/spmcandidateview/AKL-007-106-A/","AKL-007-106-A")</f>
        <v>AKL-007-106-A</v>
      </c>
      <c r="AC469" s="4" t="b">
        <v>0</v>
      </c>
      <c r="AD469" s="4" t="b">
        <v>0</v>
      </c>
      <c r="AE469" s="4"/>
      <c r="AF469" s="4"/>
      <c r="AG469" s="4" t="b">
        <v>0</v>
      </c>
      <c r="AH469" s="4"/>
      <c r="AI469" s="5">
        <v>40722</v>
      </c>
      <c r="AJ469" s="5">
        <v>40722</v>
      </c>
      <c r="AK469" s="5">
        <v>40729</v>
      </c>
      <c r="AL469" s="5">
        <v>40723</v>
      </c>
      <c r="AM469" s="5">
        <v>40752</v>
      </c>
      <c r="AN469" s="5">
        <v>40756</v>
      </c>
      <c r="AO469" s="4">
        <v>3</v>
      </c>
      <c r="AP469" s="5">
        <v>40752</v>
      </c>
      <c r="AQ469" s="5">
        <v>40854</v>
      </c>
      <c r="AR469" s="5">
        <v>40833</v>
      </c>
      <c r="AS469" s="5">
        <v>40835</v>
      </c>
      <c r="AT469" s="5">
        <v>40891</v>
      </c>
      <c r="AU469" s="5">
        <v>40886</v>
      </c>
      <c r="AV469" s="4">
        <v>3</v>
      </c>
      <c r="AW469" s="5">
        <v>40891</v>
      </c>
      <c r="AX469" s="5">
        <v>40983</v>
      </c>
      <c r="AY469" s="4" t="s">
        <v>183</v>
      </c>
      <c r="AZ469" s="5">
        <v>40854</v>
      </c>
      <c r="BA469" s="5">
        <v>40858</v>
      </c>
      <c r="BB469" s="5">
        <v>40896</v>
      </c>
      <c r="BC469" s="5">
        <v>40876</v>
      </c>
      <c r="BD469" s="4">
        <v>3</v>
      </c>
      <c r="BE469" s="5">
        <v>40896</v>
      </c>
      <c r="BF469" s="5">
        <v>40892</v>
      </c>
      <c r="BG469" s="4"/>
      <c r="BH469" s="4"/>
      <c r="BI469" s="4"/>
      <c r="BJ469" s="5">
        <v>41082</v>
      </c>
      <c r="BK469" s="4">
        <v>1</v>
      </c>
      <c r="BL469" s="4"/>
      <c r="BM469" s="4"/>
      <c r="BN469" s="5">
        <v>41082</v>
      </c>
      <c r="BO469" s="5">
        <v>41111</v>
      </c>
      <c r="BP469" s="4"/>
      <c r="BQ469" s="4"/>
      <c r="BR469" s="4"/>
      <c r="BS469" s="4"/>
      <c r="BT469" s="5">
        <v>41116</v>
      </c>
      <c r="BU469" s="5">
        <v>41116</v>
      </c>
      <c r="BV469" s="5">
        <v>41136</v>
      </c>
      <c r="BW469" s="5">
        <v>41127</v>
      </c>
      <c r="BX469" s="5">
        <v>41124</v>
      </c>
      <c r="BY469" s="5">
        <v>41152</v>
      </c>
      <c r="BZ469" s="5">
        <v>41155</v>
      </c>
      <c r="CA469" s="5">
        <v>41152</v>
      </c>
      <c r="CB469" s="5">
        <v>41156</v>
      </c>
      <c r="CC469" s="4"/>
      <c r="CD469" s="4"/>
      <c r="CE469" s="4"/>
      <c r="CF469" s="4"/>
      <c r="CG469" s="4"/>
      <c r="CH469" s="4"/>
      <c r="CI469" s="5">
        <v>41157</v>
      </c>
      <c r="CJ469" s="5">
        <v>41176</v>
      </c>
      <c r="CK469" s="5">
        <v>41165</v>
      </c>
      <c r="CL469" s="5">
        <v>41180</v>
      </c>
      <c r="CM469" s="5">
        <v>41177</v>
      </c>
      <c r="CN469" s="5">
        <v>41376</v>
      </c>
      <c r="CO469" s="5">
        <v>41360</v>
      </c>
      <c r="CP469" s="4" t="s">
        <v>1455</v>
      </c>
      <c r="CQ469" s="4"/>
      <c r="CR469" s="5">
        <v>41156</v>
      </c>
      <c r="CS469" s="5">
        <v>41093</v>
      </c>
      <c r="CT469" s="5">
        <v>41093</v>
      </c>
      <c r="CU469" s="5">
        <v>41093</v>
      </c>
      <c r="CV469" s="5">
        <v>41111</v>
      </c>
      <c r="CW469" s="5">
        <v>41102</v>
      </c>
      <c r="CX469" s="5">
        <v>41111</v>
      </c>
      <c r="CY469" s="5">
        <v>41130</v>
      </c>
      <c r="CZ469" s="5">
        <v>41130</v>
      </c>
      <c r="DA469" s="5">
        <v>41158</v>
      </c>
      <c r="DB469" s="5">
        <v>41158</v>
      </c>
      <c r="DC469" s="4"/>
      <c r="DD469" s="4"/>
      <c r="DE469" s="4"/>
      <c r="DF469" s="5">
        <v>41145</v>
      </c>
      <c r="DG469" s="5">
        <v>41155</v>
      </c>
      <c r="DH469" s="4" t="s">
        <v>174</v>
      </c>
      <c r="DI469" s="5">
        <v>41124</v>
      </c>
      <c r="DJ469" s="4" t="b">
        <v>0</v>
      </c>
      <c r="DK469" s="4"/>
      <c r="DL469" s="4">
        <v>2680248</v>
      </c>
      <c r="DM469" s="4">
        <v>6459849</v>
      </c>
      <c r="DN469" s="4" t="s">
        <v>1541</v>
      </c>
      <c r="DO469" s="4"/>
      <c r="DP469" s="4" t="s">
        <v>1542</v>
      </c>
      <c r="DQ469" s="4" t="s">
        <v>148</v>
      </c>
      <c r="DR469" s="4"/>
      <c r="DS469" s="4"/>
      <c r="DT469" s="5">
        <v>42348</v>
      </c>
      <c r="DU469" s="4"/>
      <c r="DV469" s="4"/>
      <c r="DW469" s="4"/>
      <c r="DX469" s="4"/>
      <c r="DY469" s="4"/>
      <c r="DZ469" s="4"/>
      <c r="EA469" s="4"/>
      <c r="EB469" s="4"/>
      <c r="EC469" s="4"/>
      <c r="ED469" s="4"/>
      <c r="EE469" s="4"/>
      <c r="EF469" s="4"/>
      <c r="EG469" s="5">
        <v>41162</v>
      </c>
      <c r="EH469" s="5">
        <v>41162</v>
      </c>
      <c r="EI469" s="4"/>
    </row>
    <row r="470" spans="1:139" hidden="1" x14ac:dyDescent="0.2">
      <c r="A470">
        <f>VLOOKUP(B470,Sheet1!$A$1:$B$18,2,FALSE)</f>
        <v>0</v>
      </c>
      <c r="B470" t="str">
        <f t="shared" si="8"/>
        <v>AKL</v>
      </c>
      <c r="C470" s="2">
        <v>469</v>
      </c>
      <c r="D470" s="3" t="str">
        <f>HYPERLINK("https://sitebase.nzcomms.co.nz/spm/spmnominalview/AKL-009-012/","AKL-009-012")</f>
        <v>AKL-009-012</v>
      </c>
      <c r="E470" s="4" t="s">
        <v>1529</v>
      </c>
      <c r="F470" s="3" t="str">
        <f>HYPERLINK("https://sitebase.nzcomms.co.nz/spm/spmcandidateview/AKL-009-012-A/","AKL-009-012-A")</f>
        <v>AKL-009-012-A</v>
      </c>
      <c r="G470" s="4" t="s">
        <v>1216</v>
      </c>
      <c r="H470" s="4" t="s">
        <v>1523</v>
      </c>
      <c r="I470" s="4"/>
      <c r="J470" s="4" t="s">
        <v>317</v>
      </c>
      <c r="K470" s="4" t="s">
        <v>141</v>
      </c>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t="s">
        <v>240</v>
      </c>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row>
    <row r="471" spans="1:139" hidden="1" x14ac:dyDescent="0.2">
      <c r="A471">
        <f>VLOOKUP(B471,Sheet1!$A$1:$B$18,2,FALSE)</f>
        <v>0</v>
      </c>
      <c r="B471" t="str">
        <f t="shared" si="8"/>
        <v>AKL</v>
      </c>
      <c r="C471" s="2">
        <v>470</v>
      </c>
      <c r="D471" s="3" t="str">
        <f>HYPERLINK("https://sitebase.nzcomms.co.nz/spm/spmnominalview/AKL-009-013/","AKL-009-013")</f>
        <v>AKL-009-013</v>
      </c>
      <c r="E471" s="4" t="s">
        <v>1543</v>
      </c>
      <c r="F471" s="3" t="str">
        <f>HYPERLINK("https://sitebase.nzcomms.co.nz/spm/spmcandidateview/AKL-009-013-A/","AKL-009-013-A")</f>
        <v>AKL-009-013-A</v>
      </c>
      <c r="G471" s="4" t="s">
        <v>597</v>
      </c>
      <c r="H471" s="4" t="s">
        <v>1523</v>
      </c>
      <c r="I471" s="4"/>
      <c r="J471" s="4" t="s">
        <v>317</v>
      </c>
      <c r="K471" s="4" t="s">
        <v>141</v>
      </c>
      <c r="L471" s="4" t="s">
        <v>142</v>
      </c>
      <c r="M471" s="4" t="s">
        <v>324</v>
      </c>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t="s">
        <v>1544</v>
      </c>
      <c r="DO471" s="4"/>
      <c r="DP471" s="4"/>
      <c r="DQ471" s="4" t="s">
        <v>328</v>
      </c>
      <c r="DR471" s="4" t="s">
        <v>255</v>
      </c>
      <c r="DS471" s="4"/>
      <c r="DT471" s="4"/>
      <c r="DU471" s="4"/>
      <c r="DV471" s="4"/>
      <c r="DW471" s="4"/>
      <c r="DX471" s="4"/>
      <c r="DY471" s="4"/>
      <c r="DZ471" s="4"/>
      <c r="EA471" s="4"/>
      <c r="EB471" s="4"/>
      <c r="EC471" s="4"/>
      <c r="ED471" s="4"/>
      <c r="EE471" s="4"/>
      <c r="EF471" s="4"/>
      <c r="EG471" s="4"/>
      <c r="EH471" s="4"/>
      <c r="EI471" s="4"/>
    </row>
    <row r="472" spans="1:139" hidden="1" x14ac:dyDescent="0.2">
      <c r="A472">
        <f>VLOOKUP(B472,Sheet1!$A$1:$B$18,2,FALSE)</f>
        <v>0</v>
      </c>
      <c r="B472" t="str">
        <f t="shared" si="8"/>
        <v>AKL</v>
      </c>
      <c r="C472" s="2">
        <v>471</v>
      </c>
      <c r="D472" s="3" t="str">
        <f>HYPERLINK("https://sitebase.nzcomms.co.nz/spm/spmnominalview/AKL-010-001/","AKL-010-001")</f>
        <v>AKL-010-001</v>
      </c>
      <c r="E472" s="4"/>
      <c r="F472" s="4"/>
      <c r="G472" s="4"/>
      <c r="H472" s="4" t="s">
        <v>1545</v>
      </c>
      <c r="I472" s="4"/>
      <c r="J472" s="4" t="s">
        <v>196</v>
      </c>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row>
    <row r="473" spans="1:139" hidden="1" x14ac:dyDescent="0.2">
      <c r="A473">
        <f>VLOOKUP(B473,Sheet1!$A$1:$B$18,2,FALSE)</f>
        <v>0</v>
      </c>
      <c r="B473" t="str">
        <f t="shared" si="8"/>
        <v>AKL</v>
      </c>
      <c r="C473" s="2">
        <v>472</v>
      </c>
      <c r="D473" s="3" t="str">
        <f>HYPERLINK("https://sitebase.nzcomms.co.nz/spm/spmnominalview/AKL-010-002/","AKL-010-002")</f>
        <v>AKL-010-002</v>
      </c>
      <c r="E473" s="4" t="s">
        <v>1546</v>
      </c>
      <c r="F473" s="3" t="str">
        <f>HYPERLINK("https://sitebase.nzcomms.co.nz/spm/spmcandidateview/AKL-010-002-A/","AKL-010-002-A")</f>
        <v>AKL-010-002-A</v>
      </c>
      <c r="G473" s="4" t="s">
        <v>1547</v>
      </c>
      <c r="H473" s="4" t="s">
        <v>1545</v>
      </c>
      <c r="I473" s="4">
        <v>22</v>
      </c>
      <c r="J473" s="4" t="s">
        <v>165</v>
      </c>
      <c r="K473" s="4" t="s">
        <v>141</v>
      </c>
      <c r="L473" s="4" t="s">
        <v>150</v>
      </c>
      <c r="M473" s="4" t="s">
        <v>166</v>
      </c>
      <c r="N473" s="4" t="s">
        <v>730</v>
      </c>
      <c r="O473" s="4"/>
      <c r="P473" s="4" t="s">
        <v>169</v>
      </c>
      <c r="Q473" s="4" t="s">
        <v>170</v>
      </c>
      <c r="R473" s="4">
        <v>25</v>
      </c>
      <c r="S473" s="4">
        <v>25</v>
      </c>
      <c r="T473" s="4"/>
      <c r="U473" s="4">
        <v>-37.199025329999998</v>
      </c>
      <c r="V473" s="4">
        <v>174.73352410000001</v>
      </c>
      <c r="W473" s="5">
        <v>40344</v>
      </c>
      <c r="X473" s="4"/>
      <c r="Y473" s="5">
        <v>40354</v>
      </c>
      <c r="Z473" s="5">
        <v>40347</v>
      </c>
      <c r="AA473" s="4" t="s">
        <v>145</v>
      </c>
      <c r="AB473" s="3" t="str">
        <f>HYPERLINK("https://sitebase.nzcomms.co.nz/spm/spmcandidateview/AKL-008-091-A/","AKL-008-091-A")</f>
        <v>AKL-008-091-A</v>
      </c>
      <c r="AC473" s="4" t="b">
        <v>0</v>
      </c>
      <c r="AD473" s="4" t="b">
        <v>0</v>
      </c>
      <c r="AE473" s="4"/>
      <c r="AF473" s="5">
        <v>40361</v>
      </c>
      <c r="AG473" s="4" t="b">
        <v>0</v>
      </c>
      <c r="AH473" s="4"/>
      <c r="AI473" s="5">
        <v>41954</v>
      </c>
      <c r="AJ473" s="5">
        <v>41954</v>
      </c>
      <c r="AK473" s="5">
        <v>41954</v>
      </c>
      <c r="AL473" s="5">
        <v>41954</v>
      </c>
      <c r="AM473" s="5">
        <v>41978</v>
      </c>
      <c r="AN473" s="5">
        <v>39640</v>
      </c>
      <c r="AO473" s="4">
        <v>3</v>
      </c>
      <c r="AP473" s="5">
        <v>41985</v>
      </c>
      <c r="AQ473" s="5">
        <v>41975</v>
      </c>
      <c r="AR473" s="5">
        <v>42170</v>
      </c>
      <c r="AS473" s="5">
        <v>42171</v>
      </c>
      <c r="AT473" s="5">
        <v>42223</v>
      </c>
      <c r="AU473" s="5">
        <v>42229</v>
      </c>
      <c r="AV473" s="4"/>
      <c r="AW473" s="5">
        <v>42257</v>
      </c>
      <c r="AX473" s="5">
        <v>42268</v>
      </c>
      <c r="AY473" s="4" t="s">
        <v>172</v>
      </c>
      <c r="AZ473" s="5">
        <v>42108</v>
      </c>
      <c r="BA473" s="5">
        <v>42101</v>
      </c>
      <c r="BB473" s="5">
        <v>42146</v>
      </c>
      <c r="BC473" s="5">
        <v>42136</v>
      </c>
      <c r="BD473" s="4">
        <v>3</v>
      </c>
      <c r="BE473" s="5">
        <v>42146</v>
      </c>
      <c r="BF473" s="5">
        <v>42136</v>
      </c>
      <c r="BG473" s="5">
        <v>42114</v>
      </c>
      <c r="BH473" s="5">
        <v>42114</v>
      </c>
      <c r="BI473" s="5">
        <v>42164</v>
      </c>
      <c r="BJ473" s="5">
        <v>42207</v>
      </c>
      <c r="BK473" s="4">
        <v>1</v>
      </c>
      <c r="BL473" s="4"/>
      <c r="BM473" s="5">
        <v>42164</v>
      </c>
      <c r="BN473" s="5">
        <v>42207</v>
      </c>
      <c r="BO473" s="4"/>
      <c r="BP473" s="4"/>
      <c r="BQ473" s="4"/>
      <c r="BR473" s="4"/>
      <c r="BS473" s="4"/>
      <c r="BT473" s="5">
        <v>42268</v>
      </c>
      <c r="BU473" s="5">
        <v>42268</v>
      </c>
      <c r="BV473" s="5">
        <v>42300</v>
      </c>
      <c r="BW473" s="5">
        <v>42300</v>
      </c>
      <c r="BX473" s="4"/>
      <c r="BY473" s="5">
        <v>42293</v>
      </c>
      <c r="BZ473" s="5">
        <v>42293</v>
      </c>
      <c r="CA473" s="5">
        <v>42290</v>
      </c>
      <c r="CB473" s="5">
        <v>42292</v>
      </c>
      <c r="CC473" s="4"/>
      <c r="CD473" s="4"/>
      <c r="CE473" s="4"/>
      <c r="CF473" s="4"/>
      <c r="CG473" s="4"/>
      <c r="CH473" s="4"/>
      <c r="CI473" s="4"/>
      <c r="CJ473" s="5">
        <v>42307</v>
      </c>
      <c r="CK473" s="5">
        <v>42307</v>
      </c>
      <c r="CL473" s="5">
        <v>42326</v>
      </c>
      <c r="CM473" s="5">
        <v>42326</v>
      </c>
      <c r="CN473" s="4"/>
      <c r="CO473" s="4"/>
      <c r="CP473" s="4" t="s">
        <v>1548</v>
      </c>
      <c r="CQ473" s="4"/>
      <c r="CR473" s="4"/>
      <c r="CS473" s="4"/>
      <c r="CT473" s="4"/>
      <c r="CU473" s="4"/>
      <c r="CV473" s="4"/>
      <c r="CW473" s="4"/>
      <c r="CX473" s="4"/>
      <c r="CY473" s="4"/>
      <c r="CZ473" s="4"/>
      <c r="DA473" s="5">
        <v>42300</v>
      </c>
      <c r="DB473" s="5">
        <v>42300</v>
      </c>
      <c r="DC473" s="4"/>
      <c r="DD473" s="4"/>
      <c r="DE473" s="4"/>
      <c r="DF473" s="5">
        <v>42289</v>
      </c>
      <c r="DG473" s="5">
        <v>42283</v>
      </c>
      <c r="DH473" s="4" t="s">
        <v>174</v>
      </c>
      <c r="DI473" s="4"/>
      <c r="DJ473" s="4" t="b">
        <v>0</v>
      </c>
      <c r="DK473" s="4"/>
      <c r="DL473" s="4">
        <v>2664206</v>
      </c>
      <c r="DM473" s="4">
        <v>6443343</v>
      </c>
      <c r="DN473" s="4" t="s">
        <v>1549</v>
      </c>
      <c r="DO473" s="4"/>
      <c r="DP473" s="4" t="s">
        <v>1550</v>
      </c>
      <c r="DQ473" s="4" t="s">
        <v>148</v>
      </c>
      <c r="DR473" s="4"/>
      <c r="DS473" s="4"/>
      <c r="DT473" s="4"/>
      <c r="DU473" s="4" t="s">
        <v>178</v>
      </c>
      <c r="DV473" s="4"/>
      <c r="DW473" s="5">
        <v>42129</v>
      </c>
      <c r="DX473" s="5">
        <v>42118</v>
      </c>
      <c r="DY473" s="5">
        <v>42199</v>
      </c>
      <c r="DZ473" s="5">
        <v>42202</v>
      </c>
      <c r="EA473" s="4"/>
      <c r="EB473" s="5">
        <v>42107</v>
      </c>
      <c r="EC473" s="4"/>
      <c r="ED473" s="5">
        <v>42122</v>
      </c>
      <c r="EE473" s="5">
        <v>42236</v>
      </c>
      <c r="EF473" s="5">
        <v>42242</v>
      </c>
      <c r="EG473" s="4"/>
      <c r="EH473" s="4"/>
      <c r="EI473" s="5">
        <v>39603</v>
      </c>
    </row>
    <row r="474" spans="1:139" hidden="1" x14ac:dyDescent="0.2">
      <c r="A474">
        <f>VLOOKUP(B474,Sheet1!$A$1:$B$18,2,FALSE)</f>
        <v>0</v>
      </c>
      <c r="B474" t="str">
        <f t="shared" si="8"/>
        <v>AKL</v>
      </c>
      <c r="C474" s="2">
        <v>473</v>
      </c>
      <c r="D474" s="3" t="str">
        <f>HYPERLINK("https://sitebase.nzcomms.co.nz/spm/spmnominalview/AKL-010-003/","AKL-010-003")</f>
        <v>AKL-010-003</v>
      </c>
      <c r="E474" s="4" t="s">
        <v>1551</v>
      </c>
      <c r="F474" s="4"/>
      <c r="G474" s="4"/>
      <c r="H474" s="4" t="s">
        <v>1545</v>
      </c>
      <c r="I474" s="4"/>
      <c r="J474" s="4" t="s">
        <v>196</v>
      </c>
      <c r="K474" s="4"/>
      <c r="L474" s="4"/>
      <c r="M474" s="4"/>
      <c r="N474" s="4"/>
      <c r="O474" s="4"/>
      <c r="P474" s="4"/>
      <c r="Q474" s="4"/>
      <c r="R474" s="4"/>
      <c r="S474" s="4"/>
      <c r="T474" s="4"/>
      <c r="U474" s="4"/>
      <c r="V474" s="4"/>
      <c r="W474" s="4"/>
      <c r="X474" s="4"/>
      <c r="Y474" s="4"/>
      <c r="Z474" s="4"/>
      <c r="AA474" s="4"/>
      <c r="AB474" s="4"/>
      <c r="AC474" s="4"/>
      <c r="AD474" s="4"/>
      <c r="AE474" s="4"/>
      <c r="AF474" s="4"/>
      <c r="AG474" s="4" t="b">
        <v>0</v>
      </c>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t="s">
        <v>1552</v>
      </c>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row>
    <row r="475" spans="1:139" hidden="1" x14ac:dyDescent="0.2">
      <c r="A475">
        <f>VLOOKUP(B475,Sheet1!$A$1:$B$18,2,FALSE)</f>
        <v>0</v>
      </c>
      <c r="B475" t="str">
        <f t="shared" si="8"/>
        <v>AKL</v>
      </c>
      <c r="C475" s="2">
        <v>474</v>
      </c>
      <c r="D475" s="3" t="str">
        <f>HYPERLINK("https://sitebase.nzcomms.co.nz/spm/spmnominalview/AKL-010-005/","AKL-010-005")</f>
        <v>AKL-010-005</v>
      </c>
      <c r="E475" s="4" t="s">
        <v>1553</v>
      </c>
      <c r="F475" s="4"/>
      <c r="G475" s="4"/>
      <c r="H475" s="4" t="s">
        <v>1545</v>
      </c>
      <c r="I475" s="4"/>
      <c r="J475" s="4" t="s">
        <v>196</v>
      </c>
      <c r="K475" s="4"/>
      <c r="L475" s="4"/>
      <c r="M475" s="4"/>
      <c r="N475" s="4"/>
      <c r="O475" s="4"/>
      <c r="P475" s="4"/>
      <c r="Q475" s="4"/>
      <c r="R475" s="4"/>
      <c r="S475" s="4"/>
      <c r="T475" s="4"/>
      <c r="U475" s="4"/>
      <c r="V475" s="4"/>
      <c r="W475" s="4"/>
      <c r="X475" s="4"/>
      <c r="Y475" s="4"/>
      <c r="Z475" s="4"/>
      <c r="AA475" s="4"/>
      <c r="AB475" s="4"/>
      <c r="AC475" s="4"/>
      <c r="AD475" s="4"/>
      <c r="AE475" s="4"/>
      <c r="AF475" s="4"/>
      <c r="AG475" s="4" t="b">
        <v>0</v>
      </c>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row>
    <row r="476" spans="1:139" hidden="1" x14ac:dyDescent="0.2">
      <c r="A476">
        <f>VLOOKUP(B476,Sheet1!$A$1:$B$18,2,FALSE)</f>
        <v>0</v>
      </c>
      <c r="B476" t="str">
        <f t="shared" si="8"/>
        <v>AKL</v>
      </c>
      <c r="C476" s="2">
        <v>475</v>
      </c>
      <c r="D476" s="3" t="str">
        <f>HYPERLINK("https://sitebase.nzcomms.co.nz/spm/spmnominalview/AKL-010-006/","AKL-010-006")</f>
        <v>AKL-010-006</v>
      </c>
      <c r="E476" s="4" t="s">
        <v>1554</v>
      </c>
      <c r="F476" s="4"/>
      <c r="G476" s="4"/>
      <c r="H476" s="4" t="s">
        <v>1545</v>
      </c>
      <c r="I476" s="4">
        <v>1</v>
      </c>
      <c r="J476" s="4" t="s">
        <v>180</v>
      </c>
      <c r="K476" s="4"/>
      <c r="L476" s="4"/>
      <c r="M476" s="4"/>
      <c r="N476" s="4"/>
      <c r="O476" s="4"/>
      <c r="P476" s="4"/>
      <c r="Q476" s="4"/>
      <c r="R476" s="4"/>
      <c r="S476" s="4"/>
      <c r="T476" s="4"/>
      <c r="U476" s="4"/>
      <c r="V476" s="4"/>
      <c r="W476" s="4"/>
      <c r="X476" s="4"/>
      <c r="Y476" s="4"/>
      <c r="Z476" s="4"/>
      <c r="AA476" s="4"/>
      <c r="AB476" s="4"/>
      <c r="AC476" s="4"/>
      <c r="AD476" s="4"/>
      <c r="AE476" s="4"/>
      <c r="AF476" s="4"/>
      <c r="AG476" s="4" t="b">
        <v>0</v>
      </c>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t="s">
        <v>581</v>
      </c>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row>
    <row r="477" spans="1:139" hidden="1" x14ac:dyDescent="0.2">
      <c r="A477">
        <f>VLOOKUP(B477,Sheet1!$A$1:$B$18,2,FALSE)</f>
        <v>0</v>
      </c>
      <c r="B477" t="str">
        <f t="shared" si="8"/>
        <v>AKL</v>
      </c>
      <c r="C477" s="2">
        <v>476</v>
      </c>
      <c r="D477" s="3" t="str">
        <f>HYPERLINK("https://sitebase.nzcomms.co.nz/spm/spmnominalview/AKL-010-007/","AKL-010-007")</f>
        <v>AKL-010-007</v>
      </c>
      <c r="E477" s="4" t="s">
        <v>1555</v>
      </c>
      <c r="F477" s="3" t="str">
        <f>HYPERLINK("https://sitebase.nzcomms.co.nz/spm/spmcandidateview/AKL-010-007-A/","AKL-010-007-A")</f>
        <v>AKL-010-007-A</v>
      </c>
      <c r="G477" s="4" t="s">
        <v>1556</v>
      </c>
      <c r="H477" s="4" t="s">
        <v>1545</v>
      </c>
      <c r="I477" s="4">
        <v>22</v>
      </c>
      <c r="J477" s="4" t="s">
        <v>165</v>
      </c>
      <c r="K477" s="4" t="s">
        <v>141</v>
      </c>
      <c r="L477" s="4" t="s">
        <v>150</v>
      </c>
      <c r="M477" s="4" t="s">
        <v>190</v>
      </c>
      <c r="N477" s="4" t="s">
        <v>1557</v>
      </c>
      <c r="O477" s="4"/>
      <c r="P477" s="4" t="s">
        <v>169</v>
      </c>
      <c r="Q477" s="4" t="s">
        <v>170</v>
      </c>
      <c r="R477" s="4">
        <v>25</v>
      </c>
      <c r="S477" s="4">
        <v>25</v>
      </c>
      <c r="T477" s="4">
        <v>1</v>
      </c>
      <c r="U477" s="4">
        <v>-37.2196882</v>
      </c>
      <c r="V477" s="4">
        <v>174.90769512</v>
      </c>
      <c r="W477" s="5">
        <v>40344</v>
      </c>
      <c r="X477" s="4"/>
      <c r="Y477" s="5">
        <v>40354</v>
      </c>
      <c r="Z477" s="5">
        <v>40347</v>
      </c>
      <c r="AA477" s="4" t="s">
        <v>145</v>
      </c>
      <c r="AB477" s="3" t="str">
        <f>HYPERLINK("https://sitebase.nzcomms.co.nz/spm/spmcandidateview/AKL-007-185-A/","AKL-007-185-A")</f>
        <v>AKL-007-185-A</v>
      </c>
      <c r="AC477" s="4" t="b">
        <v>0</v>
      </c>
      <c r="AD477" s="4" t="b">
        <v>0</v>
      </c>
      <c r="AE477" s="4"/>
      <c r="AF477" s="5">
        <v>40361</v>
      </c>
      <c r="AG477" s="4" t="b">
        <v>0</v>
      </c>
      <c r="AH477" s="4"/>
      <c r="AI477" s="5">
        <v>40968</v>
      </c>
      <c r="AJ477" s="5">
        <v>40968</v>
      </c>
      <c r="AK477" s="4"/>
      <c r="AL477" s="5">
        <v>40969</v>
      </c>
      <c r="AM477" s="5">
        <v>40994</v>
      </c>
      <c r="AN477" s="5">
        <v>41017</v>
      </c>
      <c r="AO477" s="4">
        <v>3</v>
      </c>
      <c r="AP477" s="5">
        <v>41054</v>
      </c>
      <c r="AQ477" s="5">
        <v>41059</v>
      </c>
      <c r="AR477" s="5">
        <v>41047</v>
      </c>
      <c r="AS477" s="5">
        <v>41047</v>
      </c>
      <c r="AT477" s="5">
        <v>41138</v>
      </c>
      <c r="AU477" s="5">
        <v>41138</v>
      </c>
      <c r="AV477" s="4">
        <v>1</v>
      </c>
      <c r="AW477" s="5">
        <v>41145</v>
      </c>
      <c r="AX477" s="5">
        <v>41138</v>
      </c>
      <c r="AY477" s="4" t="s">
        <v>172</v>
      </c>
      <c r="AZ477" s="5">
        <v>41061</v>
      </c>
      <c r="BA477" s="5">
        <v>41061</v>
      </c>
      <c r="BB477" s="5">
        <v>41117</v>
      </c>
      <c r="BC477" s="5">
        <v>41117</v>
      </c>
      <c r="BD477" s="4">
        <v>3</v>
      </c>
      <c r="BE477" s="5">
        <v>41124</v>
      </c>
      <c r="BF477" s="5">
        <v>41120</v>
      </c>
      <c r="BG477" s="5">
        <v>41933</v>
      </c>
      <c r="BH477" s="5">
        <v>41933</v>
      </c>
      <c r="BI477" s="5">
        <v>42034</v>
      </c>
      <c r="BJ477" s="5">
        <v>42039</v>
      </c>
      <c r="BK477" s="4">
        <v>1</v>
      </c>
      <c r="BL477" s="4">
        <v>1</v>
      </c>
      <c r="BM477" s="5">
        <v>42041</v>
      </c>
      <c r="BN477" s="5">
        <v>42039</v>
      </c>
      <c r="BO477" s="4"/>
      <c r="BP477" s="4"/>
      <c r="BQ477" s="4"/>
      <c r="BR477" s="4"/>
      <c r="BS477" s="4"/>
      <c r="BT477" s="5">
        <v>42135</v>
      </c>
      <c r="BU477" s="5">
        <v>42135</v>
      </c>
      <c r="BV477" s="5">
        <v>42174</v>
      </c>
      <c r="BW477" s="5">
        <v>42178</v>
      </c>
      <c r="BX477" s="5">
        <v>42167</v>
      </c>
      <c r="BY477" s="5">
        <v>42180</v>
      </c>
      <c r="BZ477" s="5">
        <v>42178</v>
      </c>
      <c r="CA477" s="5">
        <v>42160</v>
      </c>
      <c r="CB477" s="4"/>
      <c r="CC477" s="4"/>
      <c r="CD477" s="4"/>
      <c r="CE477" s="4"/>
      <c r="CF477" s="4"/>
      <c r="CG477" s="4"/>
      <c r="CH477" s="4"/>
      <c r="CI477" s="4"/>
      <c r="CJ477" s="5">
        <v>42199</v>
      </c>
      <c r="CK477" s="5">
        <v>42202</v>
      </c>
      <c r="CL477" s="5">
        <v>42206</v>
      </c>
      <c r="CM477" s="5">
        <v>42215</v>
      </c>
      <c r="CN477" s="4"/>
      <c r="CO477" s="4"/>
      <c r="CP477" s="4" t="s">
        <v>1558</v>
      </c>
      <c r="CQ477" s="4"/>
      <c r="CR477" s="5">
        <v>42178</v>
      </c>
      <c r="CS477" s="4"/>
      <c r="CT477" s="4"/>
      <c r="CU477" s="4"/>
      <c r="CV477" s="4"/>
      <c r="CW477" s="4"/>
      <c r="CX477" s="4"/>
      <c r="CY477" s="5">
        <v>42176</v>
      </c>
      <c r="CZ477" s="5">
        <v>42173</v>
      </c>
      <c r="DA477" s="5">
        <v>42181</v>
      </c>
      <c r="DB477" s="5">
        <v>42192</v>
      </c>
      <c r="DC477" s="4"/>
      <c r="DD477" s="4"/>
      <c r="DE477" s="4" t="s">
        <v>581</v>
      </c>
      <c r="DF477" s="5">
        <v>42146</v>
      </c>
      <c r="DG477" s="5">
        <v>42163</v>
      </c>
      <c r="DH477" s="4" t="s">
        <v>174</v>
      </c>
      <c r="DI477" s="5">
        <v>42167</v>
      </c>
      <c r="DJ477" s="4" t="b">
        <v>1</v>
      </c>
      <c r="DK477" s="4"/>
      <c r="DL477" s="4">
        <v>2679614</v>
      </c>
      <c r="DM477" s="4">
        <v>6440725</v>
      </c>
      <c r="DN477" s="4" t="s">
        <v>1559</v>
      </c>
      <c r="DO477" s="4"/>
      <c r="DP477" s="4" t="s">
        <v>1560</v>
      </c>
      <c r="DQ477" s="4" t="s">
        <v>148</v>
      </c>
      <c r="DR477" s="4"/>
      <c r="DS477" s="4"/>
      <c r="DT477" s="4"/>
      <c r="DU477" s="4" t="s">
        <v>178</v>
      </c>
      <c r="DV477" s="4"/>
      <c r="DW477" s="5">
        <v>42076</v>
      </c>
      <c r="DX477" s="5">
        <v>42039</v>
      </c>
      <c r="DY477" s="5">
        <v>42089</v>
      </c>
      <c r="DZ477" s="5">
        <v>42089</v>
      </c>
      <c r="EA477" s="4"/>
      <c r="EB477" s="4"/>
      <c r="EC477" s="4"/>
      <c r="ED477" s="5">
        <v>42068</v>
      </c>
      <c r="EE477" s="4"/>
      <c r="EF477" s="5">
        <v>42131</v>
      </c>
      <c r="EG477" s="5">
        <v>42195</v>
      </c>
      <c r="EH477" s="4"/>
      <c r="EI477" s="5">
        <v>40969</v>
      </c>
    </row>
    <row r="478" spans="1:139" hidden="1" x14ac:dyDescent="0.2">
      <c r="A478">
        <f>VLOOKUP(B478,Sheet1!$A$1:$B$18,2,FALSE)</f>
        <v>0</v>
      </c>
      <c r="B478" t="str">
        <f t="shared" si="8"/>
        <v>AKL</v>
      </c>
      <c r="C478" s="2">
        <v>477</v>
      </c>
      <c r="D478" s="3" t="str">
        <f>HYPERLINK("https://sitebase.nzcomms.co.nz/spm/spmnominalview/AKL-010-008/","AKL-010-008")</f>
        <v>AKL-010-008</v>
      </c>
      <c r="E478" s="4" t="s">
        <v>1561</v>
      </c>
      <c r="F478" s="4"/>
      <c r="G478" s="4"/>
      <c r="H478" s="4" t="s">
        <v>1545</v>
      </c>
      <c r="I478" s="4"/>
      <c r="J478" s="4" t="s">
        <v>196</v>
      </c>
      <c r="K478" s="4"/>
      <c r="L478" s="4"/>
      <c r="M478" s="4"/>
      <c r="N478" s="4"/>
      <c r="O478" s="4"/>
      <c r="P478" s="4"/>
      <c r="Q478" s="4"/>
      <c r="R478" s="4"/>
      <c r="S478" s="4"/>
      <c r="T478" s="4"/>
      <c r="U478" s="4"/>
      <c r="V478" s="4"/>
      <c r="W478" s="4"/>
      <c r="X478" s="4"/>
      <c r="Y478" s="4"/>
      <c r="Z478" s="4"/>
      <c r="AA478" s="4"/>
      <c r="AB478" s="4"/>
      <c r="AC478" s="4"/>
      <c r="AD478" s="4"/>
      <c r="AE478" s="4"/>
      <c r="AF478" s="4"/>
      <c r="AG478" s="4" t="b">
        <v>0</v>
      </c>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t="s">
        <v>1562</v>
      </c>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row>
    <row r="479" spans="1:139" hidden="1" x14ac:dyDescent="0.2">
      <c r="A479">
        <f>VLOOKUP(B479,Sheet1!$A$1:$B$18,2,FALSE)</f>
        <v>0</v>
      </c>
      <c r="B479" t="str">
        <f t="shared" si="8"/>
        <v>AKL</v>
      </c>
      <c r="C479" s="2">
        <v>478</v>
      </c>
      <c r="D479" s="3" t="str">
        <f>HYPERLINK("https://sitebase.nzcomms.co.nz/spm/spmnominalview/AKL-010-009/","AKL-010-009")</f>
        <v>AKL-010-009</v>
      </c>
      <c r="E479" s="4" t="s">
        <v>1563</v>
      </c>
      <c r="F479" s="3" t="str">
        <f>HYPERLINK("https://sitebase.nzcomms.co.nz/spm/spmcandidateview/AKL-010-009-G/","AKL-010-009-G")</f>
        <v>AKL-010-009-G</v>
      </c>
      <c r="G479" s="4" t="s">
        <v>1564</v>
      </c>
      <c r="H479" s="4" t="s">
        <v>1545</v>
      </c>
      <c r="I479" s="4">
        <v>22</v>
      </c>
      <c r="J479" s="4" t="s">
        <v>165</v>
      </c>
      <c r="K479" s="4" t="s">
        <v>141</v>
      </c>
      <c r="L479" s="4" t="s">
        <v>142</v>
      </c>
      <c r="M479" s="4" t="s">
        <v>166</v>
      </c>
      <c r="N479" s="4" t="s">
        <v>142</v>
      </c>
      <c r="O479" s="4"/>
      <c r="P479" s="4" t="s">
        <v>169</v>
      </c>
      <c r="Q479" s="4" t="s">
        <v>142</v>
      </c>
      <c r="R479" s="4"/>
      <c r="S479" s="4"/>
      <c r="T479" s="4"/>
      <c r="U479" s="4">
        <v>-37.18811719</v>
      </c>
      <c r="V479" s="4">
        <v>174.99928677</v>
      </c>
      <c r="W479" s="4"/>
      <c r="X479" s="4"/>
      <c r="Y479" s="4"/>
      <c r="Z479" s="4"/>
      <c r="AA479" s="4"/>
      <c r="AB479" s="4"/>
      <c r="AC479" s="4" t="b">
        <v>0</v>
      </c>
      <c r="AD479" s="4" t="b">
        <v>0</v>
      </c>
      <c r="AE479" s="4"/>
      <c r="AF479" s="4"/>
      <c r="AG479" s="4" t="b">
        <v>0</v>
      </c>
      <c r="AH479" s="4"/>
      <c r="AI479" s="4"/>
      <c r="AJ479" s="5">
        <v>42212</v>
      </c>
      <c r="AK479" s="5">
        <v>42214</v>
      </c>
      <c r="AL479" s="5">
        <v>42220</v>
      </c>
      <c r="AM479" s="5">
        <v>42251</v>
      </c>
      <c r="AN479" s="5">
        <v>42250</v>
      </c>
      <c r="AO479" s="4">
        <v>2</v>
      </c>
      <c r="AP479" s="5">
        <v>42254</v>
      </c>
      <c r="AQ479" s="5">
        <v>42335</v>
      </c>
      <c r="AR479" s="5">
        <v>42460</v>
      </c>
      <c r="AS479" s="4"/>
      <c r="AT479" s="5">
        <v>42489</v>
      </c>
      <c r="AU479" s="4"/>
      <c r="AV479" s="4"/>
      <c r="AW479" s="5">
        <v>42489</v>
      </c>
      <c r="AX479" s="4"/>
      <c r="AY479" s="4" t="s">
        <v>183</v>
      </c>
      <c r="AZ479" s="5">
        <v>42429</v>
      </c>
      <c r="BA479" s="4"/>
      <c r="BB479" s="5">
        <v>42460</v>
      </c>
      <c r="BC479" s="4"/>
      <c r="BD479" s="4"/>
      <c r="BE479" s="5">
        <v>42464</v>
      </c>
      <c r="BF479" s="4"/>
      <c r="BG479" s="5">
        <v>42429</v>
      </c>
      <c r="BH479" s="4"/>
      <c r="BI479" s="5">
        <v>42464</v>
      </c>
      <c r="BJ479" s="4"/>
      <c r="BK479" s="4"/>
      <c r="BL479" s="4"/>
      <c r="BM479" s="5">
        <v>42464</v>
      </c>
      <c r="BN479" s="4"/>
      <c r="BO479" s="4"/>
      <c r="BP479" s="4"/>
      <c r="BQ479" s="4"/>
      <c r="BR479" s="4"/>
      <c r="BS479" s="4"/>
      <c r="BT479" s="5">
        <v>42520</v>
      </c>
      <c r="BU479" s="4"/>
      <c r="BV479" s="5">
        <v>42548</v>
      </c>
      <c r="BW479" s="4"/>
      <c r="BX479" s="4"/>
      <c r="BY479" s="5">
        <v>42562</v>
      </c>
      <c r="BZ479" s="4"/>
      <c r="CA479" s="4"/>
      <c r="CB479" s="4"/>
      <c r="CC479" s="4"/>
      <c r="CD479" s="4"/>
      <c r="CE479" s="4"/>
      <c r="CF479" s="4"/>
      <c r="CG479" s="4"/>
      <c r="CH479" s="4"/>
      <c r="CI479" s="4"/>
      <c r="CJ479" s="5">
        <v>42590</v>
      </c>
      <c r="CK479" s="4"/>
      <c r="CL479" s="4"/>
      <c r="CM479" s="4"/>
      <c r="CN479" s="4"/>
      <c r="CO479" s="4"/>
      <c r="CP479" s="4" t="s">
        <v>1565</v>
      </c>
      <c r="CQ479" s="4" t="s">
        <v>1566</v>
      </c>
      <c r="CR479" s="4"/>
      <c r="CS479" s="4"/>
      <c r="CT479" s="4"/>
      <c r="CU479" s="4"/>
      <c r="CV479" s="4"/>
      <c r="CW479" s="4"/>
      <c r="CX479" s="4"/>
      <c r="CY479" s="4"/>
      <c r="CZ479" s="4"/>
      <c r="DA479" s="5">
        <v>42576</v>
      </c>
      <c r="DB479" s="4"/>
      <c r="DC479" s="4"/>
      <c r="DD479" s="4"/>
      <c r="DE479" s="4"/>
      <c r="DF479" s="4"/>
      <c r="DG479" s="4"/>
      <c r="DH479" s="4" t="s">
        <v>174</v>
      </c>
      <c r="DI479" s="4"/>
      <c r="DJ479" s="4" t="b">
        <v>0</v>
      </c>
      <c r="DK479" s="4"/>
      <c r="DL479" s="4">
        <v>2687821</v>
      </c>
      <c r="DM479" s="4">
        <v>6444045</v>
      </c>
      <c r="DN479" s="4" t="s">
        <v>1567</v>
      </c>
      <c r="DO479" s="4"/>
      <c r="DP479" s="4"/>
      <c r="DQ479" s="4" t="s">
        <v>148</v>
      </c>
      <c r="DR479" s="4" t="s">
        <v>255</v>
      </c>
      <c r="DS479" s="4"/>
      <c r="DT479" s="4"/>
      <c r="DU479" s="4" t="s">
        <v>178</v>
      </c>
      <c r="DV479" s="4"/>
      <c r="DW479" s="4"/>
      <c r="DX479" s="4"/>
      <c r="DY479" s="5">
        <v>42471</v>
      </c>
      <c r="DZ479" s="4"/>
      <c r="EA479" s="5">
        <v>42214</v>
      </c>
      <c r="EB479" s="5">
        <v>42237</v>
      </c>
      <c r="EC479" s="5">
        <v>42338</v>
      </c>
      <c r="ED479" s="4"/>
      <c r="EE479" s="5">
        <v>42499</v>
      </c>
      <c r="EF479" s="4"/>
      <c r="EG479" s="4"/>
      <c r="EH479" s="4"/>
      <c r="EI479" s="5">
        <v>42220</v>
      </c>
    </row>
    <row r="480" spans="1:139" hidden="1" x14ac:dyDescent="0.2">
      <c r="A480">
        <f>VLOOKUP(B480,Sheet1!$A$1:$B$18,2,FALSE)</f>
        <v>0</v>
      </c>
      <c r="B480" t="str">
        <f t="shared" si="8"/>
        <v>AKL</v>
      </c>
      <c r="C480" s="2">
        <v>479</v>
      </c>
      <c r="D480" s="3" t="str">
        <f>HYPERLINK("https://sitebase.nzcomms.co.nz/spm/spmnominalview/AKL-010-010/","AKL-010-010")</f>
        <v>AKL-010-010</v>
      </c>
      <c r="E480" s="4" t="s">
        <v>1568</v>
      </c>
      <c r="F480" s="4"/>
      <c r="G480" s="4"/>
      <c r="H480" s="4" t="s">
        <v>1545</v>
      </c>
      <c r="I480" s="4"/>
      <c r="J480" s="4" t="s">
        <v>196</v>
      </c>
      <c r="K480" s="4"/>
      <c r="L480" s="4"/>
      <c r="M480" s="4"/>
      <c r="N480" s="4"/>
      <c r="O480" s="4"/>
      <c r="P480" s="4"/>
      <c r="Q480" s="4"/>
      <c r="R480" s="4"/>
      <c r="S480" s="4"/>
      <c r="T480" s="4"/>
      <c r="U480" s="4"/>
      <c r="V480" s="4"/>
      <c r="W480" s="4"/>
      <c r="X480" s="4"/>
      <c r="Y480" s="4"/>
      <c r="Z480" s="4"/>
      <c r="AA480" s="4"/>
      <c r="AB480" s="4"/>
      <c r="AC480" s="4"/>
      <c r="AD480" s="4"/>
      <c r="AE480" s="4"/>
      <c r="AF480" s="4"/>
      <c r="AG480" s="4" t="b">
        <v>0</v>
      </c>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t="s">
        <v>1569</v>
      </c>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row>
    <row r="481" spans="1:139" hidden="1" x14ac:dyDescent="0.2">
      <c r="A481">
        <f>VLOOKUP(B481,Sheet1!$A$1:$B$18,2,FALSE)</f>
        <v>0</v>
      </c>
      <c r="B481" t="str">
        <f t="shared" si="8"/>
        <v>AKL</v>
      </c>
      <c r="C481" s="2">
        <v>480</v>
      </c>
      <c r="D481" s="3" t="str">
        <f>HYPERLINK("https://sitebase.nzcomms.co.nz/spm/spmnominalview/AKL-010-011/","AKL-010-011")</f>
        <v>AKL-010-011</v>
      </c>
      <c r="E481" s="4"/>
      <c r="F481" s="4"/>
      <c r="G481" s="4"/>
      <c r="H481" s="4" t="s">
        <v>1545</v>
      </c>
      <c r="I481" s="4"/>
      <c r="J481" s="4" t="s">
        <v>196</v>
      </c>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row>
    <row r="482" spans="1:139" hidden="1" x14ac:dyDescent="0.2">
      <c r="A482">
        <f>VLOOKUP(B482,Sheet1!$A$1:$B$18,2,FALSE)</f>
        <v>0</v>
      </c>
      <c r="B482" t="str">
        <f t="shared" si="8"/>
        <v>AKL</v>
      </c>
      <c r="C482" s="2">
        <v>481</v>
      </c>
      <c r="D482" s="3" t="str">
        <f>HYPERLINK("https://sitebase.nzcomms.co.nz/spm/spmnominalview/AKL-010-013/","AKL-010-013")</f>
        <v>AKL-010-013</v>
      </c>
      <c r="E482" s="4" t="s">
        <v>1570</v>
      </c>
      <c r="F482" s="3" t="str">
        <f>HYPERLINK("https://sitebase.nzcomms.co.nz/spm/spmcandidateview/AKL-010-013-D/","AKL-010-013-D")</f>
        <v>AKL-010-013-D</v>
      </c>
      <c r="G482" s="4" t="s">
        <v>1571</v>
      </c>
      <c r="H482" s="4" t="s">
        <v>1545</v>
      </c>
      <c r="I482" s="4">
        <v>22</v>
      </c>
      <c r="J482" s="4" t="s">
        <v>165</v>
      </c>
      <c r="K482" s="4" t="s">
        <v>141</v>
      </c>
      <c r="L482" s="4" t="s">
        <v>150</v>
      </c>
      <c r="M482" s="4" t="s">
        <v>166</v>
      </c>
      <c r="N482" s="4" t="s">
        <v>1572</v>
      </c>
      <c r="O482" s="4"/>
      <c r="P482" s="4"/>
      <c r="Q482" s="4" t="s">
        <v>170</v>
      </c>
      <c r="R482" s="4">
        <v>25</v>
      </c>
      <c r="S482" s="4">
        <v>28</v>
      </c>
      <c r="T482" s="4"/>
      <c r="U482" s="4">
        <v>-37.095831699999998</v>
      </c>
      <c r="V482" s="4">
        <v>175.07747789000001</v>
      </c>
      <c r="W482" s="5">
        <v>40344</v>
      </c>
      <c r="X482" s="4"/>
      <c r="Y482" s="5">
        <v>40354</v>
      </c>
      <c r="Z482" s="5">
        <v>40347</v>
      </c>
      <c r="AA482" s="4" t="s">
        <v>145</v>
      </c>
      <c r="AB482" s="3" t="str">
        <f>HYPERLINK("https://sitebase.nzcomms.co.nz/spm/spmcandidateview/AKL-008-091-A/","AKL-008-091-A")</f>
        <v>AKL-008-091-A</v>
      </c>
      <c r="AC482" s="4" t="b">
        <v>0</v>
      </c>
      <c r="AD482" s="4" t="b">
        <v>0</v>
      </c>
      <c r="AE482" s="4"/>
      <c r="AF482" s="5">
        <v>40361</v>
      </c>
      <c r="AG482" s="4" t="b">
        <v>0</v>
      </c>
      <c r="AH482" s="4"/>
      <c r="AI482" s="5">
        <v>42087</v>
      </c>
      <c r="AJ482" s="5">
        <v>42087</v>
      </c>
      <c r="AK482" s="5">
        <v>42090</v>
      </c>
      <c r="AL482" s="5">
        <v>42089</v>
      </c>
      <c r="AM482" s="5">
        <v>42124</v>
      </c>
      <c r="AN482" s="5">
        <v>39623</v>
      </c>
      <c r="AO482" s="4">
        <v>3</v>
      </c>
      <c r="AP482" s="5">
        <v>42124</v>
      </c>
      <c r="AQ482" s="5">
        <v>42125</v>
      </c>
      <c r="AR482" s="5">
        <v>42153</v>
      </c>
      <c r="AS482" s="5">
        <v>42135</v>
      </c>
      <c r="AT482" s="5">
        <v>42212</v>
      </c>
      <c r="AU482" s="5">
        <v>42135</v>
      </c>
      <c r="AV482" s="4">
        <v>1</v>
      </c>
      <c r="AW482" s="5">
        <v>42216</v>
      </c>
      <c r="AX482" s="4"/>
      <c r="AY482" s="4" t="s">
        <v>203</v>
      </c>
      <c r="AZ482" s="5">
        <v>42139</v>
      </c>
      <c r="BA482" s="5">
        <v>42131</v>
      </c>
      <c r="BB482" s="5">
        <v>42173</v>
      </c>
      <c r="BC482" s="5">
        <v>42164</v>
      </c>
      <c r="BD482" s="4">
        <v>3</v>
      </c>
      <c r="BE482" s="5">
        <v>42180</v>
      </c>
      <c r="BF482" s="5">
        <v>42164</v>
      </c>
      <c r="BG482" s="5">
        <v>42153</v>
      </c>
      <c r="BH482" s="5">
        <v>42136</v>
      </c>
      <c r="BI482" s="5">
        <v>42186</v>
      </c>
      <c r="BJ482" s="5">
        <v>42192</v>
      </c>
      <c r="BK482" s="4">
        <v>1</v>
      </c>
      <c r="BL482" s="4"/>
      <c r="BM482" s="5">
        <v>42193</v>
      </c>
      <c r="BN482" s="5">
        <v>42192</v>
      </c>
      <c r="BO482" s="4"/>
      <c r="BP482" s="4"/>
      <c r="BQ482" s="4"/>
      <c r="BR482" s="4"/>
      <c r="BS482" s="4"/>
      <c r="BT482" s="5">
        <v>42226</v>
      </c>
      <c r="BU482" s="5">
        <v>42226</v>
      </c>
      <c r="BV482" s="5">
        <v>42300</v>
      </c>
      <c r="BW482" s="5">
        <v>42300</v>
      </c>
      <c r="BX482" s="5">
        <v>42250</v>
      </c>
      <c r="BY482" s="5">
        <v>42293</v>
      </c>
      <c r="BZ482" s="5">
        <v>42292</v>
      </c>
      <c r="CA482" s="5">
        <v>42268</v>
      </c>
      <c r="CB482" s="5">
        <v>42269</v>
      </c>
      <c r="CC482" s="4"/>
      <c r="CD482" s="4"/>
      <c r="CE482" s="4"/>
      <c r="CF482" s="4"/>
      <c r="CG482" s="4"/>
      <c r="CH482" s="4"/>
      <c r="CI482" s="4"/>
      <c r="CJ482" s="5">
        <v>42305</v>
      </c>
      <c r="CK482" s="5">
        <v>42307</v>
      </c>
      <c r="CL482" s="5">
        <v>42338</v>
      </c>
      <c r="CM482" s="5">
        <v>42338</v>
      </c>
      <c r="CN482" s="4"/>
      <c r="CO482" s="4"/>
      <c r="CP482" s="4" t="s">
        <v>1573</v>
      </c>
      <c r="CQ482" s="4"/>
      <c r="CR482" s="5">
        <v>42263</v>
      </c>
      <c r="CS482" s="4"/>
      <c r="CT482" s="4"/>
      <c r="CU482" s="4"/>
      <c r="CV482" s="4"/>
      <c r="CW482" s="4"/>
      <c r="CX482" s="4"/>
      <c r="CY482" s="5">
        <v>42253</v>
      </c>
      <c r="CZ482" s="4"/>
      <c r="DA482" s="5">
        <v>42300</v>
      </c>
      <c r="DB482" s="5">
        <v>42300</v>
      </c>
      <c r="DC482" s="4"/>
      <c r="DD482" s="4"/>
      <c r="DE482" s="4"/>
      <c r="DF482" s="5">
        <v>42268</v>
      </c>
      <c r="DG482" s="5">
        <v>42269</v>
      </c>
      <c r="DH482" s="4" t="s">
        <v>174</v>
      </c>
      <c r="DI482" s="5">
        <v>42249</v>
      </c>
      <c r="DJ482" s="4" t="b">
        <v>0</v>
      </c>
      <c r="DK482" s="4"/>
      <c r="DL482" s="4">
        <v>2695005</v>
      </c>
      <c r="DM482" s="4">
        <v>6454121</v>
      </c>
      <c r="DN482" s="4" t="s">
        <v>1574</v>
      </c>
      <c r="DO482" s="4" t="s">
        <v>1575</v>
      </c>
      <c r="DP482" s="4" t="s">
        <v>1576</v>
      </c>
      <c r="DQ482" s="4" t="s">
        <v>148</v>
      </c>
      <c r="DR482" s="4"/>
      <c r="DS482" s="4"/>
      <c r="DT482" s="4"/>
      <c r="DU482" s="4" t="s">
        <v>178</v>
      </c>
      <c r="DV482" s="4"/>
      <c r="DW482" s="5">
        <v>42194</v>
      </c>
      <c r="DX482" s="5">
        <v>42118</v>
      </c>
      <c r="DY482" s="5">
        <v>42202</v>
      </c>
      <c r="DZ482" s="5">
        <v>42166</v>
      </c>
      <c r="EA482" s="4"/>
      <c r="EB482" s="5">
        <v>42097</v>
      </c>
      <c r="EC482" s="4"/>
      <c r="ED482" s="5">
        <v>42111</v>
      </c>
      <c r="EE482" s="5">
        <v>42209</v>
      </c>
      <c r="EF482" s="5">
        <v>42212</v>
      </c>
      <c r="EG482" s="4"/>
      <c r="EH482" s="4"/>
      <c r="EI482" s="5">
        <v>42089</v>
      </c>
    </row>
    <row r="483" spans="1:139" hidden="1" x14ac:dyDescent="0.2">
      <c r="A483">
        <f>VLOOKUP(B483,Sheet1!$A$1:$B$18,2,FALSE)</f>
        <v>0</v>
      </c>
      <c r="B483" t="str">
        <f t="shared" si="8"/>
        <v>AKL</v>
      </c>
      <c r="C483" s="2">
        <v>482</v>
      </c>
      <c r="D483" s="3" t="str">
        <f>HYPERLINK("https://sitebase.nzcomms.co.nz/spm/spmnominalview/AKL-010-014/","AKL-010-014")</f>
        <v>AKL-010-014</v>
      </c>
      <c r="E483" s="4" t="s">
        <v>1577</v>
      </c>
      <c r="F483" s="4"/>
      <c r="G483" s="4"/>
      <c r="H483" s="4" t="s">
        <v>1545</v>
      </c>
      <c r="I483" s="4">
        <v>1</v>
      </c>
      <c r="J483" s="4" t="s">
        <v>196</v>
      </c>
      <c r="K483" s="4"/>
      <c r="L483" s="4"/>
      <c r="M483" s="4"/>
      <c r="N483" s="4"/>
      <c r="O483" s="4"/>
      <c r="P483" s="4"/>
      <c r="Q483" s="4"/>
      <c r="R483" s="4"/>
      <c r="S483" s="4"/>
      <c r="T483" s="4"/>
      <c r="U483" s="4"/>
      <c r="V483" s="4"/>
      <c r="W483" s="4"/>
      <c r="X483" s="4"/>
      <c r="Y483" s="4"/>
      <c r="Z483" s="4"/>
      <c r="AA483" s="4"/>
      <c r="AB483" s="4"/>
      <c r="AC483" s="4"/>
      <c r="AD483" s="4"/>
      <c r="AE483" s="4"/>
      <c r="AF483" s="4"/>
      <c r="AG483" s="4" t="b">
        <v>0</v>
      </c>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t="s">
        <v>194</v>
      </c>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row>
    <row r="484" spans="1:139" hidden="1" x14ac:dyDescent="0.2">
      <c r="A484">
        <f>VLOOKUP(B484,Sheet1!$A$1:$B$18,2,FALSE)</f>
        <v>0</v>
      </c>
      <c r="B484" t="str">
        <f t="shared" si="8"/>
        <v>AKL</v>
      </c>
      <c r="C484" s="2">
        <v>483</v>
      </c>
      <c r="D484" s="3" t="str">
        <f>HYPERLINK("https://sitebase.nzcomms.co.nz/spm/spmnominalview/AKL-010-015/","AKL-010-015")</f>
        <v>AKL-010-015</v>
      </c>
      <c r="E484" s="4" t="s">
        <v>1578</v>
      </c>
      <c r="F484" s="3" t="str">
        <f>HYPERLINK("https://sitebase.nzcomms.co.nz/spm/spmcandidateview/AKL-010-015-J/","AKL-010-015-J")</f>
        <v>AKL-010-015-J</v>
      </c>
      <c r="G484" s="4" t="s">
        <v>1579</v>
      </c>
      <c r="H484" s="4" t="s">
        <v>1545</v>
      </c>
      <c r="I484" s="4">
        <v>3</v>
      </c>
      <c r="J484" s="4" t="s">
        <v>584</v>
      </c>
      <c r="K484" s="4" t="s">
        <v>141</v>
      </c>
      <c r="L484" s="4" t="s">
        <v>181</v>
      </c>
      <c r="M484" s="4" t="s">
        <v>190</v>
      </c>
      <c r="N484" s="4" t="s">
        <v>181</v>
      </c>
      <c r="O484" s="4" t="s">
        <v>168</v>
      </c>
      <c r="P484" s="4" t="s">
        <v>182</v>
      </c>
      <c r="Q484" s="4" t="s">
        <v>192</v>
      </c>
      <c r="R484" s="4"/>
      <c r="S484" s="4"/>
      <c r="T484" s="4"/>
      <c r="U484" s="4">
        <v>-37.201542920000001</v>
      </c>
      <c r="V484" s="4">
        <v>174.90213721999999</v>
      </c>
      <c r="W484" s="5">
        <v>40344</v>
      </c>
      <c r="X484" s="4"/>
      <c r="Y484" s="5">
        <v>40354</v>
      </c>
      <c r="Z484" s="4"/>
      <c r="AA484" s="4" t="s">
        <v>145</v>
      </c>
      <c r="AB484" s="3" t="str">
        <f>HYPERLINK("https://sitebase.nzcomms.co.nz/spm/spmcandidateview/AKL-007-185-A/","AKL-007-185-A")</f>
        <v>AKL-007-185-A</v>
      </c>
      <c r="AC484" s="4" t="b">
        <v>0</v>
      </c>
      <c r="AD484" s="4" t="b">
        <v>0</v>
      </c>
      <c r="AE484" s="4"/>
      <c r="AF484" s="5">
        <v>40361</v>
      </c>
      <c r="AG484" s="4" t="b">
        <v>0</v>
      </c>
      <c r="AH484" s="4"/>
      <c r="AI484" s="5">
        <v>41074</v>
      </c>
      <c r="AJ484" s="5">
        <v>41074</v>
      </c>
      <c r="AK484" s="5">
        <v>41088</v>
      </c>
      <c r="AL484" s="5">
        <v>41088</v>
      </c>
      <c r="AM484" s="5">
        <v>41137</v>
      </c>
      <c r="AN484" s="5">
        <v>41138</v>
      </c>
      <c r="AO484" s="4">
        <v>2</v>
      </c>
      <c r="AP484" s="5">
        <v>41137</v>
      </c>
      <c r="AQ484" s="5">
        <v>41149</v>
      </c>
      <c r="AR484" s="5">
        <v>41194</v>
      </c>
      <c r="AS484" s="5">
        <v>41213</v>
      </c>
      <c r="AT484" s="5">
        <v>41394</v>
      </c>
      <c r="AU484" s="5">
        <v>41342</v>
      </c>
      <c r="AV484" s="4"/>
      <c r="AW484" s="5">
        <v>41394</v>
      </c>
      <c r="AX484" s="5">
        <v>41342</v>
      </c>
      <c r="AY484" s="4" t="s">
        <v>172</v>
      </c>
      <c r="AZ484" s="5">
        <v>41159</v>
      </c>
      <c r="BA484" s="5">
        <v>41159</v>
      </c>
      <c r="BB484" s="5">
        <v>41201</v>
      </c>
      <c r="BC484" s="5">
        <v>41199</v>
      </c>
      <c r="BD484" s="4">
        <v>2</v>
      </c>
      <c r="BE484" s="5">
        <v>41208</v>
      </c>
      <c r="BF484" s="5">
        <v>41201</v>
      </c>
      <c r="BG484" s="5">
        <v>41710</v>
      </c>
      <c r="BH484" s="4"/>
      <c r="BI484" s="5">
        <v>41752</v>
      </c>
      <c r="BJ484" s="5">
        <v>41757</v>
      </c>
      <c r="BK484" s="4">
        <v>2</v>
      </c>
      <c r="BL484" s="4"/>
      <c r="BM484" s="5">
        <v>41759</v>
      </c>
      <c r="BN484" s="5">
        <v>41768</v>
      </c>
      <c r="BO484" s="4"/>
      <c r="BP484" s="4"/>
      <c r="BQ484" s="4"/>
      <c r="BR484" s="4"/>
      <c r="BS484" s="4"/>
      <c r="BT484" s="5">
        <v>41795</v>
      </c>
      <c r="BU484" s="5">
        <v>41795</v>
      </c>
      <c r="BV484" s="5">
        <v>41831</v>
      </c>
      <c r="BW484" s="5">
        <v>41827</v>
      </c>
      <c r="BX484" s="5">
        <v>41827</v>
      </c>
      <c r="BY484" s="5">
        <v>41834</v>
      </c>
      <c r="BZ484" s="5">
        <v>41834</v>
      </c>
      <c r="CA484" s="5">
        <v>41834</v>
      </c>
      <c r="CB484" s="5">
        <v>41834</v>
      </c>
      <c r="CC484" s="4"/>
      <c r="CD484" s="4"/>
      <c r="CE484" s="4"/>
      <c r="CF484" s="4"/>
      <c r="CG484" s="4"/>
      <c r="CH484" s="4"/>
      <c r="CI484" s="4"/>
      <c r="CJ484" s="5">
        <v>41851</v>
      </c>
      <c r="CK484" s="5">
        <v>41849</v>
      </c>
      <c r="CL484" s="4"/>
      <c r="CM484" s="4"/>
      <c r="CN484" s="4"/>
      <c r="CO484" s="4"/>
      <c r="CP484" s="4" t="s">
        <v>1580</v>
      </c>
      <c r="CQ484" s="4"/>
      <c r="CR484" s="4"/>
      <c r="CS484" s="4"/>
      <c r="CT484" s="4"/>
      <c r="CU484" s="4"/>
      <c r="CV484" s="4"/>
      <c r="CW484" s="4"/>
      <c r="CX484" s="4"/>
      <c r="CY484" s="4"/>
      <c r="CZ484" s="4"/>
      <c r="DA484" s="5">
        <v>41836</v>
      </c>
      <c r="DB484" s="5">
        <v>41835</v>
      </c>
      <c r="DC484" s="4"/>
      <c r="DD484" s="4"/>
      <c r="DE484" s="4" t="s">
        <v>581</v>
      </c>
      <c r="DF484" s="5">
        <v>41730</v>
      </c>
      <c r="DG484" s="5">
        <v>41730</v>
      </c>
      <c r="DH484" s="4" t="s">
        <v>174</v>
      </c>
      <c r="DI484" s="5">
        <v>41827</v>
      </c>
      <c r="DJ484" s="4" t="b">
        <v>0</v>
      </c>
      <c r="DK484" s="4"/>
      <c r="DL484" s="4">
        <v>2679165</v>
      </c>
      <c r="DM484" s="4">
        <v>6442749</v>
      </c>
      <c r="DN484" s="4" t="s">
        <v>1581</v>
      </c>
      <c r="DO484" s="4"/>
      <c r="DP484" s="4" t="s">
        <v>1582</v>
      </c>
      <c r="DQ484" s="4" t="s">
        <v>148</v>
      </c>
      <c r="DR484" s="4"/>
      <c r="DS484" s="4"/>
      <c r="DT484" s="4"/>
      <c r="DU484" s="4"/>
      <c r="DV484" s="4"/>
      <c r="DW484" s="4"/>
      <c r="DX484" s="4"/>
      <c r="DY484" s="4"/>
      <c r="DZ484" s="4"/>
      <c r="EA484" s="4"/>
      <c r="EB484" s="4"/>
      <c r="EC484" s="4"/>
      <c r="ED484" s="4"/>
      <c r="EE484" s="4"/>
      <c r="EF484" s="4"/>
      <c r="EG484" s="4"/>
      <c r="EH484" s="4"/>
      <c r="EI484" s="5">
        <v>41088</v>
      </c>
    </row>
    <row r="485" spans="1:139" hidden="1" x14ac:dyDescent="0.2">
      <c r="A485">
        <f>VLOOKUP(B485,Sheet1!$A$1:$B$18,2,FALSE)</f>
        <v>0</v>
      </c>
      <c r="B485" t="str">
        <f t="shared" si="8"/>
        <v>AKL</v>
      </c>
      <c r="C485" s="2">
        <v>484</v>
      </c>
      <c r="D485" s="3" t="str">
        <f>HYPERLINK("https://sitebase.nzcomms.co.nz/spm/spmnominalview/AKL-010-016/","AKL-010-016")</f>
        <v>AKL-010-016</v>
      </c>
      <c r="E485" s="4" t="s">
        <v>1583</v>
      </c>
      <c r="F485" s="3" t="str">
        <f>HYPERLINK("https://sitebase.nzcomms.co.nz/spm/spmcandidateview/AKL-010-016-A/","AKL-010-016-A")</f>
        <v>AKL-010-016-A</v>
      </c>
      <c r="G485" s="4" t="s">
        <v>1584</v>
      </c>
      <c r="H485" s="4" t="s">
        <v>1545</v>
      </c>
      <c r="I485" s="4">
        <v>22</v>
      </c>
      <c r="J485" s="4" t="s">
        <v>165</v>
      </c>
      <c r="K485" s="4" t="s">
        <v>141</v>
      </c>
      <c r="L485" s="4" t="s">
        <v>150</v>
      </c>
      <c r="M485" s="4" t="s">
        <v>166</v>
      </c>
      <c r="N485" s="4" t="s">
        <v>1572</v>
      </c>
      <c r="O485" s="4"/>
      <c r="P485" s="4" t="s">
        <v>169</v>
      </c>
      <c r="Q485" s="4" t="s">
        <v>170</v>
      </c>
      <c r="R485" s="4">
        <v>25</v>
      </c>
      <c r="S485" s="4">
        <v>25</v>
      </c>
      <c r="T485" s="4"/>
      <c r="U485" s="4">
        <v>-37.258501260000003</v>
      </c>
      <c r="V485" s="4">
        <v>175.01996009000001</v>
      </c>
      <c r="W485" s="5">
        <v>40344</v>
      </c>
      <c r="X485" s="4"/>
      <c r="Y485" s="5">
        <v>40354</v>
      </c>
      <c r="Z485" s="5">
        <v>40347</v>
      </c>
      <c r="AA485" s="4" t="s">
        <v>145</v>
      </c>
      <c r="AB485" s="3" t="str">
        <f>HYPERLINK("https://sitebase.nzcomms.co.nz/spm/spmcandidateview/AKL-008-091-A/","AKL-008-091-A")</f>
        <v>AKL-008-091-A</v>
      </c>
      <c r="AC485" s="4" t="b">
        <v>0</v>
      </c>
      <c r="AD485" s="4" t="b">
        <v>0</v>
      </c>
      <c r="AE485" s="4"/>
      <c r="AF485" s="5">
        <v>40361</v>
      </c>
      <c r="AG485" s="4" t="b">
        <v>0</v>
      </c>
      <c r="AH485" s="4"/>
      <c r="AI485" s="5">
        <v>41960</v>
      </c>
      <c r="AJ485" s="5">
        <v>41948</v>
      </c>
      <c r="AK485" s="5">
        <v>41949</v>
      </c>
      <c r="AL485" s="5">
        <v>41949</v>
      </c>
      <c r="AM485" s="5">
        <v>41981</v>
      </c>
      <c r="AN485" s="5">
        <v>39709</v>
      </c>
      <c r="AO485" s="4">
        <v>3</v>
      </c>
      <c r="AP485" s="5">
        <v>41984</v>
      </c>
      <c r="AQ485" s="5">
        <v>41969</v>
      </c>
      <c r="AR485" s="5">
        <v>42097</v>
      </c>
      <c r="AS485" s="5">
        <v>42101</v>
      </c>
      <c r="AT485" s="5">
        <v>42129</v>
      </c>
      <c r="AU485" s="5">
        <v>42131</v>
      </c>
      <c r="AV485" s="4"/>
      <c r="AW485" s="5">
        <v>42136</v>
      </c>
      <c r="AX485" s="5">
        <v>42188</v>
      </c>
      <c r="AY485" s="4" t="s">
        <v>172</v>
      </c>
      <c r="AZ485" s="5">
        <v>42104</v>
      </c>
      <c r="BA485" s="5">
        <v>42096</v>
      </c>
      <c r="BB485" s="5">
        <v>42139</v>
      </c>
      <c r="BC485" s="5">
        <v>42129</v>
      </c>
      <c r="BD485" s="4">
        <v>3</v>
      </c>
      <c r="BE485" s="5">
        <v>42146</v>
      </c>
      <c r="BF485" s="5">
        <v>42129</v>
      </c>
      <c r="BG485" s="5">
        <v>42104</v>
      </c>
      <c r="BH485" s="5">
        <v>42108</v>
      </c>
      <c r="BI485" s="5">
        <v>42158</v>
      </c>
      <c r="BJ485" s="5">
        <v>42166</v>
      </c>
      <c r="BK485" s="4">
        <v>1</v>
      </c>
      <c r="BL485" s="4"/>
      <c r="BM485" s="5">
        <v>42165</v>
      </c>
      <c r="BN485" s="5">
        <v>42166</v>
      </c>
      <c r="BO485" s="4"/>
      <c r="BP485" s="4"/>
      <c r="BQ485" s="4"/>
      <c r="BR485" s="4"/>
      <c r="BS485" s="4"/>
      <c r="BT485" s="5">
        <v>42220</v>
      </c>
      <c r="BU485" s="5">
        <v>42220</v>
      </c>
      <c r="BV485" s="5">
        <v>42263</v>
      </c>
      <c r="BW485" s="5">
        <v>42264</v>
      </c>
      <c r="BX485" s="5">
        <v>42257</v>
      </c>
      <c r="BY485" s="5">
        <v>42268</v>
      </c>
      <c r="BZ485" s="5">
        <v>42268</v>
      </c>
      <c r="CA485" s="5">
        <v>42268</v>
      </c>
      <c r="CB485" s="4"/>
      <c r="CC485" s="4"/>
      <c r="CD485" s="4"/>
      <c r="CE485" s="4"/>
      <c r="CF485" s="4"/>
      <c r="CG485" s="4"/>
      <c r="CH485" s="4"/>
      <c r="CI485" s="4"/>
      <c r="CJ485" s="5">
        <v>42276</v>
      </c>
      <c r="CK485" s="5">
        <v>42276</v>
      </c>
      <c r="CL485" s="5">
        <v>42305</v>
      </c>
      <c r="CM485" s="5">
        <v>42305</v>
      </c>
      <c r="CN485" s="4"/>
      <c r="CO485" s="4"/>
      <c r="CP485" s="4" t="s">
        <v>1585</v>
      </c>
      <c r="CQ485" s="4"/>
      <c r="CR485" s="5">
        <v>42247</v>
      </c>
      <c r="CS485" s="4"/>
      <c r="CT485" s="4"/>
      <c r="CU485" s="4"/>
      <c r="CV485" s="4"/>
      <c r="CW485" s="4"/>
      <c r="CX485" s="4"/>
      <c r="CY485" s="5">
        <v>42243</v>
      </c>
      <c r="CZ485" s="5">
        <v>42251</v>
      </c>
      <c r="DA485" s="5">
        <v>42272</v>
      </c>
      <c r="DB485" s="5">
        <v>42272</v>
      </c>
      <c r="DC485" s="4"/>
      <c r="DD485" s="4"/>
      <c r="DE485" s="4"/>
      <c r="DF485" s="5">
        <v>42236</v>
      </c>
      <c r="DG485" s="5">
        <v>42242</v>
      </c>
      <c r="DH485" s="4" t="s">
        <v>174</v>
      </c>
      <c r="DI485" s="5">
        <v>42257</v>
      </c>
      <c r="DJ485" s="4" t="b">
        <v>0</v>
      </c>
      <c r="DK485" s="4"/>
      <c r="DL485" s="4">
        <v>2689475</v>
      </c>
      <c r="DM485" s="4">
        <v>6436194</v>
      </c>
      <c r="DN485" s="4" t="s">
        <v>1586</v>
      </c>
      <c r="DO485" s="4"/>
      <c r="DP485" s="4" t="s">
        <v>1587</v>
      </c>
      <c r="DQ485" s="4" t="s">
        <v>148</v>
      </c>
      <c r="DR485" s="4"/>
      <c r="DS485" s="4"/>
      <c r="DT485" s="4"/>
      <c r="DU485" s="4" t="s">
        <v>178</v>
      </c>
      <c r="DV485" s="4"/>
      <c r="DW485" s="5">
        <v>42129</v>
      </c>
      <c r="DX485" s="5">
        <v>42118</v>
      </c>
      <c r="DY485" s="5">
        <v>42170</v>
      </c>
      <c r="DZ485" s="5">
        <v>42131</v>
      </c>
      <c r="EA485" s="4"/>
      <c r="EB485" s="5">
        <v>42100</v>
      </c>
      <c r="EC485" s="4"/>
      <c r="ED485" s="5">
        <v>42107</v>
      </c>
      <c r="EE485" s="5">
        <v>42202</v>
      </c>
      <c r="EF485" s="5">
        <v>42208</v>
      </c>
      <c r="EG485" s="5">
        <v>42261</v>
      </c>
      <c r="EH485" s="4"/>
      <c r="EI485" s="5">
        <v>41949</v>
      </c>
    </row>
    <row r="486" spans="1:139" hidden="1" x14ac:dyDescent="0.2">
      <c r="A486">
        <f>VLOOKUP(B486,Sheet1!$A$1:$B$18,2,FALSE)</f>
        <v>0</v>
      </c>
      <c r="B486" t="str">
        <f t="shared" si="8"/>
        <v>AKL</v>
      </c>
      <c r="C486" s="2">
        <v>485</v>
      </c>
      <c r="D486" s="3" t="str">
        <f>HYPERLINK("https://sitebase.nzcomms.co.nz/spm/spmnominalview/AKL-010-017/","AKL-010-017")</f>
        <v>AKL-010-017</v>
      </c>
      <c r="E486" s="4" t="s">
        <v>1588</v>
      </c>
      <c r="F486" s="4"/>
      <c r="G486" s="4"/>
      <c r="H486" s="4" t="s">
        <v>1545</v>
      </c>
      <c r="I486" s="4"/>
      <c r="J486" s="4" t="s">
        <v>196</v>
      </c>
      <c r="K486" s="4"/>
      <c r="L486" s="4"/>
      <c r="M486" s="4"/>
      <c r="N486" s="4"/>
      <c r="O486" s="4"/>
      <c r="P486" s="4"/>
      <c r="Q486" s="4"/>
      <c r="R486" s="4"/>
      <c r="S486" s="4"/>
      <c r="T486" s="4"/>
      <c r="U486" s="4"/>
      <c r="V486" s="4"/>
      <c r="W486" s="4"/>
      <c r="X486" s="4"/>
      <c r="Y486" s="4"/>
      <c r="Z486" s="4"/>
      <c r="AA486" s="4"/>
      <c r="AB486" s="4"/>
      <c r="AC486" s="4"/>
      <c r="AD486" s="4"/>
      <c r="AE486" s="4"/>
      <c r="AF486" s="4"/>
      <c r="AG486" s="4" t="b">
        <v>0</v>
      </c>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t="s">
        <v>1589</v>
      </c>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row>
    <row r="487" spans="1:139" hidden="1" x14ac:dyDescent="0.2">
      <c r="A487">
        <f>VLOOKUP(B487,Sheet1!$A$1:$B$18,2,FALSE)</f>
        <v>0</v>
      </c>
      <c r="B487" t="str">
        <f t="shared" si="8"/>
        <v>AKL</v>
      </c>
      <c r="C487" s="2">
        <v>486</v>
      </c>
      <c r="D487" s="3" t="str">
        <f>HYPERLINK("https://sitebase.nzcomms.co.nz/spm/spmnominalview/AKL-010-018/","AKL-010-018")</f>
        <v>AKL-010-018</v>
      </c>
      <c r="E487" s="4" t="s">
        <v>1590</v>
      </c>
      <c r="F487" s="4"/>
      <c r="G487" s="4"/>
      <c r="H487" s="4" t="s">
        <v>1545</v>
      </c>
      <c r="I487" s="4"/>
      <c r="J487" s="4" t="s">
        <v>196</v>
      </c>
      <c r="K487" s="4"/>
      <c r="L487" s="4"/>
      <c r="M487" s="4"/>
      <c r="N487" s="4"/>
      <c r="O487" s="4"/>
      <c r="P487" s="4"/>
      <c r="Q487" s="4"/>
      <c r="R487" s="4"/>
      <c r="S487" s="4"/>
      <c r="T487" s="4"/>
      <c r="U487" s="4"/>
      <c r="V487" s="4"/>
      <c r="W487" s="4"/>
      <c r="X487" s="4"/>
      <c r="Y487" s="4"/>
      <c r="Z487" s="4"/>
      <c r="AA487" s="4"/>
      <c r="AB487" s="4"/>
      <c r="AC487" s="4"/>
      <c r="AD487" s="4"/>
      <c r="AE487" s="4"/>
      <c r="AF487" s="4"/>
      <c r="AG487" s="4" t="b">
        <v>0</v>
      </c>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t="s">
        <v>1591</v>
      </c>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row>
    <row r="488" spans="1:139" hidden="1" x14ac:dyDescent="0.2">
      <c r="A488">
        <f>VLOOKUP(B488,Sheet1!$A$1:$B$18,2,FALSE)</f>
        <v>0</v>
      </c>
      <c r="B488" t="str">
        <f t="shared" si="8"/>
        <v>AKL</v>
      </c>
      <c r="C488" s="2">
        <v>487</v>
      </c>
      <c r="D488" s="3" t="str">
        <f>HYPERLINK("https://sitebase.nzcomms.co.nz/spm/spmnominalview/AKL-010-019/","AKL-010-019")</f>
        <v>AKL-010-019</v>
      </c>
      <c r="E488" s="4" t="s">
        <v>1563</v>
      </c>
      <c r="F488" s="4"/>
      <c r="G488" s="4"/>
      <c r="H488" s="4" t="s">
        <v>1545</v>
      </c>
      <c r="I488" s="4"/>
      <c r="J488" s="4" t="s">
        <v>196</v>
      </c>
      <c r="K488" s="4"/>
      <c r="L488" s="4"/>
      <c r="M488" s="4"/>
      <c r="N488" s="4"/>
      <c r="O488" s="4"/>
      <c r="P488" s="4"/>
      <c r="Q488" s="4"/>
      <c r="R488" s="4"/>
      <c r="S488" s="4"/>
      <c r="T488" s="4"/>
      <c r="U488" s="4"/>
      <c r="V488" s="4"/>
      <c r="W488" s="4"/>
      <c r="X488" s="4"/>
      <c r="Y488" s="4"/>
      <c r="Z488" s="4"/>
      <c r="AA488" s="4"/>
      <c r="AB488" s="4"/>
      <c r="AC488" s="4"/>
      <c r="AD488" s="4"/>
      <c r="AE488" s="4"/>
      <c r="AF488" s="4"/>
      <c r="AG488" s="4" t="b">
        <v>0</v>
      </c>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t="s">
        <v>1592</v>
      </c>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row>
    <row r="489" spans="1:139" hidden="1" x14ac:dyDescent="0.2">
      <c r="A489">
        <f>VLOOKUP(B489,Sheet1!$A$1:$B$18,2,FALSE)</f>
        <v>0</v>
      </c>
      <c r="B489" t="str">
        <f t="shared" si="8"/>
        <v>AKL</v>
      </c>
      <c r="C489" s="2">
        <v>488</v>
      </c>
      <c r="D489" s="3" t="str">
        <f>HYPERLINK("https://sitebase.nzcomms.co.nz/spm/spmnominalview/AKL-010-020/","AKL-010-020")</f>
        <v>AKL-010-020</v>
      </c>
      <c r="E489" s="4" t="s">
        <v>1593</v>
      </c>
      <c r="F489" s="4"/>
      <c r="G489" s="4"/>
      <c r="H489" s="4" t="s">
        <v>1545</v>
      </c>
      <c r="I489" s="4"/>
      <c r="J489" s="4" t="s">
        <v>196</v>
      </c>
      <c r="K489" s="4"/>
      <c r="L489" s="4"/>
      <c r="M489" s="4"/>
      <c r="N489" s="4"/>
      <c r="O489" s="4"/>
      <c r="P489" s="4"/>
      <c r="Q489" s="4"/>
      <c r="R489" s="4"/>
      <c r="S489" s="4"/>
      <c r="T489" s="4"/>
      <c r="U489" s="4"/>
      <c r="V489" s="4"/>
      <c r="W489" s="4"/>
      <c r="X489" s="4"/>
      <c r="Y489" s="4"/>
      <c r="Z489" s="4"/>
      <c r="AA489" s="4"/>
      <c r="AB489" s="4"/>
      <c r="AC489" s="4"/>
      <c r="AD489" s="4"/>
      <c r="AE489" s="4"/>
      <c r="AF489" s="4"/>
      <c r="AG489" s="4" t="b">
        <v>0</v>
      </c>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t="s">
        <v>1594</v>
      </c>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row>
    <row r="490" spans="1:139" hidden="1" x14ac:dyDescent="0.2">
      <c r="A490">
        <f>VLOOKUP(B490,Sheet1!$A$1:$B$18,2,FALSE)</f>
        <v>0</v>
      </c>
      <c r="B490" t="str">
        <f t="shared" si="8"/>
        <v>AKL</v>
      </c>
      <c r="C490" s="2">
        <v>489</v>
      </c>
      <c r="D490" s="3" t="str">
        <f>HYPERLINK("https://sitebase.nzcomms.co.nz/spm/spmnominalview/AKL-010-021/","AKL-010-021")</f>
        <v>AKL-010-021</v>
      </c>
      <c r="E490" s="4" t="s">
        <v>1595</v>
      </c>
      <c r="F490" s="4"/>
      <c r="G490" s="4"/>
      <c r="H490" s="4" t="s">
        <v>1545</v>
      </c>
      <c r="I490" s="4"/>
      <c r="J490" s="4" t="s">
        <v>196</v>
      </c>
      <c r="K490" s="4"/>
      <c r="L490" s="4"/>
      <c r="M490" s="4"/>
      <c r="N490" s="4"/>
      <c r="O490" s="4"/>
      <c r="P490" s="4"/>
      <c r="Q490" s="4"/>
      <c r="R490" s="4"/>
      <c r="S490" s="4"/>
      <c r="T490" s="4"/>
      <c r="U490" s="4"/>
      <c r="V490" s="4"/>
      <c r="W490" s="4"/>
      <c r="X490" s="4"/>
      <c r="Y490" s="4"/>
      <c r="Z490" s="4"/>
      <c r="AA490" s="4"/>
      <c r="AB490" s="4"/>
      <c r="AC490" s="4"/>
      <c r="AD490" s="4"/>
      <c r="AE490" s="4"/>
      <c r="AF490" s="4"/>
      <c r="AG490" s="4" t="b">
        <v>0</v>
      </c>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t="s">
        <v>1596</v>
      </c>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row>
    <row r="491" spans="1:139" hidden="1" x14ac:dyDescent="0.2">
      <c r="A491">
        <f>VLOOKUP(B491,Sheet1!$A$1:$B$18,2,FALSE)</f>
        <v>0</v>
      </c>
      <c r="B491" t="str">
        <f t="shared" si="8"/>
        <v>AKL</v>
      </c>
      <c r="C491" s="2">
        <v>490</v>
      </c>
      <c r="D491" s="3" t="str">
        <f>HYPERLINK("https://sitebase.nzcomms.co.nz/spm/spmnominalview/AKL-010-023/","AKL-010-023")</f>
        <v>AKL-010-023</v>
      </c>
      <c r="E491" s="4" t="s">
        <v>1554</v>
      </c>
      <c r="F491" s="4"/>
      <c r="G491" s="4"/>
      <c r="H491" s="4" t="s">
        <v>1545</v>
      </c>
      <c r="I491" s="4"/>
      <c r="J491" s="4" t="s">
        <v>196</v>
      </c>
      <c r="K491" s="4"/>
      <c r="L491" s="4"/>
      <c r="M491" s="4"/>
      <c r="N491" s="4"/>
      <c r="O491" s="4"/>
      <c r="P491" s="4"/>
      <c r="Q491" s="4"/>
      <c r="R491" s="4"/>
      <c r="S491" s="4"/>
      <c r="T491" s="4"/>
      <c r="U491" s="4"/>
      <c r="V491" s="4"/>
      <c r="W491" s="4"/>
      <c r="X491" s="4"/>
      <c r="Y491" s="4"/>
      <c r="Z491" s="4"/>
      <c r="AA491" s="4"/>
      <c r="AB491" s="4"/>
      <c r="AC491" s="4"/>
      <c r="AD491" s="4"/>
      <c r="AE491" s="4"/>
      <c r="AF491" s="4"/>
      <c r="AG491" s="4" t="b">
        <v>0</v>
      </c>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t="s">
        <v>1597</v>
      </c>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row>
    <row r="492" spans="1:139" hidden="1" x14ac:dyDescent="0.2">
      <c r="A492">
        <f>VLOOKUP(B492,Sheet1!$A$1:$B$18,2,FALSE)</f>
        <v>0</v>
      </c>
      <c r="B492" t="str">
        <f t="shared" si="8"/>
        <v>AKL</v>
      </c>
      <c r="C492" s="2">
        <v>491</v>
      </c>
      <c r="D492" s="3" t="str">
        <f>HYPERLINK("https://sitebase.nzcomms.co.nz/spm/spmnominalview/AKL-010-025/","AKL-010-025")</f>
        <v>AKL-010-025</v>
      </c>
      <c r="E492" s="4" t="s">
        <v>1598</v>
      </c>
      <c r="F492" s="3" t="str">
        <f>HYPERLINK("https://sitebase.nzcomms.co.nz/spm/spmcandidateview/AKL-010-025-A/","AKL-010-025-A")</f>
        <v>AKL-010-025-A</v>
      </c>
      <c r="G492" s="4" t="s">
        <v>1599</v>
      </c>
      <c r="H492" s="4" t="s">
        <v>1545</v>
      </c>
      <c r="I492" s="4">
        <v>1</v>
      </c>
      <c r="J492" s="4" t="s">
        <v>180</v>
      </c>
      <c r="K492" s="4" t="s">
        <v>141</v>
      </c>
      <c r="L492" s="4" t="s">
        <v>189</v>
      </c>
      <c r="M492" s="4" t="s">
        <v>190</v>
      </c>
      <c r="N492" s="4" t="s">
        <v>274</v>
      </c>
      <c r="O492" s="4"/>
      <c r="P492" s="4" t="s">
        <v>182</v>
      </c>
      <c r="Q492" s="4" t="s">
        <v>192</v>
      </c>
      <c r="R492" s="4"/>
      <c r="S492" s="4"/>
      <c r="T492" s="4">
        <v>1</v>
      </c>
      <c r="U492" s="4">
        <v>-37.185658969999999</v>
      </c>
      <c r="V492" s="4">
        <v>174.91355311000001</v>
      </c>
      <c r="W492" s="5">
        <v>40344</v>
      </c>
      <c r="X492" s="4"/>
      <c r="Y492" s="5">
        <v>40354</v>
      </c>
      <c r="Z492" s="5">
        <v>40350</v>
      </c>
      <c r="AA492" s="4" t="s">
        <v>145</v>
      </c>
      <c r="AB492" s="3" t="str">
        <f>HYPERLINK("https://sitebase.nzcomms.co.nz/spm/spmcandidateview/AKL-007-106-A/","AKL-007-106-A")</f>
        <v>AKL-007-106-A</v>
      </c>
      <c r="AC492" s="4" t="b">
        <v>0</v>
      </c>
      <c r="AD492" s="4" t="b">
        <v>0</v>
      </c>
      <c r="AE492" s="4"/>
      <c r="AF492" s="5">
        <v>40361</v>
      </c>
      <c r="AG492" s="4" t="b">
        <v>0</v>
      </c>
      <c r="AH492" s="4"/>
      <c r="AI492" s="5">
        <v>41038</v>
      </c>
      <c r="AJ492" s="5">
        <v>41038</v>
      </c>
      <c r="AK492" s="5">
        <v>41051</v>
      </c>
      <c r="AL492" s="5">
        <v>41051</v>
      </c>
      <c r="AM492" s="5">
        <v>41094</v>
      </c>
      <c r="AN492" s="5">
        <v>41094</v>
      </c>
      <c r="AO492" s="4">
        <v>2</v>
      </c>
      <c r="AP492" s="5">
        <v>41221</v>
      </c>
      <c r="AQ492" s="5">
        <v>41222</v>
      </c>
      <c r="AR492" s="5">
        <v>41246</v>
      </c>
      <c r="AS492" s="5">
        <v>41246</v>
      </c>
      <c r="AT492" s="5">
        <v>41320</v>
      </c>
      <c r="AU492" s="5">
        <v>41306</v>
      </c>
      <c r="AV492" s="4"/>
      <c r="AW492" s="5">
        <v>41333</v>
      </c>
      <c r="AX492" s="5">
        <v>41330</v>
      </c>
      <c r="AY492" s="4" t="s">
        <v>193</v>
      </c>
      <c r="AZ492" s="5">
        <v>41141</v>
      </c>
      <c r="BA492" s="5">
        <v>41137</v>
      </c>
      <c r="BB492" s="5">
        <v>41176</v>
      </c>
      <c r="BC492" s="5">
        <v>41172</v>
      </c>
      <c r="BD492" s="4">
        <v>2</v>
      </c>
      <c r="BE492" s="5">
        <v>41183</v>
      </c>
      <c r="BF492" s="5">
        <v>41177</v>
      </c>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t="s">
        <v>1600</v>
      </c>
      <c r="CQ492" s="4"/>
      <c r="CR492" s="4"/>
      <c r="CS492" s="4"/>
      <c r="CT492" s="4"/>
      <c r="CU492" s="4"/>
      <c r="CV492" s="4"/>
      <c r="CW492" s="4"/>
      <c r="CX492" s="4"/>
      <c r="CY492" s="4"/>
      <c r="CZ492" s="4"/>
      <c r="DA492" s="4"/>
      <c r="DB492" s="4"/>
      <c r="DC492" s="4"/>
      <c r="DD492" s="4"/>
      <c r="DE492" s="4" t="s">
        <v>581</v>
      </c>
      <c r="DF492" s="4"/>
      <c r="DG492" s="4"/>
      <c r="DH492" s="4" t="s">
        <v>240</v>
      </c>
      <c r="DI492" s="4"/>
      <c r="DJ492" s="4" t="b">
        <v>1</v>
      </c>
      <c r="DK492" s="4"/>
      <c r="DL492" s="4">
        <v>2680217</v>
      </c>
      <c r="DM492" s="4">
        <v>6444489</v>
      </c>
      <c r="DN492" s="4" t="s">
        <v>1601</v>
      </c>
      <c r="DO492" s="4"/>
      <c r="DP492" s="4" t="s">
        <v>1602</v>
      </c>
      <c r="DQ492" s="4" t="s">
        <v>148</v>
      </c>
      <c r="DR492" s="4" t="s">
        <v>244</v>
      </c>
      <c r="DS492" s="4"/>
      <c r="DT492" s="4"/>
      <c r="DU492" s="4"/>
      <c r="DV492" s="4"/>
      <c r="DW492" s="4"/>
      <c r="DX492" s="4"/>
      <c r="DY492" s="4"/>
      <c r="DZ492" s="4"/>
      <c r="EA492" s="4"/>
      <c r="EB492" s="4"/>
      <c r="EC492" s="4"/>
      <c r="ED492" s="4"/>
      <c r="EE492" s="4"/>
      <c r="EF492" s="4"/>
      <c r="EG492" s="4"/>
      <c r="EH492" s="4"/>
      <c r="EI492" s="4"/>
    </row>
    <row r="493" spans="1:139" hidden="1" x14ac:dyDescent="0.2">
      <c r="A493">
        <f>VLOOKUP(B493,Sheet1!$A$1:$B$18,2,FALSE)</f>
        <v>0</v>
      </c>
      <c r="B493" t="str">
        <f t="shared" si="8"/>
        <v>AKL</v>
      </c>
      <c r="C493" s="2">
        <v>492</v>
      </c>
      <c r="D493" s="3" t="str">
        <f>HYPERLINK("https://sitebase.nzcomms.co.nz/spm/spmnominalview/AKL-010-026/","AKL-010-026")</f>
        <v>AKL-010-026</v>
      </c>
      <c r="E493" s="4" t="s">
        <v>1603</v>
      </c>
      <c r="F493" s="4"/>
      <c r="G493" s="4"/>
      <c r="H493" s="4" t="s">
        <v>1545</v>
      </c>
      <c r="I493" s="4"/>
      <c r="J493" s="4" t="s">
        <v>196</v>
      </c>
      <c r="K493" s="4"/>
      <c r="L493" s="4"/>
      <c r="M493" s="4"/>
      <c r="N493" s="4"/>
      <c r="O493" s="4"/>
      <c r="P493" s="4"/>
      <c r="Q493" s="4"/>
      <c r="R493" s="4"/>
      <c r="S493" s="4"/>
      <c r="T493" s="4"/>
      <c r="U493" s="4"/>
      <c r="V493" s="4"/>
      <c r="W493" s="4"/>
      <c r="X493" s="4"/>
      <c r="Y493" s="4"/>
      <c r="Z493" s="4"/>
      <c r="AA493" s="4"/>
      <c r="AB493" s="4"/>
      <c r="AC493" s="4"/>
      <c r="AD493" s="4"/>
      <c r="AE493" s="4"/>
      <c r="AF493" s="4"/>
      <c r="AG493" s="4" t="b">
        <v>0</v>
      </c>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t="s">
        <v>581</v>
      </c>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row>
    <row r="494" spans="1:139" hidden="1" x14ac:dyDescent="0.2">
      <c r="A494">
        <f>VLOOKUP(B494,Sheet1!$A$1:$B$18,2,FALSE)</f>
        <v>0</v>
      </c>
      <c r="B494" t="str">
        <f t="shared" si="8"/>
        <v>AKL</v>
      </c>
      <c r="C494" s="2">
        <v>493</v>
      </c>
      <c r="D494" s="3" t="str">
        <f>HYPERLINK("https://sitebase.nzcomms.co.nz/spm/spmnominalview/AKL-010-027/","AKL-010-027")</f>
        <v>AKL-010-027</v>
      </c>
      <c r="E494" s="4" t="s">
        <v>1604</v>
      </c>
      <c r="F494" s="3" t="str">
        <f>HYPERLINK("https://sitebase.nzcomms.co.nz/spm/spmcandidateview/AKL-010-027-C/","AKL-010-027-C")</f>
        <v>AKL-010-027-C</v>
      </c>
      <c r="G494" s="4" t="s">
        <v>1605</v>
      </c>
      <c r="H494" s="4" t="s">
        <v>1545</v>
      </c>
      <c r="I494" s="4">
        <v>1</v>
      </c>
      <c r="J494" s="4" t="s">
        <v>180</v>
      </c>
      <c r="K494" s="4" t="s">
        <v>141</v>
      </c>
      <c r="L494" s="4" t="s">
        <v>150</v>
      </c>
      <c r="M494" s="4" t="s">
        <v>190</v>
      </c>
      <c r="N494" s="4"/>
      <c r="O494" s="4"/>
      <c r="P494" s="4" t="s">
        <v>169</v>
      </c>
      <c r="Q494" s="4" t="s">
        <v>170</v>
      </c>
      <c r="R494" s="4"/>
      <c r="S494" s="4"/>
      <c r="T494" s="4">
        <v>1</v>
      </c>
      <c r="U494" s="4">
        <v>-37.103609839999997</v>
      </c>
      <c r="V494" s="4">
        <v>174.85091055000001</v>
      </c>
      <c r="W494" s="5">
        <v>40344</v>
      </c>
      <c r="X494" s="4"/>
      <c r="Y494" s="5">
        <v>40354</v>
      </c>
      <c r="Z494" s="5">
        <v>40350</v>
      </c>
      <c r="AA494" s="4" t="s">
        <v>171</v>
      </c>
      <c r="AB494" s="3" t="str">
        <f>HYPERLINK("https://sitebase.nzcomms.co.nz/spm/spmcandidateview/AKL-008-059-B/","AKL-008-059-B")</f>
        <v>AKL-008-059-B</v>
      </c>
      <c r="AC494" s="4" t="b">
        <v>0</v>
      </c>
      <c r="AD494" s="4" t="b">
        <v>0</v>
      </c>
      <c r="AE494" s="4"/>
      <c r="AF494" s="5">
        <v>40361</v>
      </c>
      <c r="AG494" s="4" t="b">
        <v>0</v>
      </c>
      <c r="AH494" s="4"/>
      <c r="AI494" s="5">
        <v>41129</v>
      </c>
      <c r="AJ494" s="5">
        <v>41129</v>
      </c>
      <c r="AK494" s="5">
        <v>41130</v>
      </c>
      <c r="AL494" s="5">
        <v>41130</v>
      </c>
      <c r="AM494" s="5">
        <v>41151</v>
      </c>
      <c r="AN494" s="5">
        <v>41156</v>
      </c>
      <c r="AO494" s="4">
        <v>1</v>
      </c>
      <c r="AP494" s="5">
        <v>41151</v>
      </c>
      <c r="AQ494" s="5">
        <v>41156</v>
      </c>
      <c r="AR494" s="5">
        <v>41166</v>
      </c>
      <c r="AS494" s="5">
        <v>41173</v>
      </c>
      <c r="AT494" s="5">
        <v>41228</v>
      </c>
      <c r="AU494" s="5">
        <v>41229</v>
      </c>
      <c r="AV494" s="4">
        <v>1</v>
      </c>
      <c r="AW494" s="5">
        <v>41235</v>
      </c>
      <c r="AX494" s="5">
        <v>41229</v>
      </c>
      <c r="AY494" s="4" t="s">
        <v>172</v>
      </c>
      <c r="AZ494" s="5">
        <v>41173</v>
      </c>
      <c r="BA494" s="5">
        <v>41171</v>
      </c>
      <c r="BB494" s="5">
        <v>41201</v>
      </c>
      <c r="BC494" s="5">
        <v>41194</v>
      </c>
      <c r="BD494" s="4">
        <v>1</v>
      </c>
      <c r="BE494" s="5">
        <v>41208</v>
      </c>
      <c r="BF494" s="5">
        <v>41199</v>
      </c>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5">
        <v>41320</v>
      </c>
      <c r="CK494" s="4"/>
      <c r="CL494" s="5">
        <v>41320</v>
      </c>
      <c r="CM494" s="4"/>
      <c r="CN494" s="4"/>
      <c r="CO494" s="4"/>
      <c r="CP494" s="4" t="s">
        <v>1606</v>
      </c>
      <c r="CQ494" s="4" t="s">
        <v>230</v>
      </c>
      <c r="CR494" s="4"/>
      <c r="CS494" s="4"/>
      <c r="CT494" s="4"/>
      <c r="CU494" s="4"/>
      <c r="CV494" s="4"/>
      <c r="CW494" s="4"/>
      <c r="CX494" s="4"/>
      <c r="CY494" s="4"/>
      <c r="CZ494" s="4"/>
      <c r="DA494" s="4"/>
      <c r="DB494" s="4"/>
      <c r="DC494" s="4"/>
      <c r="DD494" s="4"/>
      <c r="DE494" s="4" t="s">
        <v>194</v>
      </c>
      <c r="DF494" s="4"/>
      <c r="DG494" s="4"/>
      <c r="DH494" s="4" t="s">
        <v>240</v>
      </c>
      <c r="DI494" s="4"/>
      <c r="DJ494" s="4" t="b">
        <v>0</v>
      </c>
      <c r="DK494" s="4"/>
      <c r="DL494" s="4">
        <v>2674851</v>
      </c>
      <c r="DM494" s="4">
        <v>6453713</v>
      </c>
      <c r="DN494" s="4" t="s">
        <v>1607</v>
      </c>
      <c r="DO494" s="4"/>
      <c r="DP494" s="4" t="s">
        <v>1608</v>
      </c>
      <c r="DQ494" s="4" t="s">
        <v>148</v>
      </c>
      <c r="DR494" s="4" t="s">
        <v>244</v>
      </c>
      <c r="DS494" s="4"/>
      <c r="DT494" s="4"/>
      <c r="DU494" s="4"/>
      <c r="DV494" s="4"/>
      <c r="DW494" s="4"/>
      <c r="DX494" s="4"/>
      <c r="DY494" s="4"/>
      <c r="DZ494" s="4"/>
      <c r="EA494" s="4"/>
      <c r="EB494" s="4"/>
      <c r="EC494" s="4"/>
      <c r="ED494" s="4"/>
      <c r="EE494" s="4"/>
      <c r="EF494" s="4"/>
      <c r="EG494" s="4"/>
      <c r="EH494" s="4"/>
      <c r="EI494" s="5">
        <v>41130</v>
      </c>
    </row>
    <row r="495" spans="1:139" hidden="1" x14ac:dyDescent="0.2">
      <c r="A495">
        <f>VLOOKUP(B495,Sheet1!$A$1:$B$18,2,FALSE)</f>
        <v>0</v>
      </c>
      <c r="B495" t="str">
        <f t="shared" si="8"/>
        <v>AKL</v>
      </c>
      <c r="C495" s="2">
        <v>494</v>
      </c>
      <c r="D495" s="3" t="str">
        <f>HYPERLINK("https://sitebase.nzcomms.co.nz/spm/spmnominalview/AKL-010-029/","AKL-010-029")</f>
        <v>AKL-010-029</v>
      </c>
      <c r="E495" s="4" t="s">
        <v>1609</v>
      </c>
      <c r="F495" s="4"/>
      <c r="G495" s="4"/>
      <c r="H495" s="4" t="s">
        <v>1545</v>
      </c>
      <c r="I495" s="4"/>
      <c r="J495" s="4" t="s">
        <v>196</v>
      </c>
      <c r="K495" s="4"/>
      <c r="L495" s="4"/>
      <c r="M495" s="4"/>
      <c r="N495" s="4"/>
      <c r="O495" s="4"/>
      <c r="P495" s="4"/>
      <c r="Q495" s="4"/>
      <c r="R495" s="4"/>
      <c r="S495" s="4"/>
      <c r="T495" s="4"/>
      <c r="U495" s="4"/>
      <c r="V495" s="4"/>
      <c r="W495" s="4"/>
      <c r="X495" s="4"/>
      <c r="Y495" s="4"/>
      <c r="Z495" s="4"/>
      <c r="AA495" s="4"/>
      <c r="AB495" s="4"/>
      <c r="AC495" s="4"/>
      <c r="AD495" s="4"/>
      <c r="AE495" s="4"/>
      <c r="AF495" s="4"/>
      <c r="AG495" s="4" t="b">
        <v>0</v>
      </c>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t="s">
        <v>1610</v>
      </c>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row>
    <row r="496" spans="1:139" hidden="1" x14ac:dyDescent="0.2">
      <c r="A496">
        <f>VLOOKUP(B496,Sheet1!$A$1:$B$18,2,FALSE)</f>
        <v>0</v>
      </c>
      <c r="B496" t="str">
        <f t="shared" si="8"/>
        <v>AKL</v>
      </c>
      <c r="C496" s="2">
        <v>495</v>
      </c>
      <c r="D496" s="3" t="str">
        <f>HYPERLINK("https://sitebase.nzcomms.co.nz/spm/spmnominalview/AKL-010-030/","AKL-010-030")</f>
        <v>AKL-010-030</v>
      </c>
      <c r="E496" s="4" t="s">
        <v>1611</v>
      </c>
      <c r="F496" s="4"/>
      <c r="G496" s="4"/>
      <c r="H496" s="4" t="s">
        <v>1545</v>
      </c>
      <c r="I496" s="4"/>
      <c r="J496" s="4" t="s">
        <v>196</v>
      </c>
      <c r="K496" s="4"/>
      <c r="L496" s="4"/>
      <c r="M496" s="4"/>
      <c r="N496" s="4"/>
      <c r="O496" s="4"/>
      <c r="P496" s="4"/>
      <c r="Q496" s="4"/>
      <c r="R496" s="4"/>
      <c r="S496" s="4"/>
      <c r="T496" s="4"/>
      <c r="U496" s="4"/>
      <c r="V496" s="4"/>
      <c r="W496" s="4"/>
      <c r="X496" s="4"/>
      <c r="Y496" s="4"/>
      <c r="Z496" s="4"/>
      <c r="AA496" s="4"/>
      <c r="AB496" s="4"/>
      <c r="AC496" s="4"/>
      <c r="AD496" s="4"/>
      <c r="AE496" s="4"/>
      <c r="AF496" s="4"/>
      <c r="AG496" s="4" t="b">
        <v>0</v>
      </c>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row>
    <row r="497" spans="1:139" hidden="1" x14ac:dyDescent="0.2">
      <c r="A497">
        <f>VLOOKUP(B497,Sheet1!$A$1:$B$18,2,FALSE)</f>
        <v>0</v>
      </c>
      <c r="B497" t="str">
        <f t="shared" si="8"/>
        <v>AKL</v>
      </c>
      <c r="C497" s="2">
        <v>496</v>
      </c>
      <c r="D497" s="3" t="str">
        <f>HYPERLINK("https://sitebase.nzcomms.co.nz/spm/spmnominalview/AKL-010-031/","AKL-010-031")</f>
        <v>AKL-010-031</v>
      </c>
      <c r="E497" s="4" t="s">
        <v>1612</v>
      </c>
      <c r="F497" s="4"/>
      <c r="G497" s="4"/>
      <c r="H497" s="4" t="s">
        <v>1545</v>
      </c>
      <c r="I497" s="4"/>
      <c r="J497" s="4" t="s">
        <v>196</v>
      </c>
      <c r="K497" s="4"/>
      <c r="L497" s="4"/>
      <c r="M497" s="4"/>
      <c r="N497" s="4"/>
      <c r="O497" s="4"/>
      <c r="P497" s="4"/>
      <c r="Q497" s="4"/>
      <c r="R497" s="4"/>
      <c r="S497" s="4"/>
      <c r="T497" s="4"/>
      <c r="U497" s="4"/>
      <c r="V497" s="4"/>
      <c r="W497" s="4"/>
      <c r="X497" s="4"/>
      <c r="Y497" s="4"/>
      <c r="Z497" s="4"/>
      <c r="AA497" s="4"/>
      <c r="AB497" s="4"/>
      <c r="AC497" s="4"/>
      <c r="AD497" s="4"/>
      <c r="AE497" s="4"/>
      <c r="AF497" s="4"/>
      <c r="AG497" s="4" t="b">
        <v>0</v>
      </c>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t="s">
        <v>1613</v>
      </c>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row>
    <row r="498" spans="1:139" hidden="1" x14ac:dyDescent="0.2">
      <c r="A498">
        <f>VLOOKUP(B498,Sheet1!$A$1:$B$18,2,FALSE)</f>
        <v>0</v>
      </c>
      <c r="B498" t="str">
        <f t="shared" si="8"/>
        <v>AKL</v>
      </c>
      <c r="C498" s="2">
        <v>497</v>
      </c>
      <c r="D498" s="3" t="str">
        <f>HYPERLINK("https://sitebase.nzcomms.co.nz/spm/spmnominalview/AKL-010-032/","AKL-010-032")</f>
        <v>AKL-010-032</v>
      </c>
      <c r="E498" s="4" t="s">
        <v>1590</v>
      </c>
      <c r="F498" s="4"/>
      <c r="G498" s="4"/>
      <c r="H498" s="4" t="s">
        <v>1545</v>
      </c>
      <c r="I498" s="4"/>
      <c r="J498" s="4" t="s">
        <v>196</v>
      </c>
      <c r="K498" s="4"/>
      <c r="L498" s="4"/>
      <c r="M498" s="4"/>
      <c r="N498" s="4"/>
      <c r="O498" s="4"/>
      <c r="P498" s="4"/>
      <c r="Q498" s="4"/>
      <c r="R498" s="4"/>
      <c r="S498" s="4"/>
      <c r="T498" s="4"/>
      <c r="U498" s="4"/>
      <c r="V498" s="4"/>
      <c r="W498" s="4"/>
      <c r="X498" s="4"/>
      <c r="Y498" s="4"/>
      <c r="Z498" s="4"/>
      <c r="AA498" s="4"/>
      <c r="AB498" s="4"/>
      <c r="AC498" s="4"/>
      <c r="AD498" s="4"/>
      <c r="AE498" s="4"/>
      <c r="AF498" s="4"/>
      <c r="AG498" s="4" t="b">
        <v>0</v>
      </c>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t="s">
        <v>1614</v>
      </c>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row>
    <row r="499" spans="1:139" hidden="1" x14ac:dyDescent="0.2">
      <c r="A499">
        <f>VLOOKUP(B499,Sheet1!$A$1:$B$18,2,FALSE)</f>
        <v>0</v>
      </c>
      <c r="B499" t="str">
        <f t="shared" si="8"/>
        <v>AKL</v>
      </c>
      <c r="C499" s="2">
        <v>498</v>
      </c>
      <c r="D499" s="3" t="str">
        <f>HYPERLINK("https://sitebase.nzcomms.co.nz/spm/spmnominalview/AKL-010-033/","AKL-010-033")</f>
        <v>AKL-010-033</v>
      </c>
      <c r="E499" s="4" t="s">
        <v>1615</v>
      </c>
      <c r="F499" s="4"/>
      <c r="G499" s="4"/>
      <c r="H499" s="4" t="s">
        <v>1545</v>
      </c>
      <c r="I499" s="4"/>
      <c r="J499" s="4" t="s">
        <v>722</v>
      </c>
      <c r="K499" s="4"/>
      <c r="L499" s="4"/>
      <c r="M499" s="4"/>
      <c r="N499" s="4"/>
      <c r="O499" s="4"/>
      <c r="P499" s="4"/>
      <c r="Q499" s="4"/>
      <c r="R499" s="4"/>
      <c r="S499" s="4"/>
      <c r="T499" s="4"/>
      <c r="U499" s="4"/>
      <c r="V499" s="4"/>
      <c r="W499" s="4"/>
      <c r="X499" s="4"/>
      <c r="Y499" s="4"/>
      <c r="Z499" s="4"/>
      <c r="AA499" s="4"/>
      <c r="AB499" s="4"/>
      <c r="AC499" s="4"/>
      <c r="AD499" s="4"/>
      <c r="AE499" s="4"/>
      <c r="AF499" s="4"/>
      <c r="AG499" s="4" t="b">
        <v>0</v>
      </c>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row>
    <row r="500" spans="1:139" hidden="1" x14ac:dyDescent="0.2">
      <c r="A500">
        <f>VLOOKUP(B500,Sheet1!$A$1:$B$18,2,FALSE)</f>
        <v>0</v>
      </c>
      <c r="B500" t="str">
        <f t="shared" si="8"/>
        <v>AKL</v>
      </c>
      <c r="C500" s="2">
        <v>499</v>
      </c>
      <c r="D500" s="3" t="str">
        <f>HYPERLINK("https://sitebase.nzcomms.co.nz/spm/spmnominalview/AKL-010-034/","AKL-010-034")</f>
        <v>AKL-010-034</v>
      </c>
      <c r="E500" s="4" t="s">
        <v>1616</v>
      </c>
      <c r="F500" s="4"/>
      <c r="G500" s="4"/>
      <c r="H500" s="4" t="s">
        <v>1545</v>
      </c>
      <c r="I500" s="4"/>
      <c r="J500" s="4" t="s">
        <v>722</v>
      </c>
      <c r="K500" s="4"/>
      <c r="L500" s="4"/>
      <c r="M500" s="4"/>
      <c r="N500" s="4"/>
      <c r="O500" s="4"/>
      <c r="P500" s="4"/>
      <c r="Q500" s="4"/>
      <c r="R500" s="4"/>
      <c r="S500" s="4"/>
      <c r="T500" s="4"/>
      <c r="U500" s="4"/>
      <c r="V500" s="4"/>
      <c r="W500" s="4"/>
      <c r="X500" s="4"/>
      <c r="Y500" s="4"/>
      <c r="Z500" s="4"/>
      <c r="AA500" s="4"/>
      <c r="AB500" s="4"/>
      <c r="AC500" s="4"/>
      <c r="AD500" s="4"/>
      <c r="AE500" s="4"/>
      <c r="AF500" s="4"/>
      <c r="AG500" s="4" t="b">
        <v>0</v>
      </c>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row>
    <row r="501" spans="1:139" hidden="1" x14ac:dyDescent="0.2">
      <c r="A501">
        <f>VLOOKUP(B501,Sheet1!$A$1:$B$18,2,FALSE)</f>
        <v>0</v>
      </c>
      <c r="B501" t="str">
        <f t="shared" si="8"/>
        <v>AKL</v>
      </c>
      <c r="C501" s="2">
        <v>500</v>
      </c>
      <c r="D501" s="3" t="str">
        <f>HYPERLINK("https://sitebase.nzcomms.co.nz/spm/spmnominalview/AKL-010-035/","AKL-010-035")</f>
        <v>AKL-010-035</v>
      </c>
      <c r="E501" s="4" t="s">
        <v>1617</v>
      </c>
      <c r="F501" s="4"/>
      <c r="G501" s="4"/>
      <c r="H501" s="4" t="s">
        <v>1545</v>
      </c>
      <c r="I501" s="4"/>
      <c r="J501" s="4" t="s">
        <v>722</v>
      </c>
      <c r="K501" s="4"/>
      <c r="L501" s="4"/>
      <c r="M501" s="4"/>
      <c r="N501" s="4"/>
      <c r="O501" s="4"/>
      <c r="P501" s="4"/>
      <c r="Q501" s="4"/>
      <c r="R501" s="4"/>
      <c r="S501" s="4"/>
      <c r="T501" s="4"/>
      <c r="U501" s="4"/>
      <c r="V501" s="4"/>
      <c r="W501" s="4"/>
      <c r="X501" s="4"/>
      <c r="Y501" s="4"/>
      <c r="Z501" s="4"/>
      <c r="AA501" s="4"/>
      <c r="AB501" s="4"/>
      <c r="AC501" s="4"/>
      <c r="AD501" s="4"/>
      <c r="AE501" s="4"/>
      <c r="AF501" s="4"/>
      <c r="AG501" s="4" t="b">
        <v>0</v>
      </c>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row>
    <row r="502" spans="1:139" hidden="1" x14ac:dyDescent="0.2">
      <c r="A502">
        <f>VLOOKUP(B502,Sheet1!$A$1:$B$18,2,FALSE)</f>
        <v>0</v>
      </c>
      <c r="B502" t="str">
        <f t="shared" si="8"/>
        <v>AKL</v>
      </c>
      <c r="C502" s="2">
        <v>501</v>
      </c>
      <c r="D502" s="3" t="str">
        <f>HYPERLINK("https://sitebase.nzcomms.co.nz/spm/spmnominalview/AKL-010-036/","AKL-010-036")</f>
        <v>AKL-010-036</v>
      </c>
      <c r="E502" s="4" t="s">
        <v>1551</v>
      </c>
      <c r="F502" s="3" t="str">
        <f>HYPERLINK("https://sitebase.nzcomms.co.nz/spm/spmcandidateview/AKL-010-036-C/","AKL-010-036-C")</f>
        <v>AKL-010-036-C</v>
      </c>
      <c r="G502" s="4" t="s">
        <v>1618</v>
      </c>
      <c r="H502" s="4" t="s">
        <v>1545</v>
      </c>
      <c r="I502" s="4">
        <v>22</v>
      </c>
      <c r="J502" s="4" t="s">
        <v>165</v>
      </c>
      <c r="K502" s="4" t="s">
        <v>141</v>
      </c>
      <c r="L502" s="4" t="s">
        <v>150</v>
      </c>
      <c r="M502" s="4" t="s">
        <v>190</v>
      </c>
      <c r="N502" s="4" t="s">
        <v>1557</v>
      </c>
      <c r="O502" s="4"/>
      <c r="P502" s="4" t="s">
        <v>169</v>
      </c>
      <c r="Q502" s="4" t="s">
        <v>192</v>
      </c>
      <c r="R502" s="4"/>
      <c r="S502" s="4"/>
      <c r="T502" s="4">
        <v>1</v>
      </c>
      <c r="U502" s="4">
        <v>-37.251733450000003</v>
      </c>
      <c r="V502" s="4">
        <v>174.72782710000001</v>
      </c>
      <c r="W502" s="4"/>
      <c r="X502" s="4"/>
      <c r="Y502" s="4"/>
      <c r="Z502" s="4"/>
      <c r="AA502" s="4" t="s">
        <v>145</v>
      </c>
      <c r="AB502" s="3" t="str">
        <f>HYPERLINK("https://sitebase.nzcomms.co.nz/spm/spmcandidateview/AKL-007-106-A/","AKL-007-106-A")</f>
        <v>AKL-007-106-A</v>
      </c>
      <c r="AC502" s="4" t="b">
        <v>0</v>
      </c>
      <c r="AD502" s="4" t="b">
        <v>0</v>
      </c>
      <c r="AE502" s="4"/>
      <c r="AF502" s="4"/>
      <c r="AG502" s="4" t="b">
        <v>0</v>
      </c>
      <c r="AH502" s="4"/>
      <c r="AI502" s="5">
        <v>41038</v>
      </c>
      <c r="AJ502" s="5">
        <v>41038</v>
      </c>
      <c r="AK502" s="5">
        <v>41071</v>
      </c>
      <c r="AL502" s="5">
        <v>41078</v>
      </c>
      <c r="AM502" s="5">
        <v>41136</v>
      </c>
      <c r="AN502" s="5">
        <v>41137</v>
      </c>
      <c r="AO502" s="4">
        <v>2</v>
      </c>
      <c r="AP502" s="5">
        <v>41136</v>
      </c>
      <c r="AQ502" s="5">
        <v>41150</v>
      </c>
      <c r="AR502" s="5">
        <v>41152</v>
      </c>
      <c r="AS502" s="5">
        <v>41150</v>
      </c>
      <c r="AT502" s="5">
        <v>41228</v>
      </c>
      <c r="AU502" s="5">
        <v>41226</v>
      </c>
      <c r="AV502" s="4">
        <v>2</v>
      </c>
      <c r="AW502" s="5">
        <v>41235</v>
      </c>
      <c r="AX502" s="5">
        <v>41226</v>
      </c>
      <c r="AY502" s="4" t="s">
        <v>172</v>
      </c>
      <c r="AZ502" s="5">
        <v>41159</v>
      </c>
      <c r="BA502" s="5">
        <v>41158</v>
      </c>
      <c r="BB502" s="5">
        <v>41201</v>
      </c>
      <c r="BC502" s="5">
        <v>41198</v>
      </c>
      <c r="BD502" s="4">
        <v>2</v>
      </c>
      <c r="BE502" s="5">
        <v>41208</v>
      </c>
      <c r="BF502" s="5">
        <v>41199</v>
      </c>
      <c r="BG502" s="5">
        <v>41936</v>
      </c>
      <c r="BH502" s="5">
        <v>41933</v>
      </c>
      <c r="BI502" s="5">
        <v>42048</v>
      </c>
      <c r="BJ502" s="5">
        <v>42047</v>
      </c>
      <c r="BK502" s="4">
        <v>1</v>
      </c>
      <c r="BL502" s="4"/>
      <c r="BM502" s="5">
        <v>42048</v>
      </c>
      <c r="BN502" s="5">
        <v>42047</v>
      </c>
      <c r="BO502" s="5">
        <v>42081</v>
      </c>
      <c r="BP502" s="4"/>
      <c r="BQ502" s="4"/>
      <c r="BR502" s="4"/>
      <c r="BS502" s="4"/>
      <c r="BT502" s="5">
        <v>42107</v>
      </c>
      <c r="BU502" s="5">
        <v>42107</v>
      </c>
      <c r="BV502" s="5">
        <v>42131</v>
      </c>
      <c r="BW502" s="5">
        <v>42139</v>
      </c>
      <c r="BX502" s="5">
        <v>42128</v>
      </c>
      <c r="BY502" s="5">
        <v>42131</v>
      </c>
      <c r="BZ502" s="5">
        <v>42135</v>
      </c>
      <c r="CA502" s="5">
        <v>42124</v>
      </c>
      <c r="CB502" s="4"/>
      <c r="CC502" s="4"/>
      <c r="CD502" s="4"/>
      <c r="CE502" s="4"/>
      <c r="CF502" s="4"/>
      <c r="CG502" s="4"/>
      <c r="CH502" s="4"/>
      <c r="CI502" s="5">
        <v>42143</v>
      </c>
      <c r="CJ502" s="5">
        <v>42165</v>
      </c>
      <c r="CK502" s="5">
        <v>42165</v>
      </c>
      <c r="CL502" s="5">
        <v>42172</v>
      </c>
      <c r="CM502" s="5">
        <v>42174</v>
      </c>
      <c r="CN502" s="4"/>
      <c r="CO502" s="4"/>
      <c r="CP502" s="4" t="s">
        <v>1619</v>
      </c>
      <c r="CQ502" s="4"/>
      <c r="CR502" s="5">
        <v>42142</v>
      </c>
      <c r="CS502" s="4"/>
      <c r="CT502" s="4"/>
      <c r="CU502" s="4"/>
      <c r="CV502" s="4"/>
      <c r="CW502" s="5">
        <v>42081</v>
      </c>
      <c r="CX502" s="5">
        <v>42081</v>
      </c>
      <c r="CY502" s="5">
        <v>42132</v>
      </c>
      <c r="CZ502" s="5">
        <v>42146</v>
      </c>
      <c r="DA502" s="5">
        <v>42149</v>
      </c>
      <c r="DB502" s="5">
        <v>42150</v>
      </c>
      <c r="DC502" s="4"/>
      <c r="DD502" s="4"/>
      <c r="DE502" s="4" t="s">
        <v>581</v>
      </c>
      <c r="DF502" s="5">
        <v>42131</v>
      </c>
      <c r="DG502" s="5">
        <v>42136</v>
      </c>
      <c r="DH502" s="4" t="s">
        <v>174</v>
      </c>
      <c r="DI502" s="5">
        <v>42128</v>
      </c>
      <c r="DJ502" s="4" t="b">
        <v>1</v>
      </c>
      <c r="DK502" s="4"/>
      <c r="DL502" s="4">
        <v>2663583</v>
      </c>
      <c r="DM502" s="4">
        <v>6437505</v>
      </c>
      <c r="DN502" s="4" t="s">
        <v>1620</v>
      </c>
      <c r="DO502" s="4"/>
      <c r="DP502" s="4" t="s">
        <v>1621</v>
      </c>
      <c r="DQ502" s="4" t="s">
        <v>148</v>
      </c>
      <c r="DR502" s="4"/>
      <c r="DS502" s="4"/>
      <c r="DT502" s="4"/>
      <c r="DU502" s="4" t="s">
        <v>178</v>
      </c>
      <c r="DV502" s="4"/>
      <c r="DW502" s="5">
        <v>41991</v>
      </c>
      <c r="DX502" s="5">
        <v>41984</v>
      </c>
      <c r="DY502" s="4"/>
      <c r="DZ502" s="5">
        <v>42093</v>
      </c>
      <c r="EA502" s="4"/>
      <c r="EB502" s="4"/>
      <c r="EC502" s="4"/>
      <c r="ED502" s="5">
        <v>41991</v>
      </c>
      <c r="EE502" s="4"/>
      <c r="EF502" s="5">
        <v>42093</v>
      </c>
      <c r="EG502" s="5">
        <v>42165</v>
      </c>
      <c r="EH502" s="4"/>
      <c r="EI502" s="5">
        <v>41071</v>
      </c>
    </row>
    <row r="503" spans="1:139" hidden="1" x14ac:dyDescent="0.2">
      <c r="A503">
        <f>VLOOKUP(B503,Sheet1!$A$1:$B$18,2,FALSE)</f>
        <v>0</v>
      </c>
      <c r="B503" t="str">
        <f t="shared" si="8"/>
        <v>AKL</v>
      </c>
      <c r="C503" s="2">
        <v>502</v>
      </c>
      <c r="D503" s="3" t="str">
        <f>HYPERLINK("https://sitebase.nzcomms.co.nz/spm/spmnominalview/AKL-010-037/","AKL-010-037")</f>
        <v>AKL-010-037</v>
      </c>
      <c r="E503" s="4" t="s">
        <v>1622</v>
      </c>
      <c r="F503" s="3" t="str">
        <f>HYPERLINK("https://sitebase.nzcomms.co.nz/spm/spmcandidateview/AKL-010-037-D/","AKL-010-037-D")</f>
        <v>AKL-010-037-D</v>
      </c>
      <c r="G503" s="4" t="s">
        <v>1623</v>
      </c>
      <c r="H503" s="4" t="s">
        <v>1545</v>
      </c>
      <c r="I503" s="4">
        <v>22</v>
      </c>
      <c r="J503" s="4" t="s">
        <v>165</v>
      </c>
      <c r="K503" s="4" t="s">
        <v>141</v>
      </c>
      <c r="L503" s="4" t="s">
        <v>150</v>
      </c>
      <c r="M503" s="4" t="s">
        <v>190</v>
      </c>
      <c r="N503" s="4" t="s">
        <v>730</v>
      </c>
      <c r="O503" s="4"/>
      <c r="P503" s="4" t="s">
        <v>169</v>
      </c>
      <c r="Q503" s="4" t="s">
        <v>192</v>
      </c>
      <c r="R503" s="4"/>
      <c r="S503" s="4"/>
      <c r="T503" s="4"/>
      <c r="U503" s="4">
        <v>-37.252709750000001</v>
      </c>
      <c r="V503" s="4">
        <v>174.77043682999999</v>
      </c>
      <c r="W503" s="4"/>
      <c r="X503" s="4"/>
      <c r="Y503" s="4"/>
      <c r="Z503" s="4"/>
      <c r="AA503" s="4" t="s">
        <v>145</v>
      </c>
      <c r="AB503" s="3" t="str">
        <f>HYPERLINK("https://sitebase.nzcomms.co.nz/spm/spmcandidateview/AKL-007-185-A/","AKL-007-185-A")</f>
        <v>AKL-007-185-A</v>
      </c>
      <c r="AC503" s="4" t="b">
        <v>0</v>
      </c>
      <c r="AD503" s="4" t="b">
        <v>0</v>
      </c>
      <c r="AE503" s="4"/>
      <c r="AF503" s="4"/>
      <c r="AG503" s="4" t="b">
        <v>0</v>
      </c>
      <c r="AH503" s="4"/>
      <c r="AI503" s="5">
        <v>41018</v>
      </c>
      <c r="AJ503" s="5">
        <v>41018</v>
      </c>
      <c r="AK503" s="5">
        <v>41025</v>
      </c>
      <c r="AL503" s="5">
        <v>41025</v>
      </c>
      <c r="AM503" s="5">
        <v>41051</v>
      </c>
      <c r="AN503" s="5">
        <v>40851</v>
      </c>
      <c r="AO503" s="4">
        <v>2</v>
      </c>
      <c r="AP503" s="5">
        <v>41065</v>
      </c>
      <c r="AQ503" s="5">
        <v>41136</v>
      </c>
      <c r="AR503" s="5">
        <v>41148</v>
      </c>
      <c r="AS503" s="5">
        <v>41143</v>
      </c>
      <c r="AT503" s="5">
        <v>41166</v>
      </c>
      <c r="AU503" s="5">
        <v>41155</v>
      </c>
      <c r="AV503" s="4">
        <v>2</v>
      </c>
      <c r="AW503" s="5">
        <v>41173</v>
      </c>
      <c r="AX503" s="5">
        <v>41155</v>
      </c>
      <c r="AY503" s="4" t="s">
        <v>172</v>
      </c>
      <c r="AZ503" s="5">
        <v>41102</v>
      </c>
      <c r="BA503" s="5">
        <v>41102</v>
      </c>
      <c r="BB503" s="5">
        <v>41166</v>
      </c>
      <c r="BC503" s="5">
        <v>41158</v>
      </c>
      <c r="BD503" s="4">
        <v>2</v>
      </c>
      <c r="BE503" s="5">
        <v>41173</v>
      </c>
      <c r="BF503" s="5">
        <v>41169</v>
      </c>
      <c r="BG503" s="5">
        <v>42025</v>
      </c>
      <c r="BH503" s="5">
        <v>42025</v>
      </c>
      <c r="BI503" s="5">
        <v>42076</v>
      </c>
      <c r="BJ503" s="5">
        <v>42094</v>
      </c>
      <c r="BK503" s="4">
        <v>1</v>
      </c>
      <c r="BL503" s="4"/>
      <c r="BM503" s="5">
        <v>42083</v>
      </c>
      <c r="BN503" s="5">
        <v>42094</v>
      </c>
      <c r="BO503" s="4"/>
      <c r="BP503" s="4"/>
      <c r="BQ503" s="4"/>
      <c r="BR503" s="4"/>
      <c r="BS503" s="4"/>
      <c r="BT503" s="5">
        <v>42135</v>
      </c>
      <c r="BU503" s="5">
        <v>42131</v>
      </c>
      <c r="BV503" s="5">
        <v>42174</v>
      </c>
      <c r="BW503" s="5">
        <v>42178</v>
      </c>
      <c r="BX503" s="5">
        <v>42159</v>
      </c>
      <c r="BY503" s="5">
        <v>42174</v>
      </c>
      <c r="BZ503" s="5">
        <v>42179</v>
      </c>
      <c r="CA503" s="5">
        <v>42174</v>
      </c>
      <c r="CB503" s="4"/>
      <c r="CC503" s="4"/>
      <c r="CD503" s="4"/>
      <c r="CE503" s="4"/>
      <c r="CF503" s="4"/>
      <c r="CG503" s="4"/>
      <c r="CH503" s="4"/>
      <c r="CI503" s="4"/>
      <c r="CJ503" s="5">
        <v>42195</v>
      </c>
      <c r="CK503" s="5">
        <v>42194</v>
      </c>
      <c r="CL503" s="5">
        <v>42206</v>
      </c>
      <c r="CM503" s="5">
        <v>42215</v>
      </c>
      <c r="CN503" s="4"/>
      <c r="CO503" s="4"/>
      <c r="CP503" s="4" t="s">
        <v>1624</v>
      </c>
      <c r="CQ503" s="4"/>
      <c r="CR503" s="5">
        <v>42184</v>
      </c>
      <c r="CS503" s="4"/>
      <c r="CT503" s="4"/>
      <c r="CU503" s="4"/>
      <c r="CV503" s="4"/>
      <c r="CW503" s="4"/>
      <c r="CX503" s="4"/>
      <c r="CY503" s="5">
        <v>42179</v>
      </c>
      <c r="CZ503" s="4"/>
      <c r="DA503" s="5">
        <v>42188</v>
      </c>
      <c r="DB503" s="5">
        <v>42188</v>
      </c>
      <c r="DC503" s="4"/>
      <c r="DD503" s="4"/>
      <c r="DE503" s="4" t="s">
        <v>581</v>
      </c>
      <c r="DF503" s="5">
        <v>42170</v>
      </c>
      <c r="DG503" s="5">
        <v>42159</v>
      </c>
      <c r="DH503" s="4" t="s">
        <v>174</v>
      </c>
      <c r="DI503" s="5">
        <v>42170</v>
      </c>
      <c r="DJ503" s="4" t="b">
        <v>0</v>
      </c>
      <c r="DK503" s="4"/>
      <c r="DL503" s="4">
        <v>2667360</v>
      </c>
      <c r="DM503" s="4">
        <v>6437320</v>
      </c>
      <c r="DN503" s="4" t="s">
        <v>1625</v>
      </c>
      <c r="DO503" s="4"/>
      <c r="DP503" s="4" t="s">
        <v>1626</v>
      </c>
      <c r="DQ503" s="4" t="s">
        <v>148</v>
      </c>
      <c r="DR503" s="4"/>
      <c r="DS503" s="4"/>
      <c r="DT503" s="4"/>
      <c r="DU503" s="4" t="s">
        <v>178</v>
      </c>
      <c r="DV503" s="4"/>
      <c r="DW503" s="5">
        <v>42076</v>
      </c>
      <c r="DX503" s="5">
        <v>42076</v>
      </c>
      <c r="DY503" s="5">
        <v>42034</v>
      </c>
      <c r="DZ503" s="5">
        <v>42093</v>
      </c>
      <c r="EA503" s="4"/>
      <c r="EB503" s="4"/>
      <c r="EC503" s="4"/>
      <c r="ED503" s="5">
        <v>42069</v>
      </c>
      <c r="EE503" s="4"/>
      <c r="EF503" s="5">
        <v>42131</v>
      </c>
      <c r="EG503" s="5">
        <v>42195</v>
      </c>
      <c r="EH503" s="4"/>
      <c r="EI503" s="5">
        <v>41025</v>
      </c>
    </row>
    <row r="504" spans="1:139" hidden="1" x14ac:dyDescent="0.2">
      <c r="A504">
        <f>VLOOKUP(B504,Sheet1!$A$1:$B$18,2,FALSE)</f>
        <v>0</v>
      </c>
      <c r="B504" t="str">
        <f t="shared" si="8"/>
        <v>AKL</v>
      </c>
      <c r="C504" s="2">
        <v>503</v>
      </c>
      <c r="D504" s="3" t="str">
        <f>HYPERLINK("https://sitebase.nzcomms.co.nz/spm/spmnominalview/AKL-010-038/","AKL-010-038")</f>
        <v>AKL-010-038</v>
      </c>
      <c r="E504" s="4" t="s">
        <v>1627</v>
      </c>
      <c r="F504" s="3" t="str">
        <f>HYPERLINK("https://sitebase.nzcomms.co.nz/spm/spmcandidateview/AKL-010-038-C/","AKL-010-038-C")</f>
        <v>AKL-010-038-C</v>
      </c>
      <c r="G504" s="4" t="s">
        <v>1628</v>
      </c>
      <c r="H504" s="4" t="s">
        <v>1545</v>
      </c>
      <c r="I504" s="4">
        <v>22</v>
      </c>
      <c r="J504" s="4" t="s">
        <v>165</v>
      </c>
      <c r="K504" s="4" t="s">
        <v>141</v>
      </c>
      <c r="L504" s="4" t="s">
        <v>150</v>
      </c>
      <c r="M504" s="4" t="s">
        <v>166</v>
      </c>
      <c r="N504" s="4" t="s">
        <v>730</v>
      </c>
      <c r="O504" s="4"/>
      <c r="P504" s="4"/>
      <c r="Q504" s="4" t="s">
        <v>192</v>
      </c>
      <c r="R504" s="4">
        <v>24</v>
      </c>
      <c r="S504" s="4">
        <v>25</v>
      </c>
      <c r="T504" s="4"/>
      <c r="U504" s="4">
        <v>-37.226297709999997</v>
      </c>
      <c r="V504" s="4">
        <v>174.87809772</v>
      </c>
      <c r="W504" s="4"/>
      <c r="X504" s="4"/>
      <c r="Y504" s="4"/>
      <c r="Z504" s="4"/>
      <c r="AA504" s="4"/>
      <c r="AB504" s="4"/>
      <c r="AC504" s="4" t="b">
        <v>0</v>
      </c>
      <c r="AD504" s="4" t="b">
        <v>0</v>
      </c>
      <c r="AE504" s="4"/>
      <c r="AF504" s="4"/>
      <c r="AG504" s="4" t="b">
        <v>0</v>
      </c>
      <c r="AH504" s="4"/>
      <c r="AI504" s="5">
        <v>42284</v>
      </c>
      <c r="AJ504" s="5">
        <v>42284</v>
      </c>
      <c r="AK504" s="5">
        <v>42289</v>
      </c>
      <c r="AL504" s="5">
        <v>42286</v>
      </c>
      <c r="AM504" s="5">
        <v>42320</v>
      </c>
      <c r="AN504" s="5">
        <v>42335</v>
      </c>
      <c r="AO504" s="4">
        <v>1</v>
      </c>
      <c r="AP504" s="5">
        <v>42327</v>
      </c>
      <c r="AQ504" s="5">
        <v>42335</v>
      </c>
      <c r="AR504" s="5">
        <v>42460</v>
      </c>
      <c r="AS504" s="4"/>
      <c r="AT504" s="5">
        <v>42489</v>
      </c>
      <c r="AU504" s="4"/>
      <c r="AV504" s="4"/>
      <c r="AW504" s="5">
        <v>42489</v>
      </c>
      <c r="AX504" s="4"/>
      <c r="AY504" s="4"/>
      <c r="AZ504" s="5">
        <v>42460</v>
      </c>
      <c r="BA504" s="4"/>
      <c r="BB504" s="5">
        <v>42489</v>
      </c>
      <c r="BC504" s="4"/>
      <c r="BD504" s="4"/>
      <c r="BE504" s="5">
        <v>42489</v>
      </c>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5">
        <v>42429</v>
      </c>
      <c r="DG504" s="4"/>
      <c r="DH504" s="4" t="s">
        <v>1521</v>
      </c>
      <c r="DI504" s="4"/>
      <c r="DJ504" s="4" t="b">
        <v>0</v>
      </c>
      <c r="DK504" s="4"/>
      <c r="DL504" s="4">
        <v>2676972</v>
      </c>
      <c r="DM504" s="4">
        <v>6440049</v>
      </c>
      <c r="DN504" s="4" t="s">
        <v>1629</v>
      </c>
      <c r="DO504" s="4"/>
      <c r="DP504" s="4"/>
      <c r="DQ504" s="4" t="s">
        <v>148</v>
      </c>
      <c r="DR504" s="4" t="s">
        <v>255</v>
      </c>
      <c r="DS504" s="4"/>
      <c r="DT504" s="4"/>
      <c r="DU504" s="4" t="s">
        <v>178</v>
      </c>
      <c r="DV504" s="4"/>
      <c r="DW504" s="4"/>
      <c r="DX504" s="4"/>
      <c r="DY504" s="4"/>
      <c r="DZ504" s="4"/>
      <c r="EA504" s="5">
        <v>42268</v>
      </c>
      <c r="EB504" s="4"/>
      <c r="EC504" s="5">
        <v>42338</v>
      </c>
      <c r="ED504" s="4"/>
      <c r="EE504" s="4"/>
      <c r="EF504" s="4"/>
      <c r="EG504" s="4"/>
      <c r="EH504" s="4"/>
      <c r="EI504" s="5">
        <v>42286</v>
      </c>
    </row>
    <row r="505" spans="1:139" hidden="1" x14ac:dyDescent="0.2">
      <c r="A505">
        <f>VLOOKUP(B505,Sheet1!$A$1:$B$18,2,FALSE)</f>
        <v>0</v>
      </c>
      <c r="B505" t="str">
        <f t="shared" si="8"/>
        <v>AKL</v>
      </c>
      <c r="C505" s="2">
        <v>504</v>
      </c>
      <c r="D505" s="3" t="str">
        <f>HYPERLINK("https://sitebase.nzcomms.co.nz/spm/spmnominalview/AKL-010-039/","AKL-010-039")</f>
        <v>AKL-010-039</v>
      </c>
      <c r="E505" s="4" t="s">
        <v>1603</v>
      </c>
      <c r="F505" s="4"/>
      <c r="G505" s="4"/>
      <c r="H505" s="4" t="s">
        <v>1545</v>
      </c>
      <c r="I505" s="4"/>
      <c r="J505" s="4" t="s">
        <v>196</v>
      </c>
      <c r="K505" s="4"/>
      <c r="L505" s="4"/>
      <c r="M505" s="4"/>
      <c r="N505" s="4"/>
      <c r="O505" s="4"/>
      <c r="P505" s="4"/>
      <c r="Q505" s="4"/>
      <c r="R505" s="4"/>
      <c r="S505" s="4"/>
      <c r="T505" s="4"/>
      <c r="U505" s="4"/>
      <c r="V505" s="4"/>
      <c r="W505" s="4"/>
      <c r="X505" s="4"/>
      <c r="Y505" s="4"/>
      <c r="Z505" s="4"/>
      <c r="AA505" s="4"/>
      <c r="AB505" s="4"/>
      <c r="AC505" s="4"/>
      <c r="AD505" s="4"/>
      <c r="AE505" s="4"/>
      <c r="AF505" s="4"/>
      <c r="AG505" s="4" t="b">
        <v>0</v>
      </c>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row>
    <row r="506" spans="1:139" hidden="1" x14ac:dyDescent="0.2">
      <c r="A506">
        <f>VLOOKUP(B506,Sheet1!$A$1:$B$18,2,FALSE)</f>
        <v>0</v>
      </c>
      <c r="B506" t="str">
        <f t="shared" si="8"/>
        <v>BOP</v>
      </c>
      <c r="C506" s="2">
        <v>505</v>
      </c>
      <c r="D506" s="3" t="str">
        <f>HYPERLINK("https://sitebase.nzcomms.co.nz/spm/spmnominalview/BOP-022-001/","BOP-022-001")</f>
        <v>BOP-022-001</v>
      </c>
      <c r="E506" s="4" t="s">
        <v>1630</v>
      </c>
      <c r="F506" s="3" t="str">
        <f>HYPERLINK("https://sitebase.nzcomms.co.nz/spm/spmcandidateview/BOP-022-001-C/","BOP-022-001-C")</f>
        <v>BOP-022-001-C</v>
      </c>
      <c r="G506" s="4" t="s">
        <v>1631</v>
      </c>
      <c r="H506" s="4" t="s">
        <v>1632</v>
      </c>
      <c r="I506" s="4">
        <v>20</v>
      </c>
      <c r="J506" s="4" t="s">
        <v>1633</v>
      </c>
      <c r="K506" s="4" t="s">
        <v>141</v>
      </c>
      <c r="L506" s="4" t="s">
        <v>150</v>
      </c>
      <c r="M506" s="4" t="s">
        <v>190</v>
      </c>
      <c r="N506" s="4" t="s">
        <v>291</v>
      </c>
      <c r="O506" s="4" t="s">
        <v>168</v>
      </c>
      <c r="P506" s="4" t="s">
        <v>169</v>
      </c>
      <c r="Q506" s="4" t="s">
        <v>192</v>
      </c>
      <c r="R506" s="4">
        <v>19.5</v>
      </c>
      <c r="S506" s="4">
        <v>20</v>
      </c>
      <c r="T506" s="4">
        <v>1</v>
      </c>
      <c r="U506" s="4">
        <v>-37.783843330000003</v>
      </c>
      <c r="V506" s="4">
        <v>176.3245249</v>
      </c>
      <c r="W506" s="5">
        <v>40564</v>
      </c>
      <c r="X506" s="5">
        <v>40568</v>
      </c>
      <c r="Y506" s="5">
        <v>40564</v>
      </c>
      <c r="Z506" s="5">
        <v>40568</v>
      </c>
      <c r="AA506" s="4"/>
      <c r="AB506" s="4"/>
      <c r="AC506" s="4" t="b">
        <v>0</v>
      </c>
      <c r="AD506" s="4" t="b">
        <v>1</v>
      </c>
      <c r="AE506" s="5">
        <v>40561</v>
      </c>
      <c r="AF506" s="5">
        <v>40585</v>
      </c>
      <c r="AG506" s="4" t="b">
        <v>0</v>
      </c>
      <c r="AH506" s="4"/>
      <c r="AI506" s="4"/>
      <c r="AJ506" s="5">
        <v>40637</v>
      </c>
      <c r="AK506" s="5">
        <v>40750</v>
      </c>
      <c r="AL506" s="5">
        <v>40750</v>
      </c>
      <c r="AM506" s="5">
        <v>40767</v>
      </c>
      <c r="AN506" s="5">
        <v>40780</v>
      </c>
      <c r="AO506" s="4">
        <v>1</v>
      </c>
      <c r="AP506" s="5">
        <v>40767</v>
      </c>
      <c r="AQ506" s="5">
        <v>40780</v>
      </c>
      <c r="AR506" s="5">
        <v>40835</v>
      </c>
      <c r="AS506" s="5">
        <v>40843</v>
      </c>
      <c r="AT506" s="5">
        <v>40865</v>
      </c>
      <c r="AU506" s="5">
        <v>40863</v>
      </c>
      <c r="AV506" s="4">
        <v>1</v>
      </c>
      <c r="AW506" s="5">
        <v>40865</v>
      </c>
      <c r="AX506" s="5">
        <v>40863</v>
      </c>
      <c r="AY506" s="4" t="s">
        <v>172</v>
      </c>
      <c r="AZ506" s="5">
        <v>40847</v>
      </c>
      <c r="BA506" s="5">
        <v>40848</v>
      </c>
      <c r="BB506" s="5">
        <v>40885</v>
      </c>
      <c r="BC506" s="5">
        <v>40862</v>
      </c>
      <c r="BD506" s="4">
        <v>1</v>
      </c>
      <c r="BE506" s="5">
        <v>40890</v>
      </c>
      <c r="BF506" s="5">
        <v>40865</v>
      </c>
      <c r="BG506" s="4"/>
      <c r="BH506" s="4"/>
      <c r="BI506" s="4"/>
      <c r="BJ506" s="5">
        <v>40969</v>
      </c>
      <c r="BK506" s="4">
        <v>1</v>
      </c>
      <c r="BL506" s="4"/>
      <c r="BM506" s="4"/>
      <c r="BN506" s="5">
        <v>40969</v>
      </c>
      <c r="BO506" s="5">
        <v>40974</v>
      </c>
      <c r="BP506" s="4"/>
      <c r="BQ506" s="4"/>
      <c r="BR506" s="4"/>
      <c r="BS506" s="4"/>
      <c r="BT506" s="5">
        <v>40973</v>
      </c>
      <c r="BU506" s="5">
        <v>40973</v>
      </c>
      <c r="BV506" s="5">
        <v>40990</v>
      </c>
      <c r="BW506" s="5">
        <v>40991</v>
      </c>
      <c r="BX506" s="5">
        <v>40989</v>
      </c>
      <c r="BY506" s="5">
        <v>40991</v>
      </c>
      <c r="BZ506" s="5">
        <v>40991</v>
      </c>
      <c r="CA506" s="4"/>
      <c r="CB506" s="4"/>
      <c r="CC506" s="4"/>
      <c r="CD506" s="4"/>
      <c r="CE506" s="4"/>
      <c r="CF506" s="4"/>
      <c r="CG506" s="4"/>
      <c r="CH506" s="4"/>
      <c r="CI506" s="5">
        <v>40997</v>
      </c>
      <c r="CJ506" s="5">
        <v>41010</v>
      </c>
      <c r="CK506" s="5">
        <v>41009</v>
      </c>
      <c r="CL506" s="5">
        <v>40990</v>
      </c>
      <c r="CM506" s="5">
        <v>41009</v>
      </c>
      <c r="CN506" s="5">
        <v>41099</v>
      </c>
      <c r="CO506" s="5">
        <v>41149</v>
      </c>
      <c r="CP506" s="4" t="s">
        <v>1634</v>
      </c>
      <c r="CQ506" s="4"/>
      <c r="CR506" s="5">
        <v>40991</v>
      </c>
      <c r="CS506" s="5">
        <v>40974</v>
      </c>
      <c r="CT506" s="5">
        <v>40974</v>
      </c>
      <c r="CU506" s="5">
        <v>40974</v>
      </c>
      <c r="CV506" s="5">
        <v>40974</v>
      </c>
      <c r="CW506" s="5">
        <v>40974</v>
      </c>
      <c r="CX506" s="5">
        <v>40974</v>
      </c>
      <c r="CY506" s="5">
        <v>40991</v>
      </c>
      <c r="CZ506" s="5">
        <v>40990</v>
      </c>
      <c r="DA506" s="4"/>
      <c r="DB506" s="5">
        <v>40998</v>
      </c>
      <c r="DC506" s="4"/>
      <c r="DD506" s="4"/>
      <c r="DE506" s="4"/>
      <c r="DF506" s="4"/>
      <c r="DG506" s="4"/>
      <c r="DH506" s="4"/>
      <c r="DI506" s="5">
        <v>40990</v>
      </c>
      <c r="DJ506" s="4" t="b">
        <v>0</v>
      </c>
      <c r="DK506" s="4"/>
      <c r="DL506" s="4">
        <v>2802974</v>
      </c>
      <c r="DM506" s="4">
        <v>6374446</v>
      </c>
      <c r="DN506" s="4" t="s">
        <v>1635</v>
      </c>
      <c r="DO506" s="4"/>
      <c r="DP506" s="4" t="s">
        <v>1636</v>
      </c>
      <c r="DQ506" s="4" t="s">
        <v>148</v>
      </c>
      <c r="DR506" s="4"/>
      <c r="DS506" s="4"/>
      <c r="DT506" s="5">
        <v>42151</v>
      </c>
      <c r="DU506" s="4"/>
      <c r="DV506" s="4"/>
      <c r="DW506" s="4"/>
      <c r="DX506" s="4"/>
      <c r="DY506" s="4"/>
      <c r="DZ506" s="4"/>
      <c r="EA506" s="4"/>
      <c r="EB506" s="4"/>
      <c r="EC506" s="4"/>
      <c r="ED506" s="4"/>
      <c r="EE506" s="4"/>
      <c r="EF506" s="4"/>
      <c r="EG506" s="5">
        <v>41004</v>
      </c>
      <c r="EH506" s="5">
        <v>40998</v>
      </c>
      <c r="EI506" s="5">
        <v>40750</v>
      </c>
    </row>
    <row r="507" spans="1:139" hidden="1" x14ac:dyDescent="0.2">
      <c r="A507">
        <f>VLOOKUP(B507,Sheet1!$A$1:$B$18,2,FALSE)</f>
        <v>0</v>
      </c>
      <c r="B507" t="str">
        <f t="shared" si="8"/>
        <v>BOP</v>
      </c>
      <c r="C507" s="2">
        <v>506</v>
      </c>
      <c r="D507" s="3" t="str">
        <f>HYPERLINK("https://sitebase.nzcomms.co.nz/spm/spmnominalview/BOP-022-002/","BOP-022-002")</f>
        <v>BOP-022-002</v>
      </c>
      <c r="E507" s="4" t="s">
        <v>1637</v>
      </c>
      <c r="F507" s="3" t="str">
        <f>HYPERLINK("https://sitebase.nzcomms.co.nz/spm/spmcandidateview/BOP-022-002-A/","BOP-022-002-A")</f>
        <v>BOP-022-002-A</v>
      </c>
      <c r="G507" s="4" t="s">
        <v>1638</v>
      </c>
      <c r="H507" s="4" t="s">
        <v>1632</v>
      </c>
      <c r="I507" s="4">
        <v>2</v>
      </c>
      <c r="J507" s="4" t="s">
        <v>180</v>
      </c>
      <c r="K507" s="4" t="s">
        <v>141</v>
      </c>
      <c r="L507" s="4" t="s">
        <v>142</v>
      </c>
      <c r="M507" s="4" t="s">
        <v>190</v>
      </c>
      <c r="N507" s="4" t="s">
        <v>142</v>
      </c>
      <c r="O507" s="4"/>
      <c r="P507" s="4" t="s">
        <v>169</v>
      </c>
      <c r="Q507" s="4" t="s">
        <v>142</v>
      </c>
      <c r="R507" s="4">
        <v>0</v>
      </c>
      <c r="S507" s="4">
        <v>0</v>
      </c>
      <c r="T507" s="4">
        <v>1</v>
      </c>
      <c r="U507" s="4">
        <v>-37.567494539999998</v>
      </c>
      <c r="V507" s="4">
        <v>175.86180596</v>
      </c>
      <c r="W507" s="5">
        <v>40695</v>
      </c>
      <c r="X507" s="4"/>
      <c r="Y507" s="4"/>
      <c r="Z507" s="5">
        <v>40695</v>
      </c>
      <c r="AA507" s="4" t="s">
        <v>171</v>
      </c>
      <c r="AB507" s="3" t="str">
        <f>HYPERLINK("https://sitebase.nzcomms.co.nz/spm/spmcandidateview/BOP-022-019-A/","BOP-022-019-A")</f>
        <v>BOP-022-019-A</v>
      </c>
      <c r="AC507" s="4" t="b">
        <v>1</v>
      </c>
      <c r="AD507" s="4" t="b">
        <v>1</v>
      </c>
      <c r="AE507" s="5">
        <v>40695</v>
      </c>
      <c r="AF507" s="4"/>
      <c r="AG507" s="4" t="b">
        <v>1</v>
      </c>
      <c r="AH507" s="4"/>
      <c r="AI507" s="5">
        <v>40745</v>
      </c>
      <c r="AJ507" s="5">
        <v>40738</v>
      </c>
      <c r="AK507" s="5">
        <v>40746</v>
      </c>
      <c r="AL507" s="5">
        <v>40738</v>
      </c>
      <c r="AM507" s="5">
        <v>40753</v>
      </c>
      <c r="AN507" s="5">
        <v>40749</v>
      </c>
      <c r="AO507" s="4">
        <v>1</v>
      </c>
      <c r="AP507" s="5">
        <v>40753</v>
      </c>
      <c r="AQ507" s="5">
        <v>40749</v>
      </c>
      <c r="AR507" s="5">
        <v>40760</v>
      </c>
      <c r="AS507" s="5">
        <v>40759</v>
      </c>
      <c r="AT507" s="5">
        <v>40795</v>
      </c>
      <c r="AU507" s="5">
        <v>40778</v>
      </c>
      <c r="AV507" s="4"/>
      <c r="AW507" s="5">
        <v>40956</v>
      </c>
      <c r="AX507" s="5">
        <v>40947</v>
      </c>
      <c r="AY507" s="4" t="s">
        <v>172</v>
      </c>
      <c r="AZ507" s="5">
        <v>40767</v>
      </c>
      <c r="BA507" s="5">
        <v>40766</v>
      </c>
      <c r="BB507" s="5">
        <v>40786</v>
      </c>
      <c r="BC507" s="5">
        <v>40779</v>
      </c>
      <c r="BD507" s="4">
        <v>1</v>
      </c>
      <c r="BE507" s="5">
        <v>40788</v>
      </c>
      <c r="BF507" s="5">
        <v>40784</v>
      </c>
      <c r="BG507" s="5">
        <v>40955</v>
      </c>
      <c r="BH507" s="5">
        <v>40955</v>
      </c>
      <c r="BI507" s="5">
        <v>41019</v>
      </c>
      <c r="BJ507" s="5">
        <v>41023</v>
      </c>
      <c r="BK507" s="4">
        <v>1</v>
      </c>
      <c r="BL507" s="4"/>
      <c r="BM507" s="5">
        <v>41019</v>
      </c>
      <c r="BN507" s="5">
        <v>41023</v>
      </c>
      <c r="BO507" s="5">
        <v>41053</v>
      </c>
      <c r="BP507" s="5">
        <v>41017</v>
      </c>
      <c r="BQ507" s="4"/>
      <c r="BR507" s="4"/>
      <c r="BS507" s="4"/>
      <c r="BT507" s="5">
        <v>41042</v>
      </c>
      <c r="BU507" s="5">
        <v>41039</v>
      </c>
      <c r="BV507" s="5">
        <v>41047</v>
      </c>
      <c r="BW507" s="5">
        <v>41047</v>
      </c>
      <c r="BX507" s="5">
        <v>41053</v>
      </c>
      <c r="BY507" s="5">
        <v>41062</v>
      </c>
      <c r="BZ507" s="5">
        <v>41061</v>
      </c>
      <c r="CA507" s="4"/>
      <c r="CB507" s="4"/>
      <c r="CC507" s="4"/>
      <c r="CD507" s="4"/>
      <c r="CE507" s="4"/>
      <c r="CF507" s="4"/>
      <c r="CG507" s="4"/>
      <c r="CH507" s="4"/>
      <c r="CI507" s="5">
        <v>41061</v>
      </c>
      <c r="CJ507" s="5">
        <v>41075</v>
      </c>
      <c r="CK507" s="5">
        <v>41068</v>
      </c>
      <c r="CL507" s="5">
        <v>41083</v>
      </c>
      <c r="CM507" s="5">
        <v>41081</v>
      </c>
      <c r="CN507" s="5">
        <v>41346</v>
      </c>
      <c r="CO507" s="5">
        <v>41358</v>
      </c>
      <c r="CP507" s="4" t="s">
        <v>1639</v>
      </c>
      <c r="CQ507" s="4" t="s">
        <v>230</v>
      </c>
      <c r="CR507" s="5">
        <v>41062</v>
      </c>
      <c r="CS507" s="5">
        <v>41053</v>
      </c>
      <c r="CT507" s="5">
        <v>41053</v>
      </c>
      <c r="CU507" s="5">
        <v>41053</v>
      </c>
      <c r="CV507" s="5">
        <v>41053</v>
      </c>
      <c r="CW507" s="5">
        <v>41045</v>
      </c>
      <c r="CX507" s="5">
        <v>41053</v>
      </c>
      <c r="CY507" s="5">
        <v>41054</v>
      </c>
      <c r="CZ507" s="5">
        <v>41054</v>
      </c>
      <c r="DA507" s="4"/>
      <c r="DB507" s="5">
        <v>41072</v>
      </c>
      <c r="DC507" s="4"/>
      <c r="DD507" s="4"/>
      <c r="DE507" s="4" t="s">
        <v>1640</v>
      </c>
      <c r="DF507" s="4"/>
      <c r="DG507" s="4"/>
      <c r="DH507" s="4" t="s">
        <v>174</v>
      </c>
      <c r="DI507" s="5">
        <v>41054</v>
      </c>
      <c r="DJ507" s="4" t="b">
        <v>0</v>
      </c>
      <c r="DK507" s="4"/>
      <c r="DL507" s="4">
        <v>2763016</v>
      </c>
      <c r="DM507" s="4">
        <v>6399856</v>
      </c>
      <c r="DN507" s="4" t="s">
        <v>1641</v>
      </c>
      <c r="DO507" s="4"/>
      <c r="DP507" s="4" t="s">
        <v>1642</v>
      </c>
      <c r="DQ507" s="4" t="s">
        <v>148</v>
      </c>
      <c r="DR507" s="4"/>
      <c r="DS507" s="4"/>
      <c r="DT507" s="5">
        <v>42151</v>
      </c>
      <c r="DU507" s="4"/>
      <c r="DV507" s="4"/>
      <c r="DW507" s="4"/>
      <c r="DX507" s="4"/>
      <c r="DY507" s="5">
        <v>41019</v>
      </c>
      <c r="DZ507" s="4"/>
      <c r="EA507" s="4"/>
      <c r="EB507" s="4"/>
      <c r="EC507" s="4"/>
      <c r="ED507" s="4"/>
      <c r="EE507" s="4"/>
      <c r="EF507" s="4"/>
      <c r="EG507" s="5">
        <v>41071</v>
      </c>
      <c r="EH507" s="5">
        <v>41072</v>
      </c>
      <c r="EI507" s="5">
        <v>40738</v>
      </c>
    </row>
    <row r="508" spans="1:139" hidden="1" x14ac:dyDescent="0.2">
      <c r="A508">
        <f>VLOOKUP(B508,Sheet1!$A$1:$B$18,2,FALSE)</f>
        <v>0</v>
      </c>
      <c r="B508" t="str">
        <f t="shared" si="8"/>
        <v>BOP</v>
      </c>
      <c r="C508" s="2">
        <v>507</v>
      </c>
      <c r="D508" s="3" t="str">
        <f>HYPERLINK("https://sitebase.nzcomms.co.nz/spm/spmnominalview/BOP-022-003/","BOP-022-003")</f>
        <v>BOP-022-003</v>
      </c>
      <c r="E508" s="4" t="s">
        <v>1643</v>
      </c>
      <c r="F508" s="3" t="str">
        <f>HYPERLINK("https://sitebase.nzcomms.co.nz/spm/spmcandidateview/BOP-022-003-B/","BOP-022-003-B")</f>
        <v>BOP-022-003-B</v>
      </c>
      <c r="G508" s="4" t="s">
        <v>1644</v>
      </c>
      <c r="H508" s="4" t="s">
        <v>1632</v>
      </c>
      <c r="I508" s="4">
        <v>2</v>
      </c>
      <c r="J508" s="4" t="s">
        <v>180</v>
      </c>
      <c r="K508" s="4" t="s">
        <v>141</v>
      </c>
      <c r="L508" s="4" t="s">
        <v>150</v>
      </c>
      <c r="M508" s="4" t="s">
        <v>190</v>
      </c>
      <c r="N508" s="4" t="s">
        <v>291</v>
      </c>
      <c r="O508" s="4"/>
      <c r="P508" s="4" t="s">
        <v>169</v>
      </c>
      <c r="Q508" s="4"/>
      <c r="R508" s="4">
        <v>16.899999999999999</v>
      </c>
      <c r="S508" s="4">
        <v>17.399999999999999</v>
      </c>
      <c r="T508" s="4">
        <v>1</v>
      </c>
      <c r="U508" s="4">
        <v>-37.553138750000002</v>
      </c>
      <c r="V508" s="4">
        <v>175.91698651999999</v>
      </c>
      <c r="W508" s="4"/>
      <c r="X508" s="4"/>
      <c r="Y508" s="4"/>
      <c r="Z508" s="5">
        <v>40695</v>
      </c>
      <c r="AA508" s="4" t="s">
        <v>145</v>
      </c>
      <c r="AB508" s="4"/>
      <c r="AC508" s="4" t="b">
        <v>1</v>
      </c>
      <c r="AD508" s="4" t="b">
        <v>1</v>
      </c>
      <c r="AE508" s="5">
        <v>40695</v>
      </c>
      <c r="AF508" s="4"/>
      <c r="AG508" s="4" t="b">
        <v>1</v>
      </c>
      <c r="AH508" s="4"/>
      <c r="AI508" s="5">
        <v>40963</v>
      </c>
      <c r="AJ508" s="5">
        <v>40960</v>
      </c>
      <c r="AK508" s="5">
        <v>40966</v>
      </c>
      <c r="AL508" s="5">
        <v>40961</v>
      </c>
      <c r="AM508" s="5">
        <v>40994</v>
      </c>
      <c r="AN508" s="5">
        <v>40997</v>
      </c>
      <c r="AO508" s="4">
        <v>2</v>
      </c>
      <c r="AP508" s="5">
        <v>40994</v>
      </c>
      <c r="AQ508" s="5">
        <v>41051</v>
      </c>
      <c r="AR508" s="5">
        <v>41011</v>
      </c>
      <c r="AS508" s="5">
        <v>41003</v>
      </c>
      <c r="AT508" s="5">
        <v>41045</v>
      </c>
      <c r="AU508" s="5">
        <v>41037</v>
      </c>
      <c r="AV508" s="4"/>
      <c r="AW508" s="5">
        <v>41052</v>
      </c>
      <c r="AX508" s="5">
        <v>41037</v>
      </c>
      <c r="AY508" s="4" t="s">
        <v>172</v>
      </c>
      <c r="AZ508" s="5">
        <v>41058</v>
      </c>
      <c r="BA508" s="5">
        <v>41058</v>
      </c>
      <c r="BB508" s="5">
        <v>41093</v>
      </c>
      <c r="BC508" s="5">
        <v>41073</v>
      </c>
      <c r="BD508" s="4">
        <v>2</v>
      </c>
      <c r="BE508" s="5">
        <v>41100</v>
      </c>
      <c r="BF508" s="5">
        <v>41074</v>
      </c>
      <c r="BG508" s="4"/>
      <c r="BH508" s="4"/>
      <c r="BI508" s="5">
        <v>41095</v>
      </c>
      <c r="BJ508" s="5">
        <v>41107</v>
      </c>
      <c r="BK508" s="4">
        <v>1</v>
      </c>
      <c r="BL508" s="4"/>
      <c r="BM508" s="4"/>
      <c r="BN508" s="5">
        <v>41107</v>
      </c>
      <c r="BO508" s="5">
        <v>41160</v>
      </c>
      <c r="BP508" s="4"/>
      <c r="BQ508" s="4"/>
      <c r="BR508" s="4"/>
      <c r="BS508" s="4"/>
      <c r="BT508" s="5">
        <v>41141</v>
      </c>
      <c r="BU508" s="5">
        <v>41141</v>
      </c>
      <c r="BV508" s="5">
        <v>41166</v>
      </c>
      <c r="BW508" s="5">
        <v>41159</v>
      </c>
      <c r="BX508" s="5">
        <v>41157</v>
      </c>
      <c r="BY508" s="5">
        <v>41164</v>
      </c>
      <c r="BZ508" s="5">
        <v>41162</v>
      </c>
      <c r="CA508" s="5">
        <v>41162</v>
      </c>
      <c r="CB508" s="5">
        <v>41172</v>
      </c>
      <c r="CC508" s="4"/>
      <c r="CD508" s="4"/>
      <c r="CE508" s="4"/>
      <c r="CF508" s="4"/>
      <c r="CG508" s="4"/>
      <c r="CH508" s="4"/>
      <c r="CI508" s="5">
        <v>41172</v>
      </c>
      <c r="CJ508" s="5">
        <v>41185</v>
      </c>
      <c r="CK508" s="5">
        <v>41179</v>
      </c>
      <c r="CL508" s="5">
        <v>41200</v>
      </c>
      <c r="CM508" s="5">
        <v>41190</v>
      </c>
      <c r="CN508" s="5">
        <v>41404</v>
      </c>
      <c r="CO508" s="5">
        <v>41402</v>
      </c>
      <c r="CP508" s="4" t="s">
        <v>1645</v>
      </c>
      <c r="CQ508" s="4"/>
      <c r="CR508" s="5">
        <v>41172</v>
      </c>
      <c r="CS508" s="5">
        <v>41093</v>
      </c>
      <c r="CT508" s="5">
        <v>41093</v>
      </c>
      <c r="CU508" s="5">
        <v>41138</v>
      </c>
      <c r="CV508" s="5">
        <v>41152</v>
      </c>
      <c r="CW508" s="5">
        <v>41143</v>
      </c>
      <c r="CX508" s="5">
        <v>41160</v>
      </c>
      <c r="CY508" s="5">
        <v>41164</v>
      </c>
      <c r="CZ508" s="5">
        <v>41162</v>
      </c>
      <c r="DA508" s="5">
        <v>41171</v>
      </c>
      <c r="DB508" s="5">
        <v>41177</v>
      </c>
      <c r="DC508" s="5">
        <v>40981</v>
      </c>
      <c r="DD508" s="4" t="s">
        <v>206</v>
      </c>
      <c r="DE508" s="4" t="s">
        <v>1640</v>
      </c>
      <c r="DF508" s="5">
        <v>41159</v>
      </c>
      <c r="DG508" s="5">
        <v>41165</v>
      </c>
      <c r="DH508" s="4" t="s">
        <v>174</v>
      </c>
      <c r="DI508" s="5">
        <v>41157</v>
      </c>
      <c r="DJ508" s="4" t="b">
        <v>0</v>
      </c>
      <c r="DK508" s="4"/>
      <c r="DL508" s="4">
        <v>2767940</v>
      </c>
      <c r="DM508" s="4">
        <v>6401290</v>
      </c>
      <c r="DN508" s="4" t="s">
        <v>1646</v>
      </c>
      <c r="DO508" s="4"/>
      <c r="DP508" s="4"/>
      <c r="DQ508" s="4" t="s">
        <v>148</v>
      </c>
      <c r="DR508" s="4"/>
      <c r="DS508" s="4"/>
      <c r="DT508" s="5">
        <v>42151</v>
      </c>
      <c r="DU508" s="4"/>
      <c r="DV508" s="4"/>
      <c r="DW508" s="4"/>
      <c r="DX508" s="4"/>
      <c r="DY508" s="4"/>
      <c r="DZ508" s="4"/>
      <c r="EA508" s="4"/>
      <c r="EB508" s="4"/>
      <c r="EC508" s="4"/>
      <c r="ED508" s="4"/>
      <c r="EE508" s="4"/>
      <c r="EF508" s="4"/>
      <c r="EG508" s="5">
        <v>41178</v>
      </c>
      <c r="EH508" s="5">
        <v>41178</v>
      </c>
      <c r="EI508" s="5">
        <v>40961</v>
      </c>
    </row>
    <row r="509" spans="1:139" hidden="1" x14ac:dyDescent="0.2">
      <c r="A509">
        <f>VLOOKUP(B509,Sheet1!$A$1:$B$18,2,FALSE)</f>
        <v>0</v>
      </c>
      <c r="B509" t="str">
        <f t="shared" si="8"/>
        <v>BOP</v>
      </c>
      <c r="C509" s="2">
        <v>508</v>
      </c>
      <c r="D509" s="3" t="str">
        <f>HYPERLINK("https://sitebase.nzcomms.co.nz/spm/spmnominalview/BOP-022-004/","BOP-022-004")</f>
        <v>BOP-022-004</v>
      </c>
      <c r="E509" s="4" t="s">
        <v>1647</v>
      </c>
      <c r="F509" s="3" t="str">
        <f>HYPERLINK("https://sitebase.nzcomms.co.nz/spm/spmcandidateview/BOP-022-004-A/","BOP-022-004-A")</f>
        <v>BOP-022-004-A</v>
      </c>
      <c r="G509" s="4" t="s">
        <v>1648</v>
      </c>
      <c r="H509" s="4" t="s">
        <v>1632</v>
      </c>
      <c r="I509" s="4">
        <v>20</v>
      </c>
      <c r="J509" s="4" t="s">
        <v>1633</v>
      </c>
      <c r="K509" s="4" t="s">
        <v>141</v>
      </c>
      <c r="L509" s="4" t="s">
        <v>150</v>
      </c>
      <c r="M509" s="4" t="s">
        <v>190</v>
      </c>
      <c r="N509" s="4" t="s">
        <v>224</v>
      </c>
      <c r="O509" s="4" t="s">
        <v>356</v>
      </c>
      <c r="P509" s="4" t="s">
        <v>169</v>
      </c>
      <c r="Q509" s="4" t="s">
        <v>170</v>
      </c>
      <c r="R509" s="4">
        <v>13.5</v>
      </c>
      <c r="S509" s="4">
        <v>15</v>
      </c>
      <c r="T509" s="4">
        <v>1</v>
      </c>
      <c r="U509" s="4">
        <v>-37.768525670000002</v>
      </c>
      <c r="V509" s="4">
        <v>176.26158364</v>
      </c>
      <c r="W509" s="5">
        <v>40564</v>
      </c>
      <c r="X509" s="5">
        <v>40564</v>
      </c>
      <c r="Y509" s="5">
        <v>40564</v>
      </c>
      <c r="Z509" s="5">
        <v>40564</v>
      </c>
      <c r="AA509" s="4" t="s">
        <v>171</v>
      </c>
      <c r="AB509" s="3" t="str">
        <f>HYPERLINK("https://sitebase.nzcomms.co.nz/spm/spmcandidateview/BOP-022-007-A/","BOP-022-007-A")</f>
        <v>BOP-022-007-A</v>
      </c>
      <c r="AC509" s="4" t="b">
        <v>0</v>
      </c>
      <c r="AD509" s="4" t="b">
        <v>1</v>
      </c>
      <c r="AE509" s="5">
        <v>40561</v>
      </c>
      <c r="AF509" s="5">
        <v>40585</v>
      </c>
      <c r="AG509" s="4" t="b">
        <v>0</v>
      </c>
      <c r="AH509" s="4" t="s">
        <v>1649</v>
      </c>
      <c r="AI509" s="5">
        <v>40592</v>
      </c>
      <c r="AJ509" s="5">
        <v>40583</v>
      </c>
      <c r="AK509" s="5">
        <v>40592</v>
      </c>
      <c r="AL509" s="5">
        <v>40595</v>
      </c>
      <c r="AM509" s="5">
        <v>40606</v>
      </c>
      <c r="AN509" s="5">
        <v>40612</v>
      </c>
      <c r="AO509" s="4">
        <v>2</v>
      </c>
      <c r="AP509" s="5">
        <v>40606</v>
      </c>
      <c r="AQ509" s="5">
        <v>42159</v>
      </c>
      <c r="AR509" s="5">
        <v>40648</v>
      </c>
      <c r="AS509" s="5">
        <v>40633</v>
      </c>
      <c r="AT509" s="5">
        <v>40654</v>
      </c>
      <c r="AU509" s="5">
        <v>40648</v>
      </c>
      <c r="AV509" s="4"/>
      <c r="AW509" s="5">
        <v>40662</v>
      </c>
      <c r="AX509" s="5">
        <v>40659</v>
      </c>
      <c r="AY509" s="4" t="s">
        <v>183</v>
      </c>
      <c r="AZ509" s="5">
        <v>40651</v>
      </c>
      <c r="BA509" s="5">
        <v>40652</v>
      </c>
      <c r="BB509" s="5">
        <v>40687</v>
      </c>
      <c r="BC509" s="5">
        <v>40680</v>
      </c>
      <c r="BD509" s="4">
        <v>1</v>
      </c>
      <c r="BE509" s="5">
        <v>40694</v>
      </c>
      <c r="BF509" s="5">
        <v>40683</v>
      </c>
      <c r="BG509" s="4"/>
      <c r="BH509" s="4"/>
      <c r="BI509" s="5">
        <v>40785</v>
      </c>
      <c r="BJ509" s="5">
        <v>40788</v>
      </c>
      <c r="BK509" s="4">
        <v>1</v>
      </c>
      <c r="BL509" s="4"/>
      <c r="BM509" s="5">
        <v>40785</v>
      </c>
      <c r="BN509" s="5">
        <v>40788</v>
      </c>
      <c r="BO509" s="5">
        <v>40791</v>
      </c>
      <c r="BP509" s="4"/>
      <c r="BQ509" s="4"/>
      <c r="BR509" s="4"/>
      <c r="BS509" s="4"/>
      <c r="BT509" s="5">
        <v>40791</v>
      </c>
      <c r="BU509" s="5">
        <v>40791</v>
      </c>
      <c r="BV509" s="5">
        <v>40815</v>
      </c>
      <c r="BW509" s="5">
        <v>40816</v>
      </c>
      <c r="BX509" s="5">
        <v>40813</v>
      </c>
      <c r="BY509" s="5">
        <v>40821</v>
      </c>
      <c r="BZ509" s="5">
        <v>40827</v>
      </c>
      <c r="CA509" s="4"/>
      <c r="CB509" s="4"/>
      <c r="CC509" s="4"/>
      <c r="CD509" s="4"/>
      <c r="CE509" s="4"/>
      <c r="CF509" s="4"/>
      <c r="CG509" s="4"/>
      <c r="CH509" s="4"/>
      <c r="CI509" s="5">
        <v>40827</v>
      </c>
      <c r="CJ509" s="5">
        <v>40816</v>
      </c>
      <c r="CK509" s="5">
        <v>40830</v>
      </c>
      <c r="CL509" s="5">
        <v>40817</v>
      </c>
      <c r="CM509" s="5">
        <v>40849</v>
      </c>
      <c r="CN509" s="5">
        <v>40939</v>
      </c>
      <c r="CO509" s="5">
        <v>41033</v>
      </c>
      <c r="CP509" s="4" t="s">
        <v>1650</v>
      </c>
      <c r="CQ509" s="4"/>
      <c r="CR509" s="5">
        <v>40821</v>
      </c>
      <c r="CS509" s="5">
        <v>40787</v>
      </c>
      <c r="CT509" s="5">
        <v>40787</v>
      </c>
      <c r="CU509" s="5">
        <v>40791</v>
      </c>
      <c r="CV509" s="5">
        <v>40791</v>
      </c>
      <c r="CW509" s="5">
        <v>40791</v>
      </c>
      <c r="CX509" s="5">
        <v>40791</v>
      </c>
      <c r="CY509" s="5">
        <v>40816</v>
      </c>
      <c r="CZ509" s="5">
        <v>40816</v>
      </c>
      <c r="DA509" s="4"/>
      <c r="DB509" s="5">
        <v>40829</v>
      </c>
      <c r="DC509" s="4"/>
      <c r="DD509" s="4"/>
      <c r="DE509" s="4"/>
      <c r="DF509" s="4"/>
      <c r="DG509" s="4"/>
      <c r="DH509" s="4"/>
      <c r="DI509" s="5">
        <v>40813</v>
      </c>
      <c r="DJ509" s="4" t="b">
        <v>0</v>
      </c>
      <c r="DK509" s="4"/>
      <c r="DL509" s="4">
        <v>2797496</v>
      </c>
      <c r="DM509" s="4">
        <v>6376349</v>
      </c>
      <c r="DN509" s="4" t="s">
        <v>1651</v>
      </c>
      <c r="DO509" s="4"/>
      <c r="DP509" s="4" t="s">
        <v>1652</v>
      </c>
      <c r="DQ509" s="4" t="s">
        <v>148</v>
      </c>
      <c r="DR509" s="4"/>
      <c r="DS509" s="4"/>
      <c r="DT509" s="4"/>
      <c r="DU509" s="4"/>
      <c r="DV509" s="4"/>
      <c r="DW509" s="4"/>
      <c r="DX509" s="4"/>
      <c r="DY509" s="4"/>
      <c r="DZ509" s="4"/>
      <c r="EA509" s="4"/>
      <c r="EB509" s="4"/>
      <c r="EC509" s="4"/>
      <c r="ED509" s="4"/>
      <c r="EE509" s="4"/>
      <c r="EF509" s="4"/>
      <c r="EG509" s="5">
        <v>40835</v>
      </c>
      <c r="EH509" s="5">
        <v>40835</v>
      </c>
      <c r="EI509" s="5">
        <v>40595</v>
      </c>
    </row>
    <row r="510" spans="1:139" hidden="1" x14ac:dyDescent="0.2">
      <c r="A510">
        <f>VLOOKUP(B510,Sheet1!$A$1:$B$18,2,FALSE)</f>
        <v>0</v>
      </c>
      <c r="B510" t="str">
        <f t="shared" si="8"/>
        <v>BOP</v>
      </c>
      <c r="C510" s="2">
        <v>509</v>
      </c>
      <c r="D510" s="3" t="str">
        <f>HYPERLINK("https://sitebase.nzcomms.co.nz/spm/spmnominalview/BOP-022-005/","BOP-022-005")</f>
        <v>BOP-022-005</v>
      </c>
      <c r="E510" s="4"/>
      <c r="F510" s="4"/>
      <c r="G510" s="4"/>
      <c r="H510" s="4" t="s">
        <v>1632</v>
      </c>
      <c r="I510" s="4"/>
      <c r="J510" s="4" t="s">
        <v>196</v>
      </c>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row>
    <row r="511" spans="1:139" hidden="1" x14ac:dyDescent="0.2">
      <c r="A511">
        <f>VLOOKUP(B511,Sheet1!$A$1:$B$18,2,FALSE)</f>
        <v>0</v>
      </c>
      <c r="B511" t="str">
        <f t="shared" si="8"/>
        <v>BOP</v>
      </c>
      <c r="C511" s="2">
        <v>510</v>
      </c>
      <c r="D511" s="3" t="str">
        <f>HYPERLINK("https://sitebase.nzcomms.co.nz/spm/spmnominalview/BOP-022-007/","BOP-022-007")</f>
        <v>BOP-022-007</v>
      </c>
      <c r="E511" s="4" t="s">
        <v>1653</v>
      </c>
      <c r="F511" s="3" t="str">
        <f>HYPERLINK("https://sitebase.nzcomms.co.nz/spm/spmcandidateview/BOP-022-007-A/","BOP-022-007-A")</f>
        <v>BOP-022-007-A</v>
      </c>
      <c r="G511" s="4" t="s">
        <v>1654</v>
      </c>
      <c r="H511" s="4" t="s">
        <v>1632</v>
      </c>
      <c r="I511" s="4">
        <v>20</v>
      </c>
      <c r="J511" s="4" t="s">
        <v>1633</v>
      </c>
      <c r="K511" s="4" t="s">
        <v>141</v>
      </c>
      <c r="L511" s="4" t="s">
        <v>142</v>
      </c>
      <c r="M511" s="4" t="s">
        <v>190</v>
      </c>
      <c r="N511" s="4" t="s">
        <v>142</v>
      </c>
      <c r="O511" s="4" t="s">
        <v>144</v>
      </c>
      <c r="P511" s="4" t="s">
        <v>169</v>
      </c>
      <c r="Q511" s="4" t="s">
        <v>142</v>
      </c>
      <c r="R511" s="4">
        <v>13</v>
      </c>
      <c r="S511" s="4">
        <v>48.2</v>
      </c>
      <c r="T511" s="4">
        <v>1</v>
      </c>
      <c r="U511" s="4">
        <v>-37.730569840000001</v>
      </c>
      <c r="V511" s="4">
        <v>176.23770060000001</v>
      </c>
      <c r="W511" s="4"/>
      <c r="X511" s="5">
        <v>40164</v>
      </c>
      <c r="Y511" s="4"/>
      <c r="Z511" s="5">
        <v>40164</v>
      </c>
      <c r="AA511" s="4" t="s">
        <v>171</v>
      </c>
      <c r="AB511" s="3" t="str">
        <f>HYPERLINK("https://sitebase.nzcomms.co.nz/spm/spmcandidateview/BOP-023-004-A/","BOP-023-004-A")</f>
        <v>BOP-023-004-A</v>
      </c>
      <c r="AC511" s="4" t="b">
        <v>1</v>
      </c>
      <c r="AD511" s="4" t="b">
        <v>1</v>
      </c>
      <c r="AE511" s="5">
        <v>40238</v>
      </c>
      <c r="AF511" s="5">
        <v>40256</v>
      </c>
      <c r="AG511" s="4" t="b">
        <v>1</v>
      </c>
      <c r="AH511" s="4" t="s">
        <v>1655</v>
      </c>
      <c r="AI511" s="5">
        <v>40242</v>
      </c>
      <c r="AJ511" s="5">
        <v>40238</v>
      </c>
      <c r="AK511" s="4"/>
      <c r="AL511" s="4"/>
      <c r="AM511" s="5">
        <v>40277</v>
      </c>
      <c r="AN511" s="5">
        <v>40276</v>
      </c>
      <c r="AO511" s="4">
        <v>1</v>
      </c>
      <c r="AP511" s="5">
        <v>40277</v>
      </c>
      <c r="AQ511" s="5">
        <v>40276</v>
      </c>
      <c r="AR511" s="4"/>
      <c r="AS511" s="5">
        <v>40283</v>
      </c>
      <c r="AT511" s="5">
        <v>40284</v>
      </c>
      <c r="AU511" s="5">
        <v>40283</v>
      </c>
      <c r="AV511" s="4"/>
      <c r="AW511" s="5">
        <v>40291</v>
      </c>
      <c r="AX511" s="5">
        <v>40283</v>
      </c>
      <c r="AY511" s="4" t="s">
        <v>172</v>
      </c>
      <c r="AZ511" s="5">
        <v>40287</v>
      </c>
      <c r="BA511" s="5">
        <v>40283</v>
      </c>
      <c r="BB511" s="5">
        <v>40333</v>
      </c>
      <c r="BC511" s="5">
        <v>40324</v>
      </c>
      <c r="BD511" s="4">
        <v>1</v>
      </c>
      <c r="BE511" s="5">
        <v>40333</v>
      </c>
      <c r="BF511" s="5">
        <v>40324</v>
      </c>
      <c r="BG511" s="4"/>
      <c r="BH511" s="4"/>
      <c r="BI511" s="4"/>
      <c r="BJ511" s="5">
        <v>40725</v>
      </c>
      <c r="BK511" s="4">
        <v>1</v>
      </c>
      <c r="BL511" s="4"/>
      <c r="BM511" s="4"/>
      <c r="BN511" s="5">
        <v>40725</v>
      </c>
      <c r="BO511" s="5">
        <v>40737</v>
      </c>
      <c r="BP511" s="4"/>
      <c r="BQ511" s="4"/>
      <c r="BR511" s="4"/>
      <c r="BS511" s="4"/>
      <c r="BT511" s="5">
        <v>40721</v>
      </c>
      <c r="BU511" s="5">
        <v>40721</v>
      </c>
      <c r="BV511" s="5">
        <v>40732</v>
      </c>
      <c r="BW511" s="5">
        <v>40738</v>
      </c>
      <c r="BX511" s="5">
        <v>40738</v>
      </c>
      <c r="BY511" s="5">
        <v>40759</v>
      </c>
      <c r="BZ511" s="5">
        <v>40760</v>
      </c>
      <c r="CA511" s="4"/>
      <c r="CB511" s="4"/>
      <c r="CC511" s="4"/>
      <c r="CD511" s="4"/>
      <c r="CE511" s="4"/>
      <c r="CF511" s="4"/>
      <c r="CG511" s="4"/>
      <c r="CH511" s="4"/>
      <c r="CI511" s="5">
        <v>40760</v>
      </c>
      <c r="CJ511" s="5">
        <v>40777</v>
      </c>
      <c r="CK511" s="5">
        <v>40779</v>
      </c>
      <c r="CL511" s="5">
        <v>40777</v>
      </c>
      <c r="CM511" s="5">
        <v>40781</v>
      </c>
      <c r="CN511" s="5">
        <v>40871</v>
      </c>
      <c r="CO511" s="5">
        <v>41009</v>
      </c>
      <c r="CP511" s="4" t="s">
        <v>1656</v>
      </c>
      <c r="CQ511" s="4" t="s">
        <v>1657</v>
      </c>
      <c r="CR511" s="5">
        <v>40759</v>
      </c>
      <c r="CS511" s="5">
        <v>40714</v>
      </c>
      <c r="CT511" s="5">
        <v>40738</v>
      </c>
      <c r="CU511" s="5">
        <v>40728</v>
      </c>
      <c r="CV511" s="5">
        <v>40737</v>
      </c>
      <c r="CW511" s="5">
        <v>40728</v>
      </c>
      <c r="CX511" s="5">
        <v>40737</v>
      </c>
      <c r="CY511" s="5">
        <v>40732</v>
      </c>
      <c r="CZ511" s="5">
        <v>40743</v>
      </c>
      <c r="DA511" s="4"/>
      <c r="DB511" s="5">
        <v>40763</v>
      </c>
      <c r="DC511" s="4"/>
      <c r="DD511" s="4"/>
      <c r="DE511" s="4"/>
      <c r="DF511" s="4"/>
      <c r="DG511" s="4"/>
      <c r="DH511" s="4"/>
      <c r="DI511" s="5">
        <v>40738</v>
      </c>
      <c r="DJ511" s="4" t="b">
        <v>0</v>
      </c>
      <c r="DK511" s="4"/>
      <c r="DL511" s="4">
        <v>2795546</v>
      </c>
      <c r="DM511" s="4">
        <v>6380635</v>
      </c>
      <c r="DN511" s="4" t="s">
        <v>1658</v>
      </c>
      <c r="DO511" s="4"/>
      <c r="DP511" s="4"/>
      <c r="DQ511" s="4" t="s">
        <v>148</v>
      </c>
      <c r="DR511" s="4"/>
      <c r="DS511" s="4"/>
      <c r="DT511" s="5">
        <v>42290</v>
      </c>
      <c r="DU511" s="4"/>
      <c r="DV511" s="4"/>
      <c r="DW511" s="4"/>
      <c r="DX511" s="4"/>
      <c r="DY511" s="4"/>
      <c r="DZ511" s="4"/>
      <c r="EA511" s="4"/>
      <c r="EB511" s="4"/>
      <c r="EC511" s="4"/>
      <c r="ED511" s="4"/>
      <c r="EE511" s="4"/>
      <c r="EF511" s="4"/>
      <c r="EG511" s="5">
        <v>40763</v>
      </c>
      <c r="EH511" s="5">
        <v>40763</v>
      </c>
      <c r="EI511" s="5">
        <v>40242</v>
      </c>
    </row>
    <row r="512" spans="1:139" hidden="1" x14ac:dyDescent="0.2">
      <c r="A512">
        <f>VLOOKUP(B512,Sheet1!$A$1:$B$18,2,FALSE)</f>
        <v>0</v>
      </c>
      <c r="B512" t="str">
        <f t="shared" si="8"/>
        <v>BOP</v>
      </c>
      <c r="C512" s="2">
        <v>511</v>
      </c>
      <c r="D512" s="3" t="str">
        <f>HYPERLINK("https://sitebase.nzcomms.co.nz/spm/spmnominalview/BOP-022-008/","BOP-022-008")</f>
        <v>BOP-022-008</v>
      </c>
      <c r="E512" s="4"/>
      <c r="F512" s="4"/>
      <c r="G512" s="4"/>
      <c r="H512" s="4" t="s">
        <v>1632</v>
      </c>
      <c r="I512" s="4"/>
      <c r="J512" s="4" t="s">
        <v>196</v>
      </c>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row>
    <row r="513" spans="1:139" hidden="1" x14ac:dyDescent="0.2">
      <c r="A513">
        <f>VLOOKUP(B513,Sheet1!$A$1:$B$18,2,FALSE)</f>
        <v>0</v>
      </c>
      <c r="B513" t="str">
        <f t="shared" si="8"/>
        <v>BOP</v>
      </c>
      <c r="C513" s="2">
        <v>512</v>
      </c>
      <c r="D513" s="3" t="str">
        <f>HYPERLINK("https://sitebase.nzcomms.co.nz/spm/spmnominalview/BOP-022-010/","BOP-022-010")</f>
        <v>BOP-022-010</v>
      </c>
      <c r="E513" s="4"/>
      <c r="F513" s="4"/>
      <c r="G513" s="4"/>
      <c r="H513" s="4" t="s">
        <v>1632</v>
      </c>
      <c r="I513" s="4"/>
      <c r="J513" s="4" t="s">
        <v>196</v>
      </c>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row>
    <row r="514" spans="1:139" hidden="1" x14ac:dyDescent="0.2">
      <c r="A514">
        <f>VLOOKUP(B514,Sheet1!$A$1:$B$18,2,FALSE)</f>
        <v>0</v>
      </c>
      <c r="B514" t="str">
        <f t="shared" si="8"/>
        <v>BOP</v>
      </c>
      <c r="C514" s="2">
        <v>513</v>
      </c>
      <c r="D514" s="3" t="str">
        <f>HYPERLINK("https://sitebase.nzcomms.co.nz/spm/spmnominalview/BOP-022-011/","BOP-022-011")</f>
        <v>BOP-022-011</v>
      </c>
      <c r="E514" s="4"/>
      <c r="F514" s="4"/>
      <c r="G514" s="4"/>
      <c r="H514" s="4" t="s">
        <v>1632</v>
      </c>
      <c r="I514" s="4"/>
      <c r="J514" s="4" t="s">
        <v>196</v>
      </c>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row>
    <row r="515" spans="1:139" hidden="1" x14ac:dyDescent="0.2">
      <c r="A515">
        <f>VLOOKUP(B515,Sheet1!$A$1:$B$18,2,FALSE)</f>
        <v>0</v>
      </c>
      <c r="B515" t="str">
        <f t="shared" ref="B515:B578" si="9">LEFT(D515,3)</f>
        <v>BOP</v>
      </c>
      <c r="C515" s="2">
        <v>514</v>
      </c>
      <c r="D515" s="3" t="str">
        <f>HYPERLINK("https://sitebase.nzcomms.co.nz/spm/spmnominalview/BOP-022-012/","BOP-022-012")</f>
        <v>BOP-022-012</v>
      </c>
      <c r="E515" s="4"/>
      <c r="F515" s="4"/>
      <c r="G515" s="4"/>
      <c r="H515" s="4" t="s">
        <v>1632</v>
      </c>
      <c r="I515" s="4"/>
      <c r="J515" s="4" t="s">
        <v>196</v>
      </c>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row>
    <row r="516" spans="1:139" hidden="1" x14ac:dyDescent="0.2">
      <c r="A516">
        <f>VLOOKUP(B516,Sheet1!$A$1:$B$18,2,FALSE)</f>
        <v>0</v>
      </c>
      <c r="B516" t="str">
        <f t="shared" si="9"/>
        <v>BOP</v>
      </c>
      <c r="C516" s="2">
        <v>515</v>
      </c>
      <c r="D516" s="3" t="str">
        <f>HYPERLINK("https://sitebase.nzcomms.co.nz/spm/spmnominalview/BOP-022-013/","BOP-022-013")</f>
        <v>BOP-022-013</v>
      </c>
      <c r="E516" s="4"/>
      <c r="F516" s="4"/>
      <c r="G516" s="4"/>
      <c r="H516" s="4" t="s">
        <v>1632</v>
      </c>
      <c r="I516" s="4"/>
      <c r="J516" s="4" t="s">
        <v>196</v>
      </c>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row>
    <row r="517" spans="1:139" hidden="1" x14ac:dyDescent="0.2">
      <c r="A517">
        <f>VLOOKUP(B517,Sheet1!$A$1:$B$18,2,FALSE)</f>
        <v>0</v>
      </c>
      <c r="B517" t="str">
        <f t="shared" si="9"/>
        <v>BOP</v>
      </c>
      <c r="C517" s="2">
        <v>516</v>
      </c>
      <c r="D517" s="3" t="str">
        <f>HYPERLINK("https://sitebase.nzcomms.co.nz/spm/spmnominalview/BOP-022-014/","BOP-022-014")</f>
        <v>BOP-022-014</v>
      </c>
      <c r="E517" s="4"/>
      <c r="F517" s="4"/>
      <c r="G517" s="4"/>
      <c r="H517" s="4" t="s">
        <v>1632</v>
      </c>
      <c r="I517" s="4"/>
      <c r="J517" s="4" t="s">
        <v>196</v>
      </c>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row>
    <row r="518" spans="1:139" hidden="1" x14ac:dyDescent="0.2">
      <c r="A518">
        <f>VLOOKUP(B518,Sheet1!$A$1:$B$18,2,FALSE)</f>
        <v>0</v>
      </c>
      <c r="B518" t="str">
        <f t="shared" si="9"/>
        <v>BOP</v>
      </c>
      <c r="C518" s="2">
        <v>517</v>
      </c>
      <c r="D518" s="3" t="str">
        <f>HYPERLINK("https://sitebase.nzcomms.co.nz/spm/spmnominalview/BOP-022-015/","BOP-022-015")</f>
        <v>BOP-022-015</v>
      </c>
      <c r="E518" s="4"/>
      <c r="F518" s="4"/>
      <c r="G518" s="4"/>
      <c r="H518" s="4" t="s">
        <v>1632</v>
      </c>
      <c r="I518" s="4"/>
      <c r="J518" s="4" t="s">
        <v>196</v>
      </c>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row>
    <row r="519" spans="1:139" hidden="1" x14ac:dyDescent="0.2">
      <c r="A519">
        <f>VLOOKUP(B519,Sheet1!$A$1:$B$18,2,FALSE)</f>
        <v>0</v>
      </c>
      <c r="B519" t="str">
        <f t="shared" si="9"/>
        <v>BOP</v>
      </c>
      <c r="C519" s="2">
        <v>518</v>
      </c>
      <c r="D519" s="3" t="str">
        <f>HYPERLINK("https://sitebase.nzcomms.co.nz/spm/spmnominalview/BOP-022-016/","BOP-022-016")</f>
        <v>BOP-022-016</v>
      </c>
      <c r="E519" s="4"/>
      <c r="F519" s="4"/>
      <c r="G519" s="4"/>
      <c r="H519" s="4" t="s">
        <v>1632</v>
      </c>
      <c r="I519" s="4"/>
      <c r="J519" s="4" t="s">
        <v>196</v>
      </c>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row>
    <row r="520" spans="1:139" hidden="1" x14ac:dyDescent="0.2">
      <c r="A520">
        <f>VLOOKUP(B520,Sheet1!$A$1:$B$18,2,FALSE)</f>
        <v>0</v>
      </c>
      <c r="B520" t="str">
        <f t="shared" si="9"/>
        <v>BOP</v>
      </c>
      <c r="C520" s="2">
        <v>519</v>
      </c>
      <c r="D520" s="3" t="str">
        <f>HYPERLINK("https://sitebase.nzcomms.co.nz/spm/spmnominalview/BOP-022-017/","BOP-022-017")</f>
        <v>BOP-022-017</v>
      </c>
      <c r="E520" s="4"/>
      <c r="F520" s="4"/>
      <c r="G520" s="4"/>
      <c r="H520" s="4" t="s">
        <v>1632</v>
      </c>
      <c r="I520" s="4"/>
      <c r="J520" s="4" t="s">
        <v>196</v>
      </c>
      <c r="K520" s="4"/>
      <c r="L520" s="4"/>
      <c r="M520" s="4"/>
      <c r="N520" s="4"/>
      <c r="O520" s="4"/>
      <c r="P520" s="4"/>
      <c r="Q520" s="4"/>
      <c r="R520" s="4"/>
      <c r="S520" s="4"/>
      <c r="T520" s="4"/>
      <c r="U520" s="4"/>
      <c r="V520" s="4"/>
      <c r="W520" s="4"/>
      <c r="X520" s="4"/>
      <c r="Y520" s="4"/>
      <c r="Z520" s="4"/>
      <c r="AA520" s="4"/>
      <c r="AB520" s="4"/>
      <c r="AC520" s="4"/>
      <c r="AD520" s="4"/>
      <c r="AE520" s="4"/>
      <c r="AF520" s="4"/>
      <c r="AG520" s="4" t="b">
        <v>0</v>
      </c>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row>
    <row r="521" spans="1:139" hidden="1" x14ac:dyDescent="0.2">
      <c r="A521">
        <f>VLOOKUP(B521,Sheet1!$A$1:$B$18,2,FALSE)</f>
        <v>0</v>
      </c>
      <c r="B521" t="str">
        <f t="shared" si="9"/>
        <v>BOP</v>
      </c>
      <c r="C521" s="2">
        <v>520</v>
      </c>
      <c r="D521" s="3" t="str">
        <f>HYPERLINK("https://sitebase.nzcomms.co.nz/spm/spmnominalview/BOP-022-018/","BOP-022-018")</f>
        <v>BOP-022-018</v>
      </c>
      <c r="E521" s="4"/>
      <c r="F521" s="4"/>
      <c r="G521" s="4"/>
      <c r="H521" s="4" t="s">
        <v>1632</v>
      </c>
      <c r="I521" s="4"/>
      <c r="J521" s="4" t="s">
        <v>196</v>
      </c>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row>
    <row r="522" spans="1:139" hidden="1" x14ac:dyDescent="0.2">
      <c r="A522">
        <f>VLOOKUP(B522,Sheet1!$A$1:$B$18,2,FALSE)</f>
        <v>0</v>
      </c>
      <c r="B522" t="str">
        <f t="shared" si="9"/>
        <v>BOP</v>
      </c>
      <c r="C522" s="2">
        <v>521</v>
      </c>
      <c r="D522" s="3" t="str">
        <f>HYPERLINK("https://sitebase.nzcomms.co.nz/spm/spmnominalview/BOP-022-019/","BOP-022-019")</f>
        <v>BOP-022-019</v>
      </c>
      <c r="E522" s="4" t="s">
        <v>1659</v>
      </c>
      <c r="F522" s="3" t="str">
        <f>HYPERLINK("https://sitebase.nzcomms.co.nz/spm/spmcandidateview/BOP-022-019-A/","BOP-022-019-A")</f>
        <v>BOP-022-019-A</v>
      </c>
      <c r="G522" s="4" t="s">
        <v>1660</v>
      </c>
      <c r="H522" s="4" t="s">
        <v>1632</v>
      </c>
      <c r="I522" s="4">
        <v>20</v>
      </c>
      <c r="J522" s="4" t="s">
        <v>1633</v>
      </c>
      <c r="K522" s="4" t="s">
        <v>141</v>
      </c>
      <c r="L522" s="4" t="s">
        <v>150</v>
      </c>
      <c r="M522" s="4" t="s">
        <v>190</v>
      </c>
      <c r="N522" s="4" t="s">
        <v>1661</v>
      </c>
      <c r="O522" s="4" t="s">
        <v>144</v>
      </c>
      <c r="P522" s="4" t="s">
        <v>169</v>
      </c>
      <c r="Q522" s="4" t="s">
        <v>170</v>
      </c>
      <c r="R522" s="4">
        <v>13</v>
      </c>
      <c r="S522" s="4">
        <v>14</v>
      </c>
      <c r="T522" s="4">
        <v>1</v>
      </c>
      <c r="U522" s="4">
        <v>-37.710137889999999</v>
      </c>
      <c r="V522" s="4">
        <v>176.04793895</v>
      </c>
      <c r="W522" s="4"/>
      <c r="X522" s="5">
        <v>40164</v>
      </c>
      <c r="Y522" s="4"/>
      <c r="Z522" s="5">
        <v>40164</v>
      </c>
      <c r="AA522" s="4" t="s">
        <v>171</v>
      </c>
      <c r="AB522" s="3" t="str">
        <f>HYPERLINK("https://sitebase.nzcomms.co.nz/spm/spmcandidateview/BOP-023-004-A/","BOP-023-004-A")</f>
        <v>BOP-023-004-A</v>
      </c>
      <c r="AC522" s="4" t="b">
        <v>1</v>
      </c>
      <c r="AD522" s="4" t="b">
        <v>1</v>
      </c>
      <c r="AE522" s="5">
        <v>40213</v>
      </c>
      <c r="AF522" s="5">
        <v>40211</v>
      </c>
      <c r="AG522" s="4" t="b">
        <v>1</v>
      </c>
      <c r="AH522" s="4" t="s">
        <v>1655</v>
      </c>
      <c r="AI522" s="5">
        <v>40221</v>
      </c>
      <c r="AJ522" s="5">
        <v>40219</v>
      </c>
      <c r="AK522" s="4"/>
      <c r="AL522" s="5">
        <v>40219</v>
      </c>
      <c r="AM522" s="5">
        <v>40235</v>
      </c>
      <c r="AN522" s="5">
        <v>40239</v>
      </c>
      <c r="AO522" s="4">
        <v>3</v>
      </c>
      <c r="AP522" s="5">
        <v>40235</v>
      </c>
      <c r="AQ522" s="5">
        <v>41971</v>
      </c>
      <c r="AR522" s="5">
        <v>40298</v>
      </c>
      <c r="AS522" s="5">
        <v>40291</v>
      </c>
      <c r="AT522" s="5">
        <v>40305</v>
      </c>
      <c r="AU522" s="5">
        <v>40304</v>
      </c>
      <c r="AV522" s="4"/>
      <c r="AW522" s="5">
        <v>40340</v>
      </c>
      <c r="AX522" s="5">
        <v>40339</v>
      </c>
      <c r="AY522" s="4" t="s">
        <v>183</v>
      </c>
      <c r="AZ522" s="5">
        <v>40256</v>
      </c>
      <c r="BA522" s="5">
        <v>40248</v>
      </c>
      <c r="BB522" s="5">
        <v>40319</v>
      </c>
      <c r="BC522" s="5">
        <v>40284</v>
      </c>
      <c r="BD522" s="4">
        <v>1</v>
      </c>
      <c r="BE522" s="5">
        <v>40340</v>
      </c>
      <c r="BF522" s="5">
        <v>40347</v>
      </c>
      <c r="BG522" s="4"/>
      <c r="BH522" s="4"/>
      <c r="BI522" s="5">
        <v>40681</v>
      </c>
      <c r="BJ522" s="5">
        <v>40690</v>
      </c>
      <c r="BK522" s="4">
        <v>1</v>
      </c>
      <c r="BL522" s="4"/>
      <c r="BM522" s="5">
        <v>40681</v>
      </c>
      <c r="BN522" s="5">
        <v>40690</v>
      </c>
      <c r="BO522" s="5">
        <v>40744</v>
      </c>
      <c r="BP522" s="4"/>
      <c r="BQ522" s="4"/>
      <c r="BR522" s="4"/>
      <c r="BS522" s="4"/>
      <c r="BT522" s="5">
        <v>40694</v>
      </c>
      <c r="BU522" s="5">
        <v>40696</v>
      </c>
      <c r="BV522" s="5">
        <v>40732</v>
      </c>
      <c r="BW522" s="5">
        <v>40732</v>
      </c>
      <c r="BX522" s="5">
        <v>40737</v>
      </c>
      <c r="BY522" s="5">
        <v>40742</v>
      </c>
      <c r="BZ522" s="5">
        <v>40750</v>
      </c>
      <c r="CA522" s="4"/>
      <c r="CB522" s="4"/>
      <c r="CC522" s="4"/>
      <c r="CD522" s="4"/>
      <c r="CE522" s="4"/>
      <c r="CF522" s="4"/>
      <c r="CG522" s="4"/>
      <c r="CH522" s="4"/>
      <c r="CI522" s="5">
        <v>40750</v>
      </c>
      <c r="CJ522" s="5">
        <v>40770</v>
      </c>
      <c r="CK522" s="5">
        <v>40779</v>
      </c>
      <c r="CL522" s="5">
        <v>40770</v>
      </c>
      <c r="CM522" s="5">
        <v>40770</v>
      </c>
      <c r="CN522" s="5">
        <v>40861</v>
      </c>
      <c r="CO522" s="5">
        <v>41029</v>
      </c>
      <c r="CP522" s="4" t="s">
        <v>1662</v>
      </c>
      <c r="CQ522" s="4"/>
      <c r="CR522" s="5">
        <v>40756</v>
      </c>
      <c r="CS522" s="4"/>
      <c r="CT522" s="5">
        <v>40647</v>
      </c>
      <c r="CU522" s="5">
        <v>40700</v>
      </c>
      <c r="CV522" s="5">
        <v>40724</v>
      </c>
      <c r="CW522" s="5">
        <v>40742</v>
      </c>
      <c r="CX522" s="5">
        <v>40744</v>
      </c>
      <c r="CY522" s="5">
        <v>40744</v>
      </c>
      <c r="CZ522" s="5">
        <v>40744</v>
      </c>
      <c r="DA522" s="4"/>
      <c r="DB522" s="5">
        <v>40758</v>
      </c>
      <c r="DC522" s="4"/>
      <c r="DD522" s="4"/>
      <c r="DE522" s="4"/>
      <c r="DF522" s="4"/>
      <c r="DG522" s="4"/>
      <c r="DH522" s="4"/>
      <c r="DI522" s="5">
        <v>40737</v>
      </c>
      <c r="DJ522" s="4" t="b">
        <v>0</v>
      </c>
      <c r="DK522" s="4"/>
      <c r="DL522" s="4">
        <v>2778908</v>
      </c>
      <c r="DM522" s="4">
        <v>6383490</v>
      </c>
      <c r="DN522" s="4" t="s">
        <v>1663</v>
      </c>
      <c r="DO522" s="4"/>
      <c r="DP522" s="4"/>
      <c r="DQ522" s="4" t="s">
        <v>148</v>
      </c>
      <c r="DR522" s="4"/>
      <c r="DS522" s="4"/>
      <c r="DT522" s="5">
        <v>42151</v>
      </c>
      <c r="DU522" s="4"/>
      <c r="DV522" s="4"/>
      <c r="DW522" s="4"/>
      <c r="DX522" s="4"/>
      <c r="DY522" s="4"/>
      <c r="DZ522" s="4"/>
      <c r="EA522" s="4"/>
      <c r="EB522" s="4"/>
      <c r="EC522" s="4"/>
      <c r="ED522" s="4"/>
      <c r="EE522" s="4"/>
      <c r="EF522" s="4"/>
      <c r="EG522" s="5">
        <v>40727</v>
      </c>
      <c r="EH522" s="5">
        <v>40758</v>
      </c>
      <c r="EI522" s="5">
        <v>40219</v>
      </c>
    </row>
    <row r="523" spans="1:139" hidden="1" x14ac:dyDescent="0.2">
      <c r="A523">
        <f>VLOOKUP(B523,Sheet1!$A$1:$B$18,2,FALSE)</f>
        <v>0</v>
      </c>
      <c r="B523" t="str">
        <f t="shared" si="9"/>
        <v>BOP</v>
      </c>
      <c r="C523" s="2">
        <v>522</v>
      </c>
      <c r="D523" s="3" t="str">
        <f>HYPERLINK("https://sitebase.nzcomms.co.nz/spm/spmnominalview/BOP-022-020/","BOP-022-020")</f>
        <v>BOP-022-020</v>
      </c>
      <c r="E523" s="4" t="s">
        <v>1664</v>
      </c>
      <c r="F523" s="3" t="str">
        <f>HYPERLINK("https://sitebase.nzcomms.co.nz/spm/spmcandidateview/BOP-022-020-A/","BOP-022-020-A")</f>
        <v>BOP-022-020-A</v>
      </c>
      <c r="G523" s="4" t="s">
        <v>1665</v>
      </c>
      <c r="H523" s="4" t="s">
        <v>1632</v>
      </c>
      <c r="I523" s="4">
        <v>20</v>
      </c>
      <c r="J523" s="4" t="s">
        <v>1633</v>
      </c>
      <c r="K523" s="4" t="s">
        <v>141</v>
      </c>
      <c r="L523" s="4" t="s">
        <v>150</v>
      </c>
      <c r="M523" s="4" t="s">
        <v>190</v>
      </c>
      <c r="N523" s="4" t="s">
        <v>156</v>
      </c>
      <c r="O523" s="4" t="s">
        <v>356</v>
      </c>
      <c r="P523" s="4" t="s">
        <v>169</v>
      </c>
      <c r="Q523" s="4" t="s">
        <v>192</v>
      </c>
      <c r="R523" s="4">
        <v>18.5</v>
      </c>
      <c r="S523" s="4">
        <v>19</v>
      </c>
      <c r="T523" s="4">
        <v>1</v>
      </c>
      <c r="U523" s="4">
        <v>-37.727911919999997</v>
      </c>
      <c r="V523" s="4">
        <v>176.0883901</v>
      </c>
      <c r="W523" s="5">
        <v>40353</v>
      </c>
      <c r="X523" s="4"/>
      <c r="Y523" s="5">
        <v>40353</v>
      </c>
      <c r="Z523" s="5">
        <v>40353</v>
      </c>
      <c r="AA523" s="4" t="s">
        <v>171</v>
      </c>
      <c r="AB523" s="3" t="str">
        <f>HYPERLINK("https://sitebase.nzcomms.co.nz/spm/spmcandidateview/BOP-022-007-A/","BOP-022-007-A")</f>
        <v>BOP-022-007-A</v>
      </c>
      <c r="AC523" s="4" t="b">
        <v>1</v>
      </c>
      <c r="AD523" s="4" t="b">
        <v>1</v>
      </c>
      <c r="AE523" s="5">
        <v>40358</v>
      </c>
      <c r="AF523" s="5">
        <v>40358</v>
      </c>
      <c r="AG523" s="4" t="b">
        <v>1</v>
      </c>
      <c r="AH523" s="4" t="s">
        <v>1666</v>
      </c>
      <c r="AI523" s="5">
        <v>40358</v>
      </c>
      <c r="AJ523" s="5">
        <v>40358</v>
      </c>
      <c r="AK523" s="4"/>
      <c r="AL523" s="5">
        <v>40358</v>
      </c>
      <c r="AM523" s="5">
        <v>40367</v>
      </c>
      <c r="AN523" s="5">
        <v>40379</v>
      </c>
      <c r="AO523" s="4">
        <v>1</v>
      </c>
      <c r="AP523" s="5">
        <v>40367</v>
      </c>
      <c r="AQ523" s="5">
        <v>40379</v>
      </c>
      <c r="AR523" s="5">
        <v>40403</v>
      </c>
      <c r="AS523" s="5">
        <v>40400</v>
      </c>
      <c r="AT523" s="5">
        <v>40427</v>
      </c>
      <c r="AU523" s="5">
        <v>40424</v>
      </c>
      <c r="AV523" s="4"/>
      <c r="AW523" s="5">
        <v>40427</v>
      </c>
      <c r="AX523" s="5">
        <v>40424</v>
      </c>
      <c r="AY523" s="4" t="s">
        <v>172</v>
      </c>
      <c r="AZ523" s="5">
        <v>40373</v>
      </c>
      <c r="BA523" s="5">
        <v>40374</v>
      </c>
      <c r="BB523" s="5">
        <v>40410</v>
      </c>
      <c r="BC523" s="5">
        <v>40413</v>
      </c>
      <c r="BD523" s="4">
        <v>1</v>
      </c>
      <c r="BE523" s="5">
        <v>40421</v>
      </c>
      <c r="BF523" s="5">
        <v>40417</v>
      </c>
      <c r="BG523" s="4"/>
      <c r="BH523" s="4"/>
      <c r="BI523" s="5">
        <v>40718</v>
      </c>
      <c r="BJ523" s="5">
        <v>40729</v>
      </c>
      <c r="BK523" s="4">
        <v>2</v>
      </c>
      <c r="BL523" s="4"/>
      <c r="BM523" s="5">
        <v>40718</v>
      </c>
      <c r="BN523" s="5">
        <v>40882</v>
      </c>
      <c r="BO523" s="5">
        <v>40919</v>
      </c>
      <c r="BP523" s="4"/>
      <c r="BQ523" s="4"/>
      <c r="BR523" s="4"/>
      <c r="BS523" s="4"/>
      <c r="BT523" s="5">
        <v>40861</v>
      </c>
      <c r="BU523" s="5">
        <v>40869</v>
      </c>
      <c r="BV523" s="5">
        <v>40935</v>
      </c>
      <c r="BW523" s="5">
        <v>40932</v>
      </c>
      <c r="BX523" s="5">
        <v>40920</v>
      </c>
      <c r="BY523" s="5">
        <v>40935</v>
      </c>
      <c r="BZ523" s="5">
        <v>40941</v>
      </c>
      <c r="CA523" s="4"/>
      <c r="CB523" s="4"/>
      <c r="CC523" s="4"/>
      <c r="CD523" s="4"/>
      <c r="CE523" s="4"/>
      <c r="CF523" s="4"/>
      <c r="CG523" s="4"/>
      <c r="CH523" s="4"/>
      <c r="CI523" s="5">
        <v>40941</v>
      </c>
      <c r="CJ523" s="5">
        <v>40956</v>
      </c>
      <c r="CK523" s="5">
        <v>40954</v>
      </c>
      <c r="CL523" s="5">
        <v>40963</v>
      </c>
      <c r="CM523" s="5">
        <v>40956</v>
      </c>
      <c r="CN523" s="5">
        <v>41422</v>
      </c>
      <c r="CO523" s="5">
        <v>41425</v>
      </c>
      <c r="CP523" s="4" t="s">
        <v>1667</v>
      </c>
      <c r="CQ523" s="4"/>
      <c r="CR523" s="5">
        <v>40941</v>
      </c>
      <c r="CS523" s="5">
        <v>40714</v>
      </c>
      <c r="CT523" s="5">
        <v>40714</v>
      </c>
      <c r="CU523" s="5">
        <v>40878</v>
      </c>
      <c r="CV523" s="5">
        <v>40873</v>
      </c>
      <c r="CW523" s="5">
        <v>40862</v>
      </c>
      <c r="CX523" s="5">
        <v>40919</v>
      </c>
      <c r="CY523" s="5">
        <v>40927</v>
      </c>
      <c r="CZ523" s="5">
        <v>40927</v>
      </c>
      <c r="DA523" s="4"/>
      <c r="DB523" s="5">
        <v>40952</v>
      </c>
      <c r="DC523" s="4"/>
      <c r="DD523" s="4"/>
      <c r="DE523" s="4"/>
      <c r="DF523" s="4"/>
      <c r="DG523" s="4"/>
      <c r="DH523" s="4" t="s">
        <v>174</v>
      </c>
      <c r="DI523" s="5">
        <v>40920</v>
      </c>
      <c r="DJ523" s="4" t="b">
        <v>0</v>
      </c>
      <c r="DK523" s="4"/>
      <c r="DL523" s="4">
        <v>2782404</v>
      </c>
      <c r="DM523" s="4">
        <v>6381396</v>
      </c>
      <c r="DN523" s="4" t="s">
        <v>1668</v>
      </c>
      <c r="DO523" s="4"/>
      <c r="DP523" s="4"/>
      <c r="DQ523" s="4" t="s">
        <v>148</v>
      </c>
      <c r="DR523" s="4"/>
      <c r="DS523" s="4"/>
      <c r="DT523" s="5">
        <v>42151</v>
      </c>
      <c r="DU523" s="4"/>
      <c r="DV523" s="4"/>
      <c r="DW523" s="4"/>
      <c r="DX523" s="4"/>
      <c r="DY523" s="4"/>
      <c r="DZ523" s="4"/>
      <c r="EA523" s="4"/>
      <c r="EB523" s="4"/>
      <c r="EC523" s="4"/>
      <c r="ED523" s="4"/>
      <c r="EE523" s="4"/>
      <c r="EF523" s="4"/>
      <c r="EG523" s="5">
        <v>40952</v>
      </c>
      <c r="EH523" s="5">
        <v>40952</v>
      </c>
      <c r="EI523" s="5">
        <v>40358</v>
      </c>
    </row>
    <row r="524" spans="1:139" hidden="1" x14ac:dyDescent="0.2">
      <c r="A524">
        <f>VLOOKUP(B524,Sheet1!$A$1:$B$18,2,FALSE)</f>
        <v>0</v>
      </c>
      <c r="B524" t="str">
        <f t="shared" si="9"/>
        <v>BOP</v>
      </c>
      <c r="C524" s="2">
        <v>523</v>
      </c>
      <c r="D524" s="3" t="str">
        <f>HYPERLINK("https://sitebase.nzcomms.co.nz/spm/spmnominalview/BOP-022-021/","BOP-022-021")</f>
        <v>BOP-022-021</v>
      </c>
      <c r="E524" s="4" t="s">
        <v>1669</v>
      </c>
      <c r="F524" s="3" t="str">
        <f>HYPERLINK("https://sitebase.nzcomms.co.nz/spm/spmcandidateview/BOP-022-021-A/","BOP-022-021-A")</f>
        <v>BOP-022-021-A</v>
      </c>
      <c r="G524" s="4" t="s">
        <v>1670</v>
      </c>
      <c r="H524" s="4" t="s">
        <v>1632</v>
      </c>
      <c r="I524" s="4">
        <v>2</v>
      </c>
      <c r="J524" s="4" t="s">
        <v>180</v>
      </c>
      <c r="K524" s="4" t="s">
        <v>141</v>
      </c>
      <c r="L524" s="4" t="s">
        <v>150</v>
      </c>
      <c r="M524" s="4" t="s">
        <v>190</v>
      </c>
      <c r="N524" s="4" t="s">
        <v>224</v>
      </c>
      <c r="O524" s="4"/>
      <c r="P524" s="4" t="s">
        <v>169</v>
      </c>
      <c r="Q524" s="4" t="s">
        <v>170</v>
      </c>
      <c r="R524" s="4">
        <v>14.2</v>
      </c>
      <c r="S524" s="4">
        <v>15</v>
      </c>
      <c r="T524" s="4">
        <v>1</v>
      </c>
      <c r="U524" s="4">
        <v>-37.404514310000003</v>
      </c>
      <c r="V524" s="4">
        <v>175.92991136000001</v>
      </c>
      <c r="W524" s="4"/>
      <c r="X524" s="4"/>
      <c r="Y524" s="4"/>
      <c r="Z524" s="4"/>
      <c r="AA524" s="4" t="s">
        <v>145</v>
      </c>
      <c r="AB524" s="4"/>
      <c r="AC524" s="4" t="b">
        <v>0</v>
      </c>
      <c r="AD524" s="4" t="b">
        <v>0</v>
      </c>
      <c r="AE524" s="4"/>
      <c r="AF524" s="4"/>
      <c r="AG524" s="4" t="b">
        <v>0</v>
      </c>
      <c r="AH524" s="4"/>
      <c r="AI524" s="5">
        <v>40962</v>
      </c>
      <c r="AJ524" s="5">
        <v>40960</v>
      </c>
      <c r="AK524" s="5">
        <v>40966</v>
      </c>
      <c r="AL524" s="5">
        <v>40961</v>
      </c>
      <c r="AM524" s="5">
        <v>40994</v>
      </c>
      <c r="AN524" s="5">
        <v>40997</v>
      </c>
      <c r="AO524" s="4">
        <v>2</v>
      </c>
      <c r="AP524" s="5">
        <v>40994</v>
      </c>
      <c r="AQ524" s="5">
        <v>41011</v>
      </c>
      <c r="AR524" s="5">
        <v>41011</v>
      </c>
      <c r="AS524" s="5">
        <v>41003</v>
      </c>
      <c r="AT524" s="5">
        <v>41054</v>
      </c>
      <c r="AU524" s="5">
        <v>41043</v>
      </c>
      <c r="AV524" s="4"/>
      <c r="AW524" s="5">
        <v>41100</v>
      </c>
      <c r="AX524" s="5">
        <v>41129</v>
      </c>
      <c r="AY524" s="4" t="s">
        <v>172</v>
      </c>
      <c r="AZ524" s="5">
        <v>41022</v>
      </c>
      <c r="BA524" s="5">
        <v>41043</v>
      </c>
      <c r="BB524" s="5">
        <v>41085</v>
      </c>
      <c r="BC524" s="5">
        <v>41046</v>
      </c>
      <c r="BD524" s="4">
        <v>2</v>
      </c>
      <c r="BE524" s="5">
        <v>41088</v>
      </c>
      <c r="BF524" s="5">
        <v>41046</v>
      </c>
      <c r="BG524" s="5">
        <v>41099</v>
      </c>
      <c r="BH524" s="5">
        <v>41099</v>
      </c>
      <c r="BI524" s="5">
        <v>41124</v>
      </c>
      <c r="BJ524" s="5">
        <v>41130</v>
      </c>
      <c r="BK524" s="4">
        <v>1</v>
      </c>
      <c r="BL524" s="4"/>
      <c r="BM524" s="5">
        <v>41124</v>
      </c>
      <c r="BN524" s="5">
        <v>41130</v>
      </c>
      <c r="BO524" s="5">
        <v>41151</v>
      </c>
      <c r="BP524" s="4"/>
      <c r="BQ524" s="4"/>
      <c r="BR524" s="4"/>
      <c r="BS524" s="4"/>
      <c r="BT524" s="5">
        <v>41141</v>
      </c>
      <c r="BU524" s="5">
        <v>41142</v>
      </c>
      <c r="BV524" s="5">
        <v>41159</v>
      </c>
      <c r="BW524" s="5">
        <v>41159</v>
      </c>
      <c r="BX524" s="5">
        <v>41156</v>
      </c>
      <c r="BY524" s="5">
        <v>41163</v>
      </c>
      <c r="BZ524" s="5">
        <v>41163</v>
      </c>
      <c r="CA524" s="5">
        <v>41162</v>
      </c>
      <c r="CB524" s="5">
        <v>41172</v>
      </c>
      <c r="CC524" s="4"/>
      <c r="CD524" s="4"/>
      <c r="CE524" s="4"/>
      <c r="CF524" s="4"/>
      <c r="CG524" s="4"/>
      <c r="CH524" s="4"/>
      <c r="CI524" s="5">
        <v>41171</v>
      </c>
      <c r="CJ524" s="5">
        <v>41187</v>
      </c>
      <c r="CK524" s="5">
        <v>41179</v>
      </c>
      <c r="CL524" s="5">
        <v>41200</v>
      </c>
      <c r="CM524" s="5">
        <v>41190</v>
      </c>
      <c r="CN524" s="5">
        <v>41390</v>
      </c>
      <c r="CO524" s="5">
        <v>41387</v>
      </c>
      <c r="CP524" s="4" t="s">
        <v>1671</v>
      </c>
      <c r="CQ524" s="4"/>
      <c r="CR524" s="5">
        <v>41171</v>
      </c>
      <c r="CS524" s="5">
        <v>41092</v>
      </c>
      <c r="CT524" s="5">
        <v>41092</v>
      </c>
      <c r="CU524" s="5">
        <v>41151</v>
      </c>
      <c r="CV524" s="5">
        <v>41151</v>
      </c>
      <c r="CW524" s="5">
        <v>41144</v>
      </c>
      <c r="CX524" s="5">
        <v>41151</v>
      </c>
      <c r="CY524" s="5">
        <v>41159</v>
      </c>
      <c r="CZ524" s="5">
        <v>41159</v>
      </c>
      <c r="DA524" s="5">
        <v>41166</v>
      </c>
      <c r="DB524" s="5">
        <v>41177</v>
      </c>
      <c r="DC524" s="4"/>
      <c r="DD524" s="4" t="s">
        <v>586</v>
      </c>
      <c r="DE524" s="4" t="s">
        <v>1640</v>
      </c>
      <c r="DF524" s="5">
        <v>41159</v>
      </c>
      <c r="DG524" s="5">
        <v>41165</v>
      </c>
      <c r="DH524" s="4" t="s">
        <v>174</v>
      </c>
      <c r="DI524" s="5">
        <v>41157</v>
      </c>
      <c r="DJ524" s="4" t="b">
        <v>0</v>
      </c>
      <c r="DK524" s="4"/>
      <c r="DL524" s="4">
        <v>2769624</v>
      </c>
      <c r="DM524" s="4">
        <v>6417737</v>
      </c>
      <c r="DN524" s="4" t="s">
        <v>1672</v>
      </c>
      <c r="DO524" s="4"/>
      <c r="DP524" s="4"/>
      <c r="DQ524" s="4" t="s">
        <v>148</v>
      </c>
      <c r="DR524" s="4"/>
      <c r="DS524" s="4"/>
      <c r="DT524" s="4"/>
      <c r="DU524" s="4"/>
      <c r="DV524" s="4"/>
      <c r="DW524" s="4"/>
      <c r="DX524" s="4"/>
      <c r="DY524" s="4"/>
      <c r="DZ524" s="4"/>
      <c r="EA524" s="4"/>
      <c r="EB524" s="4"/>
      <c r="EC524" s="4"/>
      <c r="ED524" s="4"/>
      <c r="EE524" s="4"/>
      <c r="EF524" s="4"/>
      <c r="EG524" s="5">
        <v>41177</v>
      </c>
      <c r="EH524" s="5">
        <v>41177</v>
      </c>
      <c r="EI524" s="5">
        <v>40961</v>
      </c>
    </row>
    <row r="525" spans="1:139" hidden="1" x14ac:dyDescent="0.2">
      <c r="A525">
        <f>VLOOKUP(B525,Sheet1!$A$1:$B$18,2,FALSE)</f>
        <v>0</v>
      </c>
      <c r="B525" t="str">
        <f t="shared" si="9"/>
        <v>BOP</v>
      </c>
      <c r="C525" s="2">
        <v>524</v>
      </c>
      <c r="D525" s="3" t="str">
        <f>HYPERLINK("https://sitebase.nzcomms.co.nz/spm/spmnominalview/BOP-022-022/","BOP-022-022")</f>
        <v>BOP-022-022</v>
      </c>
      <c r="E525" s="4" t="s">
        <v>1673</v>
      </c>
      <c r="F525" s="3" t="str">
        <f>HYPERLINK("https://sitebase.nzcomms.co.nz/spm/spmcandidateview/BOP-022-022-A/","BOP-022-022-A")</f>
        <v>BOP-022-022-A</v>
      </c>
      <c r="G525" s="4" t="s">
        <v>1674</v>
      </c>
      <c r="H525" s="4" t="s">
        <v>1632</v>
      </c>
      <c r="I525" s="4">
        <v>22</v>
      </c>
      <c r="J525" s="4" t="s">
        <v>331</v>
      </c>
      <c r="K525" s="4" t="s">
        <v>141</v>
      </c>
      <c r="L525" s="4" t="s">
        <v>142</v>
      </c>
      <c r="M525" s="4" t="s">
        <v>166</v>
      </c>
      <c r="N525" s="4" t="s">
        <v>142</v>
      </c>
      <c r="O525" s="4"/>
      <c r="P525" s="4" t="s">
        <v>169</v>
      </c>
      <c r="Q525" s="4" t="s">
        <v>142</v>
      </c>
      <c r="R525" s="4">
        <v>35</v>
      </c>
      <c r="S525" s="4">
        <v>35</v>
      </c>
      <c r="T525" s="4">
        <v>1</v>
      </c>
      <c r="U525" s="4">
        <v>-37.451737559999998</v>
      </c>
      <c r="V525" s="4">
        <v>175.94372432</v>
      </c>
      <c r="W525" s="4"/>
      <c r="X525" s="4"/>
      <c r="Y525" s="4"/>
      <c r="Z525" s="4"/>
      <c r="AA525" s="4" t="s">
        <v>171</v>
      </c>
      <c r="AB525" s="3" t="str">
        <f>HYPERLINK("https://sitebase.nzcomms.co.nz/spm/spmcandidateview/BOP-022-021-A/","BOP-022-021-A")</f>
        <v>BOP-022-021-A</v>
      </c>
      <c r="AC525" s="4" t="b">
        <v>0</v>
      </c>
      <c r="AD525" s="4" t="b">
        <v>0</v>
      </c>
      <c r="AE525" s="4"/>
      <c r="AF525" s="4"/>
      <c r="AG525" s="4" t="b">
        <v>0</v>
      </c>
      <c r="AH525" s="4"/>
      <c r="AI525" s="5">
        <v>40962</v>
      </c>
      <c r="AJ525" s="5">
        <v>40960</v>
      </c>
      <c r="AK525" s="5">
        <v>40967</v>
      </c>
      <c r="AL525" s="5">
        <v>40961</v>
      </c>
      <c r="AM525" s="5">
        <v>40994</v>
      </c>
      <c r="AN525" s="5">
        <v>40997</v>
      </c>
      <c r="AO525" s="4">
        <v>7</v>
      </c>
      <c r="AP525" s="5">
        <v>42307</v>
      </c>
      <c r="AQ525" s="5">
        <v>42340</v>
      </c>
      <c r="AR525" s="5">
        <v>42443</v>
      </c>
      <c r="AS525" s="4"/>
      <c r="AT525" s="5">
        <v>42457</v>
      </c>
      <c r="AU525" s="4"/>
      <c r="AV525" s="4"/>
      <c r="AW525" s="5">
        <v>42464</v>
      </c>
      <c r="AX525" s="4"/>
      <c r="AY525" s="4" t="s">
        <v>183</v>
      </c>
      <c r="AZ525" s="5">
        <v>42397</v>
      </c>
      <c r="BA525" s="5">
        <v>42397</v>
      </c>
      <c r="BB525" s="5">
        <v>42429</v>
      </c>
      <c r="BC525" s="4"/>
      <c r="BD525" s="4">
        <v>7</v>
      </c>
      <c r="BE525" s="5">
        <v>42429</v>
      </c>
      <c r="BF525" s="4"/>
      <c r="BG525" s="5">
        <v>42394</v>
      </c>
      <c r="BH525" s="5">
        <v>42396</v>
      </c>
      <c r="BI525" s="5">
        <v>42429</v>
      </c>
      <c r="BJ525" s="4"/>
      <c r="BK525" s="4"/>
      <c r="BL525" s="4"/>
      <c r="BM525" s="5">
        <v>42436</v>
      </c>
      <c r="BN525" s="4"/>
      <c r="BO525" s="4"/>
      <c r="BP525" s="4"/>
      <c r="BQ525" s="4"/>
      <c r="BR525" s="4"/>
      <c r="BS525" s="4"/>
      <c r="BT525" s="5">
        <v>42478</v>
      </c>
      <c r="BU525" s="4"/>
      <c r="BV525" s="5">
        <v>42506</v>
      </c>
      <c r="BW525" s="4"/>
      <c r="BX525" s="4"/>
      <c r="BY525" s="5">
        <v>42520</v>
      </c>
      <c r="BZ525" s="4"/>
      <c r="CA525" s="4"/>
      <c r="CB525" s="4"/>
      <c r="CC525" s="4"/>
      <c r="CD525" s="4"/>
      <c r="CE525" s="4"/>
      <c r="CF525" s="4"/>
      <c r="CG525" s="4"/>
      <c r="CH525" s="4"/>
      <c r="CI525" s="4"/>
      <c r="CJ525" s="5">
        <v>42537</v>
      </c>
      <c r="CK525" s="4"/>
      <c r="CL525" s="4"/>
      <c r="CM525" s="4"/>
      <c r="CN525" s="4"/>
      <c r="CO525" s="4"/>
      <c r="CP525" s="4" t="s">
        <v>1675</v>
      </c>
      <c r="CQ525" s="4" t="s">
        <v>230</v>
      </c>
      <c r="CR525" s="5">
        <v>41253</v>
      </c>
      <c r="CS525" s="5">
        <v>41188</v>
      </c>
      <c r="CT525" s="5">
        <v>41188</v>
      </c>
      <c r="CU525" s="5">
        <v>41235</v>
      </c>
      <c r="CV525" s="4"/>
      <c r="CW525" s="5">
        <v>41225</v>
      </c>
      <c r="CX525" s="4"/>
      <c r="CY525" s="5">
        <v>41246</v>
      </c>
      <c r="CZ525" s="4"/>
      <c r="DA525" s="5">
        <v>42527</v>
      </c>
      <c r="DB525" s="4"/>
      <c r="DC525" s="4"/>
      <c r="DD525" s="4"/>
      <c r="DE525" s="4" t="s">
        <v>1640</v>
      </c>
      <c r="DF525" s="4"/>
      <c r="DG525" s="4"/>
      <c r="DH525" s="4" t="s">
        <v>174</v>
      </c>
      <c r="DI525" s="4"/>
      <c r="DJ525" s="4" t="b">
        <v>0</v>
      </c>
      <c r="DK525" s="4"/>
      <c r="DL525" s="4">
        <v>2770673</v>
      </c>
      <c r="DM525" s="4">
        <v>6412459</v>
      </c>
      <c r="DN525" s="4" t="s">
        <v>1676</v>
      </c>
      <c r="DO525" s="4"/>
      <c r="DP525" s="4"/>
      <c r="DQ525" s="4" t="s">
        <v>148</v>
      </c>
      <c r="DR525" s="4" t="s">
        <v>255</v>
      </c>
      <c r="DS525" s="4"/>
      <c r="DT525" s="4"/>
      <c r="DU525" s="4" t="s">
        <v>178</v>
      </c>
      <c r="DV525" s="4"/>
      <c r="DW525" s="4"/>
      <c r="DX525" s="5">
        <v>42410</v>
      </c>
      <c r="DY525" s="5">
        <v>42436</v>
      </c>
      <c r="DZ525" s="4"/>
      <c r="EA525" s="4"/>
      <c r="EB525" s="4"/>
      <c r="EC525" s="4"/>
      <c r="ED525" s="4"/>
      <c r="EE525" s="5">
        <v>42464</v>
      </c>
      <c r="EF525" s="4"/>
      <c r="EG525" s="5">
        <v>41262</v>
      </c>
      <c r="EH525" s="4"/>
      <c r="EI525" s="5">
        <v>40961</v>
      </c>
    </row>
    <row r="526" spans="1:139" hidden="1" x14ac:dyDescent="0.2">
      <c r="A526">
        <f>VLOOKUP(B526,Sheet1!$A$1:$B$18,2,FALSE)</f>
        <v>0</v>
      </c>
      <c r="B526" t="str">
        <f t="shared" si="9"/>
        <v>BOP</v>
      </c>
      <c r="C526" s="2">
        <v>525</v>
      </c>
      <c r="D526" s="3" t="str">
        <f>HYPERLINK("https://sitebase.nzcomms.co.nz/spm/spmnominalview/BOP-022-023/","BOP-022-023")</f>
        <v>BOP-022-023</v>
      </c>
      <c r="E526" s="4" t="s">
        <v>1677</v>
      </c>
      <c r="F526" s="4"/>
      <c r="G526" s="4"/>
      <c r="H526" s="4" t="s">
        <v>1632</v>
      </c>
      <c r="I526" s="4"/>
      <c r="J526" s="4" t="s">
        <v>722</v>
      </c>
      <c r="K526" s="4"/>
      <c r="L526" s="4"/>
      <c r="M526" s="4"/>
      <c r="N526" s="4"/>
      <c r="O526" s="4"/>
      <c r="P526" s="4"/>
      <c r="Q526" s="4"/>
      <c r="R526" s="4"/>
      <c r="S526" s="4"/>
      <c r="T526" s="4"/>
      <c r="U526" s="4"/>
      <c r="V526" s="4"/>
      <c r="W526" s="4"/>
      <c r="X526" s="4"/>
      <c r="Y526" s="4"/>
      <c r="Z526" s="4"/>
      <c r="AA526" s="4"/>
      <c r="AB526" s="4"/>
      <c r="AC526" s="4"/>
      <c r="AD526" s="4"/>
      <c r="AE526" s="4"/>
      <c r="AF526" s="4"/>
      <c r="AG526" s="4" t="b">
        <v>0</v>
      </c>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row>
    <row r="527" spans="1:139" hidden="1" x14ac:dyDescent="0.2">
      <c r="A527">
        <f>VLOOKUP(B527,Sheet1!$A$1:$B$18,2,FALSE)</f>
        <v>0</v>
      </c>
      <c r="B527" t="str">
        <f t="shared" si="9"/>
        <v>BOP</v>
      </c>
      <c r="C527" s="2">
        <v>526</v>
      </c>
      <c r="D527" s="3" t="str">
        <f>HYPERLINK("https://sitebase.nzcomms.co.nz/spm/spmnominalview/BOP-022-024/","BOP-022-024")</f>
        <v>BOP-022-024</v>
      </c>
      <c r="E527" s="4" t="s">
        <v>1678</v>
      </c>
      <c r="F527" s="3" t="str">
        <f>HYPERLINK("https://sitebase.nzcomms.co.nz/spm/spmcandidateview/BOP-022-024-A/","BOP-022-024-A")</f>
        <v>BOP-022-024-A</v>
      </c>
      <c r="G527" s="4" t="s">
        <v>1679</v>
      </c>
      <c r="H527" s="4" t="s">
        <v>1632</v>
      </c>
      <c r="I527" s="4">
        <v>25</v>
      </c>
      <c r="J527" s="4" t="s">
        <v>331</v>
      </c>
      <c r="K527" s="4" t="s">
        <v>141</v>
      </c>
      <c r="L527" s="4" t="s">
        <v>722</v>
      </c>
      <c r="M527" s="4" t="s">
        <v>166</v>
      </c>
      <c r="N527" s="4" t="s">
        <v>142</v>
      </c>
      <c r="O527" s="4"/>
      <c r="P527" s="4" t="s">
        <v>169</v>
      </c>
      <c r="Q527" s="4" t="s">
        <v>142</v>
      </c>
      <c r="R527" s="4">
        <v>28</v>
      </c>
      <c r="S527" s="4">
        <v>30</v>
      </c>
      <c r="T527" s="4"/>
      <c r="U527" s="4">
        <v>-37.818402370000001</v>
      </c>
      <c r="V527" s="4">
        <v>176.40644012999999</v>
      </c>
      <c r="W527" s="4"/>
      <c r="X527" s="4"/>
      <c r="Y527" s="4"/>
      <c r="Z527" s="4"/>
      <c r="AA527" s="4" t="s">
        <v>145</v>
      </c>
      <c r="AB527" s="3" t="str">
        <f>HYPERLINK("https://sitebase.nzcomms.co.nz/spm/spmcandidateview/BOP-023-004-A/","BOP-023-004-A")</f>
        <v>BOP-023-004-A</v>
      </c>
      <c r="AC527" s="4" t="b">
        <v>0</v>
      </c>
      <c r="AD527" s="4" t="b">
        <v>0</v>
      </c>
      <c r="AE527" s="4"/>
      <c r="AF527" s="4"/>
      <c r="AG527" s="4" t="b">
        <v>0</v>
      </c>
      <c r="AH527" s="4"/>
      <c r="AI527" s="5">
        <v>42293</v>
      </c>
      <c r="AJ527" s="5">
        <v>42291</v>
      </c>
      <c r="AK527" s="5">
        <v>42300</v>
      </c>
      <c r="AL527" s="5">
        <v>42303</v>
      </c>
      <c r="AM527" s="5">
        <v>42321</v>
      </c>
      <c r="AN527" s="5">
        <v>42310</v>
      </c>
      <c r="AO527" s="4">
        <v>1</v>
      </c>
      <c r="AP527" s="5">
        <v>42305</v>
      </c>
      <c r="AQ527" s="5">
        <v>42310</v>
      </c>
      <c r="AR527" s="5">
        <v>42412</v>
      </c>
      <c r="AS527" s="4"/>
      <c r="AT527" s="5">
        <v>42426</v>
      </c>
      <c r="AU527" s="4"/>
      <c r="AV527" s="4"/>
      <c r="AW527" s="5">
        <v>42426</v>
      </c>
      <c r="AX527" s="4"/>
      <c r="AY527" s="4" t="s">
        <v>172</v>
      </c>
      <c r="AZ527" s="5">
        <v>42333</v>
      </c>
      <c r="BA527" s="5">
        <v>42333</v>
      </c>
      <c r="BB527" s="5">
        <v>42334</v>
      </c>
      <c r="BC527" s="5">
        <v>42359</v>
      </c>
      <c r="BD527" s="4">
        <v>1</v>
      </c>
      <c r="BE527" s="5">
        <v>42348</v>
      </c>
      <c r="BF527" s="5">
        <v>42359</v>
      </c>
      <c r="BG527" s="5">
        <v>42328</v>
      </c>
      <c r="BH527" s="5">
        <v>42331</v>
      </c>
      <c r="BI527" s="5">
        <v>42356</v>
      </c>
      <c r="BJ527" s="5">
        <v>42384</v>
      </c>
      <c r="BK527" s="4">
        <v>1</v>
      </c>
      <c r="BL527" s="4"/>
      <c r="BM527" s="5">
        <v>42384</v>
      </c>
      <c r="BN527" s="5">
        <v>42384</v>
      </c>
      <c r="BO527" s="4"/>
      <c r="BP527" s="4"/>
      <c r="BQ527" s="4"/>
      <c r="BR527" s="4"/>
      <c r="BS527" s="4"/>
      <c r="BT527" s="5">
        <v>42436</v>
      </c>
      <c r="BU527" s="4"/>
      <c r="BV527" s="5">
        <v>42440</v>
      </c>
      <c r="BW527" s="4"/>
      <c r="BX527" s="4"/>
      <c r="BY527" s="5">
        <v>42440</v>
      </c>
      <c r="BZ527" s="4"/>
      <c r="CA527" s="5">
        <v>42433</v>
      </c>
      <c r="CB527" s="4"/>
      <c r="CC527" s="5">
        <v>42417</v>
      </c>
      <c r="CD527" s="4"/>
      <c r="CE527" s="5">
        <v>42417</v>
      </c>
      <c r="CF527" s="4"/>
      <c r="CG527" s="5">
        <v>42410</v>
      </c>
      <c r="CH527" s="5">
        <v>42394</v>
      </c>
      <c r="CI527" s="4"/>
      <c r="CJ527" s="5">
        <v>42459</v>
      </c>
      <c r="CK527" s="4"/>
      <c r="CL527" s="4"/>
      <c r="CM527" s="4"/>
      <c r="CN527" s="4"/>
      <c r="CO527" s="4"/>
      <c r="CP527" s="4" t="s">
        <v>1680</v>
      </c>
      <c r="CQ527" s="4" t="s">
        <v>230</v>
      </c>
      <c r="CR527" s="4"/>
      <c r="CS527" s="4"/>
      <c r="CT527" s="4"/>
      <c r="CU527" s="4"/>
      <c r="CV527" s="4"/>
      <c r="CW527" s="4"/>
      <c r="CX527" s="4"/>
      <c r="CY527" s="4"/>
      <c r="CZ527" s="4"/>
      <c r="DA527" s="5">
        <v>42447</v>
      </c>
      <c r="DB527" s="4"/>
      <c r="DC527" s="5">
        <v>42397</v>
      </c>
      <c r="DD527" s="4" t="s">
        <v>586</v>
      </c>
      <c r="DE527" s="4"/>
      <c r="DF527" s="5">
        <v>42437</v>
      </c>
      <c r="DG527" s="4"/>
      <c r="DH527" s="4" t="s">
        <v>174</v>
      </c>
      <c r="DI527" s="5">
        <v>42436</v>
      </c>
      <c r="DJ527" s="4" t="b">
        <v>0</v>
      </c>
      <c r="DK527" s="4"/>
      <c r="DL527" s="4">
        <v>2810038</v>
      </c>
      <c r="DM527" s="4">
        <v>6370342</v>
      </c>
      <c r="DN527" s="4" t="s">
        <v>1681</v>
      </c>
      <c r="DO527" s="4"/>
      <c r="DP527" s="4"/>
      <c r="DQ527" s="4" t="s">
        <v>148</v>
      </c>
      <c r="DR527" s="4"/>
      <c r="DS527" s="4"/>
      <c r="DT527" s="4"/>
      <c r="DU527" s="4" t="s">
        <v>178</v>
      </c>
      <c r="DV527" s="4"/>
      <c r="DW527" s="4"/>
      <c r="DX527" s="5">
        <v>42410</v>
      </c>
      <c r="DY527" s="5">
        <v>42347</v>
      </c>
      <c r="DZ527" s="5">
        <v>42347</v>
      </c>
      <c r="EA527" s="5">
        <v>42296</v>
      </c>
      <c r="EB527" s="5">
        <v>42296</v>
      </c>
      <c r="EC527" s="5">
        <v>42332</v>
      </c>
      <c r="ED527" s="5">
        <v>42333</v>
      </c>
      <c r="EE527" s="5">
        <v>42409</v>
      </c>
      <c r="EF527" s="5">
        <v>42402</v>
      </c>
      <c r="EG527" s="4"/>
      <c r="EH527" s="4"/>
      <c r="EI527" s="5">
        <v>42303</v>
      </c>
    </row>
    <row r="528" spans="1:139" hidden="1" x14ac:dyDescent="0.2">
      <c r="A528">
        <f>VLOOKUP(B528,Sheet1!$A$1:$B$18,2,FALSE)</f>
        <v>0</v>
      </c>
      <c r="B528" t="str">
        <f t="shared" si="9"/>
        <v>BOP</v>
      </c>
      <c r="C528" s="2">
        <v>527</v>
      </c>
      <c r="D528" s="3" t="str">
        <f>HYPERLINK("https://sitebase.nzcomms.co.nz/spm/spmnominalview/BOP-022-025/","BOP-022-025")</f>
        <v>BOP-022-025</v>
      </c>
      <c r="E528" s="4" t="s">
        <v>1682</v>
      </c>
      <c r="F528" s="3" t="str">
        <f>HYPERLINK("https://sitebase.nzcomms.co.nz/spm/spmcandidateview/BOP-022-025-A/","BOP-022-025-A")</f>
        <v>BOP-022-025-A</v>
      </c>
      <c r="G528" s="4" t="s">
        <v>1683</v>
      </c>
      <c r="H528" s="4" t="s">
        <v>1632</v>
      </c>
      <c r="I528" s="4">
        <v>25</v>
      </c>
      <c r="J528" s="4" t="s">
        <v>331</v>
      </c>
      <c r="K528" s="4" t="s">
        <v>141</v>
      </c>
      <c r="L528" s="4" t="s">
        <v>722</v>
      </c>
      <c r="M528" s="4" t="s">
        <v>166</v>
      </c>
      <c r="N528" s="4" t="s">
        <v>142</v>
      </c>
      <c r="O528" s="4"/>
      <c r="P528" s="4" t="s">
        <v>169</v>
      </c>
      <c r="Q528" s="4" t="s">
        <v>142</v>
      </c>
      <c r="R528" s="4">
        <v>28</v>
      </c>
      <c r="S528" s="4">
        <v>30</v>
      </c>
      <c r="T528" s="4"/>
      <c r="U528" s="4">
        <v>-37.613468619999999</v>
      </c>
      <c r="V528" s="4">
        <v>175.94127911999999</v>
      </c>
      <c r="W528" s="4"/>
      <c r="X528" s="4"/>
      <c r="Y528" s="4"/>
      <c r="Z528" s="4"/>
      <c r="AA528" s="4" t="s">
        <v>145</v>
      </c>
      <c r="AB528" s="3" t="str">
        <f>HYPERLINK("https://sitebase.nzcomms.co.nz/spm/spmcandidateview/BOP-023-004-A/","BOP-023-004-A")</f>
        <v>BOP-023-004-A</v>
      </c>
      <c r="AC528" s="4" t="b">
        <v>0</v>
      </c>
      <c r="AD528" s="4" t="b">
        <v>0</v>
      </c>
      <c r="AE528" s="4"/>
      <c r="AF528" s="4"/>
      <c r="AG528" s="4" t="b">
        <v>0</v>
      </c>
      <c r="AH528" s="4"/>
      <c r="AI528" s="5">
        <v>42293</v>
      </c>
      <c r="AJ528" s="5">
        <v>42293</v>
      </c>
      <c r="AK528" s="5">
        <v>42298</v>
      </c>
      <c r="AL528" s="5">
        <v>42300</v>
      </c>
      <c r="AM528" s="5">
        <v>42298</v>
      </c>
      <c r="AN528" s="5">
        <v>42310</v>
      </c>
      <c r="AO528" s="4">
        <v>1</v>
      </c>
      <c r="AP528" s="5">
        <v>42304</v>
      </c>
      <c r="AQ528" s="5">
        <v>42310</v>
      </c>
      <c r="AR528" s="5">
        <v>42325</v>
      </c>
      <c r="AS528" s="5">
        <v>42325</v>
      </c>
      <c r="AT528" s="5">
        <v>42328</v>
      </c>
      <c r="AU528" s="5">
        <v>42328</v>
      </c>
      <c r="AV528" s="4"/>
      <c r="AW528" s="5">
        <v>42412</v>
      </c>
      <c r="AX528" s="4"/>
      <c r="AY528" s="4" t="s">
        <v>172</v>
      </c>
      <c r="AZ528" s="5">
        <v>42327</v>
      </c>
      <c r="BA528" s="5">
        <v>42326</v>
      </c>
      <c r="BB528" s="5">
        <v>42341</v>
      </c>
      <c r="BC528" s="5">
        <v>42333</v>
      </c>
      <c r="BD528" s="4">
        <v>1</v>
      </c>
      <c r="BE528" s="5">
        <v>42341</v>
      </c>
      <c r="BF528" s="5">
        <v>42333</v>
      </c>
      <c r="BG528" s="5">
        <v>42332</v>
      </c>
      <c r="BH528" s="5">
        <v>42332</v>
      </c>
      <c r="BI528" s="5">
        <v>42333</v>
      </c>
      <c r="BJ528" s="5">
        <v>42384</v>
      </c>
      <c r="BK528" s="4">
        <v>1</v>
      </c>
      <c r="BL528" s="4"/>
      <c r="BM528" s="5">
        <v>42333</v>
      </c>
      <c r="BN528" s="5">
        <v>42384</v>
      </c>
      <c r="BO528" s="4"/>
      <c r="BP528" s="4"/>
      <c r="BQ528" s="4"/>
      <c r="BR528" s="4"/>
      <c r="BS528" s="4"/>
      <c r="BT528" s="5">
        <v>42443</v>
      </c>
      <c r="BU528" s="4"/>
      <c r="BV528" s="5">
        <v>42447</v>
      </c>
      <c r="BW528" s="4"/>
      <c r="BX528" s="4"/>
      <c r="BY528" s="5">
        <v>42447</v>
      </c>
      <c r="BZ528" s="4"/>
      <c r="CA528" s="5">
        <v>42419</v>
      </c>
      <c r="CB528" s="4"/>
      <c r="CC528" s="5">
        <v>42424</v>
      </c>
      <c r="CD528" s="4"/>
      <c r="CE528" s="5">
        <v>42424</v>
      </c>
      <c r="CF528" s="4"/>
      <c r="CG528" s="5">
        <v>42431</v>
      </c>
      <c r="CH528" s="5">
        <v>42394</v>
      </c>
      <c r="CI528" s="4"/>
      <c r="CJ528" s="5">
        <v>42459</v>
      </c>
      <c r="CK528" s="4"/>
      <c r="CL528" s="4"/>
      <c r="CM528" s="4"/>
      <c r="CN528" s="4"/>
      <c r="CO528" s="4"/>
      <c r="CP528" s="4" t="s">
        <v>1684</v>
      </c>
      <c r="CQ528" s="4" t="s">
        <v>230</v>
      </c>
      <c r="CR528" s="4"/>
      <c r="CS528" s="4"/>
      <c r="CT528" s="4"/>
      <c r="CU528" s="4"/>
      <c r="CV528" s="4"/>
      <c r="CW528" s="4"/>
      <c r="CX528" s="4"/>
      <c r="CY528" s="4"/>
      <c r="CZ528" s="4"/>
      <c r="DA528" s="5">
        <v>42454</v>
      </c>
      <c r="DB528" s="4"/>
      <c r="DC528" s="4"/>
      <c r="DD528" s="4"/>
      <c r="DE528" s="4"/>
      <c r="DF528" s="5">
        <v>42444</v>
      </c>
      <c r="DG528" s="4"/>
      <c r="DH528" s="4" t="s">
        <v>174</v>
      </c>
      <c r="DI528" s="5">
        <v>42443</v>
      </c>
      <c r="DJ528" s="4" t="b">
        <v>0</v>
      </c>
      <c r="DK528" s="4"/>
      <c r="DL528" s="4">
        <v>2769864</v>
      </c>
      <c r="DM528" s="4">
        <v>6394528</v>
      </c>
      <c r="DN528" s="4" t="s">
        <v>1685</v>
      </c>
      <c r="DO528" s="4"/>
      <c r="DP528" s="4" t="s">
        <v>1686</v>
      </c>
      <c r="DQ528" s="4" t="s">
        <v>148</v>
      </c>
      <c r="DR528" s="4"/>
      <c r="DS528" s="4"/>
      <c r="DT528" s="4"/>
      <c r="DU528" s="4" t="s">
        <v>178</v>
      </c>
      <c r="DV528" s="4"/>
      <c r="DW528" s="4"/>
      <c r="DX528" s="5">
        <v>42410</v>
      </c>
      <c r="DY528" s="5">
        <v>42328</v>
      </c>
      <c r="DZ528" s="5">
        <v>42327</v>
      </c>
      <c r="EA528" s="5">
        <v>42292</v>
      </c>
      <c r="EB528" s="5">
        <v>42293</v>
      </c>
      <c r="EC528" s="5">
        <v>42307</v>
      </c>
      <c r="ED528" s="5">
        <v>42307</v>
      </c>
      <c r="EE528" s="5">
        <v>42402</v>
      </c>
      <c r="EF528" s="5">
        <v>42402</v>
      </c>
      <c r="EG528" s="4"/>
      <c r="EH528" s="4"/>
      <c r="EI528" s="5">
        <v>42300</v>
      </c>
    </row>
    <row r="529" spans="1:139" hidden="1" x14ac:dyDescent="0.2">
      <c r="A529">
        <f>VLOOKUP(B529,Sheet1!$A$1:$B$18,2,FALSE)</f>
        <v>0</v>
      </c>
      <c r="B529" t="str">
        <f t="shared" si="9"/>
        <v>BOP</v>
      </c>
      <c r="C529" s="2">
        <v>528</v>
      </c>
      <c r="D529" s="3" t="str">
        <f>HYPERLINK("https://sitebase.nzcomms.co.nz/spm/spmnominalview/BOP-022-026/","BOP-022-026")</f>
        <v>BOP-022-026</v>
      </c>
      <c r="E529" s="4" t="s">
        <v>1687</v>
      </c>
      <c r="F529" s="3" t="str">
        <f>HYPERLINK("https://sitebase.nzcomms.co.nz/spm/spmcandidateview/BOP-022-026-A/","BOP-022-026-A")</f>
        <v>BOP-022-026-A</v>
      </c>
      <c r="G529" s="4" t="s">
        <v>1688</v>
      </c>
      <c r="H529" s="4" t="s">
        <v>1632</v>
      </c>
      <c r="I529" s="4">
        <v>23</v>
      </c>
      <c r="J529" s="4" t="s">
        <v>165</v>
      </c>
      <c r="K529" s="4" t="s">
        <v>141</v>
      </c>
      <c r="L529" s="4" t="s">
        <v>722</v>
      </c>
      <c r="M529" s="4" t="s">
        <v>166</v>
      </c>
      <c r="N529" s="4" t="s">
        <v>1689</v>
      </c>
      <c r="O529" s="4" t="s">
        <v>168</v>
      </c>
      <c r="P529" s="4"/>
      <c r="Q529" s="4" t="s">
        <v>142</v>
      </c>
      <c r="R529" s="4"/>
      <c r="S529" s="4"/>
      <c r="T529" s="4"/>
      <c r="U529" s="4">
        <v>-37.766634979999999</v>
      </c>
      <c r="V529" s="4">
        <v>176.46733954999999</v>
      </c>
      <c r="W529" s="4"/>
      <c r="X529" s="4"/>
      <c r="Y529" s="4"/>
      <c r="Z529" s="4"/>
      <c r="AA529" s="4" t="s">
        <v>145</v>
      </c>
      <c r="AB529" s="3" t="str">
        <f>HYPERLINK("https://sitebase.nzcomms.co.nz/spm/spmcandidateview/BOP-023-004-A/","BOP-023-004-A")</f>
        <v>BOP-023-004-A</v>
      </c>
      <c r="AC529" s="4" t="b">
        <v>0</v>
      </c>
      <c r="AD529" s="4" t="b">
        <v>0</v>
      </c>
      <c r="AE529" s="4"/>
      <c r="AF529" s="4"/>
      <c r="AG529" s="4" t="b">
        <v>0</v>
      </c>
      <c r="AH529" s="4"/>
      <c r="AI529" s="5">
        <v>42145</v>
      </c>
      <c r="AJ529" s="5">
        <v>42145</v>
      </c>
      <c r="AK529" s="5">
        <v>42145</v>
      </c>
      <c r="AL529" s="5">
        <v>42145</v>
      </c>
      <c r="AM529" s="5">
        <v>42145</v>
      </c>
      <c r="AN529" s="5">
        <v>42145</v>
      </c>
      <c r="AO529" s="4">
        <v>1</v>
      </c>
      <c r="AP529" s="5">
        <v>42145</v>
      </c>
      <c r="AQ529" s="5">
        <v>42145</v>
      </c>
      <c r="AR529" s="5">
        <v>42145</v>
      </c>
      <c r="AS529" s="5">
        <v>42145</v>
      </c>
      <c r="AT529" s="5">
        <v>42209</v>
      </c>
      <c r="AU529" s="5">
        <v>42199</v>
      </c>
      <c r="AV529" s="4"/>
      <c r="AW529" s="5">
        <v>42209</v>
      </c>
      <c r="AX529" s="5">
        <v>42201</v>
      </c>
      <c r="AY529" s="4" t="s">
        <v>172</v>
      </c>
      <c r="AZ529" s="5">
        <v>42153</v>
      </c>
      <c r="BA529" s="5">
        <v>42153</v>
      </c>
      <c r="BB529" s="5">
        <v>42167</v>
      </c>
      <c r="BC529" s="5">
        <v>42180</v>
      </c>
      <c r="BD529" s="4">
        <v>1</v>
      </c>
      <c r="BE529" s="5">
        <v>42167</v>
      </c>
      <c r="BF529" s="5">
        <v>42180</v>
      </c>
      <c r="BG529" s="5">
        <v>42145</v>
      </c>
      <c r="BH529" s="5">
        <v>42145</v>
      </c>
      <c r="BI529" s="5">
        <v>42159</v>
      </c>
      <c r="BJ529" s="5">
        <v>42150</v>
      </c>
      <c r="BK529" s="4">
        <v>2</v>
      </c>
      <c r="BL529" s="4"/>
      <c r="BM529" s="5">
        <v>42174</v>
      </c>
      <c r="BN529" s="5">
        <v>42298</v>
      </c>
      <c r="BO529" s="4"/>
      <c r="BP529" s="4"/>
      <c r="BQ529" s="4"/>
      <c r="BR529" s="4"/>
      <c r="BS529" s="4"/>
      <c r="BT529" s="5">
        <v>42226</v>
      </c>
      <c r="BU529" s="5">
        <v>42226</v>
      </c>
      <c r="BV529" s="5">
        <v>42229</v>
      </c>
      <c r="BW529" s="5">
        <v>42230</v>
      </c>
      <c r="BX529" s="5">
        <v>42226</v>
      </c>
      <c r="BY529" s="5">
        <v>42233</v>
      </c>
      <c r="BZ529" s="5">
        <v>42233</v>
      </c>
      <c r="CA529" s="5">
        <v>42227</v>
      </c>
      <c r="CB529" s="5">
        <v>42228</v>
      </c>
      <c r="CC529" s="5">
        <v>42188</v>
      </c>
      <c r="CD529" s="5">
        <v>42208</v>
      </c>
      <c r="CE529" s="5">
        <v>42202</v>
      </c>
      <c r="CF529" s="5">
        <v>42214</v>
      </c>
      <c r="CG529" s="5">
        <v>42215</v>
      </c>
      <c r="CH529" s="5">
        <v>42216</v>
      </c>
      <c r="CI529" s="4"/>
      <c r="CJ529" s="5">
        <v>42247</v>
      </c>
      <c r="CK529" s="5">
        <v>42247</v>
      </c>
      <c r="CL529" s="4"/>
      <c r="CM529" s="5">
        <v>42271</v>
      </c>
      <c r="CN529" s="4"/>
      <c r="CO529" s="5">
        <v>42271</v>
      </c>
      <c r="CP529" s="4" t="s">
        <v>1690</v>
      </c>
      <c r="CQ529" s="4" t="s">
        <v>230</v>
      </c>
      <c r="CR529" s="4"/>
      <c r="CS529" s="4"/>
      <c r="CT529" s="4"/>
      <c r="CU529" s="4"/>
      <c r="CV529" s="4"/>
      <c r="CW529" s="4"/>
      <c r="CX529" s="4"/>
      <c r="CY529" s="4"/>
      <c r="CZ529" s="4"/>
      <c r="DA529" s="5">
        <v>42244</v>
      </c>
      <c r="DB529" s="5">
        <v>42236</v>
      </c>
      <c r="DC529" s="4"/>
      <c r="DD529" s="4"/>
      <c r="DE529" s="4"/>
      <c r="DF529" s="5">
        <v>42227</v>
      </c>
      <c r="DG529" s="5">
        <v>42228</v>
      </c>
      <c r="DH529" s="4" t="s">
        <v>174</v>
      </c>
      <c r="DI529" s="5">
        <v>42226</v>
      </c>
      <c r="DJ529" s="4" t="b">
        <v>0</v>
      </c>
      <c r="DK529" s="4"/>
      <c r="DL529" s="4">
        <v>2815618</v>
      </c>
      <c r="DM529" s="4">
        <v>6375877</v>
      </c>
      <c r="DN529" s="4" t="s">
        <v>1691</v>
      </c>
      <c r="DO529" s="4"/>
      <c r="DP529" s="4"/>
      <c r="DQ529" s="4" t="s">
        <v>148</v>
      </c>
      <c r="DR529" s="4"/>
      <c r="DS529" s="4"/>
      <c r="DT529" s="4"/>
      <c r="DU529" s="4" t="s">
        <v>178</v>
      </c>
      <c r="DV529" s="4"/>
      <c r="DW529" s="4"/>
      <c r="DX529" s="5">
        <v>42173</v>
      </c>
      <c r="DY529" s="5">
        <v>42145</v>
      </c>
      <c r="DZ529" s="5">
        <v>42145</v>
      </c>
      <c r="EA529" s="5">
        <v>42145</v>
      </c>
      <c r="EB529" s="5">
        <v>42145</v>
      </c>
      <c r="EC529" s="5">
        <v>42153</v>
      </c>
      <c r="ED529" s="5">
        <v>42158</v>
      </c>
      <c r="EE529" s="5">
        <v>42188</v>
      </c>
      <c r="EF529" s="5">
        <v>42188</v>
      </c>
      <c r="EG529" s="4"/>
      <c r="EH529" s="4"/>
      <c r="EI529" s="5">
        <v>42145</v>
      </c>
    </row>
    <row r="530" spans="1:139" hidden="1" x14ac:dyDescent="0.2">
      <c r="A530">
        <f>VLOOKUP(B530,Sheet1!$A$1:$B$18,2,FALSE)</f>
        <v>0</v>
      </c>
      <c r="B530" t="str">
        <f t="shared" si="9"/>
        <v>BOP</v>
      </c>
      <c r="C530" s="2">
        <v>529</v>
      </c>
      <c r="D530" s="3" t="str">
        <f>HYPERLINK("https://sitebase.nzcomms.co.nz/spm/spmnominalview/BOP-022-027/","BOP-022-027")</f>
        <v>BOP-022-027</v>
      </c>
      <c r="E530" s="4" t="s">
        <v>1692</v>
      </c>
      <c r="F530" s="4"/>
      <c r="G530" s="4"/>
      <c r="H530" s="4" t="s">
        <v>1632</v>
      </c>
      <c r="I530" s="4"/>
      <c r="J530" s="4" t="s">
        <v>722</v>
      </c>
      <c r="K530" s="4"/>
      <c r="L530" s="4"/>
      <c r="M530" s="4"/>
      <c r="N530" s="4"/>
      <c r="O530" s="4"/>
      <c r="P530" s="4"/>
      <c r="Q530" s="4"/>
      <c r="R530" s="4"/>
      <c r="S530" s="4"/>
      <c r="T530" s="4"/>
      <c r="U530" s="4"/>
      <c r="V530" s="4"/>
      <c r="W530" s="4"/>
      <c r="X530" s="4"/>
      <c r="Y530" s="4"/>
      <c r="Z530" s="4"/>
      <c r="AA530" s="4"/>
      <c r="AB530" s="4"/>
      <c r="AC530" s="4"/>
      <c r="AD530" s="4"/>
      <c r="AE530" s="4"/>
      <c r="AF530" s="4"/>
      <c r="AG530" s="4" t="b">
        <v>0</v>
      </c>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row>
    <row r="531" spans="1:139" hidden="1" x14ac:dyDescent="0.2">
      <c r="A531">
        <f>VLOOKUP(B531,Sheet1!$A$1:$B$18,2,FALSE)</f>
        <v>0</v>
      </c>
      <c r="B531" t="str">
        <f t="shared" si="9"/>
        <v>BOP</v>
      </c>
      <c r="C531" s="2">
        <v>530</v>
      </c>
      <c r="D531" s="3" t="str">
        <f>HYPERLINK("https://sitebase.nzcomms.co.nz/spm/spmnominalview/BOP-022-028/","BOP-022-028")</f>
        <v>BOP-022-028</v>
      </c>
      <c r="E531" s="4" t="s">
        <v>1693</v>
      </c>
      <c r="F531" s="3" t="str">
        <f>HYPERLINK("https://sitebase.nzcomms.co.nz/spm/spmcandidateview/BOP-022-028-A/","BOP-022-028-A")</f>
        <v>BOP-022-028-A</v>
      </c>
      <c r="G531" s="4" t="s">
        <v>1693</v>
      </c>
      <c r="H531" s="4" t="s">
        <v>1632</v>
      </c>
      <c r="I531" s="4">
        <v>22</v>
      </c>
      <c r="J531" s="4" t="s">
        <v>331</v>
      </c>
      <c r="K531" s="4" t="s">
        <v>141</v>
      </c>
      <c r="L531" s="4" t="s">
        <v>150</v>
      </c>
      <c r="M531" s="4" t="s">
        <v>166</v>
      </c>
      <c r="N531" s="4" t="s">
        <v>1572</v>
      </c>
      <c r="O531" s="4"/>
      <c r="P531" s="4" t="s">
        <v>169</v>
      </c>
      <c r="Q531" s="4" t="s">
        <v>170</v>
      </c>
      <c r="R531" s="4">
        <v>28</v>
      </c>
      <c r="S531" s="4">
        <v>28</v>
      </c>
      <c r="T531" s="4"/>
      <c r="U531" s="4"/>
      <c r="V531" s="4"/>
      <c r="W531" s="4"/>
      <c r="X531" s="4"/>
      <c r="Y531" s="4"/>
      <c r="Z531" s="4"/>
      <c r="AA531" s="4" t="s">
        <v>145</v>
      </c>
      <c r="AB531" s="3" t="str">
        <f>HYPERLINK("https://sitebase.nzcomms.co.nz/spm/spmcandidateview/BOP-023-004-A/","BOP-023-004-A")</f>
        <v>BOP-023-004-A</v>
      </c>
      <c r="AC531" s="4" t="b">
        <v>0</v>
      </c>
      <c r="AD531" s="4" t="b">
        <v>0</v>
      </c>
      <c r="AE531" s="4"/>
      <c r="AF531" s="4"/>
      <c r="AG531" s="4" t="b">
        <v>0</v>
      </c>
      <c r="AH531" s="4"/>
      <c r="AI531" s="5">
        <v>42264</v>
      </c>
      <c r="AJ531" s="5">
        <v>42264</v>
      </c>
      <c r="AK531" s="5">
        <v>42272</v>
      </c>
      <c r="AL531" s="5">
        <v>42272</v>
      </c>
      <c r="AM531" s="5">
        <v>42307</v>
      </c>
      <c r="AN531" s="5">
        <v>42328</v>
      </c>
      <c r="AO531" s="4">
        <v>1</v>
      </c>
      <c r="AP531" s="5">
        <v>42307</v>
      </c>
      <c r="AQ531" s="5">
        <v>42328</v>
      </c>
      <c r="AR531" s="5">
        <v>42450</v>
      </c>
      <c r="AS531" s="4"/>
      <c r="AT531" s="5">
        <v>42478</v>
      </c>
      <c r="AU531" s="4"/>
      <c r="AV531" s="4"/>
      <c r="AW531" s="5">
        <v>42485</v>
      </c>
      <c r="AX531" s="4"/>
      <c r="AY531" s="4" t="s">
        <v>183</v>
      </c>
      <c r="AZ531" s="5">
        <v>42450</v>
      </c>
      <c r="BA531" s="4"/>
      <c r="BB531" s="5">
        <v>42485</v>
      </c>
      <c r="BC531" s="4"/>
      <c r="BD531" s="4"/>
      <c r="BE531" s="5">
        <v>42489</v>
      </c>
      <c r="BF531" s="4"/>
      <c r="BG531" s="5">
        <v>42450</v>
      </c>
      <c r="BH531" s="4"/>
      <c r="BI531" s="5">
        <v>42485</v>
      </c>
      <c r="BJ531" s="4"/>
      <c r="BK531" s="4"/>
      <c r="BL531" s="4"/>
      <c r="BM531" s="5">
        <v>42489</v>
      </c>
      <c r="BN531" s="4"/>
      <c r="BO531" s="4"/>
      <c r="BP531" s="4"/>
      <c r="BQ531" s="4"/>
      <c r="BR531" s="4"/>
      <c r="BS531" s="4"/>
      <c r="BT531" s="5">
        <v>42527</v>
      </c>
      <c r="BU531" s="4"/>
      <c r="BV531" s="5">
        <v>42555</v>
      </c>
      <c r="BW531" s="4"/>
      <c r="BX531" s="4"/>
      <c r="BY531" s="5">
        <v>42569</v>
      </c>
      <c r="BZ531" s="4"/>
      <c r="CA531" s="4"/>
      <c r="CB531" s="4"/>
      <c r="CC531" s="4"/>
      <c r="CD531" s="4"/>
      <c r="CE531" s="4"/>
      <c r="CF531" s="4"/>
      <c r="CG531" s="4"/>
      <c r="CH531" s="4"/>
      <c r="CI531" s="4"/>
      <c r="CJ531" s="5">
        <v>42590</v>
      </c>
      <c r="CK531" s="4"/>
      <c r="CL531" s="4"/>
      <c r="CM531" s="4"/>
      <c r="CN531" s="4"/>
      <c r="CO531" s="4"/>
      <c r="CP531" s="4" t="s">
        <v>1694</v>
      </c>
      <c r="CQ531" s="4"/>
      <c r="CR531" s="4"/>
      <c r="CS531" s="4"/>
      <c r="CT531" s="4"/>
      <c r="CU531" s="4"/>
      <c r="CV531" s="4"/>
      <c r="CW531" s="4"/>
      <c r="CX531" s="4"/>
      <c r="CY531" s="4"/>
      <c r="CZ531" s="4"/>
      <c r="DA531" s="5">
        <v>42583</v>
      </c>
      <c r="DB531" s="4"/>
      <c r="DC531" s="4"/>
      <c r="DD531" s="4"/>
      <c r="DE531" s="4"/>
      <c r="DF531" s="4"/>
      <c r="DG531" s="4"/>
      <c r="DH531" s="4" t="s">
        <v>174</v>
      </c>
      <c r="DI531" s="4"/>
      <c r="DJ531" s="4" t="b">
        <v>0</v>
      </c>
      <c r="DK531" s="4"/>
      <c r="DL531" s="4"/>
      <c r="DM531" s="4"/>
      <c r="DN531" s="4"/>
      <c r="DO531" s="4"/>
      <c r="DP531" s="4"/>
      <c r="DQ531" s="4" t="s">
        <v>148</v>
      </c>
      <c r="DR531" s="4" t="s">
        <v>255</v>
      </c>
      <c r="DS531" s="4"/>
      <c r="DT531" s="4"/>
      <c r="DU531" s="4" t="s">
        <v>178</v>
      </c>
      <c r="DV531" s="4"/>
      <c r="DW531" s="4"/>
      <c r="DX531" s="4"/>
      <c r="DY531" s="5">
        <v>42485</v>
      </c>
      <c r="DZ531" s="4"/>
      <c r="EA531" s="4"/>
      <c r="EB531" s="5">
        <v>42290</v>
      </c>
      <c r="EC531" s="4"/>
      <c r="ED531" s="4"/>
      <c r="EE531" s="5">
        <v>42513</v>
      </c>
      <c r="EF531" s="4"/>
      <c r="EG531" s="4"/>
      <c r="EH531" s="4"/>
      <c r="EI531" s="5">
        <v>42272</v>
      </c>
    </row>
    <row r="532" spans="1:139" hidden="1" x14ac:dyDescent="0.2">
      <c r="A532">
        <f>VLOOKUP(B532,Sheet1!$A$1:$B$18,2,FALSE)</f>
        <v>0</v>
      </c>
      <c r="B532" t="str">
        <f t="shared" si="9"/>
        <v>BOP</v>
      </c>
      <c r="C532" s="2">
        <v>531</v>
      </c>
      <c r="D532" s="3" t="str">
        <f>HYPERLINK("https://sitebase.nzcomms.co.nz/spm/spmnominalview/BOP-022-029/","BOP-022-029")</f>
        <v>BOP-022-029</v>
      </c>
      <c r="E532" s="4" t="s">
        <v>1695</v>
      </c>
      <c r="F532" s="4"/>
      <c r="G532" s="4"/>
      <c r="H532" s="4" t="s">
        <v>1632</v>
      </c>
      <c r="I532" s="4"/>
      <c r="J532" s="4" t="s">
        <v>331</v>
      </c>
      <c r="K532" s="4"/>
      <c r="L532" s="4"/>
      <c r="M532" s="4"/>
      <c r="N532" s="4"/>
      <c r="O532" s="4"/>
      <c r="P532" s="4"/>
      <c r="Q532" s="4"/>
      <c r="R532" s="4"/>
      <c r="S532" s="4"/>
      <c r="T532" s="4"/>
      <c r="U532" s="4"/>
      <c r="V532" s="4"/>
      <c r="W532" s="4"/>
      <c r="X532" s="4"/>
      <c r="Y532" s="4"/>
      <c r="Z532" s="4"/>
      <c r="AA532" s="4"/>
      <c r="AB532" s="4"/>
      <c r="AC532" s="4"/>
      <c r="AD532" s="4"/>
      <c r="AE532" s="4"/>
      <c r="AF532" s="4"/>
      <c r="AG532" s="4" t="b">
        <v>0</v>
      </c>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t="s">
        <v>1696</v>
      </c>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row>
    <row r="533" spans="1:139" hidden="1" x14ac:dyDescent="0.2">
      <c r="A533">
        <f>VLOOKUP(B533,Sheet1!$A$1:$B$18,2,FALSE)</f>
        <v>0</v>
      </c>
      <c r="B533" t="str">
        <f t="shared" si="9"/>
        <v>BOP</v>
      </c>
      <c r="C533" s="2">
        <v>532</v>
      </c>
      <c r="D533" s="3" t="str">
        <f>HYPERLINK("https://sitebase.nzcomms.co.nz/spm/spmnominalview/BOP-022-030/","BOP-022-030")</f>
        <v>BOP-022-030</v>
      </c>
      <c r="E533" s="4" t="s">
        <v>1697</v>
      </c>
      <c r="F533" s="3" t="str">
        <f>HYPERLINK("https://sitebase.nzcomms.co.nz/spm/spmcandidateview/BOP-022-030-A/","BOP-022-030-A")</f>
        <v>BOP-022-030-A</v>
      </c>
      <c r="G533" s="4" t="s">
        <v>1698</v>
      </c>
      <c r="H533" s="4" t="s">
        <v>1632</v>
      </c>
      <c r="I533" s="4">
        <v>22</v>
      </c>
      <c r="J533" s="4" t="s">
        <v>331</v>
      </c>
      <c r="K533" s="4" t="s">
        <v>141</v>
      </c>
      <c r="L533" s="4" t="s">
        <v>142</v>
      </c>
      <c r="M533" s="4" t="s">
        <v>166</v>
      </c>
      <c r="N533" s="4" t="s">
        <v>142</v>
      </c>
      <c r="O533" s="4"/>
      <c r="P533" s="4" t="s">
        <v>169</v>
      </c>
      <c r="Q533" s="4" t="s">
        <v>142</v>
      </c>
      <c r="R533" s="4">
        <v>19</v>
      </c>
      <c r="S533" s="4">
        <v>20</v>
      </c>
      <c r="T533" s="4"/>
      <c r="U533" s="4"/>
      <c r="V533" s="4"/>
      <c r="W533" s="4"/>
      <c r="X533" s="4"/>
      <c r="Y533" s="4"/>
      <c r="Z533" s="4"/>
      <c r="AA533" s="4" t="s">
        <v>171</v>
      </c>
      <c r="AB533" s="3" t="str">
        <f>HYPERLINK("https://sitebase.nzcomms.co.nz/spm/spmcandidateview/WKT-015-012-C/","WKT-015-012-C")</f>
        <v>WKT-015-012-C</v>
      </c>
      <c r="AC533" s="4" t="b">
        <v>0</v>
      </c>
      <c r="AD533" s="4" t="b">
        <v>0</v>
      </c>
      <c r="AE533" s="4"/>
      <c r="AF533" s="4"/>
      <c r="AG533" s="4" t="b">
        <v>0</v>
      </c>
      <c r="AH533" s="4"/>
      <c r="AI533" s="5">
        <v>42335</v>
      </c>
      <c r="AJ533" s="5">
        <v>42335</v>
      </c>
      <c r="AK533" s="5">
        <v>42340</v>
      </c>
      <c r="AL533" s="5">
        <v>42340</v>
      </c>
      <c r="AM533" s="5">
        <v>42383</v>
      </c>
      <c r="AN533" s="5">
        <v>42384</v>
      </c>
      <c r="AO533" s="4">
        <v>1</v>
      </c>
      <c r="AP533" s="5">
        <v>42388</v>
      </c>
      <c r="AQ533" s="5">
        <v>42384</v>
      </c>
      <c r="AR533" s="5">
        <v>42443</v>
      </c>
      <c r="AS533" s="4"/>
      <c r="AT533" s="5">
        <v>42492</v>
      </c>
      <c r="AU533" s="4"/>
      <c r="AV533" s="4"/>
      <c r="AW533" s="5">
        <v>42506</v>
      </c>
      <c r="AX533" s="4"/>
      <c r="AY533" s="4" t="s">
        <v>183</v>
      </c>
      <c r="AZ533" s="5">
        <v>42422</v>
      </c>
      <c r="BA533" s="4"/>
      <c r="BB533" s="5">
        <v>42457</v>
      </c>
      <c r="BC533" s="4"/>
      <c r="BD533" s="4"/>
      <c r="BE533" s="5">
        <v>42457</v>
      </c>
      <c r="BF533" s="4"/>
      <c r="BG533" s="5">
        <v>42422</v>
      </c>
      <c r="BH533" s="4"/>
      <c r="BI533" s="5">
        <v>42436</v>
      </c>
      <c r="BJ533" s="4"/>
      <c r="BK533" s="4"/>
      <c r="BL533" s="4"/>
      <c r="BM533" s="5">
        <v>42443</v>
      </c>
      <c r="BN533" s="4"/>
      <c r="BO533" s="4"/>
      <c r="BP533" s="4"/>
      <c r="BQ533" s="4"/>
      <c r="BR533" s="4"/>
      <c r="BS533" s="4"/>
      <c r="BT533" s="5">
        <v>42527</v>
      </c>
      <c r="BU533" s="4"/>
      <c r="BV533" s="5">
        <v>42555</v>
      </c>
      <c r="BW533" s="4"/>
      <c r="BX533" s="4"/>
      <c r="BY533" s="5">
        <v>42569</v>
      </c>
      <c r="BZ533" s="4"/>
      <c r="CA533" s="4"/>
      <c r="CB533" s="4"/>
      <c r="CC533" s="4"/>
      <c r="CD533" s="4"/>
      <c r="CE533" s="4"/>
      <c r="CF533" s="4"/>
      <c r="CG533" s="4"/>
      <c r="CH533" s="4"/>
      <c r="CI533" s="4"/>
      <c r="CJ533" s="5">
        <v>42600</v>
      </c>
      <c r="CK533" s="4"/>
      <c r="CL533" s="4"/>
      <c r="CM533" s="4"/>
      <c r="CN533" s="4"/>
      <c r="CO533" s="4"/>
      <c r="CP533" s="4" t="s">
        <v>1699</v>
      </c>
      <c r="CQ533" s="4" t="s">
        <v>230</v>
      </c>
      <c r="CR533" s="4"/>
      <c r="CS533" s="4"/>
      <c r="CT533" s="4"/>
      <c r="CU533" s="4"/>
      <c r="CV533" s="4"/>
      <c r="CW533" s="4"/>
      <c r="CX533" s="4"/>
      <c r="CY533" s="4"/>
      <c r="CZ533" s="4"/>
      <c r="DA533" s="5">
        <v>42583</v>
      </c>
      <c r="DB533" s="4"/>
      <c r="DC533" s="4"/>
      <c r="DD533" s="4"/>
      <c r="DE533" s="4"/>
      <c r="DF533" s="4"/>
      <c r="DG533" s="4"/>
      <c r="DH533" s="4" t="s">
        <v>174</v>
      </c>
      <c r="DI533" s="4"/>
      <c r="DJ533" s="4" t="b">
        <v>0</v>
      </c>
      <c r="DK533" s="4"/>
      <c r="DL533" s="4"/>
      <c r="DM533" s="4"/>
      <c r="DN533" s="4" t="s">
        <v>1700</v>
      </c>
      <c r="DO533" s="4"/>
      <c r="DP533" s="4"/>
      <c r="DQ533" s="4" t="s">
        <v>148</v>
      </c>
      <c r="DR533" s="4" t="s">
        <v>255</v>
      </c>
      <c r="DS533" s="4"/>
      <c r="DT533" s="4"/>
      <c r="DU533" s="4" t="s">
        <v>178</v>
      </c>
      <c r="DV533" s="4"/>
      <c r="DW533" s="4"/>
      <c r="DX533" s="4"/>
      <c r="DY533" s="5">
        <v>42485</v>
      </c>
      <c r="DZ533" s="4"/>
      <c r="EA533" s="4"/>
      <c r="EB533" s="5">
        <v>42319</v>
      </c>
      <c r="EC533" s="4"/>
      <c r="ED533" s="4"/>
      <c r="EE533" s="5">
        <v>42513</v>
      </c>
      <c r="EF533" s="4"/>
      <c r="EG533" s="4"/>
      <c r="EH533" s="4"/>
      <c r="EI533" s="5">
        <v>42340</v>
      </c>
    </row>
    <row r="534" spans="1:139" hidden="1" x14ac:dyDescent="0.2">
      <c r="A534">
        <f>VLOOKUP(B534,Sheet1!$A$1:$B$18,2,FALSE)</f>
        <v>0</v>
      </c>
      <c r="B534" t="str">
        <f t="shared" si="9"/>
        <v>BOP</v>
      </c>
      <c r="C534" s="2">
        <v>533</v>
      </c>
      <c r="D534" s="3" t="str">
        <f>HYPERLINK("https://sitebase.nzcomms.co.nz/spm/spmnominalview/BOP-023-001/","BOP-023-001")</f>
        <v>BOP-023-001</v>
      </c>
      <c r="E534" s="4" t="s">
        <v>1701</v>
      </c>
      <c r="F534" s="3" t="str">
        <f>HYPERLINK("https://sitebase.nzcomms.co.nz/spm/spmcandidateview/BOP-023-001-D/","BOP-023-001-D")</f>
        <v>BOP-023-001-D</v>
      </c>
      <c r="G534" s="4" t="s">
        <v>1702</v>
      </c>
      <c r="H534" s="4" t="s">
        <v>1703</v>
      </c>
      <c r="I534" s="4">
        <v>20</v>
      </c>
      <c r="J534" s="4" t="s">
        <v>1633</v>
      </c>
      <c r="K534" s="4" t="s">
        <v>141</v>
      </c>
      <c r="L534" s="4" t="s">
        <v>181</v>
      </c>
      <c r="M534" s="4" t="s">
        <v>190</v>
      </c>
      <c r="N534" s="4" t="s">
        <v>181</v>
      </c>
      <c r="O534" s="4" t="s">
        <v>144</v>
      </c>
      <c r="P534" s="4" t="s">
        <v>182</v>
      </c>
      <c r="Q534" s="4" t="s">
        <v>192</v>
      </c>
      <c r="R534" s="4">
        <v>33</v>
      </c>
      <c r="S534" s="4">
        <v>33.5</v>
      </c>
      <c r="T534" s="4">
        <v>2</v>
      </c>
      <c r="U534" s="4">
        <v>-37.632777699999998</v>
      </c>
      <c r="V534" s="4">
        <v>176.17822176999999</v>
      </c>
      <c r="W534" s="4"/>
      <c r="X534" s="5">
        <v>40164</v>
      </c>
      <c r="Y534" s="4"/>
      <c r="Z534" s="5">
        <v>40164</v>
      </c>
      <c r="AA534" s="4" t="s">
        <v>171</v>
      </c>
      <c r="AB534" s="3" t="str">
        <f>HYPERLINK("https://sitebase.nzcomms.co.nz/spm/spmcandidateview/BOP-023-007-B/","BOP-023-007-B")</f>
        <v>BOP-023-007-B</v>
      </c>
      <c r="AC534" s="4" t="b">
        <v>1</v>
      </c>
      <c r="AD534" s="4" t="b">
        <v>1</v>
      </c>
      <c r="AE534" s="5">
        <v>40267</v>
      </c>
      <c r="AF534" s="5">
        <v>40284</v>
      </c>
      <c r="AG534" s="4" t="b">
        <v>1</v>
      </c>
      <c r="AH534" s="4" t="s">
        <v>1704</v>
      </c>
      <c r="AI534" s="5">
        <v>40267</v>
      </c>
      <c r="AJ534" s="5">
        <v>40267</v>
      </c>
      <c r="AK534" s="4"/>
      <c r="AL534" s="4"/>
      <c r="AM534" s="5">
        <v>40280</v>
      </c>
      <c r="AN534" s="5">
        <v>40282</v>
      </c>
      <c r="AO534" s="4">
        <v>4</v>
      </c>
      <c r="AP534" s="5">
        <v>40717</v>
      </c>
      <c r="AQ534" s="5">
        <v>41907</v>
      </c>
      <c r="AR534" s="5">
        <v>40340</v>
      </c>
      <c r="AS534" s="5">
        <v>40297</v>
      </c>
      <c r="AT534" s="5">
        <v>40312</v>
      </c>
      <c r="AU534" s="5">
        <v>40297</v>
      </c>
      <c r="AV534" s="4"/>
      <c r="AW534" s="5">
        <v>40340</v>
      </c>
      <c r="AX534" s="5">
        <v>40339</v>
      </c>
      <c r="AY534" s="4" t="s">
        <v>172</v>
      </c>
      <c r="AZ534" s="5">
        <v>40298</v>
      </c>
      <c r="BA534" s="5">
        <v>40304</v>
      </c>
      <c r="BB534" s="5">
        <v>40338</v>
      </c>
      <c r="BC534" s="5">
        <v>40322</v>
      </c>
      <c r="BD534" s="4">
        <v>1</v>
      </c>
      <c r="BE534" s="5">
        <v>40794</v>
      </c>
      <c r="BF534" s="5">
        <v>40786</v>
      </c>
      <c r="BG534" s="4"/>
      <c r="BH534" s="4"/>
      <c r="BI534" s="5">
        <v>40680</v>
      </c>
      <c r="BJ534" s="5">
        <v>40682</v>
      </c>
      <c r="BK534" s="4">
        <v>1</v>
      </c>
      <c r="BL534" s="4"/>
      <c r="BM534" s="5">
        <v>40680</v>
      </c>
      <c r="BN534" s="5">
        <v>40682</v>
      </c>
      <c r="BO534" s="5">
        <v>40672</v>
      </c>
      <c r="BP534" s="4"/>
      <c r="BQ534" s="4"/>
      <c r="BR534" s="4"/>
      <c r="BS534" s="4"/>
      <c r="BT534" s="5">
        <v>40665</v>
      </c>
      <c r="BU534" s="5">
        <v>40665</v>
      </c>
      <c r="BV534" s="5">
        <v>40732</v>
      </c>
      <c r="BW534" s="5">
        <v>40732</v>
      </c>
      <c r="BX534" s="5">
        <v>40716</v>
      </c>
      <c r="BY534" s="5">
        <v>40725</v>
      </c>
      <c r="BZ534" s="5">
        <v>40725</v>
      </c>
      <c r="CA534" s="4"/>
      <c r="CB534" s="4"/>
      <c r="CC534" s="4"/>
      <c r="CD534" s="4"/>
      <c r="CE534" s="4"/>
      <c r="CF534" s="4"/>
      <c r="CG534" s="4"/>
      <c r="CH534" s="4"/>
      <c r="CI534" s="5">
        <v>40750</v>
      </c>
      <c r="CJ534" s="5">
        <v>40770</v>
      </c>
      <c r="CK534" s="5">
        <v>40779</v>
      </c>
      <c r="CL534" s="5">
        <v>40770</v>
      </c>
      <c r="CM534" s="5">
        <v>40777</v>
      </c>
      <c r="CN534" s="5">
        <v>40862</v>
      </c>
      <c r="CO534" s="5">
        <v>40925</v>
      </c>
      <c r="CP534" s="4" t="s">
        <v>1705</v>
      </c>
      <c r="CQ534" s="4"/>
      <c r="CR534" s="5">
        <v>40751</v>
      </c>
      <c r="CS534" s="4"/>
      <c r="CT534" s="5">
        <v>40647</v>
      </c>
      <c r="CU534" s="5">
        <v>40700</v>
      </c>
      <c r="CV534" s="5">
        <v>40724</v>
      </c>
      <c r="CW534" s="5">
        <v>40693</v>
      </c>
      <c r="CX534" s="5">
        <v>40672</v>
      </c>
      <c r="CY534" s="5">
        <v>40717</v>
      </c>
      <c r="CZ534" s="5">
        <v>40725</v>
      </c>
      <c r="DA534" s="4"/>
      <c r="DB534" s="5">
        <v>40757</v>
      </c>
      <c r="DC534" s="4"/>
      <c r="DD534" s="4"/>
      <c r="DE534" s="4"/>
      <c r="DF534" s="4"/>
      <c r="DG534" s="4"/>
      <c r="DH534" s="4"/>
      <c r="DI534" s="4"/>
      <c r="DJ534" s="4" t="b">
        <v>0</v>
      </c>
      <c r="DK534" s="4"/>
      <c r="DL534" s="4">
        <v>2790693</v>
      </c>
      <c r="DM534" s="4">
        <v>6391669</v>
      </c>
      <c r="DN534" s="4" t="s">
        <v>1706</v>
      </c>
      <c r="DO534" s="4"/>
      <c r="DP534" s="4"/>
      <c r="DQ534" s="4" t="s">
        <v>148</v>
      </c>
      <c r="DR534" s="4"/>
      <c r="DS534" s="4"/>
      <c r="DT534" s="5">
        <v>41978</v>
      </c>
      <c r="DU534" s="4"/>
      <c r="DV534" s="4"/>
      <c r="DW534" s="4"/>
      <c r="DX534" s="4"/>
      <c r="DY534" s="4"/>
      <c r="DZ534" s="4"/>
      <c r="EA534" s="4"/>
      <c r="EB534" s="4"/>
      <c r="EC534" s="4"/>
      <c r="ED534" s="4"/>
      <c r="EE534" s="4"/>
      <c r="EF534" s="4"/>
      <c r="EG534" s="5">
        <v>40756</v>
      </c>
      <c r="EH534" s="5">
        <v>40756</v>
      </c>
      <c r="EI534" s="5">
        <v>40267</v>
      </c>
    </row>
    <row r="535" spans="1:139" hidden="1" x14ac:dyDescent="0.2">
      <c r="A535">
        <f>VLOOKUP(B535,Sheet1!$A$1:$B$18,2,FALSE)</f>
        <v>0</v>
      </c>
      <c r="B535" t="str">
        <f t="shared" si="9"/>
        <v>BOP</v>
      </c>
      <c r="C535" s="2">
        <v>534</v>
      </c>
      <c r="D535" s="3" t="str">
        <f>HYPERLINK("https://sitebase.nzcomms.co.nz/spm/spmnominalview/BOP-023-002/","BOP-023-002")</f>
        <v>BOP-023-002</v>
      </c>
      <c r="E535" s="4" t="s">
        <v>1707</v>
      </c>
      <c r="F535" s="3" t="str">
        <f>HYPERLINK("https://sitebase.nzcomms.co.nz/spm/spmcandidateview/BOP-023-002-E/","BOP-023-002-E")</f>
        <v>BOP-023-002-E</v>
      </c>
      <c r="G535" s="4" t="s">
        <v>1708</v>
      </c>
      <c r="H535" s="4" t="s">
        <v>1703</v>
      </c>
      <c r="I535" s="4">
        <v>20</v>
      </c>
      <c r="J535" s="4" t="s">
        <v>1633</v>
      </c>
      <c r="K535" s="4" t="s">
        <v>141</v>
      </c>
      <c r="L535" s="4" t="s">
        <v>189</v>
      </c>
      <c r="M535" s="4" t="s">
        <v>190</v>
      </c>
      <c r="N535" s="4" t="s">
        <v>274</v>
      </c>
      <c r="O535" s="4" t="s">
        <v>356</v>
      </c>
      <c r="P535" s="4" t="s">
        <v>182</v>
      </c>
      <c r="Q535" s="4" t="s">
        <v>192</v>
      </c>
      <c r="R535" s="4">
        <v>14.2</v>
      </c>
      <c r="S535" s="4">
        <v>14.7</v>
      </c>
      <c r="T535" s="4">
        <v>1</v>
      </c>
      <c r="U535" s="4">
        <v>-37.665707820000002</v>
      </c>
      <c r="V535" s="4">
        <v>176.13972573999999</v>
      </c>
      <c r="W535" s="4"/>
      <c r="X535" s="5">
        <v>40164</v>
      </c>
      <c r="Y535" s="4"/>
      <c r="Z535" s="5">
        <v>40164</v>
      </c>
      <c r="AA535" s="4" t="s">
        <v>171</v>
      </c>
      <c r="AB535" s="3" t="str">
        <f>HYPERLINK("https://sitebase.nzcomms.co.nz/spm/spmcandidateview/BOP-022-019-A/","BOP-022-019-A")</f>
        <v>BOP-022-019-A</v>
      </c>
      <c r="AC535" s="4" t="b">
        <v>1</v>
      </c>
      <c r="AD535" s="4" t="b">
        <v>1</v>
      </c>
      <c r="AE535" s="5">
        <v>40198</v>
      </c>
      <c r="AF535" s="4"/>
      <c r="AG535" s="4" t="b">
        <v>1</v>
      </c>
      <c r="AH535" s="4" t="s">
        <v>1709</v>
      </c>
      <c r="AI535" s="5">
        <v>40253</v>
      </c>
      <c r="AJ535" s="5">
        <v>40255</v>
      </c>
      <c r="AK535" s="4"/>
      <c r="AL535" s="4"/>
      <c r="AM535" s="5">
        <v>40269</v>
      </c>
      <c r="AN535" s="5">
        <v>40266</v>
      </c>
      <c r="AO535" s="4">
        <v>3</v>
      </c>
      <c r="AP535" s="5">
        <v>40269</v>
      </c>
      <c r="AQ535" s="5">
        <v>41984</v>
      </c>
      <c r="AR535" s="5">
        <v>40312</v>
      </c>
      <c r="AS535" s="5">
        <v>40304</v>
      </c>
      <c r="AT535" s="5">
        <v>40347</v>
      </c>
      <c r="AU535" s="5">
        <v>40347</v>
      </c>
      <c r="AV535" s="4"/>
      <c r="AW535" s="5">
        <v>40347</v>
      </c>
      <c r="AX535" s="5">
        <v>40347</v>
      </c>
      <c r="AY535" s="4" t="s">
        <v>193</v>
      </c>
      <c r="AZ535" s="5">
        <v>40277</v>
      </c>
      <c r="BA535" s="5">
        <v>40268</v>
      </c>
      <c r="BB535" s="5">
        <v>40305</v>
      </c>
      <c r="BC535" s="5">
        <v>40283</v>
      </c>
      <c r="BD535" s="4">
        <v>1</v>
      </c>
      <c r="BE535" s="5">
        <v>40312</v>
      </c>
      <c r="BF535" s="5">
        <v>40283</v>
      </c>
      <c r="BG535" s="4"/>
      <c r="BH535" s="4"/>
      <c r="BI535" s="5">
        <v>40680</v>
      </c>
      <c r="BJ535" s="5">
        <v>40683</v>
      </c>
      <c r="BK535" s="4">
        <v>1</v>
      </c>
      <c r="BL535" s="4"/>
      <c r="BM535" s="5">
        <v>40680</v>
      </c>
      <c r="BN535" s="5">
        <v>40683</v>
      </c>
      <c r="BO535" s="5">
        <v>40694</v>
      </c>
      <c r="BP535" s="4"/>
      <c r="BQ535" s="4"/>
      <c r="BR535" s="5">
        <v>40701</v>
      </c>
      <c r="BS535" s="4"/>
      <c r="BT535" s="5">
        <v>40728</v>
      </c>
      <c r="BU535" s="5">
        <v>40728</v>
      </c>
      <c r="BV535" s="5">
        <v>40736</v>
      </c>
      <c r="BW535" s="5">
        <v>40736</v>
      </c>
      <c r="BX535" s="5">
        <v>40736</v>
      </c>
      <c r="BY535" s="5">
        <v>40738</v>
      </c>
      <c r="BZ535" s="5">
        <v>40753</v>
      </c>
      <c r="CA535" s="4"/>
      <c r="CB535" s="4"/>
      <c r="CC535" s="4"/>
      <c r="CD535" s="4"/>
      <c r="CE535" s="4"/>
      <c r="CF535" s="4"/>
      <c r="CG535" s="4"/>
      <c r="CH535" s="4"/>
      <c r="CI535" s="5">
        <v>40753</v>
      </c>
      <c r="CJ535" s="5">
        <v>40770</v>
      </c>
      <c r="CK535" s="5">
        <v>40779</v>
      </c>
      <c r="CL535" s="5">
        <v>40770</v>
      </c>
      <c r="CM535" s="5">
        <v>40770</v>
      </c>
      <c r="CN535" s="5">
        <v>40862</v>
      </c>
      <c r="CO535" s="5">
        <v>40925</v>
      </c>
      <c r="CP535" s="4" t="s">
        <v>1710</v>
      </c>
      <c r="CQ535" s="4"/>
      <c r="CR535" s="5">
        <v>40756</v>
      </c>
      <c r="CS535" s="4"/>
      <c r="CT535" s="5">
        <v>40647</v>
      </c>
      <c r="CU535" s="5">
        <v>40700</v>
      </c>
      <c r="CV535" s="5">
        <v>40724</v>
      </c>
      <c r="CW535" s="4"/>
      <c r="CX535" s="5">
        <v>40694</v>
      </c>
      <c r="CY535" s="5">
        <v>40738</v>
      </c>
      <c r="CZ535" s="5">
        <v>40738</v>
      </c>
      <c r="DA535" s="4"/>
      <c r="DB535" s="5">
        <v>40759</v>
      </c>
      <c r="DC535" s="4"/>
      <c r="DD535" s="4"/>
      <c r="DE535" s="4"/>
      <c r="DF535" s="4"/>
      <c r="DG535" s="4"/>
      <c r="DH535" s="4"/>
      <c r="DI535" s="5">
        <v>40737</v>
      </c>
      <c r="DJ535" s="4" t="b">
        <v>1</v>
      </c>
      <c r="DK535" s="4"/>
      <c r="DL535" s="4">
        <v>2787169</v>
      </c>
      <c r="DM535" s="4">
        <v>6388137</v>
      </c>
      <c r="DN535" s="4" t="s">
        <v>1711</v>
      </c>
      <c r="DO535" s="4"/>
      <c r="DP535" s="4"/>
      <c r="DQ535" s="4" t="s">
        <v>148</v>
      </c>
      <c r="DR535" s="4"/>
      <c r="DS535" s="4"/>
      <c r="DT535" s="5">
        <v>42151</v>
      </c>
      <c r="DU535" s="4"/>
      <c r="DV535" s="4"/>
      <c r="DW535" s="4"/>
      <c r="DX535" s="4"/>
      <c r="DY535" s="4"/>
      <c r="DZ535" s="4"/>
      <c r="EA535" s="4"/>
      <c r="EB535" s="4"/>
      <c r="EC535" s="4"/>
      <c r="ED535" s="4"/>
      <c r="EE535" s="4"/>
      <c r="EF535" s="4"/>
      <c r="EG535" s="5">
        <v>40749</v>
      </c>
      <c r="EH535" s="5">
        <v>40758</v>
      </c>
      <c r="EI535" s="5">
        <v>40255</v>
      </c>
    </row>
    <row r="536" spans="1:139" hidden="1" x14ac:dyDescent="0.2">
      <c r="A536">
        <f>VLOOKUP(B536,Sheet1!$A$1:$B$18,2,FALSE)</f>
        <v>0</v>
      </c>
      <c r="B536" t="str">
        <f t="shared" si="9"/>
        <v>BOP</v>
      </c>
      <c r="C536" s="2">
        <v>535</v>
      </c>
      <c r="D536" s="3" t="str">
        <f>HYPERLINK("https://sitebase.nzcomms.co.nz/spm/spmnominalview/BOP-023-003/","BOP-023-003")</f>
        <v>BOP-023-003</v>
      </c>
      <c r="E536" s="4" t="s">
        <v>1712</v>
      </c>
      <c r="F536" s="3" t="str">
        <f>HYPERLINK("https://sitebase.nzcomms.co.nz/spm/spmcandidateview/BOP-023-003-A/","BOP-023-003-A")</f>
        <v>BOP-023-003-A</v>
      </c>
      <c r="G536" s="4" t="s">
        <v>1713</v>
      </c>
      <c r="H536" s="4" t="s">
        <v>1703</v>
      </c>
      <c r="I536" s="4">
        <v>20</v>
      </c>
      <c r="J536" s="4" t="s">
        <v>1633</v>
      </c>
      <c r="K536" s="4" t="s">
        <v>141</v>
      </c>
      <c r="L536" s="4" t="s">
        <v>181</v>
      </c>
      <c r="M536" s="4" t="s">
        <v>190</v>
      </c>
      <c r="N536" s="4" t="s">
        <v>181</v>
      </c>
      <c r="O536" s="4" t="s">
        <v>144</v>
      </c>
      <c r="P536" s="4" t="s">
        <v>169</v>
      </c>
      <c r="Q536" s="4" t="s">
        <v>170</v>
      </c>
      <c r="R536" s="4">
        <v>24.9</v>
      </c>
      <c r="S536" s="4">
        <v>26.3</v>
      </c>
      <c r="T536" s="4">
        <v>1</v>
      </c>
      <c r="U536" s="4">
        <v>-37.708007809999998</v>
      </c>
      <c r="V536" s="4">
        <v>176.14701292000001</v>
      </c>
      <c r="W536" s="4"/>
      <c r="X536" s="5">
        <v>40164</v>
      </c>
      <c r="Y536" s="4"/>
      <c r="Z536" s="5">
        <v>40164</v>
      </c>
      <c r="AA536" s="4" t="s">
        <v>145</v>
      </c>
      <c r="AB536" s="3" t="str">
        <f>HYPERLINK("https://sitebase.nzcomms.co.nz/spm/spmcandidateview/BOP-023-004-A/","BOP-023-004-A")</f>
        <v>BOP-023-004-A</v>
      </c>
      <c r="AC536" s="4" t="b">
        <v>1</v>
      </c>
      <c r="AD536" s="4" t="b">
        <v>1</v>
      </c>
      <c r="AE536" s="5">
        <v>40227</v>
      </c>
      <c r="AF536" s="4"/>
      <c r="AG536" s="4" t="b">
        <v>1</v>
      </c>
      <c r="AH536" s="4" t="s">
        <v>1714</v>
      </c>
      <c r="AI536" s="5">
        <v>40235</v>
      </c>
      <c r="AJ536" s="5">
        <v>40233</v>
      </c>
      <c r="AK536" s="4"/>
      <c r="AL536" s="4"/>
      <c r="AM536" s="5">
        <v>40249</v>
      </c>
      <c r="AN536" s="5">
        <v>40249</v>
      </c>
      <c r="AO536" s="4">
        <v>4</v>
      </c>
      <c r="AP536" s="5">
        <v>40256</v>
      </c>
      <c r="AQ536" s="5">
        <v>42020</v>
      </c>
      <c r="AR536" s="5">
        <v>40305</v>
      </c>
      <c r="AS536" s="5">
        <v>40304</v>
      </c>
      <c r="AT536" s="5">
        <v>40437</v>
      </c>
      <c r="AU536" s="5">
        <v>40434</v>
      </c>
      <c r="AV536" s="4"/>
      <c r="AW536" s="5">
        <v>40437</v>
      </c>
      <c r="AX536" s="5">
        <v>40434</v>
      </c>
      <c r="AY536" s="4" t="s">
        <v>183</v>
      </c>
      <c r="AZ536" s="5">
        <v>40256</v>
      </c>
      <c r="BA536" s="5">
        <v>41115</v>
      </c>
      <c r="BB536" s="5">
        <v>40305</v>
      </c>
      <c r="BC536" s="5">
        <v>41148</v>
      </c>
      <c r="BD536" s="4">
        <v>3</v>
      </c>
      <c r="BE536" s="5">
        <v>40305</v>
      </c>
      <c r="BF536" s="5">
        <v>40304</v>
      </c>
      <c r="BG536" s="4"/>
      <c r="BH536" s="4"/>
      <c r="BI536" s="5">
        <v>40696</v>
      </c>
      <c r="BJ536" s="5">
        <v>40697</v>
      </c>
      <c r="BK536" s="4">
        <v>2</v>
      </c>
      <c r="BL536" s="4"/>
      <c r="BM536" s="5">
        <v>40693</v>
      </c>
      <c r="BN536" s="5">
        <v>40722</v>
      </c>
      <c r="BO536" s="5">
        <v>40738</v>
      </c>
      <c r="BP536" s="4"/>
      <c r="BQ536" s="4"/>
      <c r="BR536" s="4"/>
      <c r="BS536" s="4"/>
      <c r="BT536" s="5">
        <v>40721</v>
      </c>
      <c r="BU536" s="5">
        <v>40738</v>
      </c>
      <c r="BV536" s="5">
        <v>40759</v>
      </c>
      <c r="BW536" s="5">
        <v>40759</v>
      </c>
      <c r="BX536" s="5">
        <v>40750</v>
      </c>
      <c r="BY536" s="5">
        <v>40759</v>
      </c>
      <c r="BZ536" s="5">
        <v>40760</v>
      </c>
      <c r="CA536" s="4"/>
      <c r="CB536" s="4"/>
      <c r="CC536" s="4"/>
      <c r="CD536" s="4"/>
      <c r="CE536" s="4"/>
      <c r="CF536" s="4"/>
      <c r="CG536" s="4"/>
      <c r="CH536" s="4"/>
      <c r="CI536" s="5">
        <v>40760</v>
      </c>
      <c r="CJ536" s="5">
        <v>40777</v>
      </c>
      <c r="CK536" s="5">
        <v>40779</v>
      </c>
      <c r="CL536" s="5">
        <v>40777</v>
      </c>
      <c r="CM536" s="5">
        <v>40781</v>
      </c>
      <c r="CN536" s="5">
        <v>40871</v>
      </c>
      <c r="CO536" s="5">
        <v>41030</v>
      </c>
      <c r="CP536" s="4" t="s">
        <v>1715</v>
      </c>
      <c r="CQ536" s="4"/>
      <c r="CR536" s="5">
        <v>40759</v>
      </c>
      <c r="CS536" s="5">
        <v>40702</v>
      </c>
      <c r="CT536" s="5">
        <v>40702</v>
      </c>
      <c r="CU536" s="5">
        <v>40707</v>
      </c>
      <c r="CV536" s="5">
        <v>40721</v>
      </c>
      <c r="CW536" s="5">
        <v>40756</v>
      </c>
      <c r="CX536" s="5">
        <v>40738</v>
      </c>
      <c r="CY536" s="5">
        <v>40756</v>
      </c>
      <c r="CZ536" s="5">
        <v>40753</v>
      </c>
      <c r="DA536" s="4"/>
      <c r="DB536" s="5">
        <v>40763</v>
      </c>
      <c r="DC536" s="4"/>
      <c r="DD536" s="4"/>
      <c r="DE536" s="4"/>
      <c r="DF536" s="4"/>
      <c r="DG536" s="4"/>
      <c r="DH536" s="4"/>
      <c r="DI536" s="5">
        <v>40747</v>
      </c>
      <c r="DJ536" s="4" t="b">
        <v>0</v>
      </c>
      <c r="DK536" s="4"/>
      <c r="DL536" s="4">
        <v>2787646</v>
      </c>
      <c r="DM536" s="4">
        <v>6383423</v>
      </c>
      <c r="DN536" s="4" t="s">
        <v>1716</v>
      </c>
      <c r="DO536" s="4"/>
      <c r="DP536" s="4" t="s">
        <v>1717</v>
      </c>
      <c r="DQ536" s="4" t="s">
        <v>148</v>
      </c>
      <c r="DR536" s="4"/>
      <c r="DS536" s="4"/>
      <c r="DT536" s="5">
        <v>42151</v>
      </c>
      <c r="DU536" s="4"/>
      <c r="DV536" s="4"/>
      <c r="DW536" s="4"/>
      <c r="DX536" s="4"/>
      <c r="DY536" s="4"/>
      <c r="DZ536" s="4"/>
      <c r="EA536" s="4"/>
      <c r="EB536" s="4"/>
      <c r="EC536" s="4"/>
      <c r="ED536" s="4"/>
      <c r="EE536" s="4"/>
      <c r="EF536" s="4"/>
      <c r="EG536" s="5">
        <v>40763</v>
      </c>
      <c r="EH536" s="5">
        <v>40763</v>
      </c>
      <c r="EI536" s="5">
        <v>40233</v>
      </c>
    </row>
    <row r="537" spans="1:139" hidden="1" x14ac:dyDescent="0.2">
      <c r="A537">
        <f>VLOOKUP(B537,Sheet1!$A$1:$B$18,2,FALSE)</f>
        <v>0</v>
      </c>
      <c r="B537" t="str">
        <f t="shared" si="9"/>
        <v>BOP</v>
      </c>
      <c r="C537" s="2">
        <v>536</v>
      </c>
      <c r="D537" s="3" t="str">
        <f>HYPERLINK("https://sitebase.nzcomms.co.nz/spm/spmnominalview/BOP-023-004/","BOP-023-004")</f>
        <v>BOP-023-004</v>
      </c>
      <c r="E537" s="4" t="s">
        <v>1718</v>
      </c>
      <c r="F537" s="3" t="str">
        <f>HYPERLINK("https://sitebase.nzcomms.co.nz/spm/spmcandidateview/BOP-023-004-A/","BOP-023-004-A")</f>
        <v>BOP-023-004-A</v>
      </c>
      <c r="G537" s="4" t="s">
        <v>1719</v>
      </c>
      <c r="H537" s="4" t="s">
        <v>1703</v>
      </c>
      <c r="I537" s="4">
        <v>20</v>
      </c>
      <c r="J537" s="4" t="s">
        <v>1633</v>
      </c>
      <c r="K537" s="4" t="s">
        <v>141</v>
      </c>
      <c r="L537" s="4" t="s">
        <v>181</v>
      </c>
      <c r="M537" s="4" t="s">
        <v>190</v>
      </c>
      <c r="N537" s="4" t="s">
        <v>181</v>
      </c>
      <c r="O537" s="4" t="s">
        <v>144</v>
      </c>
      <c r="P537" s="4" t="s">
        <v>182</v>
      </c>
      <c r="Q537" s="4" t="s">
        <v>170</v>
      </c>
      <c r="R537" s="4">
        <v>28</v>
      </c>
      <c r="S537" s="4">
        <v>30.6</v>
      </c>
      <c r="T537" s="4">
        <v>1</v>
      </c>
      <c r="U537" s="4">
        <v>-37.684730080000001</v>
      </c>
      <c r="V537" s="4">
        <v>176.16998670000001</v>
      </c>
      <c r="W537" s="4"/>
      <c r="X537" s="5">
        <v>40164</v>
      </c>
      <c r="Y537" s="4"/>
      <c r="Z537" s="5">
        <v>40164</v>
      </c>
      <c r="AA537" s="4" t="s">
        <v>145</v>
      </c>
      <c r="AB537" s="3" t="str">
        <f>HYPERLINK("https://sitebase.nzcomms.co.nz/spm/spmcandidateview/AKL-007-106-A/","AKL-007-106-A")</f>
        <v>AKL-007-106-A</v>
      </c>
      <c r="AC537" s="4" t="b">
        <v>1</v>
      </c>
      <c r="AD537" s="4" t="b">
        <v>1</v>
      </c>
      <c r="AE537" s="5">
        <v>40235</v>
      </c>
      <c r="AF537" s="5">
        <v>40263</v>
      </c>
      <c r="AG537" s="4" t="b">
        <v>1</v>
      </c>
      <c r="AH537" s="4" t="s">
        <v>1714</v>
      </c>
      <c r="AI537" s="5">
        <v>40256</v>
      </c>
      <c r="AJ537" s="5">
        <v>40252</v>
      </c>
      <c r="AK537" s="4"/>
      <c r="AL537" s="4"/>
      <c r="AM537" s="5">
        <v>40269</v>
      </c>
      <c r="AN537" s="5">
        <v>40269</v>
      </c>
      <c r="AO537" s="4">
        <v>2</v>
      </c>
      <c r="AP537" s="5">
        <v>40269</v>
      </c>
      <c r="AQ537" s="5">
        <v>40344</v>
      </c>
      <c r="AR537" s="5">
        <v>40319</v>
      </c>
      <c r="AS537" s="5">
        <v>40310</v>
      </c>
      <c r="AT537" s="5">
        <v>40386</v>
      </c>
      <c r="AU537" s="5">
        <v>40386</v>
      </c>
      <c r="AV537" s="4">
        <v>2</v>
      </c>
      <c r="AW537" s="5">
        <v>40386</v>
      </c>
      <c r="AX537" s="5">
        <v>40386</v>
      </c>
      <c r="AY537" s="4" t="s">
        <v>183</v>
      </c>
      <c r="AZ537" s="5">
        <v>40277</v>
      </c>
      <c r="BA537" s="5">
        <v>40275</v>
      </c>
      <c r="BB537" s="5">
        <v>40312</v>
      </c>
      <c r="BC537" s="5">
        <v>40308</v>
      </c>
      <c r="BD537" s="4">
        <v>1</v>
      </c>
      <c r="BE537" s="5">
        <v>40319</v>
      </c>
      <c r="BF537" s="5">
        <v>40308</v>
      </c>
      <c r="BG537" s="4"/>
      <c r="BH537" s="4"/>
      <c r="BI537" s="5">
        <v>40711</v>
      </c>
      <c r="BJ537" s="5">
        <v>40732</v>
      </c>
      <c r="BK537" s="4">
        <v>1</v>
      </c>
      <c r="BL537" s="4"/>
      <c r="BM537" s="5">
        <v>40711</v>
      </c>
      <c r="BN537" s="5">
        <v>40732</v>
      </c>
      <c r="BO537" s="5">
        <v>40720</v>
      </c>
      <c r="BP537" s="4"/>
      <c r="BQ537" s="4"/>
      <c r="BR537" s="4"/>
      <c r="BS537" s="4"/>
      <c r="BT537" s="5">
        <v>40690</v>
      </c>
      <c r="BU537" s="5">
        <v>40702</v>
      </c>
      <c r="BV537" s="5">
        <v>40724</v>
      </c>
      <c r="BW537" s="5">
        <v>40735</v>
      </c>
      <c r="BX537" s="5">
        <v>40731</v>
      </c>
      <c r="BY537" s="5">
        <v>40739</v>
      </c>
      <c r="BZ537" s="5">
        <v>40746</v>
      </c>
      <c r="CA537" s="4"/>
      <c r="CB537" s="4"/>
      <c r="CC537" s="4"/>
      <c r="CD537" s="4"/>
      <c r="CE537" s="4"/>
      <c r="CF537" s="4"/>
      <c r="CG537" s="4"/>
      <c r="CH537" s="4"/>
      <c r="CI537" s="5">
        <v>40746</v>
      </c>
      <c r="CJ537" s="5">
        <v>40770</v>
      </c>
      <c r="CK537" s="5">
        <v>40779</v>
      </c>
      <c r="CL537" s="5">
        <v>40770</v>
      </c>
      <c r="CM537" s="5">
        <v>40781</v>
      </c>
      <c r="CN537" s="5">
        <v>40871</v>
      </c>
      <c r="CO537" s="5">
        <v>41033</v>
      </c>
      <c r="CP537" s="4" t="s">
        <v>1720</v>
      </c>
      <c r="CQ537" s="4"/>
      <c r="CR537" s="5">
        <v>40753</v>
      </c>
      <c r="CS537" s="5">
        <v>40702</v>
      </c>
      <c r="CT537" s="5">
        <v>40702</v>
      </c>
      <c r="CU537" s="5">
        <v>40707</v>
      </c>
      <c r="CV537" s="5">
        <v>40721</v>
      </c>
      <c r="CW537" s="5">
        <v>40720</v>
      </c>
      <c r="CX537" s="5">
        <v>40720</v>
      </c>
      <c r="CY537" s="5">
        <v>40716</v>
      </c>
      <c r="CZ537" s="5">
        <v>40728</v>
      </c>
      <c r="DA537" s="4"/>
      <c r="DB537" s="5">
        <v>40756</v>
      </c>
      <c r="DC537" s="4"/>
      <c r="DD537" s="4"/>
      <c r="DE537" s="4"/>
      <c r="DF537" s="4"/>
      <c r="DG537" s="4"/>
      <c r="DH537" s="4"/>
      <c r="DI537" s="5">
        <v>40731</v>
      </c>
      <c r="DJ537" s="4" t="b">
        <v>0</v>
      </c>
      <c r="DK537" s="4"/>
      <c r="DL537" s="4">
        <v>2789762</v>
      </c>
      <c r="DM537" s="4">
        <v>6385933</v>
      </c>
      <c r="DN537" s="4" t="s">
        <v>1721</v>
      </c>
      <c r="DO537" s="4"/>
      <c r="DP537" s="4"/>
      <c r="DQ537" s="4" t="s">
        <v>148</v>
      </c>
      <c r="DR537" s="4"/>
      <c r="DS537" s="4"/>
      <c r="DT537" s="5">
        <v>41978</v>
      </c>
      <c r="DU537" s="4"/>
      <c r="DV537" s="4"/>
      <c r="DW537" s="4"/>
      <c r="DX537" s="4"/>
      <c r="DY537" s="4"/>
      <c r="DZ537" s="4"/>
      <c r="EA537" s="4"/>
      <c r="EB537" s="4"/>
      <c r="EC537" s="4"/>
      <c r="ED537" s="4"/>
      <c r="EE537" s="4"/>
      <c r="EF537" s="4"/>
      <c r="EG537" s="5">
        <v>40756</v>
      </c>
      <c r="EH537" s="5">
        <v>40756</v>
      </c>
      <c r="EI537" s="5">
        <v>40252</v>
      </c>
    </row>
    <row r="538" spans="1:139" hidden="1" x14ac:dyDescent="0.2">
      <c r="A538">
        <f>VLOOKUP(B538,Sheet1!$A$1:$B$18,2,FALSE)</f>
        <v>0</v>
      </c>
      <c r="B538" t="str">
        <f t="shared" si="9"/>
        <v>BOP</v>
      </c>
      <c r="C538" s="2">
        <v>537</v>
      </c>
      <c r="D538" s="3" t="str">
        <f>HYPERLINK("https://sitebase.nzcomms.co.nz/spm/spmnominalview/BOP-023-005/","BOP-023-005")</f>
        <v>BOP-023-005</v>
      </c>
      <c r="E538" s="4" t="s">
        <v>1722</v>
      </c>
      <c r="F538" s="3" t="str">
        <f>HYPERLINK("https://sitebase.nzcomms.co.nz/spm/spmcandidateview/BOP-023-005-A/","BOP-023-005-A")</f>
        <v>BOP-023-005-A</v>
      </c>
      <c r="G538" s="4" t="s">
        <v>1723</v>
      </c>
      <c r="H538" s="4" t="s">
        <v>1703</v>
      </c>
      <c r="I538" s="4">
        <v>20</v>
      </c>
      <c r="J538" s="4" t="s">
        <v>1633</v>
      </c>
      <c r="K538" s="4" t="s">
        <v>141</v>
      </c>
      <c r="L538" s="4" t="s">
        <v>150</v>
      </c>
      <c r="M538" s="4" t="s">
        <v>190</v>
      </c>
      <c r="N538" s="4" t="s">
        <v>291</v>
      </c>
      <c r="O538" s="4" t="s">
        <v>144</v>
      </c>
      <c r="P538" s="4" t="s">
        <v>169</v>
      </c>
      <c r="Q538" s="4" t="s">
        <v>170</v>
      </c>
      <c r="R538" s="4">
        <v>20.100000000000001</v>
      </c>
      <c r="S538" s="4">
        <v>20.6</v>
      </c>
      <c r="T538" s="4">
        <v>1</v>
      </c>
      <c r="U538" s="4">
        <v>-37.643026030000001</v>
      </c>
      <c r="V538" s="4">
        <v>176.18439552999999</v>
      </c>
      <c r="W538" s="4"/>
      <c r="X538" s="5">
        <v>40164</v>
      </c>
      <c r="Y538" s="4"/>
      <c r="Z538" s="5">
        <v>40164</v>
      </c>
      <c r="AA538" s="4" t="s">
        <v>171</v>
      </c>
      <c r="AB538" s="3" t="str">
        <f>HYPERLINK("https://sitebase.nzcomms.co.nz/spm/spmcandidateview/BOP-023-001-D/","BOP-023-001-D")</f>
        <v>BOP-023-001-D</v>
      </c>
      <c r="AC538" s="4" t="b">
        <v>1</v>
      </c>
      <c r="AD538" s="4" t="b">
        <v>1</v>
      </c>
      <c r="AE538" s="5">
        <v>40198</v>
      </c>
      <c r="AF538" s="4"/>
      <c r="AG538" s="4" t="b">
        <v>1</v>
      </c>
      <c r="AH538" s="4" t="s">
        <v>1704</v>
      </c>
      <c r="AI538" s="5">
        <v>40200</v>
      </c>
      <c r="AJ538" s="5">
        <v>40198</v>
      </c>
      <c r="AK538" s="4"/>
      <c r="AL538" s="4"/>
      <c r="AM538" s="5">
        <v>40213</v>
      </c>
      <c r="AN538" s="5">
        <v>40217</v>
      </c>
      <c r="AO538" s="4">
        <v>4</v>
      </c>
      <c r="AP538" s="5">
        <v>40255</v>
      </c>
      <c r="AQ538" s="5">
        <v>41907</v>
      </c>
      <c r="AR538" s="5">
        <v>40298</v>
      </c>
      <c r="AS538" s="5">
        <v>40291</v>
      </c>
      <c r="AT538" s="5">
        <v>40388</v>
      </c>
      <c r="AU538" s="5">
        <v>40388</v>
      </c>
      <c r="AV538" s="4"/>
      <c r="AW538" s="5">
        <v>40393</v>
      </c>
      <c r="AX538" s="5">
        <v>40395</v>
      </c>
      <c r="AY538" s="4" t="s">
        <v>172</v>
      </c>
      <c r="AZ538" s="5">
        <v>40221</v>
      </c>
      <c r="BA538" s="5">
        <v>40220</v>
      </c>
      <c r="BB538" s="5">
        <v>40263</v>
      </c>
      <c r="BC538" s="5">
        <v>40261</v>
      </c>
      <c r="BD538" s="4">
        <v>2</v>
      </c>
      <c r="BE538" s="5">
        <v>40273</v>
      </c>
      <c r="BF538" s="5">
        <v>40261</v>
      </c>
      <c r="BG538" s="4"/>
      <c r="BH538" s="4"/>
      <c r="BI538" s="5">
        <v>40666</v>
      </c>
      <c r="BJ538" s="5">
        <v>40672</v>
      </c>
      <c r="BK538" s="4">
        <v>1</v>
      </c>
      <c r="BL538" s="4"/>
      <c r="BM538" s="4"/>
      <c r="BN538" s="5">
        <v>40672</v>
      </c>
      <c r="BO538" s="5">
        <v>40686</v>
      </c>
      <c r="BP538" s="4"/>
      <c r="BQ538" s="4"/>
      <c r="BR538" s="5">
        <v>40652</v>
      </c>
      <c r="BS538" s="4"/>
      <c r="BT538" s="5">
        <v>40672</v>
      </c>
      <c r="BU538" s="5">
        <v>40672</v>
      </c>
      <c r="BV538" s="5">
        <v>40711</v>
      </c>
      <c r="BW538" s="5">
        <v>40710</v>
      </c>
      <c r="BX538" s="5">
        <v>40716</v>
      </c>
      <c r="BY538" s="5">
        <v>40706</v>
      </c>
      <c r="BZ538" s="5">
        <v>40725</v>
      </c>
      <c r="CA538" s="4"/>
      <c r="CB538" s="4"/>
      <c r="CC538" s="4"/>
      <c r="CD538" s="4"/>
      <c r="CE538" s="4"/>
      <c r="CF538" s="4"/>
      <c r="CG538" s="4"/>
      <c r="CH538" s="4"/>
      <c r="CI538" s="5">
        <v>40753</v>
      </c>
      <c r="CJ538" s="5">
        <v>40770</v>
      </c>
      <c r="CK538" s="5">
        <v>40779</v>
      </c>
      <c r="CL538" s="5">
        <v>40770</v>
      </c>
      <c r="CM538" s="5">
        <v>40778</v>
      </c>
      <c r="CN538" s="5">
        <v>40868</v>
      </c>
      <c r="CO538" s="5">
        <v>40946</v>
      </c>
      <c r="CP538" s="4" t="s">
        <v>1724</v>
      </c>
      <c r="CQ538" s="4"/>
      <c r="CR538" s="5">
        <v>40749</v>
      </c>
      <c r="CS538" s="4"/>
      <c r="CT538" s="5">
        <v>40647</v>
      </c>
      <c r="CU538" s="5">
        <v>40700</v>
      </c>
      <c r="CV538" s="5">
        <v>40709</v>
      </c>
      <c r="CW538" s="5">
        <v>40686</v>
      </c>
      <c r="CX538" s="5">
        <v>40686</v>
      </c>
      <c r="CY538" s="5">
        <v>40716</v>
      </c>
      <c r="CZ538" s="5">
        <v>40725</v>
      </c>
      <c r="DA538" s="4"/>
      <c r="DB538" s="5">
        <v>40758</v>
      </c>
      <c r="DC538" s="4"/>
      <c r="DD538" s="4"/>
      <c r="DE538" s="4"/>
      <c r="DF538" s="4"/>
      <c r="DG538" s="4"/>
      <c r="DH538" s="4"/>
      <c r="DI538" s="5">
        <v>40714</v>
      </c>
      <c r="DJ538" s="4" t="b">
        <v>1</v>
      </c>
      <c r="DK538" s="4"/>
      <c r="DL538" s="4">
        <v>2791197</v>
      </c>
      <c r="DM538" s="4">
        <v>6390513</v>
      </c>
      <c r="DN538" s="4" t="s">
        <v>1725</v>
      </c>
      <c r="DO538" s="4"/>
      <c r="DP538" s="4" t="s">
        <v>1726</v>
      </c>
      <c r="DQ538" s="4" t="s">
        <v>148</v>
      </c>
      <c r="DR538" s="4"/>
      <c r="DS538" s="4"/>
      <c r="DT538" s="5">
        <v>41978</v>
      </c>
      <c r="DU538" s="4"/>
      <c r="DV538" s="4"/>
      <c r="DW538" s="4"/>
      <c r="DX538" s="4"/>
      <c r="DY538" s="4"/>
      <c r="DZ538" s="4"/>
      <c r="EA538" s="4"/>
      <c r="EB538" s="4"/>
      <c r="EC538" s="4"/>
      <c r="ED538" s="4"/>
      <c r="EE538" s="4"/>
      <c r="EF538" s="4"/>
      <c r="EG538" s="5">
        <v>40737</v>
      </c>
      <c r="EH538" s="5">
        <v>40758</v>
      </c>
      <c r="EI538" s="5">
        <v>40198</v>
      </c>
    </row>
    <row r="539" spans="1:139" hidden="1" x14ac:dyDescent="0.2">
      <c r="A539">
        <f>VLOOKUP(B539,Sheet1!$A$1:$B$18,2,FALSE)</f>
        <v>0</v>
      </c>
      <c r="B539" t="str">
        <f t="shared" si="9"/>
        <v>BOP</v>
      </c>
      <c r="C539" s="2">
        <v>538</v>
      </c>
      <c r="D539" s="3" t="str">
        <f>HYPERLINK("https://sitebase.nzcomms.co.nz/spm/spmnominalview/BOP-023-006/","BOP-023-006")</f>
        <v>BOP-023-006</v>
      </c>
      <c r="E539" s="4" t="s">
        <v>1727</v>
      </c>
      <c r="F539" s="3" t="str">
        <f>HYPERLINK("https://sitebase.nzcomms.co.nz/spm/spmcandidateview/BOP-023-006-A/","BOP-023-006-A")</f>
        <v>BOP-023-006-A</v>
      </c>
      <c r="G539" s="4" t="s">
        <v>1728</v>
      </c>
      <c r="H539" s="4" t="s">
        <v>1703</v>
      </c>
      <c r="I539" s="4">
        <v>20</v>
      </c>
      <c r="J539" s="4" t="s">
        <v>1633</v>
      </c>
      <c r="K539" s="4" t="s">
        <v>141</v>
      </c>
      <c r="L539" s="4" t="s">
        <v>150</v>
      </c>
      <c r="M539" s="4" t="s">
        <v>190</v>
      </c>
      <c r="N539" s="4" t="s">
        <v>291</v>
      </c>
      <c r="O539" s="4" t="s">
        <v>144</v>
      </c>
      <c r="P539" s="4" t="s">
        <v>169</v>
      </c>
      <c r="Q539" s="4" t="s">
        <v>170</v>
      </c>
      <c r="R539" s="4">
        <v>20.7</v>
      </c>
      <c r="S539" s="4">
        <v>21.2</v>
      </c>
      <c r="T539" s="4">
        <v>1</v>
      </c>
      <c r="U539" s="4">
        <v>-37.654097700000001</v>
      </c>
      <c r="V539" s="4">
        <v>176.18887290000001</v>
      </c>
      <c r="W539" s="4"/>
      <c r="X539" s="5">
        <v>40164</v>
      </c>
      <c r="Y539" s="4"/>
      <c r="Z539" s="5">
        <v>40164</v>
      </c>
      <c r="AA539" s="4" t="s">
        <v>171</v>
      </c>
      <c r="AB539" s="3" t="str">
        <f>HYPERLINK("https://sitebase.nzcomms.co.nz/spm/spmcandidateview/BOP-023-014-B/","BOP-023-014-B")</f>
        <v>BOP-023-014-B</v>
      </c>
      <c r="AC539" s="4" t="b">
        <v>1</v>
      </c>
      <c r="AD539" s="4" t="b">
        <v>1</v>
      </c>
      <c r="AE539" s="5">
        <v>40220</v>
      </c>
      <c r="AF539" s="4"/>
      <c r="AG539" s="4" t="b">
        <v>1</v>
      </c>
      <c r="AH539" s="4" t="s">
        <v>1709</v>
      </c>
      <c r="AI539" s="5">
        <v>40219</v>
      </c>
      <c r="AJ539" s="5">
        <v>40219</v>
      </c>
      <c r="AK539" s="4"/>
      <c r="AL539" s="4"/>
      <c r="AM539" s="5">
        <v>40235</v>
      </c>
      <c r="AN539" s="5">
        <v>40235</v>
      </c>
      <c r="AO539" s="4">
        <v>2</v>
      </c>
      <c r="AP539" s="5">
        <v>40235</v>
      </c>
      <c r="AQ539" s="5">
        <v>40346</v>
      </c>
      <c r="AR539" s="5">
        <v>40298</v>
      </c>
      <c r="AS539" s="5">
        <v>40291</v>
      </c>
      <c r="AT539" s="5">
        <v>40319</v>
      </c>
      <c r="AU539" s="5">
        <v>40323</v>
      </c>
      <c r="AV539" s="4"/>
      <c r="AW539" s="5">
        <v>40319</v>
      </c>
      <c r="AX539" s="5">
        <v>40323</v>
      </c>
      <c r="AY539" s="4" t="s">
        <v>172</v>
      </c>
      <c r="AZ539" s="5">
        <v>40249</v>
      </c>
      <c r="BA539" s="5">
        <v>40242</v>
      </c>
      <c r="BB539" s="5">
        <v>40284</v>
      </c>
      <c r="BC539" s="5">
        <v>40280</v>
      </c>
      <c r="BD539" s="4">
        <v>1</v>
      </c>
      <c r="BE539" s="5">
        <v>40291</v>
      </c>
      <c r="BF539" s="5">
        <v>40280</v>
      </c>
      <c r="BG539" s="4"/>
      <c r="BH539" s="4"/>
      <c r="BI539" s="5">
        <v>40676</v>
      </c>
      <c r="BJ539" s="5">
        <v>40683</v>
      </c>
      <c r="BK539" s="4">
        <v>1</v>
      </c>
      <c r="BL539" s="4"/>
      <c r="BM539" s="5">
        <v>40676</v>
      </c>
      <c r="BN539" s="5">
        <v>40683</v>
      </c>
      <c r="BO539" s="5">
        <v>40698</v>
      </c>
      <c r="BP539" s="4"/>
      <c r="BQ539" s="4"/>
      <c r="BR539" s="4"/>
      <c r="BS539" s="4"/>
      <c r="BT539" s="5">
        <v>40686</v>
      </c>
      <c r="BU539" s="5">
        <v>40687</v>
      </c>
      <c r="BV539" s="5">
        <v>40711</v>
      </c>
      <c r="BW539" s="5">
        <v>40710</v>
      </c>
      <c r="BX539" s="5">
        <v>40716</v>
      </c>
      <c r="BY539" s="5">
        <v>40711</v>
      </c>
      <c r="BZ539" s="5">
        <v>40725</v>
      </c>
      <c r="CA539" s="4"/>
      <c r="CB539" s="4"/>
      <c r="CC539" s="4"/>
      <c r="CD539" s="4"/>
      <c r="CE539" s="4"/>
      <c r="CF539" s="4"/>
      <c r="CG539" s="4"/>
      <c r="CH539" s="4"/>
      <c r="CI539" s="5">
        <v>40751</v>
      </c>
      <c r="CJ539" s="5">
        <v>40770</v>
      </c>
      <c r="CK539" s="5">
        <v>40779</v>
      </c>
      <c r="CL539" s="5">
        <v>40770</v>
      </c>
      <c r="CM539" s="5">
        <v>40770</v>
      </c>
      <c r="CN539" s="5">
        <v>40862</v>
      </c>
      <c r="CO539" s="5">
        <v>40925</v>
      </c>
      <c r="CP539" s="4" t="s">
        <v>1729</v>
      </c>
      <c r="CQ539" s="4"/>
      <c r="CR539" s="5">
        <v>40749</v>
      </c>
      <c r="CS539" s="4"/>
      <c r="CT539" s="5">
        <v>40647</v>
      </c>
      <c r="CU539" s="5">
        <v>40700</v>
      </c>
      <c r="CV539" s="5">
        <v>40709</v>
      </c>
      <c r="CW539" s="5">
        <v>40698</v>
      </c>
      <c r="CX539" s="5">
        <v>40698</v>
      </c>
      <c r="CY539" s="5">
        <v>40716</v>
      </c>
      <c r="CZ539" s="5">
        <v>40725</v>
      </c>
      <c r="DA539" s="4"/>
      <c r="DB539" s="5">
        <v>40758</v>
      </c>
      <c r="DC539" s="4"/>
      <c r="DD539" s="4"/>
      <c r="DE539" s="4"/>
      <c r="DF539" s="4"/>
      <c r="DG539" s="4"/>
      <c r="DH539" s="4"/>
      <c r="DI539" s="4"/>
      <c r="DJ539" s="4" t="b">
        <v>0</v>
      </c>
      <c r="DK539" s="4"/>
      <c r="DL539" s="4">
        <v>2791548</v>
      </c>
      <c r="DM539" s="4">
        <v>6389271</v>
      </c>
      <c r="DN539" s="4" t="s">
        <v>1730</v>
      </c>
      <c r="DO539" s="4"/>
      <c r="DP539" s="4"/>
      <c r="DQ539" s="4" t="s">
        <v>148</v>
      </c>
      <c r="DR539" s="4"/>
      <c r="DS539" s="4"/>
      <c r="DT539" s="5">
        <v>41978</v>
      </c>
      <c r="DU539" s="4"/>
      <c r="DV539" s="4"/>
      <c r="DW539" s="4"/>
      <c r="DX539" s="4"/>
      <c r="DY539" s="4"/>
      <c r="DZ539" s="4"/>
      <c r="EA539" s="4"/>
      <c r="EB539" s="4"/>
      <c r="EC539" s="4"/>
      <c r="ED539" s="4"/>
      <c r="EE539" s="4"/>
      <c r="EF539" s="4"/>
      <c r="EG539" s="5">
        <v>40756</v>
      </c>
      <c r="EH539" s="5">
        <v>40758</v>
      </c>
      <c r="EI539" s="5">
        <v>40219</v>
      </c>
    </row>
    <row r="540" spans="1:139" hidden="1" x14ac:dyDescent="0.2">
      <c r="A540">
        <f>VLOOKUP(B540,Sheet1!$A$1:$B$18,2,FALSE)</f>
        <v>0</v>
      </c>
      <c r="B540" t="str">
        <f t="shared" si="9"/>
        <v>BOP</v>
      </c>
      <c r="C540" s="2">
        <v>539</v>
      </c>
      <c r="D540" s="3" t="str">
        <f>HYPERLINK("https://sitebase.nzcomms.co.nz/spm/spmnominalview/BOP-023-007/","BOP-023-007")</f>
        <v>BOP-023-007</v>
      </c>
      <c r="E540" s="4" t="s">
        <v>1731</v>
      </c>
      <c r="F540" s="3" t="str">
        <f>HYPERLINK("https://sitebase.nzcomms.co.nz/spm/spmcandidateview/BOP-023-007-B/","BOP-023-007-B")</f>
        <v>BOP-023-007-B</v>
      </c>
      <c r="G540" s="4" t="s">
        <v>1732</v>
      </c>
      <c r="H540" s="4" t="s">
        <v>1703</v>
      </c>
      <c r="I540" s="4">
        <v>20</v>
      </c>
      <c r="J540" s="4" t="s">
        <v>1633</v>
      </c>
      <c r="K540" s="4" t="s">
        <v>141</v>
      </c>
      <c r="L540" s="4" t="s">
        <v>150</v>
      </c>
      <c r="M540" s="4" t="s">
        <v>190</v>
      </c>
      <c r="N540" s="4" t="s">
        <v>156</v>
      </c>
      <c r="O540" s="4" t="s">
        <v>144</v>
      </c>
      <c r="P540" s="4" t="s">
        <v>169</v>
      </c>
      <c r="Q540" s="4" t="s">
        <v>170</v>
      </c>
      <c r="R540" s="4">
        <v>23</v>
      </c>
      <c r="S540" s="4">
        <v>24.5</v>
      </c>
      <c r="T540" s="4">
        <v>1</v>
      </c>
      <c r="U540" s="4">
        <v>-37.68132679</v>
      </c>
      <c r="V540" s="4">
        <v>176.22210114999999</v>
      </c>
      <c r="W540" s="4"/>
      <c r="X540" s="5">
        <v>40164</v>
      </c>
      <c r="Y540" s="4"/>
      <c r="Z540" s="5">
        <v>40164</v>
      </c>
      <c r="AA540" s="4" t="s">
        <v>145</v>
      </c>
      <c r="AB540" s="3" t="str">
        <f>HYPERLINK("https://sitebase.nzcomms.co.nz/spm/spmcandidateview/BOP-023-004-A/","BOP-023-004-A")</f>
        <v>BOP-023-004-A</v>
      </c>
      <c r="AC540" s="4" t="b">
        <v>1</v>
      </c>
      <c r="AD540" s="4" t="b">
        <v>1</v>
      </c>
      <c r="AE540" s="5">
        <v>40227</v>
      </c>
      <c r="AF540" s="4"/>
      <c r="AG540" s="4" t="b">
        <v>1</v>
      </c>
      <c r="AH540" s="4" t="s">
        <v>1714</v>
      </c>
      <c r="AI540" s="5">
        <v>40235</v>
      </c>
      <c r="AJ540" s="5">
        <v>40235</v>
      </c>
      <c r="AK540" s="4"/>
      <c r="AL540" s="4"/>
      <c r="AM540" s="5">
        <v>40256</v>
      </c>
      <c r="AN540" s="5">
        <v>40255</v>
      </c>
      <c r="AO540" s="4">
        <v>2</v>
      </c>
      <c r="AP540" s="5">
        <v>40256</v>
      </c>
      <c r="AQ540" s="5">
        <v>40346</v>
      </c>
      <c r="AR540" s="4"/>
      <c r="AS540" s="5">
        <v>40261</v>
      </c>
      <c r="AT540" s="5">
        <v>40269</v>
      </c>
      <c r="AU540" s="5">
        <v>40261</v>
      </c>
      <c r="AV540" s="4"/>
      <c r="AW540" s="5">
        <v>40386</v>
      </c>
      <c r="AX540" s="5">
        <v>40386</v>
      </c>
      <c r="AY540" s="4" t="s">
        <v>172</v>
      </c>
      <c r="AZ540" s="5">
        <v>40256</v>
      </c>
      <c r="BA540" s="5">
        <v>40256</v>
      </c>
      <c r="BB540" s="5">
        <v>40277</v>
      </c>
      <c r="BC540" s="5">
        <v>40266</v>
      </c>
      <c r="BD540" s="4">
        <v>1</v>
      </c>
      <c r="BE540" s="5">
        <v>40284</v>
      </c>
      <c r="BF540" s="5">
        <v>40266</v>
      </c>
      <c r="BG540" s="4"/>
      <c r="BH540" s="4"/>
      <c r="BI540" s="5">
        <v>40680</v>
      </c>
      <c r="BJ540" s="5">
        <v>40704</v>
      </c>
      <c r="BK540" s="4">
        <v>1</v>
      </c>
      <c r="BL540" s="4"/>
      <c r="BM540" s="5">
        <v>40680</v>
      </c>
      <c r="BN540" s="5">
        <v>40704</v>
      </c>
      <c r="BO540" s="5">
        <v>40730</v>
      </c>
      <c r="BP540" s="4"/>
      <c r="BQ540" s="4"/>
      <c r="BR540" s="4"/>
      <c r="BS540" s="4"/>
      <c r="BT540" s="5">
        <v>40693</v>
      </c>
      <c r="BU540" s="5">
        <v>40687</v>
      </c>
      <c r="BV540" s="5">
        <v>40746</v>
      </c>
      <c r="BW540" s="5">
        <v>40756</v>
      </c>
      <c r="BX540" s="5">
        <v>40735</v>
      </c>
      <c r="BY540" s="5">
        <v>40736</v>
      </c>
      <c r="BZ540" s="5">
        <v>40735</v>
      </c>
      <c r="CA540" s="4"/>
      <c r="CB540" s="4"/>
      <c r="CC540" s="4"/>
      <c r="CD540" s="4"/>
      <c r="CE540" s="4"/>
      <c r="CF540" s="4"/>
      <c r="CG540" s="4"/>
      <c r="CH540" s="4"/>
      <c r="CI540" s="5">
        <v>40760</v>
      </c>
      <c r="CJ540" s="5">
        <v>40770</v>
      </c>
      <c r="CK540" s="5">
        <v>40779</v>
      </c>
      <c r="CL540" s="5">
        <v>40770</v>
      </c>
      <c r="CM540" s="5">
        <v>40770</v>
      </c>
      <c r="CN540" s="5">
        <v>40861</v>
      </c>
      <c r="CO540" s="5">
        <v>41089</v>
      </c>
      <c r="CP540" s="4" t="s">
        <v>1715</v>
      </c>
      <c r="CQ540" s="4"/>
      <c r="CR540" s="5">
        <v>40754</v>
      </c>
      <c r="CS540" s="4"/>
      <c r="CT540" s="5">
        <v>40647</v>
      </c>
      <c r="CU540" s="5">
        <v>40727</v>
      </c>
      <c r="CV540" s="5">
        <v>40730</v>
      </c>
      <c r="CW540" s="5">
        <v>40729</v>
      </c>
      <c r="CX540" s="5">
        <v>40730</v>
      </c>
      <c r="CY540" s="5">
        <v>40738</v>
      </c>
      <c r="CZ540" s="5">
        <v>40735</v>
      </c>
      <c r="DA540" s="4"/>
      <c r="DB540" s="5">
        <v>40757</v>
      </c>
      <c r="DC540" s="4"/>
      <c r="DD540" s="4"/>
      <c r="DE540" s="4"/>
      <c r="DF540" s="4"/>
      <c r="DG540" s="4"/>
      <c r="DH540" s="4"/>
      <c r="DI540" s="5">
        <v>40735</v>
      </c>
      <c r="DJ540" s="4" t="b">
        <v>0</v>
      </c>
      <c r="DK540" s="4"/>
      <c r="DL540" s="4">
        <v>2794369</v>
      </c>
      <c r="DM540" s="4">
        <v>6386146</v>
      </c>
      <c r="DN540" s="4" t="s">
        <v>1733</v>
      </c>
      <c r="DO540" s="4"/>
      <c r="DP540" s="4"/>
      <c r="DQ540" s="4" t="s">
        <v>148</v>
      </c>
      <c r="DR540" s="4"/>
      <c r="DS540" s="4"/>
      <c r="DT540" s="5">
        <v>41978</v>
      </c>
      <c r="DU540" s="4"/>
      <c r="DV540" s="4"/>
      <c r="DW540" s="4"/>
      <c r="DX540" s="4"/>
      <c r="DY540" s="4"/>
      <c r="DZ540" s="4"/>
      <c r="EA540" s="4"/>
      <c r="EB540" s="4"/>
      <c r="EC540" s="4"/>
      <c r="ED540" s="4"/>
      <c r="EE540" s="4"/>
      <c r="EF540" s="4"/>
      <c r="EG540" s="5">
        <v>40748</v>
      </c>
      <c r="EH540" s="5">
        <v>40756</v>
      </c>
      <c r="EI540" s="5">
        <v>40242</v>
      </c>
    </row>
    <row r="541" spans="1:139" hidden="1" x14ac:dyDescent="0.2">
      <c r="A541">
        <f>VLOOKUP(B541,Sheet1!$A$1:$B$18,2,FALSE)</f>
        <v>0</v>
      </c>
      <c r="B541" t="str">
        <f t="shared" si="9"/>
        <v>BOP</v>
      </c>
      <c r="C541" s="2">
        <v>540</v>
      </c>
      <c r="D541" s="3" t="str">
        <f>HYPERLINK("https://sitebase.nzcomms.co.nz/spm/spmnominalview/BOP-023-008/","BOP-023-008")</f>
        <v>BOP-023-008</v>
      </c>
      <c r="E541" s="4" t="s">
        <v>1734</v>
      </c>
      <c r="F541" s="3" t="str">
        <f>HYPERLINK("https://sitebase.nzcomms.co.nz/spm/spmcandidateview/BOP-023-008-B/","BOP-023-008-B")</f>
        <v>BOP-023-008-B</v>
      </c>
      <c r="G541" s="4" t="s">
        <v>1735</v>
      </c>
      <c r="H541" s="4" t="s">
        <v>1703</v>
      </c>
      <c r="I541" s="4">
        <v>20</v>
      </c>
      <c r="J541" s="4" t="s">
        <v>1633</v>
      </c>
      <c r="K541" s="4" t="s">
        <v>141</v>
      </c>
      <c r="L541" s="4" t="s">
        <v>150</v>
      </c>
      <c r="M541" s="4" t="s">
        <v>190</v>
      </c>
      <c r="N541" s="4" t="s">
        <v>156</v>
      </c>
      <c r="O541" s="4" t="s">
        <v>144</v>
      </c>
      <c r="P541" s="4" t="s">
        <v>169</v>
      </c>
      <c r="Q541" s="4" t="s">
        <v>170</v>
      </c>
      <c r="R541" s="4">
        <v>19.5</v>
      </c>
      <c r="S541" s="4">
        <v>20</v>
      </c>
      <c r="T541" s="4">
        <v>1</v>
      </c>
      <c r="U541" s="4">
        <v>-37.673124899999998</v>
      </c>
      <c r="V541" s="4">
        <v>176.16617846</v>
      </c>
      <c r="W541" s="4"/>
      <c r="X541" s="5">
        <v>40164</v>
      </c>
      <c r="Y541" s="4"/>
      <c r="Z541" s="5">
        <v>40164</v>
      </c>
      <c r="AA541" s="4" t="s">
        <v>171</v>
      </c>
      <c r="AB541" s="3" t="str">
        <f>HYPERLINK("https://sitebase.nzcomms.co.nz/spm/spmcandidateview/BOP-022-007-A/","BOP-022-007-A")</f>
        <v>BOP-022-007-A</v>
      </c>
      <c r="AC541" s="4" t="b">
        <v>1</v>
      </c>
      <c r="AD541" s="4" t="b">
        <v>1</v>
      </c>
      <c r="AE541" s="5">
        <v>40227</v>
      </c>
      <c r="AF541" s="4"/>
      <c r="AG541" s="4" t="b">
        <v>1</v>
      </c>
      <c r="AH541" s="4" t="s">
        <v>1709</v>
      </c>
      <c r="AI541" s="5">
        <v>40249</v>
      </c>
      <c r="AJ541" s="5">
        <v>40226</v>
      </c>
      <c r="AK541" s="4"/>
      <c r="AL541" s="4"/>
      <c r="AM541" s="5">
        <v>40231</v>
      </c>
      <c r="AN541" s="5">
        <v>40231</v>
      </c>
      <c r="AO541" s="4">
        <v>2</v>
      </c>
      <c r="AP541" s="5">
        <v>40231</v>
      </c>
      <c r="AQ541" s="5">
        <v>41907</v>
      </c>
      <c r="AR541" s="5">
        <v>40298</v>
      </c>
      <c r="AS541" s="5">
        <v>40291</v>
      </c>
      <c r="AT541" s="5">
        <v>40387</v>
      </c>
      <c r="AU541" s="5">
        <v>40388</v>
      </c>
      <c r="AV541" s="4"/>
      <c r="AW541" s="5">
        <v>40393</v>
      </c>
      <c r="AX541" s="5">
        <v>40395</v>
      </c>
      <c r="AY541" s="4" t="s">
        <v>172</v>
      </c>
      <c r="AZ541" s="5">
        <v>40261</v>
      </c>
      <c r="BA541" s="5">
        <v>40262</v>
      </c>
      <c r="BB541" s="5">
        <v>40296</v>
      </c>
      <c r="BC541" s="5">
        <v>40283</v>
      </c>
      <c r="BD541" s="4">
        <v>1</v>
      </c>
      <c r="BE541" s="5">
        <v>40298</v>
      </c>
      <c r="BF541" s="5">
        <v>40283</v>
      </c>
      <c r="BG541" s="4"/>
      <c r="BH541" s="4"/>
      <c r="BI541" s="5">
        <v>40696</v>
      </c>
      <c r="BJ541" s="5">
        <v>40703</v>
      </c>
      <c r="BK541" s="4">
        <v>1</v>
      </c>
      <c r="BL541" s="4"/>
      <c r="BM541" s="5">
        <v>40693</v>
      </c>
      <c r="BN541" s="5">
        <v>40703</v>
      </c>
      <c r="BO541" s="5">
        <v>40728</v>
      </c>
      <c r="BP541" s="4"/>
      <c r="BQ541" s="4"/>
      <c r="BR541" s="4"/>
      <c r="BS541" s="4"/>
      <c r="BT541" s="5">
        <v>40728</v>
      </c>
      <c r="BU541" s="5">
        <v>40732</v>
      </c>
      <c r="BV541" s="5">
        <v>40739</v>
      </c>
      <c r="BW541" s="5">
        <v>40743</v>
      </c>
      <c r="BX541" s="5">
        <v>40743</v>
      </c>
      <c r="BY541" s="5">
        <v>40749</v>
      </c>
      <c r="BZ541" s="5">
        <v>40753</v>
      </c>
      <c r="CA541" s="4"/>
      <c r="CB541" s="4"/>
      <c r="CC541" s="4"/>
      <c r="CD541" s="4"/>
      <c r="CE541" s="4"/>
      <c r="CF541" s="4"/>
      <c r="CG541" s="4"/>
      <c r="CH541" s="4"/>
      <c r="CI541" s="5">
        <v>40752</v>
      </c>
      <c r="CJ541" s="5">
        <v>40777</v>
      </c>
      <c r="CK541" s="5">
        <v>40779</v>
      </c>
      <c r="CL541" s="5">
        <v>40777</v>
      </c>
      <c r="CM541" s="5">
        <v>40770</v>
      </c>
      <c r="CN541" s="5">
        <v>40869</v>
      </c>
      <c r="CO541" s="5">
        <v>40940</v>
      </c>
      <c r="CP541" s="4" t="s">
        <v>1736</v>
      </c>
      <c r="CQ541" s="4"/>
      <c r="CR541" s="5">
        <v>40758</v>
      </c>
      <c r="CS541" s="5">
        <v>40714</v>
      </c>
      <c r="CT541" s="5">
        <v>40738</v>
      </c>
      <c r="CU541" s="5">
        <v>40728</v>
      </c>
      <c r="CV541" s="5">
        <v>40738</v>
      </c>
      <c r="CW541" s="5">
        <v>40728</v>
      </c>
      <c r="CX541" s="5">
        <v>40728</v>
      </c>
      <c r="CY541" s="5">
        <v>40739</v>
      </c>
      <c r="CZ541" s="5">
        <v>40743</v>
      </c>
      <c r="DA541" s="4"/>
      <c r="DB541" s="5">
        <v>40757</v>
      </c>
      <c r="DC541" s="4"/>
      <c r="DD541" s="4"/>
      <c r="DE541" s="4"/>
      <c r="DF541" s="4"/>
      <c r="DG541" s="4"/>
      <c r="DH541" s="4"/>
      <c r="DI541" s="5">
        <v>40743</v>
      </c>
      <c r="DJ541" s="4" t="b">
        <v>0</v>
      </c>
      <c r="DK541" s="4"/>
      <c r="DL541" s="4">
        <v>2789472</v>
      </c>
      <c r="DM541" s="4">
        <v>6387232</v>
      </c>
      <c r="DN541" s="4" t="s">
        <v>1737</v>
      </c>
      <c r="DO541" s="4"/>
      <c r="DP541" s="4"/>
      <c r="DQ541" s="4" t="s">
        <v>148</v>
      </c>
      <c r="DR541" s="4"/>
      <c r="DS541" s="4"/>
      <c r="DT541" s="5">
        <v>41978</v>
      </c>
      <c r="DU541" s="4"/>
      <c r="DV541" s="4"/>
      <c r="DW541" s="4"/>
      <c r="DX541" s="4"/>
      <c r="DY541" s="4"/>
      <c r="DZ541" s="4"/>
      <c r="EA541" s="4"/>
      <c r="EB541" s="4"/>
      <c r="EC541" s="4"/>
      <c r="ED541" s="4"/>
      <c r="EE541" s="4"/>
      <c r="EF541" s="4"/>
      <c r="EG541" s="5">
        <v>40756</v>
      </c>
      <c r="EH541" s="5">
        <v>40756</v>
      </c>
      <c r="EI541" s="5">
        <v>40199</v>
      </c>
    </row>
    <row r="542" spans="1:139" hidden="1" x14ac:dyDescent="0.2">
      <c r="A542">
        <f>VLOOKUP(B542,Sheet1!$A$1:$B$18,2,FALSE)</f>
        <v>0</v>
      </c>
      <c r="B542" t="str">
        <f t="shared" si="9"/>
        <v>BOP</v>
      </c>
      <c r="C542" s="2">
        <v>541</v>
      </c>
      <c r="D542" s="3" t="str">
        <f>HYPERLINK("https://sitebase.nzcomms.co.nz/spm/spmnominalview/BOP-023-009/","BOP-023-009")</f>
        <v>BOP-023-009</v>
      </c>
      <c r="E542" s="4" t="s">
        <v>1738</v>
      </c>
      <c r="F542" s="3" t="str">
        <f>HYPERLINK("https://sitebase.nzcomms.co.nz/spm/spmcandidateview/BOP-023-009-D/","BOP-023-009-D")</f>
        <v>BOP-023-009-D</v>
      </c>
      <c r="G542" s="4" t="s">
        <v>1739</v>
      </c>
      <c r="H542" s="4" t="s">
        <v>1703</v>
      </c>
      <c r="I542" s="4">
        <v>20</v>
      </c>
      <c r="J542" s="4" t="s">
        <v>1633</v>
      </c>
      <c r="K542" s="4" t="s">
        <v>141</v>
      </c>
      <c r="L542" s="4" t="s">
        <v>189</v>
      </c>
      <c r="M542" s="4" t="s">
        <v>190</v>
      </c>
      <c r="N542" s="4" t="s">
        <v>274</v>
      </c>
      <c r="O542" s="4" t="s">
        <v>356</v>
      </c>
      <c r="P542" s="4" t="s">
        <v>182</v>
      </c>
      <c r="Q542" s="4" t="s">
        <v>192</v>
      </c>
      <c r="R542" s="4">
        <v>12.3</v>
      </c>
      <c r="S542" s="4">
        <v>12.8</v>
      </c>
      <c r="T542" s="4">
        <v>1</v>
      </c>
      <c r="U542" s="4">
        <v>-37.683874109999998</v>
      </c>
      <c r="V542" s="4">
        <v>176.13560630999999</v>
      </c>
      <c r="W542" s="4"/>
      <c r="X542" s="5">
        <v>40164</v>
      </c>
      <c r="Y542" s="4"/>
      <c r="Z542" s="5">
        <v>40164</v>
      </c>
      <c r="AA542" s="4" t="s">
        <v>171</v>
      </c>
      <c r="AB542" s="3" t="str">
        <f>HYPERLINK("https://sitebase.nzcomms.co.nz/spm/spmcandidateview/BOP-023-015-A/","BOP-023-015-A")</f>
        <v>BOP-023-015-A</v>
      </c>
      <c r="AC542" s="4" t="b">
        <v>1</v>
      </c>
      <c r="AD542" s="4" t="b">
        <v>1</v>
      </c>
      <c r="AE542" s="5">
        <v>40235</v>
      </c>
      <c r="AF542" s="4"/>
      <c r="AG542" s="4" t="b">
        <v>1</v>
      </c>
      <c r="AH542" s="4" t="s">
        <v>1740</v>
      </c>
      <c r="AI542" s="5">
        <v>40302</v>
      </c>
      <c r="AJ542" s="5">
        <v>40294</v>
      </c>
      <c r="AK542" s="4"/>
      <c r="AL542" s="4"/>
      <c r="AM542" s="5">
        <v>40301</v>
      </c>
      <c r="AN542" s="5">
        <v>40298</v>
      </c>
      <c r="AO542" s="4">
        <v>3</v>
      </c>
      <c r="AP542" s="5">
        <v>40301</v>
      </c>
      <c r="AQ542" s="5">
        <v>41971</v>
      </c>
      <c r="AR542" s="5">
        <v>40343</v>
      </c>
      <c r="AS542" s="5">
        <v>40312</v>
      </c>
      <c r="AT542" s="5">
        <v>40585</v>
      </c>
      <c r="AU542" s="5">
        <v>40583</v>
      </c>
      <c r="AV542" s="4"/>
      <c r="AW542" s="5">
        <v>40592</v>
      </c>
      <c r="AX542" s="5">
        <v>40585</v>
      </c>
      <c r="AY542" s="4" t="s">
        <v>193</v>
      </c>
      <c r="AZ542" s="5">
        <v>40305</v>
      </c>
      <c r="BA542" s="5">
        <v>40303</v>
      </c>
      <c r="BB542" s="5">
        <v>40354</v>
      </c>
      <c r="BC542" s="5">
        <v>40354</v>
      </c>
      <c r="BD542" s="4">
        <v>1</v>
      </c>
      <c r="BE542" s="5">
        <v>40361</v>
      </c>
      <c r="BF542" s="5">
        <v>40361</v>
      </c>
      <c r="BG542" s="4"/>
      <c r="BH542" s="4"/>
      <c r="BI542" s="5">
        <v>40696</v>
      </c>
      <c r="BJ542" s="5">
        <v>40704</v>
      </c>
      <c r="BK542" s="4">
        <v>1</v>
      </c>
      <c r="BL542" s="4"/>
      <c r="BM542" s="5">
        <v>40693</v>
      </c>
      <c r="BN542" s="5">
        <v>40704</v>
      </c>
      <c r="BO542" s="5">
        <v>40721</v>
      </c>
      <c r="BP542" s="4"/>
      <c r="BQ542" s="4"/>
      <c r="BR542" s="5">
        <v>40701</v>
      </c>
      <c r="BS542" s="4"/>
      <c r="BT542" s="5">
        <v>40714</v>
      </c>
      <c r="BU542" s="5">
        <v>40714</v>
      </c>
      <c r="BV542" s="5">
        <v>40724</v>
      </c>
      <c r="BW542" s="5">
        <v>40735</v>
      </c>
      <c r="BX542" s="5">
        <v>40731</v>
      </c>
      <c r="BY542" s="5">
        <v>40748</v>
      </c>
      <c r="BZ542" s="5">
        <v>40753</v>
      </c>
      <c r="CA542" s="4"/>
      <c r="CB542" s="4"/>
      <c r="CC542" s="4"/>
      <c r="CD542" s="4"/>
      <c r="CE542" s="4"/>
      <c r="CF542" s="4"/>
      <c r="CG542" s="4"/>
      <c r="CH542" s="4"/>
      <c r="CI542" s="5">
        <v>40753</v>
      </c>
      <c r="CJ542" s="5">
        <v>40770</v>
      </c>
      <c r="CK542" s="5">
        <v>40779</v>
      </c>
      <c r="CL542" s="5">
        <v>40770</v>
      </c>
      <c r="CM542" s="5">
        <v>40777</v>
      </c>
      <c r="CN542" s="5">
        <v>40868</v>
      </c>
      <c r="CO542" s="5">
        <v>40941</v>
      </c>
      <c r="CP542" s="4" t="s">
        <v>1741</v>
      </c>
      <c r="CQ542" s="4"/>
      <c r="CR542" s="5">
        <v>40757</v>
      </c>
      <c r="CS542" s="5">
        <v>40702</v>
      </c>
      <c r="CT542" s="5">
        <v>40702</v>
      </c>
      <c r="CU542" s="5">
        <v>40707</v>
      </c>
      <c r="CV542" s="5">
        <v>40721</v>
      </c>
      <c r="CW542" s="5">
        <v>40714</v>
      </c>
      <c r="CX542" s="5">
        <v>40721</v>
      </c>
      <c r="CY542" s="5">
        <v>40730</v>
      </c>
      <c r="CZ542" s="5">
        <v>40739</v>
      </c>
      <c r="DA542" s="4"/>
      <c r="DB542" s="5">
        <v>40757</v>
      </c>
      <c r="DC542" s="4"/>
      <c r="DD542" s="4"/>
      <c r="DE542" s="4"/>
      <c r="DF542" s="4"/>
      <c r="DG542" s="4"/>
      <c r="DH542" s="4"/>
      <c r="DI542" s="5">
        <v>40731</v>
      </c>
      <c r="DJ542" s="4" t="b">
        <v>1</v>
      </c>
      <c r="DK542" s="4"/>
      <c r="DL542" s="4">
        <v>2786735</v>
      </c>
      <c r="DM542" s="4">
        <v>6386135</v>
      </c>
      <c r="DN542" s="4" t="s">
        <v>1742</v>
      </c>
      <c r="DO542" s="4"/>
      <c r="DP542" s="4"/>
      <c r="DQ542" s="4" t="s">
        <v>148</v>
      </c>
      <c r="DR542" s="4"/>
      <c r="DS542" s="4"/>
      <c r="DT542" s="5">
        <v>42151</v>
      </c>
      <c r="DU542" s="4"/>
      <c r="DV542" s="4"/>
      <c r="DW542" s="4"/>
      <c r="DX542" s="4"/>
      <c r="DY542" s="4"/>
      <c r="DZ542" s="4"/>
      <c r="EA542" s="4"/>
      <c r="EB542" s="4"/>
      <c r="EC542" s="4"/>
      <c r="ED542" s="4"/>
      <c r="EE542" s="4"/>
      <c r="EF542" s="4"/>
      <c r="EG542" s="5">
        <v>40756</v>
      </c>
      <c r="EH542" s="5">
        <v>40756</v>
      </c>
      <c r="EI542" s="5">
        <v>40294</v>
      </c>
    </row>
    <row r="543" spans="1:139" hidden="1" x14ac:dyDescent="0.2">
      <c r="A543">
        <f>VLOOKUP(B543,Sheet1!$A$1:$B$18,2,FALSE)</f>
        <v>0</v>
      </c>
      <c r="B543" t="str">
        <f t="shared" si="9"/>
        <v>BOP</v>
      </c>
      <c r="C543" s="2">
        <v>542</v>
      </c>
      <c r="D543" s="3" t="str">
        <f>HYPERLINK("https://sitebase.nzcomms.co.nz/spm/spmnominalview/BOP-023-010/","BOP-023-010")</f>
        <v>BOP-023-010</v>
      </c>
      <c r="E543" s="4" t="s">
        <v>1743</v>
      </c>
      <c r="F543" s="3" t="str">
        <f>HYPERLINK("https://sitebase.nzcomms.co.nz/spm/spmcandidateview/BOP-023-010-E/","BOP-023-010-E")</f>
        <v>BOP-023-010-E</v>
      </c>
      <c r="G543" s="4" t="s">
        <v>1744</v>
      </c>
      <c r="H543" s="4" t="s">
        <v>1703</v>
      </c>
      <c r="I543" s="4">
        <v>20</v>
      </c>
      <c r="J543" s="4" t="s">
        <v>1633</v>
      </c>
      <c r="K543" s="4" t="s">
        <v>141</v>
      </c>
      <c r="L543" s="4" t="s">
        <v>150</v>
      </c>
      <c r="M543" s="4" t="s">
        <v>190</v>
      </c>
      <c r="N543" s="4" t="s">
        <v>291</v>
      </c>
      <c r="O543" s="4" t="s">
        <v>144</v>
      </c>
      <c r="P543" s="4" t="s">
        <v>169</v>
      </c>
      <c r="Q543" s="4" t="s">
        <v>170</v>
      </c>
      <c r="R543" s="4">
        <v>20.6</v>
      </c>
      <c r="S543" s="4">
        <v>21.1</v>
      </c>
      <c r="T543" s="4">
        <v>1</v>
      </c>
      <c r="U543" s="4">
        <v>-37.695757749999999</v>
      </c>
      <c r="V543" s="4">
        <v>176.11065794999999</v>
      </c>
      <c r="W543" s="4"/>
      <c r="X543" s="5">
        <v>40164</v>
      </c>
      <c r="Y543" s="4"/>
      <c r="Z543" s="5">
        <v>40164</v>
      </c>
      <c r="AA543" s="4" t="s">
        <v>171</v>
      </c>
      <c r="AB543" s="3" t="str">
        <f>HYPERLINK("https://sitebase.nzcomms.co.nz/spm/spmcandidateview/BOP-022-019-A/","BOP-022-019-A")</f>
        <v>BOP-022-019-A</v>
      </c>
      <c r="AC543" s="4" t="b">
        <v>1</v>
      </c>
      <c r="AD543" s="4" t="b">
        <v>1</v>
      </c>
      <c r="AE543" s="5">
        <v>40207</v>
      </c>
      <c r="AF543" s="4"/>
      <c r="AG543" s="4" t="b">
        <v>1</v>
      </c>
      <c r="AH543" s="4" t="s">
        <v>1745</v>
      </c>
      <c r="AI543" s="5">
        <v>40309</v>
      </c>
      <c r="AJ543" s="5">
        <v>40309</v>
      </c>
      <c r="AK543" s="4"/>
      <c r="AL543" s="4"/>
      <c r="AM543" s="5">
        <v>40326</v>
      </c>
      <c r="AN543" s="5">
        <v>40326</v>
      </c>
      <c r="AO543" s="4">
        <v>3</v>
      </c>
      <c r="AP543" s="5">
        <v>40326</v>
      </c>
      <c r="AQ543" s="5">
        <v>42020</v>
      </c>
      <c r="AR543" s="5">
        <v>40354</v>
      </c>
      <c r="AS543" s="5">
        <v>40353</v>
      </c>
      <c r="AT543" s="5">
        <v>40620</v>
      </c>
      <c r="AU543" s="5">
        <v>40620</v>
      </c>
      <c r="AV543" s="4"/>
      <c r="AW543" s="5">
        <v>40627</v>
      </c>
      <c r="AX543" s="5">
        <v>40626</v>
      </c>
      <c r="AY543" s="4" t="s">
        <v>172</v>
      </c>
      <c r="AZ543" s="5">
        <v>40375</v>
      </c>
      <c r="BA543" s="5">
        <v>40367</v>
      </c>
      <c r="BB543" s="5">
        <v>40430</v>
      </c>
      <c r="BC543" s="5">
        <v>40422</v>
      </c>
      <c r="BD543" s="4">
        <v>1</v>
      </c>
      <c r="BE543" s="5">
        <v>40430</v>
      </c>
      <c r="BF543" s="5">
        <v>40431</v>
      </c>
      <c r="BG543" s="4"/>
      <c r="BH543" s="4"/>
      <c r="BI543" s="5">
        <v>40690</v>
      </c>
      <c r="BJ543" s="5">
        <v>40690</v>
      </c>
      <c r="BK543" s="4">
        <v>1</v>
      </c>
      <c r="BL543" s="4"/>
      <c r="BM543" s="5">
        <v>40690</v>
      </c>
      <c r="BN543" s="5">
        <v>40690</v>
      </c>
      <c r="BO543" s="5">
        <v>40717</v>
      </c>
      <c r="BP543" s="4"/>
      <c r="BQ543" s="4"/>
      <c r="BR543" s="5">
        <v>40654</v>
      </c>
      <c r="BS543" s="4"/>
      <c r="BT543" s="5">
        <v>40707</v>
      </c>
      <c r="BU543" s="5">
        <v>40703</v>
      </c>
      <c r="BV543" s="5">
        <v>40746</v>
      </c>
      <c r="BW543" s="5">
        <v>40746</v>
      </c>
      <c r="BX543" s="5">
        <v>40732</v>
      </c>
      <c r="BY543" s="5">
        <v>40737</v>
      </c>
      <c r="BZ543" s="5">
        <v>40732</v>
      </c>
      <c r="CA543" s="4"/>
      <c r="CB543" s="4"/>
      <c r="CC543" s="4"/>
      <c r="CD543" s="4"/>
      <c r="CE543" s="4"/>
      <c r="CF543" s="4"/>
      <c r="CG543" s="4"/>
      <c r="CH543" s="4"/>
      <c r="CI543" s="5">
        <v>40750</v>
      </c>
      <c r="CJ543" s="5">
        <v>40770</v>
      </c>
      <c r="CK543" s="5">
        <v>40779</v>
      </c>
      <c r="CL543" s="5">
        <v>40770</v>
      </c>
      <c r="CM543" s="5">
        <v>40770</v>
      </c>
      <c r="CN543" s="5">
        <v>40861</v>
      </c>
      <c r="CO543" s="5">
        <v>41066</v>
      </c>
      <c r="CP543" s="4" t="s">
        <v>1746</v>
      </c>
      <c r="CQ543" s="4"/>
      <c r="CR543" s="5">
        <v>40751</v>
      </c>
      <c r="CS543" s="4"/>
      <c r="CT543" s="5">
        <v>40647</v>
      </c>
      <c r="CU543" s="5">
        <v>40700</v>
      </c>
      <c r="CV543" s="5">
        <v>40700</v>
      </c>
      <c r="CW543" s="5">
        <v>40717</v>
      </c>
      <c r="CX543" s="5">
        <v>40717</v>
      </c>
      <c r="CY543" s="5">
        <v>40737</v>
      </c>
      <c r="CZ543" s="5">
        <v>40732</v>
      </c>
      <c r="DA543" s="4"/>
      <c r="DB543" s="5">
        <v>40757</v>
      </c>
      <c r="DC543" s="4"/>
      <c r="DD543" s="4"/>
      <c r="DE543" s="4"/>
      <c r="DF543" s="4"/>
      <c r="DG543" s="4"/>
      <c r="DH543" s="4"/>
      <c r="DI543" s="5">
        <v>40735</v>
      </c>
      <c r="DJ543" s="4" t="b">
        <v>1</v>
      </c>
      <c r="DK543" s="4"/>
      <c r="DL543" s="4">
        <v>2784490</v>
      </c>
      <c r="DM543" s="4">
        <v>6384894</v>
      </c>
      <c r="DN543" s="4" t="s">
        <v>1747</v>
      </c>
      <c r="DO543" s="4"/>
      <c r="DP543" s="4"/>
      <c r="DQ543" s="4" t="s">
        <v>148</v>
      </c>
      <c r="DR543" s="4"/>
      <c r="DS543" s="4"/>
      <c r="DT543" s="5">
        <v>42151</v>
      </c>
      <c r="DU543" s="4"/>
      <c r="DV543" s="4"/>
      <c r="DW543" s="4"/>
      <c r="DX543" s="4"/>
      <c r="DY543" s="4"/>
      <c r="DZ543" s="4"/>
      <c r="EA543" s="4"/>
      <c r="EB543" s="4"/>
      <c r="EC543" s="4"/>
      <c r="ED543" s="4"/>
      <c r="EE543" s="4"/>
      <c r="EF543" s="4"/>
      <c r="EG543" s="5">
        <v>40756</v>
      </c>
      <c r="EH543" s="5">
        <v>40756</v>
      </c>
      <c r="EI543" s="5">
        <v>40309</v>
      </c>
    </row>
    <row r="544" spans="1:139" hidden="1" x14ac:dyDescent="0.2">
      <c r="A544">
        <f>VLOOKUP(B544,Sheet1!$A$1:$B$18,2,FALSE)</f>
        <v>0</v>
      </c>
      <c r="B544" t="str">
        <f t="shared" si="9"/>
        <v>BOP</v>
      </c>
      <c r="C544" s="2">
        <v>543</v>
      </c>
      <c r="D544" s="3" t="str">
        <f>HYPERLINK("https://sitebase.nzcomms.co.nz/spm/spmnominalview/BOP-023-011/","BOP-023-011")</f>
        <v>BOP-023-011</v>
      </c>
      <c r="E544" s="4" t="s">
        <v>1748</v>
      </c>
      <c r="F544" s="3" t="str">
        <f>HYPERLINK("https://sitebase.nzcomms.co.nz/spm/spmcandidateview/BOP-023-011-B/","BOP-023-011-B")</f>
        <v>BOP-023-011-B</v>
      </c>
      <c r="G544" s="4" t="s">
        <v>1749</v>
      </c>
      <c r="H544" s="4" t="s">
        <v>1703</v>
      </c>
      <c r="I544" s="4">
        <v>20</v>
      </c>
      <c r="J544" s="4" t="s">
        <v>1633</v>
      </c>
      <c r="K544" s="4" t="s">
        <v>141</v>
      </c>
      <c r="L544" s="4" t="s">
        <v>150</v>
      </c>
      <c r="M544" s="4" t="s">
        <v>190</v>
      </c>
      <c r="N544" s="4" t="s">
        <v>291</v>
      </c>
      <c r="O544" s="4" t="s">
        <v>144</v>
      </c>
      <c r="P544" s="4" t="s">
        <v>169</v>
      </c>
      <c r="Q544" s="4" t="s">
        <v>192</v>
      </c>
      <c r="R544" s="4">
        <v>20.2</v>
      </c>
      <c r="S544" s="4">
        <v>20.7</v>
      </c>
      <c r="T544" s="4">
        <v>2</v>
      </c>
      <c r="U544" s="4">
        <v>-37.724418999999997</v>
      </c>
      <c r="V544" s="4">
        <v>176.12760424999999</v>
      </c>
      <c r="W544" s="4"/>
      <c r="X544" s="5">
        <v>40164</v>
      </c>
      <c r="Y544" s="4"/>
      <c r="Z544" s="5">
        <v>40164</v>
      </c>
      <c r="AA544" s="4" t="s">
        <v>171</v>
      </c>
      <c r="AB544" s="3" t="str">
        <f>HYPERLINK("https://sitebase.nzcomms.co.nz/spm/spmcandidateview/BOP-022-019-A/","BOP-022-019-A")</f>
        <v>BOP-022-019-A</v>
      </c>
      <c r="AC544" s="4" t="b">
        <v>1</v>
      </c>
      <c r="AD544" s="4" t="b">
        <v>1</v>
      </c>
      <c r="AE544" s="5">
        <v>40207</v>
      </c>
      <c r="AF544" s="4"/>
      <c r="AG544" s="4" t="b">
        <v>1</v>
      </c>
      <c r="AH544" s="4" t="s">
        <v>1655</v>
      </c>
      <c r="AI544" s="5">
        <v>40221</v>
      </c>
      <c r="AJ544" s="5">
        <v>40206</v>
      </c>
      <c r="AK544" s="4"/>
      <c r="AL544" s="4"/>
      <c r="AM544" s="5">
        <v>40221</v>
      </c>
      <c r="AN544" s="5">
        <v>40225</v>
      </c>
      <c r="AO544" s="4">
        <v>3</v>
      </c>
      <c r="AP544" s="5">
        <v>40221</v>
      </c>
      <c r="AQ544" s="5">
        <v>40612</v>
      </c>
      <c r="AR544" s="4"/>
      <c r="AS544" s="5">
        <v>40254</v>
      </c>
      <c r="AT544" s="5">
        <v>40259</v>
      </c>
      <c r="AU544" s="5">
        <v>40254</v>
      </c>
      <c r="AV544" s="4"/>
      <c r="AW544" s="5">
        <v>40266</v>
      </c>
      <c r="AX544" s="5">
        <v>40254</v>
      </c>
      <c r="AY544" s="4" t="s">
        <v>172</v>
      </c>
      <c r="AZ544" s="5">
        <v>40235</v>
      </c>
      <c r="BA544" s="5">
        <v>40232</v>
      </c>
      <c r="BB544" s="5">
        <v>40277</v>
      </c>
      <c r="BC544" s="5">
        <v>40253</v>
      </c>
      <c r="BD544" s="4">
        <v>1</v>
      </c>
      <c r="BE544" s="5">
        <v>40284</v>
      </c>
      <c r="BF544" s="5">
        <v>40253</v>
      </c>
      <c r="BG544" s="4"/>
      <c r="BH544" s="4"/>
      <c r="BI544" s="5">
        <v>40676</v>
      </c>
      <c r="BJ544" s="5">
        <v>40683</v>
      </c>
      <c r="BK544" s="4">
        <v>1</v>
      </c>
      <c r="BL544" s="4"/>
      <c r="BM544" s="5">
        <v>40676</v>
      </c>
      <c r="BN544" s="5">
        <v>40683</v>
      </c>
      <c r="BO544" s="5">
        <v>40698</v>
      </c>
      <c r="BP544" s="4"/>
      <c r="BQ544" s="4"/>
      <c r="BR544" s="4"/>
      <c r="BS544" s="4"/>
      <c r="BT544" s="5">
        <v>40679</v>
      </c>
      <c r="BU544" s="5">
        <v>40679</v>
      </c>
      <c r="BV544" s="5">
        <v>40711</v>
      </c>
      <c r="BW544" s="5">
        <v>40710</v>
      </c>
      <c r="BX544" s="5">
        <v>40716</v>
      </c>
      <c r="BY544" s="5">
        <v>40723</v>
      </c>
      <c r="BZ544" s="5">
        <v>40725</v>
      </c>
      <c r="CA544" s="4"/>
      <c r="CB544" s="4"/>
      <c r="CC544" s="4"/>
      <c r="CD544" s="4"/>
      <c r="CE544" s="4"/>
      <c r="CF544" s="4"/>
      <c r="CG544" s="4"/>
      <c r="CH544" s="4"/>
      <c r="CI544" s="5">
        <v>40762</v>
      </c>
      <c r="CJ544" s="5">
        <v>40777</v>
      </c>
      <c r="CK544" s="5">
        <v>40779</v>
      </c>
      <c r="CL544" s="5">
        <v>40777</v>
      </c>
      <c r="CM544" s="5">
        <v>40780</v>
      </c>
      <c r="CN544" s="5">
        <v>40870</v>
      </c>
      <c r="CO544" s="5">
        <v>41087</v>
      </c>
      <c r="CP544" s="4" t="s">
        <v>1750</v>
      </c>
      <c r="CQ544" s="4"/>
      <c r="CR544" s="5">
        <v>40765</v>
      </c>
      <c r="CS544" s="4"/>
      <c r="CT544" s="5">
        <v>40647</v>
      </c>
      <c r="CU544" s="5">
        <v>40700</v>
      </c>
      <c r="CV544" s="5">
        <v>40700</v>
      </c>
      <c r="CW544" s="5">
        <v>40698</v>
      </c>
      <c r="CX544" s="5">
        <v>40698</v>
      </c>
      <c r="CY544" s="5">
        <v>40717</v>
      </c>
      <c r="CZ544" s="5">
        <v>40725</v>
      </c>
      <c r="DA544" s="4"/>
      <c r="DB544" s="5">
        <v>40763</v>
      </c>
      <c r="DC544" s="4"/>
      <c r="DD544" s="4"/>
      <c r="DE544" s="4"/>
      <c r="DF544" s="4"/>
      <c r="DG544" s="4"/>
      <c r="DH544" s="4"/>
      <c r="DI544" s="4"/>
      <c r="DJ544" s="4" t="b">
        <v>0</v>
      </c>
      <c r="DK544" s="4"/>
      <c r="DL544" s="4">
        <v>2785872</v>
      </c>
      <c r="DM544" s="4">
        <v>6381663</v>
      </c>
      <c r="DN544" s="4" t="s">
        <v>1751</v>
      </c>
      <c r="DO544" s="4"/>
      <c r="DP544" s="4"/>
      <c r="DQ544" s="4" t="s">
        <v>148</v>
      </c>
      <c r="DR544" s="4"/>
      <c r="DS544" s="4"/>
      <c r="DT544" s="5">
        <v>42151</v>
      </c>
      <c r="DU544" s="4"/>
      <c r="DV544" s="4"/>
      <c r="DW544" s="4"/>
      <c r="DX544" s="4"/>
      <c r="DY544" s="4"/>
      <c r="DZ544" s="4"/>
      <c r="EA544" s="4"/>
      <c r="EB544" s="4"/>
      <c r="EC544" s="4"/>
      <c r="ED544" s="4"/>
      <c r="EE544" s="4"/>
      <c r="EF544" s="4"/>
      <c r="EG544" s="5">
        <v>40763</v>
      </c>
      <c r="EH544" s="5">
        <v>40763</v>
      </c>
      <c r="EI544" s="5">
        <v>40206</v>
      </c>
    </row>
    <row r="545" spans="1:139" hidden="1" x14ac:dyDescent="0.2">
      <c r="A545">
        <f>VLOOKUP(B545,Sheet1!$A$1:$B$18,2,FALSE)</f>
        <v>0</v>
      </c>
      <c r="B545" t="str">
        <f t="shared" si="9"/>
        <v>BOP</v>
      </c>
      <c r="C545" s="2">
        <v>544</v>
      </c>
      <c r="D545" s="3" t="str">
        <f>HYPERLINK("https://sitebase.nzcomms.co.nz/spm/spmnominalview/BOP-023-012/","BOP-023-012")</f>
        <v>BOP-023-012</v>
      </c>
      <c r="E545" s="4" t="s">
        <v>1752</v>
      </c>
      <c r="F545" s="3" t="str">
        <f>HYPERLINK("https://sitebase.nzcomms.co.nz/spm/spmcandidateview/BOP-023-012-B/","BOP-023-012-B")</f>
        <v>BOP-023-012-B</v>
      </c>
      <c r="G545" s="4" t="s">
        <v>1753</v>
      </c>
      <c r="H545" s="4" t="s">
        <v>1703</v>
      </c>
      <c r="I545" s="4">
        <v>20</v>
      </c>
      <c r="J545" s="4" t="s">
        <v>1633</v>
      </c>
      <c r="K545" s="4" t="s">
        <v>141</v>
      </c>
      <c r="L545" s="4" t="s">
        <v>150</v>
      </c>
      <c r="M545" s="4" t="s">
        <v>190</v>
      </c>
      <c r="N545" s="4" t="s">
        <v>291</v>
      </c>
      <c r="O545" s="4" t="s">
        <v>144</v>
      </c>
      <c r="P545" s="4" t="s">
        <v>169</v>
      </c>
      <c r="Q545" s="4" t="s">
        <v>192</v>
      </c>
      <c r="R545" s="4">
        <v>20.2</v>
      </c>
      <c r="S545" s="4">
        <v>20.7</v>
      </c>
      <c r="T545" s="4">
        <v>1</v>
      </c>
      <c r="U545" s="4">
        <v>-37.702443760000001</v>
      </c>
      <c r="V545" s="4">
        <v>176.28288934</v>
      </c>
      <c r="W545" s="4"/>
      <c r="X545" s="5">
        <v>40164</v>
      </c>
      <c r="Y545" s="4"/>
      <c r="Z545" s="5">
        <v>40164</v>
      </c>
      <c r="AA545" s="4" t="s">
        <v>171</v>
      </c>
      <c r="AB545" s="3" t="str">
        <f>HYPERLINK("https://sitebase.nzcomms.co.nz/spm/spmcandidateview/BOP-023-018-B/","BOP-023-018-B")</f>
        <v>BOP-023-018-B</v>
      </c>
      <c r="AC545" s="4" t="b">
        <v>1</v>
      </c>
      <c r="AD545" s="4" t="b">
        <v>1</v>
      </c>
      <c r="AE545" s="5">
        <v>40275</v>
      </c>
      <c r="AF545" s="5">
        <v>40291</v>
      </c>
      <c r="AG545" s="4" t="b">
        <v>1</v>
      </c>
      <c r="AH545" s="4" t="s">
        <v>1754</v>
      </c>
      <c r="AI545" s="5">
        <v>40256</v>
      </c>
      <c r="AJ545" s="5">
        <v>40252</v>
      </c>
      <c r="AK545" s="4"/>
      <c r="AL545" s="4"/>
      <c r="AM545" s="5">
        <v>40269</v>
      </c>
      <c r="AN545" s="5">
        <v>40275</v>
      </c>
      <c r="AO545" s="4">
        <v>3</v>
      </c>
      <c r="AP545" s="5">
        <v>40269</v>
      </c>
      <c r="AQ545" s="5">
        <v>40344</v>
      </c>
      <c r="AR545" s="5">
        <v>40291</v>
      </c>
      <c r="AS545" s="5">
        <v>40290</v>
      </c>
      <c r="AT545" s="5">
        <v>40291</v>
      </c>
      <c r="AU545" s="5">
        <v>40290</v>
      </c>
      <c r="AV545" s="4"/>
      <c r="AW545" s="5">
        <v>40416</v>
      </c>
      <c r="AX545" s="5">
        <v>40403</v>
      </c>
      <c r="AY545" s="4" t="s">
        <v>247</v>
      </c>
      <c r="AZ545" s="5">
        <v>40277</v>
      </c>
      <c r="BA545" s="5">
        <v>40275</v>
      </c>
      <c r="BB545" s="5">
        <v>40312</v>
      </c>
      <c r="BC545" s="5">
        <v>40308</v>
      </c>
      <c r="BD545" s="4">
        <v>1</v>
      </c>
      <c r="BE545" s="5">
        <v>40319</v>
      </c>
      <c r="BF545" s="5">
        <v>40308</v>
      </c>
      <c r="BG545" s="4"/>
      <c r="BH545" s="4"/>
      <c r="BI545" s="5">
        <v>40683</v>
      </c>
      <c r="BJ545" s="5">
        <v>40695</v>
      </c>
      <c r="BK545" s="4">
        <v>1</v>
      </c>
      <c r="BL545" s="4"/>
      <c r="BM545" s="5">
        <v>40683</v>
      </c>
      <c r="BN545" s="5">
        <v>40695</v>
      </c>
      <c r="BO545" s="5">
        <v>40714</v>
      </c>
      <c r="BP545" s="4"/>
      <c r="BQ545" s="4"/>
      <c r="BR545" s="4"/>
      <c r="BS545" s="4"/>
      <c r="BT545" s="5">
        <v>40686</v>
      </c>
      <c r="BU545" s="5">
        <v>40688</v>
      </c>
      <c r="BV545" s="5">
        <v>40746</v>
      </c>
      <c r="BW545" s="5">
        <v>40751</v>
      </c>
      <c r="BX545" s="5">
        <v>40724</v>
      </c>
      <c r="BY545" s="5">
        <v>40737</v>
      </c>
      <c r="BZ545" s="5">
        <v>40737</v>
      </c>
      <c r="CA545" s="4"/>
      <c r="CB545" s="4"/>
      <c r="CC545" s="4"/>
      <c r="CD545" s="4"/>
      <c r="CE545" s="4"/>
      <c r="CF545" s="4"/>
      <c r="CG545" s="4"/>
      <c r="CH545" s="4"/>
      <c r="CI545" s="5">
        <v>40751</v>
      </c>
      <c r="CJ545" s="5">
        <v>40770</v>
      </c>
      <c r="CK545" s="5">
        <v>40779</v>
      </c>
      <c r="CL545" s="5">
        <v>40770</v>
      </c>
      <c r="CM545" s="5">
        <v>40770</v>
      </c>
      <c r="CN545" s="5">
        <v>40861</v>
      </c>
      <c r="CO545" s="5">
        <v>41012</v>
      </c>
      <c r="CP545" s="4" t="s">
        <v>1755</v>
      </c>
      <c r="CQ545" s="4"/>
      <c r="CR545" s="5">
        <v>40751</v>
      </c>
      <c r="CS545" s="4"/>
      <c r="CT545" s="5">
        <v>40647</v>
      </c>
      <c r="CU545" s="5">
        <v>40700</v>
      </c>
      <c r="CV545" s="5">
        <v>40700</v>
      </c>
      <c r="CW545" s="5">
        <v>40698</v>
      </c>
      <c r="CX545" s="5">
        <v>40714</v>
      </c>
      <c r="CY545" s="5">
        <v>40730</v>
      </c>
      <c r="CZ545" s="5">
        <v>40730</v>
      </c>
      <c r="DA545" s="4"/>
      <c r="DB545" s="5">
        <v>40757</v>
      </c>
      <c r="DC545" s="4"/>
      <c r="DD545" s="4"/>
      <c r="DE545" s="4"/>
      <c r="DF545" s="4"/>
      <c r="DG545" s="4"/>
      <c r="DH545" s="4"/>
      <c r="DI545" s="4"/>
      <c r="DJ545" s="4" t="b">
        <v>0</v>
      </c>
      <c r="DK545" s="4"/>
      <c r="DL545" s="4">
        <v>2799641</v>
      </c>
      <c r="DM545" s="4">
        <v>6383609</v>
      </c>
      <c r="DN545" s="4" t="s">
        <v>1756</v>
      </c>
      <c r="DO545" s="4"/>
      <c r="DP545" s="4"/>
      <c r="DQ545" s="4" t="s">
        <v>148</v>
      </c>
      <c r="DR545" s="4"/>
      <c r="DS545" s="4"/>
      <c r="DT545" s="5">
        <v>41978</v>
      </c>
      <c r="DU545" s="4"/>
      <c r="DV545" s="4"/>
      <c r="DW545" s="4"/>
      <c r="DX545" s="4"/>
      <c r="DY545" s="4"/>
      <c r="DZ545" s="4"/>
      <c r="EA545" s="4"/>
      <c r="EB545" s="4"/>
      <c r="EC545" s="4"/>
      <c r="ED545" s="4"/>
      <c r="EE545" s="4"/>
      <c r="EF545" s="4"/>
      <c r="EG545" s="5">
        <v>40756</v>
      </c>
      <c r="EH545" s="5">
        <v>40756</v>
      </c>
      <c r="EI545" s="5">
        <v>40252</v>
      </c>
    </row>
    <row r="546" spans="1:139" hidden="1" x14ac:dyDescent="0.2">
      <c r="A546">
        <f>VLOOKUP(B546,Sheet1!$A$1:$B$18,2,FALSE)</f>
        <v>0</v>
      </c>
      <c r="B546" t="str">
        <f t="shared" si="9"/>
        <v>BOP</v>
      </c>
      <c r="C546" s="2">
        <v>545</v>
      </c>
      <c r="D546" s="3" t="str">
        <f>HYPERLINK("https://sitebase.nzcomms.co.nz/spm/spmnominalview/BOP-023-013/","BOP-023-013")</f>
        <v>BOP-023-013</v>
      </c>
      <c r="E546" s="4" t="s">
        <v>1757</v>
      </c>
      <c r="F546" s="3" t="str">
        <f>HYPERLINK("https://sitebase.nzcomms.co.nz/spm/spmcandidateview/BOP-023-013-A/","BOP-023-013-A")</f>
        <v>BOP-023-013-A</v>
      </c>
      <c r="G546" s="4" t="s">
        <v>1757</v>
      </c>
      <c r="H546" s="4" t="s">
        <v>1703</v>
      </c>
      <c r="I546" s="4">
        <v>20</v>
      </c>
      <c r="J546" s="4" t="s">
        <v>1633</v>
      </c>
      <c r="K546" s="4" t="s">
        <v>141</v>
      </c>
      <c r="L546" s="4" t="s">
        <v>150</v>
      </c>
      <c r="M546" s="4" t="s">
        <v>190</v>
      </c>
      <c r="N546" s="4" t="s">
        <v>291</v>
      </c>
      <c r="O546" s="4" t="s">
        <v>144</v>
      </c>
      <c r="P546" s="4" t="s">
        <v>169</v>
      </c>
      <c r="Q546" s="4" t="s">
        <v>192</v>
      </c>
      <c r="R546" s="4">
        <v>20.399999999999999</v>
      </c>
      <c r="S546" s="4">
        <v>20.9</v>
      </c>
      <c r="T546" s="4"/>
      <c r="U546" s="4">
        <v>-37.711371300000003</v>
      </c>
      <c r="V546" s="4">
        <v>176.3166712</v>
      </c>
      <c r="W546" s="4"/>
      <c r="X546" s="5">
        <v>40164</v>
      </c>
      <c r="Y546" s="4"/>
      <c r="Z546" s="5">
        <v>40164</v>
      </c>
      <c r="AA546" s="4" t="s">
        <v>171</v>
      </c>
      <c r="AB546" s="3" t="str">
        <f>HYPERLINK("https://sitebase.nzcomms.co.nz/spm/spmcandidateview/BOP-022-007-A/","BOP-022-007-A")</f>
        <v>BOP-022-007-A</v>
      </c>
      <c r="AC546" s="4" t="b">
        <v>1</v>
      </c>
      <c r="AD546" s="4" t="b">
        <v>1</v>
      </c>
      <c r="AE546" s="5">
        <v>40200</v>
      </c>
      <c r="AF546" s="4"/>
      <c r="AG546" s="4" t="b">
        <v>1</v>
      </c>
      <c r="AH546" s="4" t="s">
        <v>1655</v>
      </c>
      <c r="AI546" s="5">
        <v>40200</v>
      </c>
      <c r="AJ546" s="5">
        <v>40198</v>
      </c>
      <c r="AK546" s="4"/>
      <c r="AL546" s="4"/>
      <c r="AM546" s="5">
        <v>40213</v>
      </c>
      <c r="AN546" s="5">
        <v>40217</v>
      </c>
      <c r="AO546" s="4">
        <v>4</v>
      </c>
      <c r="AP546" s="5">
        <v>40213</v>
      </c>
      <c r="AQ546" s="5">
        <v>40346</v>
      </c>
      <c r="AR546" s="4"/>
      <c r="AS546" s="5">
        <v>40247</v>
      </c>
      <c r="AT546" s="5">
        <v>40256</v>
      </c>
      <c r="AU546" s="5">
        <v>40247</v>
      </c>
      <c r="AV546" s="4"/>
      <c r="AW546" s="5">
        <v>40263</v>
      </c>
      <c r="AX546" s="5">
        <v>40247</v>
      </c>
      <c r="AY546" s="4" t="s">
        <v>172</v>
      </c>
      <c r="AZ546" s="5">
        <v>40221</v>
      </c>
      <c r="BA546" s="5">
        <v>40220</v>
      </c>
      <c r="BB546" s="5">
        <v>40249</v>
      </c>
      <c r="BC546" s="5">
        <v>40232</v>
      </c>
      <c r="BD546" s="4">
        <v>2</v>
      </c>
      <c r="BE546" s="5">
        <v>40256</v>
      </c>
      <c r="BF546" s="5">
        <v>40232</v>
      </c>
      <c r="BG546" s="4"/>
      <c r="BH546" s="4"/>
      <c r="BI546" s="5">
        <v>40696</v>
      </c>
      <c r="BJ546" s="5">
        <v>40703</v>
      </c>
      <c r="BK546" s="4">
        <v>1</v>
      </c>
      <c r="BL546" s="4"/>
      <c r="BM546" s="5">
        <v>40693</v>
      </c>
      <c r="BN546" s="5">
        <v>40703</v>
      </c>
      <c r="BO546" s="5">
        <v>40703</v>
      </c>
      <c r="BP546" s="4"/>
      <c r="BQ546" s="4"/>
      <c r="BR546" s="4"/>
      <c r="BS546" s="4"/>
      <c r="BT546" s="5">
        <v>40709</v>
      </c>
      <c r="BU546" s="5">
        <v>40714</v>
      </c>
      <c r="BV546" s="5">
        <v>40732</v>
      </c>
      <c r="BW546" s="5">
        <v>40735</v>
      </c>
      <c r="BX546" s="5">
        <v>40731</v>
      </c>
      <c r="BY546" s="5">
        <v>40746</v>
      </c>
      <c r="BZ546" s="5">
        <v>40753</v>
      </c>
      <c r="CA546" s="4"/>
      <c r="CB546" s="4"/>
      <c r="CC546" s="4"/>
      <c r="CD546" s="4"/>
      <c r="CE546" s="4"/>
      <c r="CF546" s="4"/>
      <c r="CG546" s="4"/>
      <c r="CH546" s="4"/>
      <c r="CI546" s="5">
        <v>40754</v>
      </c>
      <c r="CJ546" s="5">
        <v>40777</v>
      </c>
      <c r="CK546" s="5">
        <v>40779</v>
      </c>
      <c r="CL546" s="5">
        <v>40777</v>
      </c>
      <c r="CM546" s="5">
        <v>40770</v>
      </c>
      <c r="CN546" s="5">
        <v>40869</v>
      </c>
      <c r="CO546" s="5">
        <v>40925</v>
      </c>
      <c r="CP546" s="4" t="s">
        <v>1758</v>
      </c>
      <c r="CQ546" s="4"/>
      <c r="CR546" s="5">
        <v>40758</v>
      </c>
      <c r="CS546" s="5">
        <v>40702</v>
      </c>
      <c r="CT546" s="5">
        <v>40702</v>
      </c>
      <c r="CU546" s="5">
        <v>40707</v>
      </c>
      <c r="CV546" s="5">
        <v>40721</v>
      </c>
      <c r="CW546" s="5">
        <v>40703</v>
      </c>
      <c r="CX546" s="5">
        <v>40703</v>
      </c>
      <c r="CY546" s="5">
        <v>40739</v>
      </c>
      <c r="CZ546" s="5">
        <v>40739</v>
      </c>
      <c r="DA546" s="4"/>
      <c r="DB546" s="5">
        <v>40757</v>
      </c>
      <c r="DC546" s="4"/>
      <c r="DD546" s="4"/>
      <c r="DE546" s="4"/>
      <c r="DF546" s="4"/>
      <c r="DG546" s="4"/>
      <c r="DH546" s="4"/>
      <c r="DI546" s="5">
        <v>40731</v>
      </c>
      <c r="DJ546" s="4" t="b">
        <v>0</v>
      </c>
      <c r="DK546" s="4"/>
      <c r="DL546" s="4">
        <v>2802581</v>
      </c>
      <c r="DM546" s="4">
        <v>6382509</v>
      </c>
      <c r="DN546" s="4" t="s">
        <v>1759</v>
      </c>
      <c r="DO546" s="4"/>
      <c r="DP546" s="4" t="s">
        <v>1726</v>
      </c>
      <c r="DQ546" s="4" t="s">
        <v>148</v>
      </c>
      <c r="DR546" s="4"/>
      <c r="DS546" s="4"/>
      <c r="DT546" s="5">
        <v>41978</v>
      </c>
      <c r="DU546" s="4"/>
      <c r="DV546" s="4"/>
      <c r="DW546" s="4"/>
      <c r="DX546" s="4"/>
      <c r="DY546" s="4"/>
      <c r="DZ546" s="4"/>
      <c r="EA546" s="4"/>
      <c r="EB546" s="4"/>
      <c r="EC546" s="4"/>
      <c r="ED546" s="4"/>
      <c r="EE546" s="4"/>
      <c r="EF546" s="4"/>
      <c r="EG546" s="5">
        <v>40756</v>
      </c>
      <c r="EH546" s="5">
        <v>40756</v>
      </c>
      <c r="EI546" s="5">
        <v>40198</v>
      </c>
    </row>
    <row r="547" spans="1:139" hidden="1" x14ac:dyDescent="0.2">
      <c r="A547">
        <f>VLOOKUP(B547,Sheet1!$A$1:$B$18,2,FALSE)</f>
        <v>0</v>
      </c>
      <c r="B547" t="str">
        <f t="shared" si="9"/>
        <v>BOP</v>
      </c>
      <c r="C547" s="2">
        <v>546</v>
      </c>
      <c r="D547" s="3" t="str">
        <f>HYPERLINK("https://sitebase.nzcomms.co.nz/spm/spmnominalview/BOP-023-014/","BOP-023-014")</f>
        <v>BOP-023-014</v>
      </c>
      <c r="E547" s="4" t="s">
        <v>1760</v>
      </c>
      <c r="F547" s="3" t="str">
        <f>HYPERLINK("https://sitebase.nzcomms.co.nz/spm/spmcandidateview/BOP-023-014-B/","BOP-023-014-B")</f>
        <v>BOP-023-014-B</v>
      </c>
      <c r="G547" s="4" t="s">
        <v>1761</v>
      </c>
      <c r="H547" s="4" t="s">
        <v>1703</v>
      </c>
      <c r="I547" s="4">
        <v>20</v>
      </c>
      <c r="J547" s="4" t="s">
        <v>1633</v>
      </c>
      <c r="K547" s="4" t="s">
        <v>141</v>
      </c>
      <c r="L547" s="4" t="s">
        <v>150</v>
      </c>
      <c r="M547" s="4" t="s">
        <v>190</v>
      </c>
      <c r="N547" s="4" t="s">
        <v>156</v>
      </c>
      <c r="O547" s="4" t="s">
        <v>144</v>
      </c>
      <c r="P547" s="4" t="s">
        <v>169</v>
      </c>
      <c r="Q547" s="4" t="s">
        <v>192</v>
      </c>
      <c r="R547" s="4">
        <v>23.4</v>
      </c>
      <c r="S547" s="4">
        <v>23.9</v>
      </c>
      <c r="T547" s="4"/>
      <c r="U547" s="4">
        <v>-37.664444430000003</v>
      </c>
      <c r="V547" s="4">
        <v>176.20739498</v>
      </c>
      <c r="W547" s="4"/>
      <c r="X547" s="5">
        <v>40164</v>
      </c>
      <c r="Y547" s="4"/>
      <c r="Z547" s="5">
        <v>40164</v>
      </c>
      <c r="AA547" s="4" t="s">
        <v>171</v>
      </c>
      <c r="AB547" s="3" t="str">
        <f>HYPERLINK("https://sitebase.nzcomms.co.nz/spm/spmcandidateview/BOP-023-007-B/","BOP-023-007-B")</f>
        <v>BOP-023-007-B</v>
      </c>
      <c r="AC547" s="4" t="b">
        <v>1</v>
      </c>
      <c r="AD547" s="4" t="b">
        <v>1</v>
      </c>
      <c r="AE547" s="5">
        <v>40227</v>
      </c>
      <c r="AF547" s="4"/>
      <c r="AG547" s="4" t="b">
        <v>1</v>
      </c>
      <c r="AH547" s="4" t="s">
        <v>1709</v>
      </c>
      <c r="AI547" s="5">
        <v>40252</v>
      </c>
      <c r="AJ547" s="5">
        <v>40252</v>
      </c>
      <c r="AK547" s="4"/>
      <c r="AL547" s="4"/>
      <c r="AM547" s="5">
        <v>40263</v>
      </c>
      <c r="AN547" s="5">
        <v>40263</v>
      </c>
      <c r="AO547" s="4">
        <v>5</v>
      </c>
      <c r="AP547" s="5">
        <v>40359</v>
      </c>
      <c r="AQ547" s="5">
        <v>41907</v>
      </c>
      <c r="AR547" s="5">
        <v>40298</v>
      </c>
      <c r="AS547" s="5">
        <v>40291</v>
      </c>
      <c r="AT547" s="5">
        <v>40387</v>
      </c>
      <c r="AU547" s="5">
        <v>40388</v>
      </c>
      <c r="AV547" s="4"/>
      <c r="AW547" s="5">
        <v>40767</v>
      </c>
      <c r="AX547" s="5">
        <v>40780</v>
      </c>
      <c r="AY547" s="4" t="s">
        <v>172</v>
      </c>
      <c r="AZ547" s="5">
        <v>40280</v>
      </c>
      <c r="BA547" s="5">
        <v>40283</v>
      </c>
      <c r="BB547" s="5">
        <v>40339</v>
      </c>
      <c r="BC547" s="5">
        <v>40339</v>
      </c>
      <c r="BD547" s="4">
        <v>2</v>
      </c>
      <c r="BE547" s="5">
        <v>40801</v>
      </c>
      <c r="BF547" s="5">
        <v>40788</v>
      </c>
      <c r="BG547" s="4"/>
      <c r="BH547" s="4"/>
      <c r="BI547" s="5">
        <v>40718</v>
      </c>
      <c r="BJ547" s="5">
        <v>40724</v>
      </c>
      <c r="BK547" s="4">
        <v>1</v>
      </c>
      <c r="BL547" s="4"/>
      <c r="BM547" s="5">
        <v>40718</v>
      </c>
      <c r="BN547" s="5">
        <v>40724</v>
      </c>
      <c r="BO547" s="5">
        <v>40731</v>
      </c>
      <c r="BP547" s="4"/>
      <c r="BQ547" s="4"/>
      <c r="BR547" s="4"/>
      <c r="BS547" s="4"/>
      <c r="BT547" s="5">
        <v>40696</v>
      </c>
      <c r="BU547" s="5">
        <v>40696</v>
      </c>
      <c r="BV547" s="5">
        <v>40737</v>
      </c>
      <c r="BW547" s="5">
        <v>40753</v>
      </c>
      <c r="BX547" s="5">
        <v>40739</v>
      </c>
      <c r="BY547" s="5">
        <v>40742</v>
      </c>
      <c r="BZ547" s="5">
        <v>40743</v>
      </c>
      <c r="CA547" s="4"/>
      <c r="CB547" s="4"/>
      <c r="CC547" s="4"/>
      <c r="CD547" s="4"/>
      <c r="CE547" s="4"/>
      <c r="CF547" s="4"/>
      <c r="CG547" s="4"/>
      <c r="CH547" s="4"/>
      <c r="CI547" s="5">
        <v>40753</v>
      </c>
      <c r="CJ547" s="5">
        <v>40770</v>
      </c>
      <c r="CK547" s="5">
        <v>40779</v>
      </c>
      <c r="CL547" s="5">
        <v>40770</v>
      </c>
      <c r="CM547" s="5">
        <v>40770</v>
      </c>
      <c r="CN547" s="5">
        <v>40861</v>
      </c>
      <c r="CO547" s="5">
        <v>40946</v>
      </c>
      <c r="CP547" s="4" t="s">
        <v>1762</v>
      </c>
      <c r="CQ547" s="4"/>
      <c r="CR547" s="5">
        <v>40755</v>
      </c>
      <c r="CS547" s="4"/>
      <c r="CT547" s="5">
        <v>40647</v>
      </c>
      <c r="CU547" s="5">
        <v>40700</v>
      </c>
      <c r="CV547" s="5">
        <v>40700</v>
      </c>
      <c r="CW547" s="5">
        <v>40729</v>
      </c>
      <c r="CX547" s="5">
        <v>40731</v>
      </c>
      <c r="CY547" s="5">
        <v>40742</v>
      </c>
      <c r="CZ547" s="5">
        <v>40743</v>
      </c>
      <c r="DA547" s="4"/>
      <c r="DB547" s="5">
        <v>40759</v>
      </c>
      <c r="DC547" s="4"/>
      <c r="DD547" s="4"/>
      <c r="DE547" s="4"/>
      <c r="DF547" s="4"/>
      <c r="DG547" s="4"/>
      <c r="DH547" s="4"/>
      <c r="DI547" s="4"/>
      <c r="DJ547" s="4" t="b">
        <v>0</v>
      </c>
      <c r="DK547" s="4"/>
      <c r="DL547" s="4">
        <v>2793140</v>
      </c>
      <c r="DM547" s="4">
        <v>6388065</v>
      </c>
      <c r="DN547" s="4" t="s">
        <v>1763</v>
      </c>
      <c r="DO547" s="4"/>
      <c r="DP547" s="4" t="s">
        <v>1764</v>
      </c>
      <c r="DQ547" s="4" t="s">
        <v>148</v>
      </c>
      <c r="DR547" s="4"/>
      <c r="DS547" s="4"/>
      <c r="DT547" s="5">
        <v>41978</v>
      </c>
      <c r="DU547" s="4"/>
      <c r="DV547" s="4"/>
      <c r="DW547" s="4"/>
      <c r="DX547" s="4"/>
      <c r="DY547" s="4"/>
      <c r="DZ547" s="4"/>
      <c r="EA547" s="4"/>
      <c r="EB547" s="4"/>
      <c r="EC547" s="4"/>
      <c r="ED547" s="4"/>
      <c r="EE547" s="4"/>
      <c r="EF547" s="4"/>
      <c r="EG547" s="5">
        <v>40744</v>
      </c>
      <c r="EH547" s="5">
        <v>40758</v>
      </c>
      <c r="EI547" s="5">
        <v>40252</v>
      </c>
    </row>
    <row r="548" spans="1:139" hidden="1" x14ac:dyDescent="0.2">
      <c r="A548">
        <f>VLOOKUP(B548,Sheet1!$A$1:$B$18,2,FALSE)</f>
        <v>0</v>
      </c>
      <c r="B548" t="str">
        <f t="shared" si="9"/>
        <v>BOP</v>
      </c>
      <c r="C548" s="2">
        <v>547</v>
      </c>
      <c r="D548" s="3" t="str">
        <f>HYPERLINK("https://sitebase.nzcomms.co.nz/spm/spmnominalview/BOP-023-015/","BOP-023-015")</f>
        <v>BOP-023-015</v>
      </c>
      <c r="E548" s="4" t="s">
        <v>1765</v>
      </c>
      <c r="F548" s="3" t="str">
        <f>HYPERLINK("https://sitebase.nzcomms.co.nz/spm/spmcandidateview/BOP-023-015-A/","BOP-023-015-A")</f>
        <v>BOP-023-015-A</v>
      </c>
      <c r="G548" s="4" t="s">
        <v>1766</v>
      </c>
      <c r="H548" s="4" t="s">
        <v>1703</v>
      </c>
      <c r="I548" s="4">
        <v>20</v>
      </c>
      <c r="J548" s="4" t="s">
        <v>1633</v>
      </c>
      <c r="K548" s="4" t="s">
        <v>141</v>
      </c>
      <c r="L548" s="4" t="s">
        <v>142</v>
      </c>
      <c r="M548" s="4" t="s">
        <v>190</v>
      </c>
      <c r="N548" s="4" t="s">
        <v>142</v>
      </c>
      <c r="O548" s="4" t="s">
        <v>144</v>
      </c>
      <c r="P548" s="4" t="s">
        <v>169</v>
      </c>
      <c r="Q548" s="4" t="s">
        <v>142</v>
      </c>
      <c r="R548" s="4">
        <v>27.6</v>
      </c>
      <c r="S548" s="4">
        <v>35.5</v>
      </c>
      <c r="T548" s="4"/>
      <c r="U548" s="4">
        <v>-37.699459470000001</v>
      </c>
      <c r="V548" s="4">
        <v>176.15924068999999</v>
      </c>
      <c r="W548" s="4"/>
      <c r="X548" s="5">
        <v>40164</v>
      </c>
      <c r="Y548" s="4"/>
      <c r="Z548" s="5">
        <v>40164</v>
      </c>
      <c r="AA548" s="4" t="s">
        <v>171</v>
      </c>
      <c r="AB548" s="3" t="str">
        <f>HYPERLINK("https://sitebase.nzcomms.co.nz/spm/spmcandidateview/BOP-023-004-A/","BOP-023-004-A")</f>
        <v>BOP-023-004-A</v>
      </c>
      <c r="AC548" s="4" t="b">
        <v>1</v>
      </c>
      <c r="AD548" s="4" t="b">
        <v>1</v>
      </c>
      <c r="AE548" s="5">
        <v>40227</v>
      </c>
      <c r="AF548" s="4"/>
      <c r="AG548" s="4" t="b">
        <v>1</v>
      </c>
      <c r="AH548" s="4" t="s">
        <v>1655</v>
      </c>
      <c r="AI548" s="5">
        <v>40252</v>
      </c>
      <c r="AJ548" s="5">
        <v>40252</v>
      </c>
      <c r="AK548" s="4"/>
      <c r="AL548" s="4"/>
      <c r="AM548" s="5">
        <v>40274</v>
      </c>
      <c r="AN548" s="5">
        <v>40269</v>
      </c>
      <c r="AO548" s="4">
        <v>3</v>
      </c>
      <c r="AP548" s="5">
        <v>40274</v>
      </c>
      <c r="AQ548" s="5">
        <v>41971</v>
      </c>
      <c r="AR548" s="5">
        <v>40312</v>
      </c>
      <c r="AS548" s="5">
        <v>40305</v>
      </c>
      <c r="AT548" s="5">
        <v>40637</v>
      </c>
      <c r="AU548" s="5">
        <v>40602</v>
      </c>
      <c r="AV548" s="4"/>
      <c r="AW548" s="5">
        <v>40644</v>
      </c>
      <c r="AX548" s="5">
        <v>40602</v>
      </c>
      <c r="AY548" s="4" t="s">
        <v>183</v>
      </c>
      <c r="AZ548" s="5">
        <v>40298</v>
      </c>
      <c r="BA548" s="5">
        <v>40290</v>
      </c>
      <c r="BB548" s="5">
        <v>40326</v>
      </c>
      <c r="BC548" s="5">
        <v>40322</v>
      </c>
      <c r="BD548" s="4">
        <v>1</v>
      </c>
      <c r="BE548" s="5">
        <v>40329</v>
      </c>
      <c r="BF548" s="5">
        <v>40322</v>
      </c>
      <c r="BG548" s="4"/>
      <c r="BH548" s="4"/>
      <c r="BI548" s="5">
        <v>40725</v>
      </c>
      <c r="BJ548" s="5">
        <v>40722</v>
      </c>
      <c r="BK548" s="4">
        <v>1</v>
      </c>
      <c r="BL548" s="4"/>
      <c r="BM548" s="5">
        <v>40725</v>
      </c>
      <c r="BN548" s="5">
        <v>40722</v>
      </c>
      <c r="BO548" s="5">
        <v>40744</v>
      </c>
      <c r="BP548" s="4"/>
      <c r="BQ548" s="4"/>
      <c r="BR548" s="4"/>
      <c r="BS548" s="4"/>
      <c r="BT548" s="5">
        <v>40737</v>
      </c>
      <c r="BU548" s="5">
        <v>40737</v>
      </c>
      <c r="BV548" s="5">
        <v>40739</v>
      </c>
      <c r="BW548" s="5">
        <v>40744</v>
      </c>
      <c r="BX548" s="5">
        <v>40744</v>
      </c>
      <c r="BY548" s="5">
        <v>40746</v>
      </c>
      <c r="BZ548" s="5">
        <v>40753</v>
      </c>
      <c r="CA548" s="4"/>
      <c r="CB548" s="4"/>
      <c r="CC548" s="4"/>
      <c r="CD548" s="4"/>
      <c r="CE548" s="4"/>
      <c r="CF548" s="4"/>
      <c r="CG548" s="4"/>
      <c r="CH548" s="4"/>
      <c r="CI548" s="5">
        <v>40755</v>
      </c>
      <c r="CJ548" s="5">
        <v>40770</v>
      </c>
      <c r="CK548" s="5">
        <v>40779</v>
      </c>
      <c r="CL548" s="5">
        <v>40770</v>
      </c>
      <c r="CM548" s="5">
        <v>40777</v>
      </c>
      <c r="CN548" s="5">
        <v>40868</v>
      </c>
      <c r="CO548" s="5">
        <v>40941</v>
      </c>
      <c r="CP548" s="4" t="s">
        <v>1767</v>
      </c>
      <c r="CQ548" s="4" t="s">
        <v>205</v>
      </c>
      <c r="CR548" s="5">
        <v>40759</v>
      </c>
      <c r="CS548" s="5">
        <v>40714</v>
      </c>
      <c r="CT548" s="5">
        <v>40744</v>
      </c>
      <c r="CU548" s="5">
        <v>40728</v>
      </c>
      <c r="CV548" s="5">
        <v>40738</v>
      </c>
      <c r="CW548" s="5">
        <v>40744</v>
      </c>
      <c r="CX548" s="5">
        <v>40744</v>
      </c>
      <c r="CY548" s="5">
        <v>40738</v>
      </c>
      <c r="CZ548" s="5">
        <v>40744</v>
      </c>
      <c r="DA548" s="4"/>
      <c r="DB548" s="5">
        <v>40757</v>
      </c>
      <c r="DC548" s="4"/>
      <c r="DD548" s="4"/>
      <c r="DE548" s="4"/>
      <c r="DF548" s="4"/>
      <c r="DG548" s="4"/>
      <c r="DH548" s="4"/>
      <c r="DI548" s="5">
        <v>40744</v>
      </c>
      <c r="DJ548" s="4" t="b">
        <v>0</v>
      </c>
      <c r="DK548" s="4"/>
      <c r="DL548" s="4">
        <v>2788757</v>
      </c>
      <c r="DM548" s="4">
        <v>6384333</v>
      </c>
      <c r="DN548" s="4" t="s">
        <v>1768</v>
      </c>
      <c r="DO548" s="4"/>
      <c r="DP548" s="4" t="s">
        <v>1764</v>
      </c>
      <c r="DQ548" s="4" t="s">
        <v>148</v>
      </c>
      <c r="DR548" s="4"/>
      <c r="DS548" s="4"/>
      <c r="DT548" s="5">
        <v>42151</v>
      </c>
      <c r="DU548" s="4"/>
      <c r="DV548" s="4"/>
      <c r="DW548" s="4"/>
      <c r="DX548" s="4"/>
      <c r="DY548" s="4"/>
      <c r="DZ548" s="4"/>
      <c r="EA548" s="4"/>
      <c r="EB548" s="4"/>
      <c r="EC548" s="4"/>
      <c r="ED548" s="4"/>
      <c r="EE548" s="4"/>
      <c r="EF548" s="4"/>
      <c r="EG548" s="5">
        <v>40756</v>
      </c>
      <c r="EH548" s="5">
        <v>40756</v>
      </c>
      <c r="EI548" s="5">
        <v>40252</v>
      </c>
    </row>
    <row r="549" spans="1:139" hidden="1" x14ac:dyDescent="0.2">
      <c r="A549">
        <f>VLOOKUP(B549,Sheet1!$A$1:$B$18,2,FALSE)</f>
        <v>0</v>
      </c>
      <c r="B549" t="str">
        <f t="shared" si="9"/>
        <v>BOP</v>
      </c>
      <c r="C549" s="2">
        <v>548</v>
      </c>
      <c r="D549" s="3" t="str">
        <f>HYPERLINK("https://sitebase.nzcomms.co.nz/spm/spmnominalview/BOP-023-016/","BOP-023-016")</f>
        <v>BOP-023-016</v>
      </c>
      <c r="E549" s="4" t="s">
        <v>1769</v>
      </c>
      <c r="F549" s="3" t="str">
        <f>HYPERLINK("https://sitebase.nzcomms.co.nz/spm/spmcandidateview/BOP-023-016-C/","BOP-023-016-C")</f>
        <v>BOP-023-016-C</v>
      </c>
      <c r="G549" s="4" t="s">
        <v>1770</v>
      </c>
      <c r="H549" s="4" t="s">
        <v>1703</v>
      </c>
      <c r="I549" s="4">
        <v>20</v>
      </c>
      <c r="J549" s="4" t="s">
        <v>1633</v>
      </c>
      <c r="K549" s="4" t="s">
        <v>141</v>
      </c>
      <c r="L549" s="4" t="s">
        <v>189</v>
      </c>
      <c r="M549" s="4" t="s">
        <v>190</v>
      </c>
      <c r="N549" s="4" t="s">
        <v>274</v>
      </c>
      <c r="O549" s="4" t="s">
        <v>356</v>
      </c>
      <c r="P549" s="4" t="s">
        <v>182</v>
      </c>
      <c r="Q549" s="4" t="s">
        <v>192</v>
      </c>
      <c r="R549" s="4">
        <v>14.4</v>
      </c>
      <c r="S549" s="4">
        <v>14.9</v>
      </c>
      <c r="T549" s="4"/>
      <c r="U549" s="4">
        <v>-37.720793569999998</v>
      </c>
      <c r="V549" s="4">
        <v>176.14538998</v>
      </c>
      <c r="W549" s="4"/>
      <c r="X549" s="5">
        <v>40268</v>
      </c>
      <c r="Y549" s="4"/>
      <c r="Z549" s="5">
        <v>40164</v>
      </c>
      <c r="AA549" s="4" t="s">
        <v>171</v>
      </c>
      <c r="AB549" s="3" t="str">
        <f>HYPERLINK("https://sitebase.nzcomms.co.nz/spm/spmcandidateview/BOP-022-007-A/","BOP-022-007-A")</f>
        <v>BOP-022-007-A</v>
      </c>
      <c r="AC549" s="4" t="b">
        <v>1</v>
      </c>
      <c r="AD549" s="4" t="b">
        <v>1</v>
      </c>
      <c r="AE549" s="5">
        <v>40267</v>
      </c>
      <c r="AF549" s="5">
        <v>40270</v>
      </c>
      <c r="AG549" s="4" t="b">
        <v>1</v>
      </c>
      <c r="AH549" s="4" t="s">
        <v>1740</v>
      </c>
      <c r="AI549" s="5">
        <v>40268</v>
      </c>
      <c r="AJ549" s="5">
        <v>40267</v>
      </c>
      <c r="AK549" s="4"/>
      <c r="AL549" s="4"/>
      <c r="AM549" s="5">
        <v>40284</v>
      </c>
      <c r="AN549" s="5">
        <v>40289</v>
      </c>
      <c r="AO549" s="4">
        <v>4</v>
      </c>
      <c r="AP549" s="5">
        <v>40284</v>
      </c>
      <c r="AQ549" s="5">
        <v>41970</v>
      </c>
      <c r="AR549" s="5">
        <v>40312</v>
      </c>
      <c r="AS549" s="5">
        <v>40304</v>
      </c>
      <c r="AT549" s="5">
        <v>40347</v>
      </c>
      <c r="AU549" s="5">
        <v>40347</v>
      </c>
      <c r="AV549" s="4"/>
      <c r="AW549" s="5">
        <v>40347</v>
      </c>
      <c r="AX549" s="5">
        <v>40347</v>
      </c>
      <c r="AY549" s="4" t="s">
        <v>193</v>
      </c>
      <c r="AZ549" s="5">
        <v>40298</v>
      </c>
      <c r="BA549" s="5">
        <v>40304</v>
      </c>
      <c r="BB549" s="5">
        <v>40354</v>
      </c>
      <c r="BC549" s="5">
        <v>40353</v>
      </c>
      <c r="BD549" s="4">
        <v>1</v>
      </c>
      <c r="BE549" s="5">
        <v>40354</v>
      </c>
      <c r="BF549" s="5">
        <v>40353</v>
      </c>
      <c r="BG549" s="4"/>
      <c r="BH549" s="4"/>
      <c r="BI549" s="5">
        <v>40696</v>
      </c>
      <c r="BJ549" s="5">
        <v>40704</v>
      </c>
      <c r="BK549" s="4">
        <v>1</v>
      </c>
      <c r="BL549" s="4"/>
      <c r="BM549" s="5">
        <v>40693</v>
      </c>
      <c r="BN549" s="5">
        <v>40704</v>
      </c>
      <c r="BO549" s="5">
        <v>40738</v>
      </c>
      <c r="BP549" s="4"/>
      <c r="BQ549" s="4"/>
      <c r="BR549" s="5">
        <v>40701</v>
      </c>
      <c r="BS549" s="4"/>
      <c r="BT549" s="5">
        <v>40728</v>
      </c>
      <c r="BU549" s="5">
        <v>40723</v>
      </c>
      <c r="BV549" s="5">
        <v>40739</v>
      </c>
      <c r="BW549" s="5">
        <v>40738</v>
      </c>
      <c r="BX549" s="5">
        <v>40733</v>
      </c>
      <c r="BY549" s="5">
        <v>40745</v>
      </c>
      <c r="BZ549" s="5">
        <v>40753</v>
      </c>
      <c r="CA549" s="4"/>
      <c r="CB549" s="4"/>
      <c r="CC549" s="4"/>
      <c r="CD549" s="4"/>
      <c r="CE549" s="4"/>
      <c r="CF549" s="4"/>
      <c r="CG549" s="4"/>
      <c r="CH549" s="4"/>
      <c r="CI549" s="5">
        <v>40759</v>
      </c>
      <c r="CJ549" s="5">
        <v>40777</v>
      </c>
      <c r="CK549" s="5">
        <v>40779</v>
      </c>
      <c r="CL549" s="5">
        <v>40777</v>
      </c>
      <c r="CM549" s="5">
        <v>40778</v>
      </c>
      <c r="CN549" s="5">
        <v>40868</v>
      </c>
      <c r="CO549" s="5">
        <v>40966</v>
      </c>
      <c r="CP549" s="4" t="s">
        <v>1771</v>
      </c>
      <c r="CQ549" s="4"/>
      <c r="CR549" s="5">
        <v>40758</v>
      </c>
      <c r="CS549" s="5">
        <v>40702</v>
      </c>
      <c r="CT549" s="5">
        <v>40702</v>
      </c>
      <c r="CU549" s="5">
        <v>40707</v>
      </c>
      <c r="CV549" s="5">
        <v>40721</v>
      </c>
      <c r="CW549" s="5">
        <v>40745</v>
      </c>
      <c r="CX549" s="5">
        <v>40738</v>
      </c>
      <c r="CY549" s="5">
        <v>40735</v>
      </c>
      <c r="CZ549" s="5">
        <v>40739</v>
      </c>
      <c r="DA549" s="4"/>
      <c r="DB549" s="5">
        <v>40763</v>
      </c>
      <c r="DC549" s="4"/>
      <c r="DD549" s="4"/>
      <c r="DE549" s="4"/>
      <c r="DF549" s="4"/>
      <c r="DG549" s="4"/>
      <c r="DH549" s="4"/>
      <c r="DI549" s="5">
        <v>40733</v>
      </c>
      <c r="DJ549" s="4" t="b">
        <v>1</v>
      </c>
      <c r="DK549" s="4"/>
      <c r="DL549" s="4">
        <v>2787453</v>
      </c>
      <c r="DM549" s="4">
        <v>6382010</v>
      </c>
      <c r="DN549" s="4" t="s">
        <v>1772</v>
      </c>
      <c r="DO549" s="4"/>
      <c r="DP549" s="4"/>
      <c r="DQ549" s="4" t="s">
        <v>148</v>
      </c>
      <c r="DR549" s="4"/>
      <c r="DS549" s="4"/>
      <c r="DT549" s="5">
        <v>42151</v>
      </c>
      <c r="DU549" s="4"/>
      <c r="DV549" s="4"/>
      <c r="DW549" s="4"/>
      <c r="DX549" s="4"/>
      <c r="DY549" s="4"/>
      <c r="DZ549" s="4"/>
      <c r="EA549" s="4"/>
      <c r="EB549" s="4"/>
      <c r="EC549" s="4"/>
      <c r="ED549" s="4"/>
      <c r="EE549" s="4"/>
      <c r="EF549" s="4"/>
      <c r="EG549" s="5">
        <v>40763</v>
      </c>
      <c r="EH549" s="5">
        <v>40763</v>
      </c>
      <c r="EI549" s="5">
        <v>40267</v>
      </c>
    </row>
    <row r="550" spans="1:139" hidden="1" x14ac:dyDescent="0.2">
      <c r="A550">
        <f>VLOOKUP(B550,Sheet1!$A$1:$B$18,2,FALSE)</f>
        <v>0</v>
      </c>
      <c r="B550" t="str">
        <f t="shared" si="9"/>
        <v>BOP</v>
      </c>
      <c r="C550" s="2">
        <v>549</v>
      </c>
      <c r="D550" s="3" t="str">
        <f>HYPERLINK("https://sitebase.nzcomms.co.nz/spm/spmnominalview/BOP-023-017/","BOP-023-017")</f>
        <v>BOP-023-017</v>
      </c>
      <c r="E550" s="4" t="s">
        <v>1773</v>
      </c>
      <c r="F550" s="3" t="str">
        <f>HYPERLINK("https://sitebase.nzcomms.co.nz/spm/spmcandidateview/BOP-023-017-B/","BOP-023-017-B")</f>
        <v>BOP-023-017-B</v>
      </c>
      <c r="G550" s="4" t="s">
        <v>1774</v>
      </c>
      <c r="H550" s="4" t="s">
        <v>1703</v>
      </c>
      <c r="I550" s="4">
        <v>20</v>
      </c>
      <c r="J550" s="4" t="s">
        <v>1633</v>
      </c>
      <c r="K550" s="4" t="s">
        <v>141</v>
      </c>
      <c r="L550" s="4" t="s">
        <v>142</v>
      </c>
      <c r="M550" s="4" t="s">
        <v>190</v>
      </c>
      <c r="N550" s="4" t="s">
        <v>142</v>
      </c>
      <c r="O550" s="4" t="s">
        <v>144</v>
      </c>
      <c r="P550" s="4" t="s">
        <v>169</v>
      </c>
      <c r="Q550" s="4" t="s">
        <v>142</v>
      </c>
      <c r="R550" s="4">
        <v>19</v>
      </c>
      <c r="S550" s="4">
        <v>23</v>
      </c>
      <c r="T550" s="4"/>
      <c r="U550" s="4">
        <v>-37.73669452</v>
      </c>
      <c r="V550" s="4">
        <v>176.13683158000001</v>
      </c>
      <c r="W550" s="4"/>
      <c r="X550" s="5">
        <v>40164</v>
      </c>
      <c r="Y550" s="4"/>
      <c r="Z550" s="5">
        <v>40164</v>
      </c>
      <c r="AA550" s="4" t="s">
        <v>171</v>
      </c>
      <c r="AB550" s="3" t="str">
        <f>HYPERLINK("https://sitebase.nzcomms.co.nz/spm/spmcandidateview/BOP-022-007-A/","BOP-022-007-A")</f>
        <v>BOP-022-007-A</v>
      </c>
      <c r="AC550" s="4" t="b">
        <v>1</v>
      </c>
      <c r="AD550" s="4" t="b">
        <v>1</v>
      </c>
      <c r="AE550" s="5">
        <v>40206</v>
      </c>
      <c r="AF550" s="4"/>
      <c r="AG550" s="4" t="b">
        <v>1</v>
      </c>
      <c r="AH550" s="4" t="s">
        <v>1655</v>
      </c>
      <c r="AI550" s="5">
        <v>40198</v>
      </c>
      <c r="AJ550" s="5">
        <v>40198</v>
      </c>
      <c r="AK550" s="4"/>
      <c r="AL550" s="4"/>
      <c r="AM550" s="5">
        <v>40249</v>
      </c>
      <c r="AN550" s="5">
        <v>40240</v>
      </c>
      <c r="AO550" s="4">
        <v>4</v>
      </c>
      <c r="AP550" s="5">
        <v>40249</v>
      </c>
      <c r="AQ550" s="5">
        <v>40274</v>
      </c>
      <c r="AR550" s="5">
        <v>40326</v>
      </c>
      <c r="AS550" s="5">
        <v>40318</v>
      </c>
      <c r="AT550" s="5">
        <v>40513</v>
      </c>
      <c r="AU550" s="5">
        <v>40501</v>
      </c>
      <c r="AV550" s="4"/>
      <c r="AW550" s="5">
        <v>40513</v>
      </c>
      <c r="AX550" s="5">
        <v>40501</v>
      </c>
      <c r="AY550" s="4" t="s">
        <v>172</v>
      </c>
      <c r="AZ550" s="5">
        <v>40256</v>
      </c>
      <c r="BA550" s="5">
        <v>40242</v>
      </c>
      <c r="BB550" s="5">
        <v>40277</v>
      </c>
      <c r="BC550" s="5">
        <v>40261</v>
      </c>
      <c r="BD550" s="4">
        <v>1</v>
      </c>
      <c r="BE550" s="5">
        <v>40284</v>
      </c>
      <c r="BF550" s="5">
        <v>40261</v>
      </c>
      <c r="BG550" s="4"/>
      <c r="BH550" s="4"/>
      <c r="BI550" s="5">
        <v>40696</v>
      </c>
      <c r="BJ550" s="5">
        <v>40708</v>
      </c>
      <c r="BK550" s="4">
        <v>1</v>
      </c>
      <c r="BL550" s="4"/>
      <c r="BM550" s="5">
        <v>40693</v>
      </c>
      <c r="BN550" s="5">
        <v>40708</v>
      </c>
      <c r="BO550" s="5">
        <v>40742</v>
      </c>
      <c r="BP550" s="4"/>
      <c r="BQ550" s="4"/>
      <c r="BR550" s="4"/>
      <c r="BS550" s="4"/>
      <c r="BT550" s="5">
        <v>40728</v>
      </c>
      <c r="BU550" s="5">
        <v>40725</v>
      </c>
      <c r="BV550" s="5">
        <v>40745</v>
      </c>
      <c r="BW550" s="5">
        <v>40753</v>
      </c>
      <c r="BX550" s="5">
        <v>40744</v>
      </c>
      <c r="BY550" s="5">
        <v>40746</v>
      </c>
      <c r="BZ550" s="5">
        <v>40753</v>
      </c>
      <c r="CA550" s="4"/>
      <c r="CB550" s="4"/>
      <c r="CC550" s="4"/>
      <c r="CD550" s="4"/>
      <c r="CE550" s="4"/>
      <c r="CF550" s="4"/>
      <c r="CG550" s="4"/>
      <c r="CH550" s="4"/>
      <c r="CI550" s="5">
        <v>40758</v>
      </c>
      <c r="CJ550" s="5">
        <v>40777</v>
      </c>
      <c r="CK550" s="5">
        <v>40779</v>
      </c>
      <c r="CL550" s="5">
        <v>40777</v>
      </c>
      <c r="CM550" s="5">
        <v>40779</v>
      </c>
      <c r="CN550" s="5">
        <v>40869</v>
      </c>
      <c r="CO550" s="5">
        <v>41121</v>
      </c>
      <c r="CP550" s="4" t="s">
        <v>1775</v>
      </c>
      <c r="CQ550" s="4" t="s">
        <v>230</v>
      </c>
      <c r="CR550" s="5">
        <v>40758</v>
      </c>
      <c r="CS550" s="5">
        <v>40714</v>
      </c>
      <c r="CT550" s="5">
        <v>40738</v>
      </c>
      <c r="CU550" s="5">
        <v>40728</v>
      </c>
      <c r="CV550" s="5">
        <v>40738</v>
      </c>
      <c r="CW550" s="5">
        <v>40739</v>
      </c>
      <c r="CX550" s="5">
        <v>40742</v>
      </c>
      <c r="CY550" s="5">
        <v>40744</v>
      </c>
      <c r="CZ550" s="5">
        <v>40753</v>
      </c>
      <c r="DA550" s="4"/>
      <c r="DB550" s="5">
        <v>40763</v>
      </c>
      <c r="DC550" s="4"/>
      <c r="DD550" s="4"/>
      <c r="DE550" s="4"/>
      <c r="DF550" s="4"/>
      <c r="DG550" s="4"/>
      <c r="DH550" s="4"/>
      <c r="DI550" s="5">
        <v>40744</v>
      </c>
      <c r="DJ550" s="4" t="b">
        <v>0</v>
      </c>
      <c r="DK550" s="4"/>
      <c r="DL550" s="4">
        <v>2786637</v>
      </c>
      <c r="DM550" s="4">
        <v>6380273</v>
      </c>
      <c r="DN550" s="4" t="s">
        <v>1776</v>
      </c>
      <c r="DO550" s="4"/>
      <c r="DP550" s="4"/>
      <c r="DQ550" s="4" t="s">
        <v>148</v>
      </c>
      <c r="DR550" s="4"/>
      <c r="DS550" s="4"/>
      <c r="DT550" s="5">
        <v>42151</v>
      </c>
      <c r="DU550" s="4"/>
      <c r="DV550" s="4"/>
      <c r="DW550" s="4"/>
      <c r="DX550" s="4"/>
      <c r="DY550" s="4"/>
      <c r="DZ550" s="4"/>
      <c r="EA550" s="4"/>
      <c r="EB550" s="4"/>
      <c r="EC550" s="4"/>
      <c r="ED550" s="4"/>
      <c r="EE550" s="4"/>
      <c r="EF550" s="4"/>
      <c r="EG550" s="5">
        <v>40763</v>
      </c>
      <c r="EH550" s="5">
        <v>40763</v>
      </c>
      <c r="EI550" s="5">
        <v>40226</v>
      </c>
    </row>
    <row r="551" spans="1:139" hidden="1" x14ac:dyDescent="0.2">
      <c r="A551">
        <f>VLOOKUP(B551,Sheet1!$A$1:$B$18,2,FALSE)</f>
        <v>0</v>
      </c>
      <c r="B551" t="str">
        <f t="shared" si="9"/>
        <v>BOP</v>
      </c>
      <c r="C551" s="2">
        <v>550</v>
      </c>
      <c r="D551" s="3" t="str">
        <f>HYPERLINK("https://sitebase.nzcomms.co.nz/spm/spmnominalview/BOP-023-018/","BOP-023-018")</f>
        <v>BOP-023-018</v>
      </c>
      <c r="E551" s="4" t="s">
        <v>1777</v>
      </c>
      <c r="F551" s="3" t="str">
        <f>HYPERLINK("https://sitebase.nzcomms.co.nz/spm/spmcandidateview/BOP-023-018-B/","BOP-023-018-B")</f>
        <v>BOP-023-018-B</v>
      </c>
      <c r="G551" s="4" t="s">
        <v>1778</v>
      </c>
      <c r="H551" s="4" t="s">
        <v>1703</v>
      </c>
      <c r="I551" s="4">
        <v>20</v>
      </c>
      <c r="J551" s="4" t="s">
        <v>1633</v>
      </c>
      <c r="K551" s="4" t="s">
        <v>141</v>
      </c>
      <c r="L551" s="4" t="s">
        <v>142</v>
      </c>
      <c r="M551" s="4" t="s">
        <v>190</v>
      </c>
      <c r="N551" s="4" t="s">
        <v>142</v>
      </c>
      <c r="O551" s="4" t="s">
        <v>144</v>
      </c>
      <c r="P551" s="4" t="s">
        <v>169</v>
      </c>
      <c r="Q551" s="4" t="s">
        <v>142</v>
      </c>
      <c r="R551" s="4">
        <v>17.100000000000001</v>
      </c>
      <c r="S551" s="4">
        <v>20</v>
      </c>
      <c r="T551" s="4"/>
      <c r="U551" s="4">
        <v>-37.697040999999999</v>
      </c>
      <c r="V551" s="4">
        <v>176.25285181000001</v>
      </c>
      <c r="W551" s="4"/>
      <c r="X551" s="5">
        <v>40164</v>
      </c>
      <c r="Y551" s="4"/>
      <c r="Z551" s="5">
        <v>40164</v>
      </c>
      <c r="AA551" s="4" t="s">
        <v>171</v>
      </c>
      <c r="AB551" s="3" t="str">
        <f>HYPERLINK("https://sitebase.nzcomms.co.nz/spm/spmcandidateview/BOP-023-007-B/","BOP-023-007-B")</f>
        <v>BOP-023-007-B</v>
      </c>
      <c r="AC551" s="4" t="b">
        <v>1</v>
      </c>
      <c r="AD551" s="4" t="b">
        <v>1</v>
      </c>
      <c r="AE551" s="5">
        <v>40234</v>
      </c>
      <c r="AF551" s="5">
        <v>40249</v>
      </c>
      <c r="AG551" s="4" t="b">
        <v>1</v>
      </c>
      <c r="AH551" s="4" t="s">
        <v>1714</v>
      </c>
      <c r="AI551" s="5">
        <v>40249</v>
      </c>
      <c r="AJ551" s="5">
        <v>40234</v>
      </c>
      <c r="AK551" s="4"/>
      <c r="AL551" s="4"/>
      <c r="AM551" s="5">
        <v>40242</v>
      </c>
      <c r="AN551" s="5">
        <v>40242</v>
      </c>
      <c r="AO551" s="4">
        <v>4</v>
      </c>
      <c r="AP551" s="5">
        <v>40242</v>
      </c>
      <c r="AQ551" s="5">
        <v>40346</v>
      </c>
      <c r="AR551" s="5">
        <v>40326</v>
      </c>
      <c r="AS551" s="5">
        <v>40318</v>
      </c>
      <c r="AT551" s="5">
        <v>40535</v>
      </c>
      <c r="AU551" s="5">
        <v>40518</v>
      </c>
      <c r="AV551" s="4"/>
      <c r="AW551" s="5">
        <v>40535</v>
      </c>
      <c r="AX551" s="5">
        <v>40518</v>
      </c>
      <c r="AY551" s="4" t="s">
        <v>172</v>
      </c>
      <c r="AZ551" s="5">
        <v>40280</v>
      </c>
      <c r="BA551" s="5">
        <v>40283</v>
      </c>
      <c r="BB551" s="5">
        <v>40318</v>
      </c>
      <c r="BC551" s="5">
        <v>40319</v>
      </c>
      <c r="BD551" s="4">
        <v>3</v>
      </c>
      <c r="BE551" s="5">
        <v>40325</v>
      </c>
      <c r="BF551" s="5">
        <v>40319</v>
      </c>
      <c r="BG551" s="4"/>
      <c r="BH551" s="4"/>
      <c r="BI551" s="5">
        <v>40660</v>
      </c>
      <c r="BJ551" s="5">
        <v>40634</v>
      </c>
      <c r="BK551" s="4">
        <v>1</v>
      </c>
      <c r="BL551" s="4"/>
      <c r="BM551" s="4"/>
      <c r="BN551" s="5">
        <v>40634</v>
      </c>
      <c r="BO551" s="5">
        <v>40667</v>
      </c>
      <c r="BP551" s="4"/>
      <c r="BQ551" s="4"/>
      <c r="BR551" s="4"/>
      <c r="BS551" s="4"/>
      <c r="BT551" s="5">
        <v>40716</v>
      </c>
      <c r="BU551" s="5">
        <v>40716</v>
      </c>
      <c r="BV551" s="5">
        <v>40728</v>
      </c>
      <c r="BW551" s="5">
        <v>40725</v>
      </c>
      <c r="BX551" s="5">
        <v>40732</v>
      </c>
      <c r="BY551" s="5">
        <v>40737</v>
      </c>
      <c r="BZ551" s="5">
        <v>40743</v>
      </c>
      <c r="CA551" s="4"/>
      <c r="CB551" s="4"/>
      <c r="CC551" s="4"/>
      <c r="CD551" s="4"/>
      <c r="CE551" s="4"/>
      <c r="CF551" s="4"/>
      <c r="CG551" s="4"/>
      <c r="CH551" s="4"/>
      <c r="CI551" s="5">
        <v>40753</v>
      </c>
      <c r="CJ551" s="5">
        <v>40770</v>
      </c>
      <c r="CK551" s="5">
        <v>40779</v>
      </c>
      <c r="CL551" s="5">
        <v>40770</v>
      </c>
      <c r="CM551" s="5">
        <v>40780</v>
      </c>
      <c r="CN551" s="5">
        <v>40862</v>
      </c>
      <c r="CO551" s="5">
        <v>40925</v>
      </c>
      <c r="CP551" s="4" t="s">
        <v>1779</v>
      </c>
      <c r="CQ551" s="4" t="s">
        <v>230</v>
      </c>
      <c r="CR551" s="5">
        <v>40755</v>
      </c>
      <c r="CS551" s="4"/>
      <c r="CT551" s="5">
        <v>40647</v>
      </c>
      <c r="CU551" s="5">
        <v>40700</v>
      </c>
      <c r="CV551" s="5">
        <v>40700</v>
      </c>
      <c r="CW551" s="4"/>
      <c r="CX551" s="5">
        <v>40667</v>
      </c>
      <c r="CY551" s="5">
        <v>40728</v>
      </c>
      <c r="CZ551" s="5">
        <v>40729</v>
      </c>
      <c r="DA551" s="4"/>
      <c r="DB551" s="5">
        <v>40757</v>
      </c>
      <c r="DC551" s="4"/>
      <c r="DD551" s="4"/>
      <c r="DE551" s="4"/>
      <c r="DF551" s="4"/>
      <c r="DG551" s="4"/>
      <c r="DH551" s="4"/>
      <c r="DI551" s="5">
        <v>40732</v>
      </c>
      <c r="DJ551" s="4" t="b">
        <v>0</v>
      </c>
      <c r="DK551" s="4"/>
      <c r="DL551" s="4">
        <v>2797016</v>
      </c>
      <c r="DM551" s="4">
        <v>6384305</v>
      </c>
      <c r="DN551" s="4" t="s">
        <v>1780</v>
      </c>
      <c r="DO551" s="4"/>
      <c r="DP551" s="4"/>
      <c r="DQ551" s="4" t="s">
        <v>148</v>
      </c>
      <c r="DR551" s="4"/>
      <c r="DS551" s="4"/>
      <c r="DT551" s="5">
        <v>41978</v>
      </c>
      <c r="DU551" s="4"/>
      <c r="DV551" s="4"/>
      <c r="DW551" s="4"/>
      <c r="DX551" s="4"/>
      <c r="DY551" s="4"/>
      <c r="DZ551" s="4"/>
      <c r="EA551" s="4"/>
      <c r="EB551" s="4"/>
      <c r="EC551" s="4"/>
      <c r="ED551" s="4"/>
      <c r="EE551" s="4"/>
      <c r="EF551" s="4"/>
      <c r="EG551" s="5">
        <v>40756</v>
      </c>
      <c r="EH551" s="5">
        <v>40756</v>
      </c>
      <c r="EI551" s="5">
        <v>40234</v>
      </c>
    </row>
    <row r="552" spans="1:139" hidden="1" x14ac:dyDescent="0.2">
      <c r="A552">
        <f>VLOOKUP(B552,Sheet1!$A$1:$B$18,2,FALSE)</f>
        <v>0</v>
      </c>
      <c r="B552" t="str">
        <f t="shared" si="9"/>
        <v>BOP</v>
      </c>
      <c r="C552" s="2">
        <v>551</v>
      </c>
      <c r="D552" s="3" t="str">
        <f>HYPERLINK("https://sitebase.nzcomms.co.nz/spm/spmnominalview/BOP-023-019/","BOP-023-019")</f>
        <v>BOP-023-019</v>
      </c>
      <c r="E552" s="4" t="s">
        <v>1659</v>
      </c>
      <c r="F552" s="4"/>
      <c r="G552" s="4"/>
      <c r="H552" s="4" t="s">
        <v>1703</v>
      </c>
      <c r="I552" s="4"/>
      <c r="J552" s="4" t="s">
        <v>196</v>
      </c>
      <c r="K552" s="4"/>
      <c r="L552" s="4"/>
      <c r="M552" s="4"/>
      <c r="N552" s="4"/>
      <c r="O552" s="4"/>
      <c r="P552" s="4"/>
      <c r="Q552" s="4"/>
      <c r="R552" s="4"/>
      <c r="S552" s="4"/>
      <c r="T552" s="4"/>
      <c r="U552" s="4"/>
      <c r="V552" s="4"/>
      <c r="W552" s="4"/>
      <c r="X552" s="4"/>
      <c r="Y552" s="4"/>
      <c r="Z552" s="4"/>
      <c r="AA552" s="4"/>
      <c r="AB552" s="4"/>
      <c r="AC552" s="4"/>
      <c r="AD552" s="4"/>
      <c r="AE552" s="4"/>
      <c r="AF552" s="4"/>
      <c r="AG552" s="4" t="b">
        <v>1</v>
      </c>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t="s">
        <v>1781</v>
      </c>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row>
    <row r="553" spans="1:139" hidden="1" x14ac:dyDescent="0.2">
      <c r="A553">
        <f>VLOOKUP(B553,Sheet1!$A$1:$B$18,2,FALSE)</f>
        <v>0</v>
      </c>
      <c r="B553" t="str">
        <f t="shared" si="9"/>
        <v>BOP</v>
      </c>
      <c r="C553" s="2">
        <v>552</v>
      </c>
      <c r="D553" s="3" t="str">
        <f>HYPERLINK("https://sitebase.nzcomms.co.nz/spm/spmnominalview/BOP-023-020/","BOP-023-020")</f>
        <v>BOP-023-020</v>
      </c>
      <c r="E553" s="4" t="s">
        <v>1782</v>
      </c>
      <c r="F553" s="3" t="str">
        <f>HYPERLINK("https://sitebase.nzcomms.co.nz/spm/spmcandidateview/BOP-023-020-B/","BOP-023-020-B")</f>
        <v>BOP-023-020-B</v>
      </c>
      <c r="G553" s="4" t="s">
        <v>1783</v>
      </c>
      <c r="H553" s="4" t="s">
        <v>1703</v>
      </c>
      <c r="I553" s="4">
        <v>20</v>
      </c>
      <c r="J553" s="4" t="s">
        <v>1633</v>
      </c>
      <c r="K553" s="4" t="s">
        <v>141</v>
      </c>
      <c r="L553" s="4" t="s">
        <v>150</v>
      </c>
      <c r="M553" s="4" t="s">
        <v>190</v>
      </c>
      <c r="N553" s="4" t="s">
        <v>291</v>
      </c>
      <c r="O553" s="4" t="s">
        <v>356</v>
      </c>
      <c r="P553" s="4" t="s">
        <v>169</v>
      </c>
      <c r="Q553" s="4" t="s">
        <v>170</v>
      </c>
      <c r="R553" s="4">
        <v>20.2</v>
      </c>
      <c r="S553" s="4">
        <v>20.7</v>
      </c>
      <c r="T553" s="4">
        <v>1</v>
      </c>
      <c r="U553" s="4">
        <v>-37.716571270000003</v>
      </c>
      <c r="V553" s="4">
        <v>176.18102426999999</v>
      </c>
      <c r="W553" s="4"/>
      <c r="X553" s="5">
        <v>40164</v>
      </c>
      <c r="Y553" s="4"/>
      <c r="Z553" s="5">
        <v>40164</v>
      </c>
      <c r="AA553" s="4" t="s">
        <v>171</v>
      </c>
      <c r="AB553" s="3" t="str">
        <f>HYPERLINK("https://sitebase.nzcomms.co.nz/spm/spmcandidateview/BOP-023-015-A/","BOP-023-015-A")</f>
        <v>BOP-023-015-A</v>
      </c>
      <c r="AC553" s="4" t="b">
        <v>1</v>
      </c>
      <c r="AD553" s="4" t="b">
        <v>1</v>
      </c>
      <c r="AE553" s="5">
        <v>40198</v>
      </c>
      <c r="AF553" s="4"/>
      <c r="AG553" s="4" t="b">
        <v>1</v>
      </c>
      <c r="AH553" s="4" t="s">
        <v>1655</v>
      </c>
      <c r="AI553" s="5">
        <v>40198</v>
      </c>
      <c r="AJ553" s="5">
        <v>40198</v>
      </c>
      <c r="AK553" s="5">
        <v>40198</v>
      </c>
      <c r="AL553" s="5">
        <v>40198</v>
      </c>
      <c r="AM553" s="5">
        <v>40217</v>
      </c>
      <c r="AN553" s="5">
        <v>40218</v>
      </c>
      <c r="AO553" s="4">
        <v>3</v>
      </c>
      <c r="AP553" s="5">
        <v>40217</v>
      </c>
      <c r="AQ553" s="5">
        <v>40464</v>
      </c>
      <c r="AR553" s="5">
        <v>40284</v>
      </c>
      <c r="AS553" s="5">
        <v>40310</v>
      </c>
      <c r="AT553" s="5">
        <v>40746</v>
      </c>
      <c r="AU553" s="5">
        <v>40746</v>
      </c>
      <c r="AV553" s="4"/>
      <c r="AW553" s="5">
        <v>40753</v>
      </c>
      <c r="AX553" s="5">
        <v>40746</v>
      </c>
      <c r="AY553" s="4" t="s">
        <v>183</v>
      </c>
      <c r="AZ553" s="5">
        <v>40267</v>
      </c>
      <c r="BA553" s="5">
        <v>40268</v>
      </c>
      <c r="BB553" s="5">
        <v>40683</v>
      </c>
      <c r="BC553" s="5">
        <v>40681</v>
      </c>
      <c r="BD553" s="4">
        <v>1</v>
      </c>
      <c r="BE553" s="5">
        <v>40690</v>
      </c>
      <c r="BF553" s="5">
        <v>40681</v>
      </c>
      <c r="BG553" s="4"/>
      <c r="BH553" s="4"/>
      <c r="BI553" s="5">
        <v>40777</v>
      </c>
      <c r="BJ553" s="5">
        <v>40771</v>
      </c>
      <c r="BK553" s="4">
        <v>1</v>
      </c>
      <c r="BL553" s="4"/>
      <c r="BM553" s="5">
        <v>40777</v>
      </c>
      <c r="BN553" s="5">
        <v>40771</v>
      </c>
      <c r="BO553" s="5">
        <v>40739</v>
      </c>
      <c r="BP553" s="4"/>
      <c r="BQ553" s="4"/>
      <c r="BR553" s="4"/>
      <c r="BS553" s="4"/>
      <c r="BT553" s="5">
        <v>40742</v>
      </c>
      <c r="BU553" s="5">
        <v>40773</v>
      </c>
      <c r="BV553" s="5">
        <v>40807</v>
      </c>
      <c r="BW553" s="5">
        <v>40807</v>
      </c>
      <c r="BX553" s="5">
        <v>40794</v>
      </c>
      <c r="BY553" s="5">
        <v>40804</v>
      </c>
      <c r="BZ553" s="5">
        <v>40805</v>
      </c>
      <c r="CA553" s="4"/>
      <c r="CB553" s="4"/>
      <c r="CC553" s="4"/>
      <c r="CD553" s="4"/>
      <c r="CE553" s="4"/>
      <c r="CF553" s="4"/>
      <c r="CG553" s="4"/>
      <c r="CH553" s="4"/>
      <c r="CI553" s="5">
        <v>40806</v>
      </c>
      <c r="CJ553" s="5">
        <v>40823</v>
      </c>
      <c r="CK553" s="5">
        <v>40827</v>
      </c>
      <c r="CL553" s="5">
        <v>40838</v>
      </c>
      <c r="CM553" s="5">
        <v>40837</v>
      </c>
      <c r="CN553" s="5">
        <v>40927</v>
      </c>
      <c r="CO553" s="5">
        <v>41030</v>
      </c>
      <c r="CP553" s="4" t="s">
        <v>1784</v>
      </c>
      <c r="CQ553" s="4"/>
      <c r="CR553" s="5">
        <v>40806</v>
      </c>
      <c r="CS553" s="5">
        <v>40735</v>
      </c>
      <c r="CT553" s="5">
        <v>40770</v>
      </c>
      <c r="CU553" s="5">
        <v>40778</v>
      </c>
      <c r="CV553" s="5">
        <v>40778</v>
      </c>
      <c r="CW553" s="5">
        <v>40739</v>
      </c>
      <c r="CX553" s="5">
        <v>40739</v>
      </c>
      <c r="CY553" s="5">
        <v>40786</v>
      </c>
      <c r="CZ553" s="5">
        <v>40794</v>
      </c>
      <c r="DA553" s="4"/>
      <c r="DB553" s="5">
        <v>40821</v>
      </c>
      <c r="DC553" s="4"/>
      <c r="DD553" s="4"/>
      <c r="DE553" s="4"/>
      <c r="DF553" s="4"/>
      <c r="DG553" s="4"/>
      <c r="DH553" s="4"/>
      <c r="DI553" s="5">
        <v>40784</v>
      </c>
      <c r="DJ553" s="4" t="b">
        <v>0</v>
      </c>
      <c r="DK553" s="4"/>
      <c r="DL553" s="4">
        <v>2790609</v>
      </c>
      <c r="DM553" s="4">
        <v>6382367</v>
      </c>
      <c r="DN553" s="4" t="s">
        <v>1785</v>
      </c>
      <c r="DO553" s="4"/>
      <c r="DP553" s="4"/>
      <c r="DQ553" s="4" t="s">
        <v>148</v>
      </c>
      <c r="DR553" s="4"/>
      <c r="DS553" s="4"/>
      <c r="DT553" s="5">
        <v>42151</v>
      </c>
      <c r="DU553" s="4"/>
      <c r="DV553" s="4"/>
      <c r="DW553" s="4"/>
      <c r="DX553" s="4"/>
      <c r="DY553" s="4"/>
      <c r="DZ553" s="4"/>
      <c r="EA553" s="4"/>
      <c r="EB553" s="4"/>
      <c r="EC553" s="4"/>
      <c r="ED553" s="4"/>
      <c r="EE553" s="4"/>
      <c r="EF553" s="4"/>
      <c r="EG553" s="5">
        <v>40820</v>
      </c>
      <c r="EH553" s="5">
        <v>40820</v>
      </c>
      <c r="EI553" s="5">
        <v>40198</v>
      </c>
    </row>
    <row r="554" spans="1:139" hidden="1" x14ac:dyDescent="0.2">
      <c r="A554">
        <f>VLOOKUP(B554,Sheet1!$A$1:$B$18,2,FALSE)</f>
        <v>0</v>
      </c>
      <c r="B554" t="str">
        <f t="shared" si="9"/>
        <v>BOP</v>
      </c>
      <c r="C554" s="2">
        <v>553</v>
      </c>
      <c r="D554" s="3" t="str">
        <f>HYPERLINK("https://sitebase.nzcomms.co.nz/spm/spmnominalview/BOP-023-021/","BOP-023-021")</f>
        <v>BOP-023-021</v>
      </c>
      <c r="E554" s="4" t="s">
        <v>1786</v>
      </c>
      <c r="F554" s="4"/>
      <c r="G554" s="4"/>
      <c r="H554" s="4" t="s">
        <v>1703</v>
      </c>
      <c r="I554" s="4"/>
      <c r="J554" s="4" t="s">
        <v>196</v>
      </c>
      <c r="K554" s="4"/>
      <c r="L554" s="4"/>
      <c r="M554" s="4"/>
      <c r="N554" s="4"/>
      <c r="O554" s="4"/>
      <c r="P554" s="4"/>
      <c r="Q554" s="4"/>
      <c r="R554" s="4"/>
      <c r="S554" s="4"/>
      <c r="T554" s="4"/>
      <c r="U554" s="4"/>
      <c r="V554" s="4"/>
      <c r="W554" s="4"/>
      <c r="X554" s="4"/>
      <c r="Y554" s="4"/>
      <c r="Z554" s="4"/>
      <c r="AA554" s="4"/>
      <c r="AB554" s="4"/>
      <c r="AC554" s="4"/>
      <c r="AD554" s="4"/>
      <c r="AE554" s="4"/>
      <c r="AF554" s="4"/>
      <c r="AG554" s="4" t="b">
        <v>1</v>
      </c>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t="s">
        <v>1787</v>
      </c>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row>
    <row r="555" spans="1:139" hidden="1" x14ac:dyDescent="0.2">
      <c r="A555">
        <f>VLOOKUP(B555,Sheet1!$A$1:$B$18,2,FALSE)</f>
        <v>0</v>
      </c>
      <c r="B555" t="str">
        <f t="shared" si="9"/>
        <v>BOP</v>
      </c>
      <c r="C555" s="2">
        <v>554</v>
      </c>
      <c r="D555" s="3" t="str">
        <f>HYPERLINK("https://sitebase.nzcomms.co.nz/spm/spmnominalview/BOP-023-022/","BOP-023-022")</f>
        <v>BOP-023-022</v>
      </c>
      <c r="E555" s="4" t="s">
        <v>1788</v>
      </c>
      <c r="F555" s="3" t="str">
        <f>HYPERLINK("https://sitebase.nzcomms.co.nz/spm/spmcandidateview/BOP-023-022-B/","BOP-023-022-B")</f>
        <v>BOP-023-022-B</v>
      </c>
      <c r="G555" s="4" t="s">
        <v>1789</v>
      </c>
      <c r="H555" s="4" t="s">
        <v>1703</v>
      </c>
      <c r="I555" s="4">
        <v>20</v>
      </c>
      <c r="J555" s="4" t="s">
        <v>1633</v>
      </c>
      <c r="K555" s="4" t="s">
        <v>141</v>
      </c>
      <c r="L555" s="4" t="s">
        <v>189</v>
      </c>
      <c r="M555" s="4" t="s">
        <v>190</v>
      </c>
      <c r="N555" s="4" t="s">
        <v>274</v>
      </c>
      <c r="O555" s="4" t="s">
        <v>356</v>
      </c>
      <c r="P555" s="4" t="s">
        <v>182</v>
      </c>
      <c r="Q555" s="4" t="s">
        <v>192</v>
      </c>
      <c r="R555" s="4">
        <v>13.5</v>
      </c>
      <c r="S555" s="4">
        <v>14</v>
      </c>
      <c r="T555" s="4"/>
      <c r="U555" s="4">
        <v>-37.749793029999999</v>
      </c>
      <c r="V555" s="4">
        <v>176.16520980999999</v>
      </c>
      <c r="W555" s="5">
        <v>40249</v>
      </c>
      <c r="X555" s="5">
        <v>40245</v>
      </c>
      <c r="Y555" s="5">
        <v>40249</v>
      </c>
      <c r="Z555" s="5">
        <v>40245</v>
      </c>
      <c r="AA555" s="4" t="s">
        <v>171</v>
      </c>
      <c r="AB555" s="3" t="str">
        <f>HYPERLINK("https://sitebase.nzcomms.co.nz/spm/spmcandidateview/BOP-023-003-A/","BOP-023-003-A")</f>
        <v>BOP-023-003-A</v>
      </c>
      <c r="AC555" s="4" t="b">
        <v>1</v>
      </c>
      <c r="AD555" s="4" t="b">
        <v>1</v>
      </c>
      <c r="AE555" s="5">
        <v>40255</v>
      </c>
      <c r="AF555" s="5">
        <v>40270</v>
      </c>
      <c r="AG555" s="4" t="b">
        <v>1</v>
      </c>
      <c r="AH555" s="4" t="s">
        <v>1790</v>
      </c>
      <c r="AI555" s="5">
        <v>40309</v>
      </c>
      <c r="AJ555" s="5">
        <v>40309</v>
      </c>
      <c r="AK555" s="4"/>
      <c r="AL555" s="4"/>
      <c r="AM555" s="5">
        <v>40316</v>
      </c>
      <c r="AN555" s="5">
        <v>40318</v>
      </c>
      <c r="AO555" s="4">
        <v>5</v>
      </c>
      <c r="AP555" s="5">
        <v>40319</v>
      </c>
      <c r="AQ555" s="5">
        <v>41984</v>
      </c>
      <c r="AR555" s="5">
        <v>40326</v>
      </c>
      <c r="AS555" s="5">
        <v>40312</v>
      </c>
      <c r="AT555" s="5">
        <v>40347</v>
      </c>
      <c r="AU555" s="5">
        <v>40347</v>
      </c>
      <c r="AV555" s="4"/>
      <c r="AW555" s="5">
        <v>40347</v>
      </c>
      <c r="AX555" s="5">
        <v>40347</v>
      </c>
      <c r="AY555" s="4" t="s">
        <v>193</v>
      </c>
      <c r="AZ555" s="5">
        <v>40319</v>
      </c>
      <c r="BA555" s="5">
        <v>40324</v>
      </c>
      <c r="BB555" s="5">
        <v>40360</v>
      </c>
      <c r="BC555" s="5">
        <v>40365</v>
      </c>
      <c r="BD555" s="4">
        <v>1</v>
      </c>
      <c r="BE555" s="5">
        <v>40360</v>
      </c>
      <c r="BF555" s="5">
        <v>40380</v>
      </c>
      <c r="BG555" s="4"/>
      <c r="BH555" s="4"/>
      <c r="BI555" s="5">
        <v>40696</v>
      </c>
      <c r="BJ555" s="5">
        <v>40697</v>
      </c>
      <c r="BK555" s="4">
        <v>3</v>
      </c>
      <c r="BL555" s="4"/>
      <c r="BM555" s="5">
        <v>40693</v>
      </c>
      <c r="BN555" s="5">
        <v>40721</v>
      </c>
      <c r="BO555" s="5">
        <v>40721</v>
      </c>
      <c r="BP555" s="4"/>
      <c r="BQ555" s="4"/>
      <c r="BR555" s="5">
        <v>40701</v>
      </c>
      <c r="BS555" s="4"/>
      <c r="BT555" s="5">
        <v>40728</v>
      </c>
      <c r="BU555" s="5">
        <v>40723</v>
      </c>
      <c r="BV555" s="5">
        <v>40739</v>
      </c>
      <c r="BW555" s="5">
        <v>40735</v>
      </c>
      <c r="BX555" s="5">
        <v>40733</v>
      </c>
      <c r="BY555" s="5">
        <v>40749</v>
      </c>
      <c r="BZ555" s="5">
        <v>40753</v>
      </c>
      <c r="CA555" s="4"/>
      <c r="CB555" s="4"/>
      <c r="CC555" s="4"/>
      <c r="CD555" s="4"/>
      <c r="CE555" s="4"/>
      <c r="CF555" s="4"/>
      <c r="CG555" s="4"/>
      <c r="CH555" s="4"/>
      <c r="CI555" s="5">
        <v>40760</v>
      </c>
      <c r="CJ555" s="5">
        <v>40777</v>
      </c>
      <c r="CK555" s="5">
        <v>40779</v>
      </c>
      <c r="CL555" s="5">
        <v>40777</v>
      </c>
      <c r="CM555" s="5">
        <v>40778</v>
      </c>
      <c r="CN555" s="5">
        <v>40868</v>
      </c>
      <c r="CO555" s="5">
        <v>41009</v>
      </c>
      <c r="CP555" s="4" t="s">
        <v>1791</v>
      </c>
      <c r="CQ555" s="4"/>
      <c r="CR555" s="5">
        <v>40760</v>
      </c>
      <c r="CS555" s="5">
        <v>40702</v>
      </c>
      <c r="CT555" s="5">
        <v>40702</v>
      </c>
      <c r="CU555" s="5">
        <v>40707</v>
      </c>
      <c r="CV555" s="5">
        <v>40721</v>
      </c>
      <c r="CW555" s="5">
        <v>40714</v>
      </c>
      <c r="CX555" s="5">
        <v>40721</v>
      </c>
      <c r="CY555" s="5">
        <v>40740</v>
      </c>
      <c r="CZ555" s="5">
        <v>40739</v>
      </c>
      <c r="DA555" s="4"/>
      <c r="DB555" s="5">
        <v>40763</v>
      </c>
      <c r="DC555" s="4"/>
      <c r="DD555" s="4"/>
      <c r="DE555" s="4"/>
      <c r="DF555" s="4"/>
      <c r="DG555" s="4"/>
      <c r="DH555" s="4"/>
      <c r="DI555" s="5">
        <v>40733</v>
      </c>
      <c r="DJ555" s="4" t="b">
        <v>1</v>
      </c>
      <c r="DK555" s="4"/>
      <c r="DL555" s="4">
        <v>2789085</v>
      </c>
      <c r="DM555" s="4">
        <v>6378732</v>
      </c>
      <c r="DN555" s="4" t="s">
        <v>1792</v>
      </c>
      <c r="DO555" s="4"/>
      <c r="DP555" s="4" t="s">
        <v>1793</v>
      </c>
      <c r="DQ555" s="4" t="s">
        <v>148</v>
      </c>
      <c r="DR555" s="4"/>
      <c r="DS555" s="4"/>
      <c r="DT555" s="5">
        <v>42151</v>
      </c>
      <c r="DU555" s="4"/>
      <c r="DV555" s="4"/>
      <c r="DW555" s="4"/>
      <c r="DX555" s="4"/>
      <c r="DY555" s="4"/>
      <c r="DZ555" s="4"/>
      <c r="EA555" s="4"/>
      <c r="EB555" s="4"/>
      <c r="EC555" s="4"/>
      <c r="ED555" s="4"/>
      <c r="EE555" s="4"/>
      <c r="EF555" s="4"/>
      <c r="EG555" s="5">
        <v>40763</v>
      </c>
      <c r="EH555" s="5">
        <v>40763</v>
      </c>
      <c r="EI555" s="5">
        <v>40309</v>
      </c>
    </row>
    <row r="556" spans="1:139" hidden="1" x14ac:dyDescent="0.2">
      <c r="A556">
        <f>VLOOKUP(B556,Sheet1!$A$1:$B$18,2,FALSE)</f>
        <v>0</v>
      </c>
      <c r="B556" t="str">
        <f t="shared" si="9"/>
        <v>BOP</v>
      </c>
      <c r="C556" s="2">
        <v>555</v>
      </c>
      <c r="D556" s="3" t="str">
        <f>HYPERLINK("https://sitebase.nzcomms.co.nz/spm/spmnominalview/BOP-023-023/","BOP-023-023")</f>
        <v>BOP-023-023</v>
      </c>
      <c r="E556" s="4" t="s">
        <v>1794</v>
      </c>
      <c r="F556" s="3" t="str">
        <f>HYPERLINK("https://sitebase.nzcomms.co.nz/spm/spmcandidateview/BOP-023-023-A/","BOP-023-023-A")</f>
        <v>BOP-023-023-A</v>
      </c>
      <c r="G556" s="4" t="s">
        <v>1795</v>
      </c>
      <c r="H556" s="4" t="s">
        <v>1703</v>
      </c>
      <c r="I556" s="4">
        <v>20</v>
      </c>
      <c r="J556" s="4" t="s">
        <v>1633</v>
      </c>
      <c r="K556" s="4" t="s">
        <v>141</v>
      </c>
      <c r="L556" s="4" t="s">
        <v>189</v>
      </c>
      <c r="M556" s="4" t="s">
        <v>190</v>
      </c>
      <c r="N556" s="4" t="s">
        <v>274</v>
      </c>
      <c r="O556" s="4" t="s">
        <v>356</v>
      </c>
      <c r="P556" s="4" t="s">
        <v>182</v>
      </c>
      <c r="Q556" s="4" t="s">
        <v>192</v>
      </c>
      <c r="R556" s="4">
        <v>14.6</v>
      </c>
      <c r="S556" s="4">
        <v>15.1</v>
      </c>
      <c r="T556" s="4"/>
      <c r="U556" s="4">
        <v>-37.741836239999998</v>
      </c>
      <c r="V556" s="4">
        <v>176.12218537999999</v>
      </c>
      <c r="W556" s="5">
        <v>40249</v>
      </c>
      <c r="X556" s="5">
        <v>40241</v>
      </c>
      <c r="Y556" s="5">
        <v>40249</v>
      </c>
      <c r="Z556" s="5">
        <v>40241</v>
      </c>
      <c r="AA556" s="4" t="s">
        <v>171</v>
      </c>
      <c r="AB556" s="3" t="str">
        <f>HYPERLINK("https://sitebase.nzcomms.co.nz/spm/spmcandidateview/BOP-022-007-A/","BOP-022-007-A")</f>
        <v>BOP-022-007-A</v>
      </c>
      <c r="AC556" s="4" t="b">
        <v>1</v>
      </c>
      <c r="AD556" s="4" t="b">
        <v>1</v>
      </c>
      <c r="AE556" s="5">
        <v>40253</v>
      </c>
      <c r="AF556" s="5">
        <v>40263</v>
      </c>
      <c r="AG556" s="4" t="b">
        <v>1</v>
      </c>
      <c r="AH556" s="4" t="s">
        <v>1709</v>
      </c>
      <c r="AI556" s="5">
        <v>40256</v>
      </c>
      <c r="AJ556" s="5">
        <v>40253</v>
      </c>
      <c r="AK556" s="4"/>
      <c r="AL556" s="4"/>
      <c r="AM556" s="5">
        <v>40273</v>
      </c>
      <c r="AN556" s="5">
        <v>40263</v>
      </c>
      <c r="AO556" s="4">
        <v>3</v>
      </c>
      <c r="AP556" s="5">
        <v>40273</v>
      </c>
      <c r="AQ556" s="5">
        <v>41971</v>
      </c>
      <c r="AR556" s="5">
        <v>40312</v>
      </c>
      <c r="AS556" s="5">
        <v>40304</v>
      </c>
      <c r="AT556" s="5">
        <v>40732</v>
      </c>
      <c r="AU556" s="5">
        <v>40717</v>
      </c>
      <c r="AV556" s="4"/>
      <c r="AW556" s="5">
        <v>40732</v>
      </c>
      <c r="AX556" s="5">
        <v>40717</v>
      </c>
      <c r="AY556" s="4" t="s">
        <v>193</v>
      </c>
      <c r="AZ556" s="5">
        <v>40301</v>
      </c>
      <c r="BA556" s="5">
        <v>40303</v>
      </c>
      <c r="BB556" s="5">
        <v>40386</v>
      </c>
      <c r="BC556" s="5">
        <v>40375</v>
      </c>
      <c r="BD556" s="4">
        <v>1</v>
      </c>
      <c r="BE556" s="5">
        <v>40386</v>
      </c>
      <c r="BF556" s="5">
        <v>40380</v>
      </c>
      <c r="BG556" s="4"/>
      <c r="BH556" s="4"/>
      <c r="BI556" s="5">
        <v>40794</v>
      </c>
      <c r="BJ556" s="5">
        <v>40794</v>
      </c>
      <c r="BK556" s="4">
        <v>1</v>
      </c>
      <c r="BL556" s="4"/>
      <c r="BM556" s="5">
        <v>40725</v>
      </c>
      <c r="BN556" s="5">
        <v>40794</v>
      </c>
      <c r="BO556" s="5">
        <v>40791</v>
      </c>
      <c r="BP556" s="4"/>
      <c r="BQ556" s="4"/>
      <c r="BR556" s="4"/>
      <c r="BS556" s="4"/>
      <c r="BT556" s="5">
        <v>40786</v>
      </c>
      <c r="BU556" s="5">
        <v>40791</v>
      </c>
      <c r="BV556" s="5">
        <v>40805</v>
      </c>
      <c r="BW556" s="5">
        <v>40805</v>
      </c>
      <c r="BX556" s="5">
        <v>40795</v>
      </c>
      <c r="BY556" s="5">
        <v>40807</v>
      </c>
      <c r="BZ556" s="5">
        <v>40809</v>
      </c>
      <c r="CA556" s="4"/>
      <c r="CB556" s="4"/>
      <c r="CC556" s="4"/>
      <c r="CD556" s="4"/>
      <c r="CE556" s="4"/>
      <c r="CF556" s="4"/>
      <c r="CG556" s="4"/>
      <c r="CH556" s="4"/>
      <c r="CI556" s="5">
        <v>40815</v>
      </c>
      <c r="CJ556" s="5">
        <v>40823</v>
      </c>
      <c r="CK556" s="5">
        <v>40820</v>
      </c>
      <c r="CL556" s="5">
        <v>40838</v>
      </c>
      <c r="CM556" s="5">
        <v>40837</v>
      </c>
      <c r="CN556" s="5">
        <v>40927</v>
      </c>
      <c r="CO556" s="5">
        <v>41058</v>
      </c>
      <c r="CP556" s="4" t="s">
        <v>1796</v>
      </c>
      <c r="CQ556" s="4"/>
      <c r="CR556" s="5">
        <v>40808</v>
      </c>
      <c r="CS556" s="5">
        <v>40785</v>
      </c>
      <c r="CT556" s="5">
        <v>40785</v>
      </c>
      <c r="CU556" s="5">
        <v>40786</v>
      </c>
      <c r="CV556" s="5">
        <v>40786</v>
      </c>
      <c r="CW556" s="5">
        <v>40786</v>
      </c>
      <c r="CX556" s="5">
        <v>40791</v>
      </c>
      <c r="CY556" s="5">
        <v>40799</v>
      </c>
      <c r="CZ556" s="5">
        <v>40801</v>
      </c>
      <c r="DA556" s="4"/>
      <c r="DB556" s="5">
        <v>40821</v>
      </c>
      <c r="DC556" s="4"/>
      <c r="DD556" s="4"/>
      <c r="DE556" s="4"/>
      <c r="DF556" s="4"/>
      <c r="DG556" s="4"/>
      <c r="DH556" s="4"/>
      <c r="DI556" s="5">
        <v>40792</v>
      </c>
      <c r="DJ556" s="4" t="b">
        <v>0</v>
      </c>
      <c r="DK556" s="4"/>
      <c r="DL556" s="4">
        <v>2785327</v>
      </c>
      <c r="DM556" s="4">
        <v>6379748</v>
      </c>
      <c r="DN556" s="4" t="s">
        <v>1797</v>
      </c>
      <c r="DO556" s="4"/>
      <c r="DP556" s="4" t="s">
        <v>1798</v>
      </c>
      <c r="DQ556" s="4" t="s">
        <v>148</v>
      </c>
      <c r="DR556" s="4"/>
      <c r="DS556" s="4"/>
      <c r="DT556" s="5">
        <v>42151</v>
      </c>
      <c r="DU556" s="4"/>
      <c r="DV556" s="4"/>
      <c r="DW556" s="4"/>
      <c r="DX556" s="4"/>
      <c r="DY556" s="4"/>
      <c r="DZ556" s="4"/>
      <c r="EA556" s="4"/>
      <c r="EB556" s="4"/>
      <c r="EC556" s="4"/>
      <c r="ED556" s="4"/>
      <c r="EE556" s="4"/>
      <c r="EF556" s="4"/>
      <c r="EG556" s="5">
        <v>40820</v>
      </c>
      <c r="EH556" s="5">
        <v>40820</v>
      </c>
      <c r="EI556" s="5">
        <v>40253</v>
      </c>
    </row>
    <row r="557" spans="1:139" hidden="1" x14ac:dyDescent="0.2">
      <c r="A557">
        <f>VLOOKUP(B557,Sheet1!$A$1:$B$18,2,FALSE)</f>
        <v>0</v>
      </c>
      <c r="B557" t="str">
        <f t="shared" si="9"/>
        <v>BOP</v>
      </c>
      <c r="C557" s="2">
        <v>556</v>
      </c>
      <c r="D557" s="3" t="str">
        <f>HYPERLINK("https://sitebase.nzcomms.co.nz/spm/spmnominalview/BOP-023-024/","BOP-023-024")</f>
        <v>BOP-023-024</v>
      </c>
      <c r="E557" s="4" t="s">
        <v>1799</v>
      </c>
      <c r="F557" s="3" t="str">
        <f>HYPERLINK("https://sitebase.nzcomms.co.nz/spm/spmcandidateview/BOP-023-024-A/","BOP-023-024-A")</f>
        <v>BOP-023-024-A</v>
      </c>
      <c r="G557" s="4" t="s">
        <v>1800</v>
      </c>
      <c r="H557" s="4" t="s">
        <v>1703</v>
      </c>
      <c r="I557" s="4">
        <v>20</v>
      </c>
      <c r="J557" s="4" t="s">
        <v>1633</v>
      </c>
      <c r="K557" s="4" t="s">
        <v>141</v>
      </c>
      <c r="L557" s="4" t="s">
        <v>150</v>
      </c>
      <c r="M557" s="4" t="s">
        <v>190</v>
      </c>
      <c r="N557" s="4" t="s">
        <v>156</v>
      </c>
      <c r="O557" s="4" t="s">
        <v>144</v>
      </c>
      <c r="P557" s="4" t="s">
        <v>169</v>
      </c>
      <c r="Q557" s="4" t="s">
        <v>170</v>
      </c>
      <c r="R557" s="4">
        <v>20.65</v>
      </c>
      <c r="S557" s="4">
        <v>21.15</v>
      </c>
      <c r="T557" s="4"/>
      <c r="U557" s="4">
        <v>-37.742141340000003</v>
      </c>
      <c r="V557" s="4">
        <v>176.10435017</v>
      </c>
      <c r="W557" s="4"/>
      <c r="X557" s="5">
        <v>40164</v>
      </c>
      <c r="Y557" s="4"/>
      <c r="Z557" s="5">
        <v>40164</v>
      </c>
      <c r="AA557" s="4" t="s">
        <v>145</v>
      </c>
      <c r="AB557" s="3" t="str">
        <f>HYPERLINK("https://sitebase.nzcomms.co.nz/spm/spmcandidateview/BOP-023-003-A/","BOP-023-003-A")</f>
        <v>BOP-023-003-A</v>
      </c>
      <c r="AC557" s="4" t="b">
        <v>1</v>
      </c>
      <c r="AD557" s="4" t="b">
        <v>1</v>
      </c>
      <c r="AE557" s="5">
        <v>40256</v>
      </c>
      <c r="AF557" s="5">
        <v>40267</v>
      </c>
      <c r="AG557" s="4" t="b">
        <v>1</v>
      </c>
      <c r="AH557" s="4"/>
      <c r="AI557" s="5">
        <v>40253</v>
      </c>
      <c r="AJ557" s="5">
        <v>40253</v>
      </c>
      <c r="AK557" s="4"/>
      <c r="AL557" s="4"/>
      <c r="AM557" s="5">
        <v>40274</v>
      </c>
      <c r="AN557" s="5">
        <v>40274</v>
      </c>
      <c r="AO557" s="4">
        <v>2</v>
      </c>
      <c r="AP557" s="5">
        <v>40274</v>
      </c>
      <c r="AQ557" s="5">
        <v>40498</v>
      </c>
      <c r="AR557" s="5">
        <v>40347</v>
      </c>
      <c r="AS557" s="5">
        <v>40340</v>
      </c>
      <c r="AT557" s="5">
        <v>40437</v>
      </c>
      <c r="AU557" s="5">
        <v>40431</v>
      </c>
      <c r="AV557" s="4"/>
      <c r="AW557" s="5">
        <v>40437</v>
      </c>
      <c r="AX557" s="5">
        <v>40431</v>
      </c>
      <c r="AY557" s="4" t="s">
        <v>183</v>
      </c>
      <c r="AZ557" s="5">
        <v>40291</v>
      </c>
      <c r="BA557" s="5">
        <v>40289</v>
      </c>
      <c r="BB557" s="5">
        <v>40323</v>
      </c>
      <c r="BC557" s="5">
        <v>40324</v>
      </c>
      <c r="BD557" s="4">
        <v>1</v>
      </c>
      <c r="BE557" s="5">
        <v>40326</v>
      </c>
      <c r="BF557" s="5">
        <v>40324</v>
      </c>
      <c r="BG557" s="4"/>
      <c r="BH557" s="4"/>
      <c r="BI557" s="5">
        <v>40679</v>
      </c>
      <c r="BJ557" s="5">
        <v>40680</v>
      </c>
      <c r="BK557" s="4">
        <v>1</v>
      </c>
      <c r="BL557" s="4"/>
      <c r="BM557" s="5">
        <v>40679</v>
      </c>
      <c r="BN557" s="5">
        <v>40680</v>
      </c>
      <c r="BO557" s="5">
        <v>40686</v>
      </c>
      <c r="BP557" s="4"/>
      <c r="BQ557" s="4"/>
      <c r="BR557" s="4"/>
      <c r="BS557" s="4"/>
      <c r="BT557" s="5">
        <v>40672</v>
      </c>
      <c r="BU557" s="5">
        <v>40674</v>
      </c>
      <c r="BV557" s="5">
        <v>40711</v>
      </c>
      <c r="BW557" s="5">
        <v>40710</v>
      </c>
      <c r="BX557" s="5">
        <v>40716</v>
      </c>
      <c r="BY557" s="5">
        <v>40723</v>
      </c>
      <c r="BZ557" s="5">
        <v>40725</v>
      </c>
      <c r="CA557" s="4"/>
      <c r="CB557" s="4"/>
      <c r="CC557" s="4"/>
      <c r="CD557" s="4"/>
      <c r="CE557" s="4"/>
      <c r="CF557" s="4"/>
      <c r="CG557" s="4"/>
      <c r="CH557" s="4"/>
      <c r="CI557" s="5">
        <v>40763</v>
      </c>
      <c r="CJ557" s="5">
        <v>40777</v>
      </c>
      <c r="CK557" s="5">
        <v>40779</v>
      </c>
      <c r="CL557" s="5">
        <v>40777</v>
      </c>
      <c r="CM557" s="5">
        <v>40780</v>
      </c>
      <c r="CN557" s="5">
        <v>40869</v>
      </c>
      <c r="CO557" s="5">
        <v>40925</v>
      </c>
      <c r="CP557" s="4" t="s">
        <v>1801</v>
      </c>
      <c r="CQ557" s="4"/>
      <c r="CR557" s="5">
        <v>40749</v>
      </c>
      <c r="CS557" s="4"/>
      <c r="CT557" s="5">
        <v>40647</v>
      </c>
      <c r="CU557" s="5">
        <v>40700</v>
      </c>
      <c r="CV557" s="5">
        <v>40700</v>
      </c>
      <c r="CW557" s="5">
        <v>40686</v>
      </c>
      <c r="CX557" s="5">
        <v>40686</v>
      </c>
      <c r="CY557" s="5">
        <v>40717</v>
      </c>
      <c r="CZ557" s="5">
        <v>40725</v>
      </c>
      <c r="DA557" s="4"/>
      <c r="DB557" s="5">
        <v>40763</v>
      </c>
      <c r="DC557" s="4"/>
      <c r="DD557" s="4"/>
      <c r="DE557" s="4"/>
      <c r="DF557" s="4"/>
      <c r="DG557" s="4"/>
      <c r="DH557" s="4"/>
      <c r="DI557" s="4"/>
      <c r="DJ557" s="4" t="b">
        <v>0</v>
      </c>
      <c r="DK557" s="4"/>
      <c r="DL557" s="4">
        <v>2783755</v>
      </c>
      <c r="DM557" s="4">
        <v>6379769</v>
      </c>
      <c r="DN557" s="4" t="s">
        <v>1802</v>
      </c>
      <c r="DO557" s="4"/>
      <c r="DP557" s="4" t="s">
        <v>1764</v>
      </c>
      <c r="DQ557" s="4" t="s">
        <v>148</v>
      </c>
      <c r="DR557" s="4"/>
      <c r="DS557" s="4"/>
      <c r="DT557" s="5">
        <v>42151</v>
      </c>
      <c r="DU557" s="4"/>
      <c r="DV557" s="4"/>
      <c r="DW557" s="4"/>
      <c r="DX557" s="4"/>
      <c r="DY557" s="4"/>
      <c r="DZ557" s="4"/>
      <c r="EA557" s="4"/>
      <c r="EB557" s="4"/>
      <c r="EC557" s="4"/>
      <c r="ED557" s="4"/>
      <c r="EE557" s="4"/>
      <c r="EF557" s="4"/>
      <c r="EG557" s="5">
        <v>40738</v>
      </c>
      <c r="EH557" s="5">
        <v>40763</v>
      </c>
      <c r="EI557" s="5">
        <v>40253</v>
      </c>
    </row>
    <row r="558" spans="1:139" hidden="1" x14ac:dyDescent="0.2">
      <c r="A558">
        <f>VLOOKUP(B558,Sheet1!$A$1:$B$18,2,FALSE)</f>
        <v>0</v>
      </c>
      <c r="B558" t="str">
        <f t="shared" si="9"/>
        <v>BOP</v>
      </c>
      <c r="C558" s="2">
        <v>557</v>
      </c>
      <c r="D558" s="3" t="str">
        <f>HYPERLINK("https://sitebase.nzcomms.co.nz/spm/spmnominalview/BOP-023-025/","BOP-023-025")</f>
        <v>BOP-023-025</v>
      </c>
      <c r="E558" s="4" t="s">
        <v>1803</v>
      </c>
      <c r="F558" s="3" t="str">
        <f>HYPERLINK("https://sitebase.nzcomms.co.nz/spm/spmcandidateview/BOP-023-025-B/","BOP-023-025-B")</f>
        <v>BOP-023-025-B</v>
      </c>
      <c r="G558" s="4" t="s">
        <v>1804</v>
      </c>
      <c r="H558" s="4" t="s">
        <v>1703</v>
      </c>
      <c r="I558" s="4">
        <v>20</v>
      </c>
      <c r="J558" s="4" t="s">
        <v>1633</v>
      </c>
      <c r="K558" s="4" t="s">
        <v>141</v>
      </c>
      <c r="L558" s="4" t="s">
        <v>189</v>
      </c>
      <c r="M558" s="4" t="s">
        <v>190</v>
      </c>
      <c r="N558" s="4" t="s">
        <v>274</v>
      </c>
      <c r="O558" s="4" t="s">
        <v>356</v>
      </c>
      <c r="P558" s="4" t="s">
        <v>182</v>
      </c>
      <c r="Q558" s="4" t="s">
        <v>192</v>
      </c>
      <c r="R558" s="4">
        <v>13.2</v>
      </c>
      <c r="S558" s="4">
        <v>13.7</v>
      </c>
      <c r="T558" s="4"/>
      <c r="U558" s="4">
        <v>-37.669193759999999</v>
      </c>
      <c r="V558" s="4">
        <v>176.12369369999999</v>
      </c>
      <c r="W558" s="4"/>
      <c r="X558" s="5">
        <v>40164</v>
      </c>
      <c r="Y558" s="4"/>
      <c r="Z558" s="5">
        <v>40164</v>
      </c>
      <c r="AA558" s="4" t="s">
        <v>171</v>
      </c>
      <c r="AB558" s="3" t="str">
        <f>HYPERLINK("https://sitebase.nzcomms.co.nz/spm/spmcandidateview/BOP-022-019-A/","BOP-022-019-A")</f>
        <v>BOP-022-019-A</v>
      </c>
      <c r="AC558" s="4" t="b">
        <v>1</v>
      </c>
      <c r="AD558" s="4" t="b">
        <v>1</v>
      </c>
      <c r="AE558" s="5">
        <v>40227</v>
      </c>
      <c r="AF558" s="4"/>
      <c r="AG558" s="4" t="b">
        <v>1</v>
      </c>
      <c r="AH558" s="4" t="s">
        <v>1790</v>
      </c>
      <c r="AI558" s="5">
        <v>40309</v>
      </c>
      <c r="AJ558" s="5">
        <v>40309</v>
      </c>
      <c r="AK558" s="4"/>
      <c r="AL558" s="4"/>
      <c r="AM558" s="5">
        <v>40318</v>
      </c>
      <c r="AN558" s="5">
        <v>40318</v>
      </c>
      <c r="AO558" s="4">
        <v>4</v>
      </c>
      <c r="AP558" s="5">
        <v>40319</v>
      </c>
      <c r="AQ558" s="5">
        <v>42125</v>
      </c>
      <c r="AR558" s="5">
        <v>40319</v>
      </c>
      <c r="AS558" s="5">
        <v>40312</v>
      </c>
      <c r="AT558" s="5">
        <v>40347</v>
      </c>
      <c r="AU558" s="5">
        <v>40347</v>
      </c>
      <c r="AV558" s="4"/>
      <c r="AW558" s="5">
        <v>40347</v>
      </c>
      <c r="AX558" s="5">
        <v>40347</v>
      </c>
      <c r="AY558" s="4" t="s">
        <v>193</v>
      </c>
      <c r="AZ558" s="5">
        <v>40326</v>
      </c>
      <c r="BA558" s="5">
        <v>42129</v>
      </c>
      <c r="BB558" s="5">
        <v>40361</v>
      </c>
      <c r="BC558" s="4"/>
      <c r="BD558" s="4">
        <v>4</v>
      </c>
      <c r="BE558" s="5">
        <v>40368</v>
      </c>
      <c r="BF558" s="5">
        <v>40347</v>
      </c>
      <c r="BG558" s="4"/>
      <c r="BH558" s="4"/>
      <c r="BI558" s="5">
        <v>40631</v>
      </c>
      <c r="BJ558" s="5">
        <v>40634</v>
      </c>
      <c r="BK558" s="4">
        <v>1</v>
      </c>
      <c r="BL558" s="4"/>
      <c r="BM558" s="4"/>
      <c r="BN558" s="5">
        <v>40634</v>
      </c>
      <c r="BO558" s="5">
        <v>40693</v>
      </c>
      <c r="BP558" s="4"/>
      <c r="BQ558" s="4"/>
      <c r="BR558" s="5">
        <v>40701</v>
      </c>
      <c r="BS558" s="4"/>
      <c r="BT558" s="5">
        <v>40738</v>
      </c>
      <c r="BU558" s="5">
        <v>40737</v>
      </c>
      <c r="BV558" s="5">
        <v>40742</v>
      </c>
      <c r="BW558" s="5">
        <v>40753</v>
      </c>
      <c r="BX558" s="5">
        <v>40743</v>
      </c>
      <c r="BY558" s="5">
        <v>40746</v>
      </c>
      <c r="BZ558" s="5">
        <v>40753</v>
      </c>
      <c r="CA558" s="4"/>
      <c r="CB558" s="4"/>
      <c r="CC558" s="4"/>
      <c r="CD558" s="4"/>
      <c r="CE558" s="4"/>
      <c r="CF558" s="4"/>
      <c r="CG558" s="4"/>
      <c r="CH558" s="4"/>
      <c r="CI558" s="5">
        <v>40753</v>
      </c>
      <c r="CJ558" s="5">
        <v>40770</v>
      </c>
      <c r="CK558" s="5">
        <v>40779</v>
      </c>
      <c r="CL558" s="5">
        <v>40770</v>
      </c>
      <c r="CM558" s="5">
        <v>40770</v>
      </c>
      <c r="CN558" s="5">
        <v>40861</v>
      </c>
      <c r="CO558" s="5">
        <v>40959</v>
      </c>
      <c r="CP558" s="4" t="s">
        <v>1805</v>
      </c>
      <c r="CQ558" s="4"/>
      <c r="CR558" s="5">
        <v>40756</v>
      </c>
      <c r="CS558" s="4"/>
      <c r="CT558" s="5">
        <v>40647</v>
      </c>
      <c r="CU558" s="5">
        <v>40700</v>
      </c>
      <c r="CV558" s="5">
        <v>40714</v>
      </c>
      <c r="CW558" s="5">
        <v>40693</v>
      </c>
      <c r="CX558" s="5">
        <v>40693</v>
      </c>
      <c r="CY558" s="5">
        <v>40745</v>
      </c>
      <c r="CZ558" s="5">
        <v>40753</v>
      </c>
      <c r="DA558" s="4"/>
      <c r="DB558" s="5">
        <v>40759</v>
      </c>
      <c r="DC558" s="4"/>
      <c r="DD558" s="4"/>
      <c r="DE558" s="4"/>
      <c r="DF558" s="4"/>
      <c r="DG558" s="4"/>
      <c r="DH558" s="4"/>
      <c r="DI558" s="5">
        <v>40743</v>
      </c>
      <c r="DJ558" s="4" t="b">
        <v>1</v>
      </c>
      <c r="DK558" s="4"/>
      <c r="DL558" s="4">
        <v>2785742</v>
      </c>
      <c r="DM558" s="4">
        <v>6387800</v>
      </c>
      <c r="DN558" s="4" t="s">
        <v>1806</v>
      </c>
      <c r="DO558" s="4"/>
      <c r="DP558" s="4"/>
      <c r="DQ558" s="4" t="s">
        <v>148</v>
      </c>
      <c r="DR558" s="4"/>
      <c r="DS558" s="4"/>
      <c r="DT558" s="5">
        <v>42290</v>
      </c>
      <c r="DU558" s="4"/>
      <c r="DV558" s="4"/>
      <c r="DW558" s="4"/>
      <c r="DX558" s="4"/>
      <c r="DY558" s="4"/>
      <c r="DZ558" s="4"/>
      <c r="EA558" s="4"/>
      <c r="EB558" s="4"/>
      <c r="EC558" s="4"/>
      <c r="ED558" s="4"/>
      <c r="EE558" s="4"/>
      <c r="EF558" s="4"/>
      <c r="EG558" s="5">
        <v>40743</v>
      </c>
      <c r="EH558" s="5">
        <v>40758</v>
      </c>
      <c r="EI558" s="5">
        <v>40309</v>
      </c>
    </row>
    <row r="559" spans="1:139" hidden="1" x14ac:dyDescent="0.2">
      <c r="A559">
        <f>VLOOKUP(B559,Sheet1!$A$1:$B$18,2,FALSE)</f>
        <v>0</v>
      </c>
      <c r="B559" t="str">
        <f t="shared" si="9"/>
        <v>BOP</v>
      </c>
      <c r="C559" s="2">
        <v>558</v>
      </c>
      <c r="D559" s="3" t="str">
        <f>HYPERLINK("https://sitebase.nzcomms.co.nz/spm/spmnominalview/BOP-023-026/","BOP-023-026")</f>
        <v>BOP-023-026</v>
      </c>
      <c r="E559" s="4" t="s">
        <v>1807</v>
      </c>
      <c r="F559" s="3" t="str">
        <f>HYPERLINK("https://sitebase.nzcomms.co.nz/spm/spmcandidateview/BOP-023-026-B/","BOP-023-026-B")</f>
        <v>BOP-023-026-B</v>
      </c>
      <c r="G559" s="4" t="s">
        <v>1808</v>
      </c>
      <c r="H559" s="4" t="s">
        <v>1703</v>
      </c>
      <c r="I559" s="4">
        <v>20</v>
      </c>
      <c r="J559" s="4" t="s">
        <v>1633</v>
      </c>
      <c r="K559" s="4" t="s">
        <v>141</v>
      </c>
      <c r="L559" s="4" t="s">
        <v>189</v>
      </c>
      <c r="M559" s="4" t="s">
        <v>190</v>
      </c>
      <c r="N559" s="4" t="s">
        <v>274</v>
      </c>
      <c r="O559" s="4" t="s">
        <v>356</v>
      </c>
      <c r="P559" s="4" t="s">
        <v>182</v>
      </c>
      <c r="Q559" s="4" t="s">
        <v>192</v>
      </c>
      <c r="R559" s="4">
        <v>15.5</v>
      </c>
      <c r="S559" s="4">
        <v>16</v>
      </c>
      <c r="T559" s="4"/>
      <c r="U559" s="4">
        <v>-37.699006679999997</v>
      </c>
      <c r="V559" s="4">
        <v>176.13195228999999</v>
      </c>
      <c r="W559" s="4"/>
      <c r="X559" s="4"/>
      <c r="Y559" s="4"/>
      <c r="Z559" s="5">
        <v>40164</v>
      </c>
      <c r="AA559" s="4" t="s">
        <v>171</v>
      </c>
      <c r="AB559" s="3" t="str">
        <f>HYPERLINK("https://sitebase.nzcomms.co.nz/spm/spmcandidateview/BOP-023-003-A/","BOP-023-003-A")</f>
        <v>BOP-023-003-A</v>
      </c>
      <c r="AC559" s="4" t="b">
        <v>1</v>
      </c>
      <c r="AD559" s="4" t="b">
        <v>1</v>
      </c>
      <c r="AE559" s="5">
        <v>40220</v>
      </c>
      <c r="AF559" s="4"/>
      <c r="AG559" s="4" t="b">
        <v>1</v>
      </c>
      <c r="AH559" s="4" t="s">
        <v>1709</v>
      </c>
      <c r="AI559" s="5">
        <v>40253</v>
      </c>
      <c r="AJ559" s="5">
        <v>40253</v>
      </c>
      <c r="AK559" s="4"/>
      <c r="AL559" s="4"/>
      <c r="AM559" s="5">
        <v>40263</v>
      </c>
      <c r="AN559" s="5">
        <v>40263</v>
      </c>
      <c r="AO559" s="4">
        <v>2</v>
      </c>
      <c r="AP559" s="5">
        <v>40263</v>
      </c>
      <c r="AQ559" s="5">
        <v>41971</v>
      </c>
      <c r="AR559" s="5">
        <v>40312</v>
      </c>
      <c r="AS559" s="5">
        <v>40304</v>
      </c>
      <c r="AT559" s="5">
        <v>40347</v>
      </c>
      <c r="AU559" s="5">
        <v>40347</v>
      </c>
      <c r="AV559" s="4"/>
      <c r="AW559" s="5">
        <v>40347</v>
      </c>
      <c r="AX559" s="5">
        <v>40347</v>
      </c>
      <c r="AY559" s="4" t="s">
        <v>193</v>
      </c>
      <c r="AZ559" s="5">
        <v>40269</v>
      </c>
      <c r="BA559" s="5">
        <v>40268</v>
      </c>
      <c r="BB559" s="5">
        <v>40304</v>
      </c>
      <c r="BC559" s="5">
        <v>40296</v>
      </c>
      <c r="BD559" s="4">
        <v>1</v>
      </c>
      <c r="BE559" s="5">
        <v>40311</v>
      </c>
      <c r="BF559" s="5">
        <v>40296</v>
      </c>
      <c r="BG559" s="4"/>
      <c r="BH559" s="4"/>
      <c r="BI559" s="5">
        <v>40696</v>
      </c>
      <c r="BJ559" s="5">
        <v>40704</v>
      </c>
      <c r="BK559" s="4">
        <v>1</v>
      </c>
      <c r="BL559" s="4"/>
      <c r="BM559" s="5">
        <v>40693</v>
      </c>
      <c r="BN559" s="5">
        <v>40704</v>
      </c>
      <c r="BO559" s="5">
        <v>40721</v>
      </c>
      <c r="BP559" s="4"/>
      <c r="BQ559" s="4"/>
      <c r="BR559" s="5">
        <v>40701</v>
      </c>
      <c r="BS559" s="4"/>
      <c r="BT559" s="5">
        <v>40728</v>
      </c>
      <c r="BU559" s="5">
        <v>40716</v>
      </c>
      <c r="BV559" s="5">
        <v>40739</v>
      </c>
      <c r="BW559" s="5">
        <v>40735</v>
      </c>
      <c r="BX559" s="5">
        <v>40731</v>
      </c>
      <c r="BY559" s="5">
        <v>40744</v>
      </c>
      <c r="BZ559" s="5">
        <v>40753</v>
      </c>
      <c r="CA559" s="4"/>
      <c r="CB559" s="4"/>
      <c r="CC559" s="4"/>
      <c r="CD559" s="4"/>
      <c r="CE559" s="4"/>
      <c r="CF559" s="4"/>
      <c r="CG559" s="4"/>
      <c r="CH559" s="4"/>
      <c r="CI559" s="5">
        <v>40760</v>
      </c>
      <c r="CJ559" s="5">
        <v>40777</v>
      </c>
      <c r="CK559" s="5">
        <v>40779</v>
      </c>
      <c r="CL559" s="5">
        <v>40777</v>
      </c>
      <c r="CM559" s="5">
        <v>40778</v>
      </c>
      <c r="CN559" s="5">
        <v>40868</v>
      </c>
      <c r="CO559" s="5">
        <v>41029</v>
      </c>
      <c r="CP559" s="4" t="s">
        <v>1809</v>
      </c>
      <c r="CQ559" s="4"/>
      <c r="CR559" s="5">
        <v>40760</v>
      </c>
      <c r="CS559" s="5">
        <v>40702</v>
      </c>
      <c r="CT559" s="5">
        <v>40702</v>
      </c>
      <c r="CU559" s="5">
        <v>40707</v>
      </c>
      <c r="CV559" s="5">
        <v>40721</v>
      </c>
      <c r="CW559" s="5">
        <v>40714</v>
      </c>
      <c r="CX559" s="5">
        <v>40721</v>
      </c>
      <c r="CY559" s="5">
        <v>40739</v>
      </c>
      <c r="CZ559" s="5">
        <v>40739</v>
      </c>
      <c r="DA559" s="4"/>
      <c r="DB559" s="5">
        <v>40763</v>
      </c>
      <c r="DC559" s="4"/>
      <c r="DD559" s="4"/>
      <c r="DE559" s="4"/>
      <c r="DF559" s="4"/>
      <c r="DG559" s="4"/>
      <c r="DH559" s="4"/>
      <c r="DI559" s="5">
        <v>40731</v>
      </c>
      <c r="DJ559" s="4" t="b">
        <v>1</v>
      </c>
      <c r="DK559" s="4"/>
      <c r="DL559" s="4">
        <v>2786354</v>
      </c>
      <c r="DM559" s="4">
        <v>6384468</v>
      </c>
      <c r="DN559" s="4" t="s">
        <v>1810</v>
      </c>
      <c r="DO559" s="4"/>
      <c r="DP559" s="4"/>
      <c r="DQ559" s="4" t="s">
        <v>148</v>
      </c>
      <c r="DR559" s="4"/>
      <c r="DS559" s="4"/>
      <c r="DT559" s="5">
        <v>42151</v>
      </c>
      <c r="DU559" s="4"/>
      <c r="DV559" s="4"/>
      <c r="DW559" s="4"/>
      <c r="DX559" s="4"/>
      <c r="DY559" s="4"/>
      <c r="DZ559" s="4"/>
      <c r="EA559" s="4"/>
      <c r="EB559" s="4"/>
      <c r="EC559" s="4"/>
      <c r="ED559" s="4"/>
      <c r="EE559" s="4"/>
      <c r="EF559" s="4"/>
      <c r="EG559" s="5">
        <v>40763</v>
      </c>
      <c r="EH559" s="5">
        <v>40763</v>
      </c>
      <c r="EI559" s="5">
        <v>40253</v>
      </c>
    </row>
    <row r="560" spans="1:139" hidden="1" x14ac:dyDescent="0.2">
      <c r="A560">
        <f>VLOOKUP(B560,Sheet1!$A$1:$B$18,2,FALSE)</f>
        <v>0</v>
      </c>
      <c r="B560" t="str">
        <f t="shared" si="9"/>
        <v>BOP</v>
      </c>
      <c r="C560" s="2">
        <v>559</v>
      </c>
      <c r="D560" s="3" t="str">
        <f>HYPERLINK("https://sitebase.nzcomms.co.nz/spm/spmnominalview/BOP-023-027/","BOP-023-027")</f>
        <v>BOP-023-027</v>
      </c>
      <c r="E560" s="4" t="s">
        <v>1811</v>
      </c>
      <c r="F560" s="4"/>
      <c r="G560" s="4"/>
      <c r="H560" s="4" t="s">
        <v>1703</v>
      </c>
      <c r="I560" s="4"/>
      <c r="J560" s="4" t="s">
        <v>196</v>
      </c>
      <c r="K560" s="4"/>
      <c r="L560" s="4"/>
      <c r="M560" s="4"/>
      <c r="N560" s="4"/>
      <c r="O560" s="4"/>
      <c r="P560" s="4"/>
      <c r="Q560" s="4"/>
      <c r="R560" s="4"/>
      <c r="S560" s="4"/>
      <c r="T560" s="4"/>
      <c r="U560" s="4"/>
      <c r="V560" s="4"/>
      <c r="W560" s="4"/>
      <c r="X560" s="4"/>
      <c r="Y560" s="4"/>
      <c r="Z560" s="4"/>
      <c r="AA560" s="4"/>
      <c r="AB560" s="4"/>
      <c r="AC560" s="4"/>
      <c r="AD560" s="4"/>
      <c r="AE560" s="4"/>
      <c r="AF560" s="4"/>
      <c r="AG560" s="4" t="b">
        <v>1</v>
      </c>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t="s">
        <v>1812</v>
      </c>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row>
    <row r="561" spans="1:139" hidden="1" x14ac:dyDescent="0.2">
      <c r="A561">
        <f>VLOOKUP(B561,Sheet1!$A$1:$B$18,2,FALSE)</f>
        <v>0</v>
      </c>
      <c r="B561" t="str">
        <f t="shared" si="9"/>
        <v>BOP</v>
      </c>
      <c r="C561" s="2">
        <v>560</v>
      </c>
      <c r="D561" s="3" t="str">
        <f>HYPERLINK("https://sitebase.nzcomms.co.nz/spm/spmnominalview/BOP-023-028/","BOP-023-028")</f>
        <v>BOP-023-028</v>
      </c>
      <c r="E561" s="4" t="s">
        <v>1813</v>
      </c>
      <c r="F561" s="3" t="str">
        <f>HYPERLINK("https://sitebase.nzcomms.co.nz/spm/spmcandidateview/BOP-023-028-B/","BOP-023-028-B")</f>
        <v>BOP-023-028-B</v>
      </c>
      <c r="G561" s="4" t="s">
        <v>1814</v>
      </c>
      <c r="H561" s="4" t="s">
        <v>1703</v>
      </c>
      <c r="I561" s="4">
        <v>20</v>
      </c>
      <c r="J561" s="4" t="s">
        <v>1633</v>
      </c>
      <c r="K561" s="4" t="s">
        <v>141</v>
      </c>
      <c r="L561" s="4" t="s">
        <v>150</v>
      </c>
      <c r="M561" s="4" t="s">
        <v>190</v>
      </c>
      <c r="N561" s="4" t="s">
        <v>612</v>
      </c>
      <c r="O561" s="4" t="s">
        <v>144</v>
      </c>
      <c r="P561" s="4" t="s">
        <v>182</v>
      </c>
      <c r="Q561" s="4" t="s">
        <v>192</v>
      </c>
      <c r="R561" s="4">
        <v>10</v>
      </c>
      <c r="S561" s="4">
        <v>10.5</v>
      </c>
      <c r="T561" s="4"/>
      <c r="U561" s="4">
        <v>-37.676691900000002</v>
      </c>
      <c r="V561" s="4">
        <v>176.14706391999999</v>
      </c>
      <c r="W561" s="4"/>
      <c r="X561" s="5">
        <v>40164</v>
      </c>
      <c r="Y561" s="4"/>
      <c r="Z561" s="5">
        <v>40164</v>
      </c>
      <c r="AA561" s="4" t="s">
        <v>171</v>
      </c>
      <c r="AB561" s="3" t="str">
        <f>HYPERLINK("https://sitebase.nzcomms.co.nz/spm/spmcandidateview/BOP-023-015-A/","BOP-023-015-A")</f>
        <v>BOP-023-015-A</v>
      </c>
      <c r="AC561" s="4" t="b">
        <v>1</v>
      </c>
      <c r="AD561" s="4" t="b">
        <v>1</v>
      </c>
      <c r="AE561" s="5">
        <v>40255</v>
      </c>
      <c r="AF561" s="5">
        <v>40256</v>
      </c>
      <c r="AG561" s="4" t="b">
        <v>1</v>
      </c>
      <c r="AH561" s="4" t="s">
        <v>1815</v>
      </c>
      <c r="AI561" s="4"/>
      <c r="AJ561" s="5">
        <v>40233</v>
      </c>
      <c r="AK561" s="4"/>
      <c r="AL561" s="4"/>
      <c r="AM561" s="5">
        <v>40256</v>
      </c>
      <c r="AN561" s="5">
        <v>40256</v>
      </c>
      <c r="AO561" s="4">
        <v>1</v>
      </c>
      <c r="AP561" s="5">
        <v>40256</v>
      </c>
      <c r="AQ561" s="5">
        <v>40256</v>
      </c>
      <c r="AR561" s="5">
        <v>40354</v>
      </c>
      <c r="AS561" s="5">
        <v>40353</v>
      </c>
      <c r="AT561" s="5">
        <v>40396</v>
      </c>
      <c r="AU561" s="5">
        <v>40394</v>
      </c>
      <c r="AV561" s="4"/>
      <c r="AW561" s="5">
        <v>40396</v>
      </c>
      <c r="AX561" s="5">
        <v>40394</v>
      </c>
      <c r="AY561" s="4" t="s">
        <v>183</v>
      </c>
      <c r="AZ561" s="5">
        <v>40260</v>
      </c>
      <c r="BA561" s="5">
        <v>40256</v>
      </c>
      <c r="BB561" s="5">
        <v>40291</v>
      </c>
      <c r="BC561" s="5">
        <v>40294</v>
      </c>
      <c r="BD561" s="4">
        <v>1</v>
      </c>
      <c r="BE561" s="5">
        <v>40298</v>
      </c>
      <c r="BF561" s="5">
        <v>40294</v>
      </c>
      <c r="BG561" s="4"/>
      <c r="BH561" s="4"/>
      <c r="BI561" s="5">
        <v>40696</v>
      </c>
      <c r="BJ561" s="5">
        <v>40697</v>
      </c>
      <c r="BK561" s="4">
        <v>1</v>
      </c>
      <c r="BL561" s="4"/>
      <c r="BM561" s="5">
        <v>40693</v>
      </c>
      <c r="BN561" s="5">
        <v>40697</v>
      </c>
      <c r="BO561" s="5">
        <v>40735</v>
      </c>
      <c r="BP561" s="4"/>
      <c r="BQ561" s="4"/>
      <c r="BR561" s="5">
        <v>40714</v>
      </c>
      <c r="BS561" s="4"/>
      <c r="BT561" s="5">
        <v>40751</v>
      </c>
      <c r="BU561" s="5">
        <v>40723</v>
      </c>
      <c r="BV561" s="5">
        <v>40759</v>
      </c>
      <c r="BW561" s="5">
        <v>40759</v>
      </c>
      <c r="BX561" s="5">
        <v>40736</v>
      </c>
      <c r="BY561" s="5">
        <v>40759</v>
      </c>
      <c r="BZ561" s="5">
        <v>40759</v>
      </c>
      <c r="CA561" s="4"/>
      <c r="CB561" s="4"/>
      <c r="CC561" s="4"/>
      <c r="CD561" s="4"/>
      <c r="CE561" s="4"/>
      <c r="CF561" s="4"/>
      <c r="CG561" s="4"/>
      <c r="CH561" s="4"/>
      <c r="CI561" s="5">
        <v>40760</v>
      </c>
      <c r="CJ561" s="5">
        <v>40777</v>
      </c>
      <c r="CK561" s="5">
        <v>40779</v>
      </c>
      <c r="CL561" s="5">
        <v>40777</v>
      </c>
      <c r="CM561" s="5">
        <v>40779</v>
      </c>
      <c r="CN561" s="5">
        <v>40869</v>
      </c>
      <c r="CO561" s="5">
        <v>41010</v>
      </c>
      <c r="CP561" s="4" t="s">
        <v>1816</v>
      </c>
      <c r="CQ561" s="4"/>
      <c r="CR561" s="5">
        <v>40760</v>
      </c>
      <c r="CS561" s="5">
        <v>40702</v>
      </c>
      <c r="CT561" s="5">
        <v>40702</v>
      </c>
      <c r="CU561" s="5">
        <v>40707</v>
      </c>
      <c r="CV561" s="5">
        <v>40721</v>
      </c>
      <c r="CW561" s="5">
        <v>40721</v>
      </c>
      <c r="CX561" s="5">
        <v>40735</v>
      </c>
      <c r="CY561" s="5">
        <v>40759</v>
      </c>
      <c r="CZ561" s="5">
        <v>40746</v>
      </c>
      <c r="DA561" s="4"/>
      <c r="DB561" s="5">
        <v>40763</v>
      </c>
      <c r="DC561" s="4"/>
      <c r="DD561" s="4"/>
      <c r="DE561" s="4"/>
      <c r="DF561" s="4"/>
      <c r="DG561" s="4"/>
      <c r="DH561" s="4"/>
      <c r="DI561" s="5">
        <v>40736</v>
      </c>
      <c r="DJ561" s="4" t="b">
        <v>1</v>
      </c>
      <c r="DK561" s="4"/>
      <c r="DL561" s="4">
        <v>2787773</v>
      </c>
      <c r="DM561" s="4">
        <v>6386896</v>
      </c>
      <c r="DN561" s="4" t="s">
        <v>1817</v>
      </c>
      <c r="DO561" s="4"/>
      <c r="DP561" s="4"/>
      <c r="DQ561" s="4" t="s">
        <v>148</v>
      </c>
      <c r="DR561" s="4"/>
      <c r="DS561" s="4"/>
      <c r="DT561" s="5">
        <v>42151</v>
      </c>
      <c r="DU561" s="4"/>
      <c r="DV561" s="4"/>
      <c r="DW561" s="4"/>
      <c r="DX561" s="4"/>
      <c r="DY561" s="4"/>
      <c r="DZ561" s="4"/>
      <c r="EA561" s="4"/>
      <c r="EB561" s="4"/>
      <c r="EC561" s="4"/>
      <c r="ED561" s="4"/>
      <c r="EE561" s="4"/>
      <c r="EF561" s="4"/>
      <c r="EG561" s="5">
        <v>40763</v>
      </c>
      <c r="EH561" s="5">
        <v>40763</v>
      </c>
      <c r="EI561" s="5">
        <v>40233</v>
      </c>
    </row>
    <row r="562" spans="1:139" hidden="1" x14ac:dyDescent="0.2">
      <c r="A562">
        <f>VLOOKUP(B562,Sheet1!$A$1:$B$18,2,FALSE)</f>
        <v>0</v>
      </c>
      <c r="B562" t="str">
        <f t="shared" si="9"/>
        <v>BOP</v>
      </c>
      <c r="C562" s="2">
        <v>561</v>
      </c>
      <c r="D562" s="3" t="str">
        <f>HYPERLINK("https://sitebase.nzcomms.co.nz/spm/spmnominalview/BOP-023-029/","BOP-023-029")</f>
        <v>BOP-023-029</v>
      </c>
      <c r="E562" s="4" t="s">
        <v>1818</v>
      </c>
      <c r="F562" s="3" t="str">
        <f>HYPERLINK("https://sitebase.nzcomms.co.nz/spm/spmcandidateview/BOP-023-029-B/","BOP-023-029-B")</f>
        <v>BOP-023-029-B</v>
      </c>
      <c r="G562" s="4" t="s">
        <v>1819</v>
      </c>
      <c r="H562" s="4" t="s">
        <v>1703</v>
      </c>
      <c r="I562" s="4">
        <v>20</v>
      </c>
      <c r="J562" s="4" t="s">
        <v>1633</v>
      </c>
      <c r="K562" s="4" t="s">
        <v>141</v>
      </c>
      <c r="L562" s="4" t="s">
        <v>189</v>
      </c>
      <c r="M562" s="4" t="s">
        <v>190</v>
      </c>
      <c r="N562" s="4" t="s">
        <v>274</v>
      </c>
      <c r="O562" s="4" t="s">
        <v>356</v>
      </c>
      <c r="P562" s="4" t="s">
        <v>182</v>
      </c>
      <c r="Q562" s="4" t="s">
        <v>192</v>
      </c>
      <c r="R562" s="4">
        <v>13.4</v>
      </c>
      <c r="S562" s="4">
        <v>13.9</v>
      </c>
      <c r="T562" s="4">
        <v>1</v>
      </c>
      <c r="U562" s="4">
        <v>-37.667716679999998</v>
      </c>
      <c r="V562" s="4">
        <v>176.15330121</v>
      </c>
      <c r="W562" s="5">
        <v>40249</v>
      </c>
      <c r="X562" s="5">
        <v>40249</v>
      </c>
      <c r="Y562" s="4"/>
      <c r="Z562" s="5">
        <v>40249</v>
      </c>
      <c r="AA562" s="4" t="s">
        <v>171</v>
      </c>
      <c r="AB562" s="3" t="str">
        <f>HYPERLINK("https://sitebase.nzcomms.co.nz/spm/spmcandidateview/BOP-023-001-D/","BOP-023-001-D")</f>
        <v>BOP-023-001-D</v>
      </c>
      <c r="AC562" s="4" t="b">
        <v>1</v>
      </c>
      <c r="AD562" s="4" t="b">
        <v>1</v>
      </c>
      <c r="AE562" s="5">
        <v>40255</v>
      </c>
      <c r="AF562" s="4"/>
      <c r="AG562" s="4" t="b">
        <v>1</v>
      </c>
      <c r="AH562" s="4"/>
      <c r="AI562" s="5">
        <v>40687</v>
      </c>
      <c r="AJ562" s="5">
        <v>40687</v>
      </c>
      <c r="AK562" s="5">
        <v>40696</v>
      </c>
      <c r="AL562" s="5">
        <v>40696</v>
      </c>
      <c r="AM562" s="5">
        <v>40739</v>
      </c>
      <c r="AN562" s="5">
        <v>40743</v>
      </c>
      <c r="AO562" s="4">
        <v>2</v>
      </c>
      <c r="AP562" s="5">
        <v>40739</v>
      </c>
      <c r="AQ562" s="5">
        <v>41971</v>
      </c>
      <c r="AR562" s="5">
        <v>40739</v>
      </c>
      <c r="AS562" s="5">
        <v>40735</v>
      </c>
      <c r="AT562" s="5">
        <v>40798</v>
      </c>
      <c r="AU562" s="5">
        <v>40795</v>
      </c>
      <c r="AV562" s="4"/>
      <c r="AW562" s="5">
        <v>40798</v>
      </c>
      <c r="AX562" s="5">
        <v>40795</v>
      </c>
      <c r="AY562" s="4" t="s">
        <v>183</v>
      </c>
      <c r="AZ562" s="5">
        <v>40767</v>
      </c>
      <c r="BA562" s="5">
        <v>40771</v>
      </c>
      <c r="BB562" s="5">
        <v>40794</v>
      </c>
      <c r="BC562" s="5">
        <v>40793</v>
      </c>
      <c r="BD562" s="4">
        <v>1</v>
      </c>
      <c r="BE562" s="5">
        <v>40794</v>
      </c>
      <c r="BF562" s="5">
        <v>40793</v>
      </c>
      <c r="BG562" s="4"/>
      <c r="BH562" s="4"/>
      <c r="BI562" s="4"/>
      <c r="BJ562" s="5">
        <v>40799</v>
      </c>
      <c r="BK562" s="4">
        <v>1</v>
      </c>
      <c r="BL562" s="4"/>
      <c r="BM562" s="4"/>
      <c r="BN562" s="5">
        <v>40799</v>
      </c>
      <c r="BO562" s="5">
        <v>40787</v>
      </c>
      <c r="BP562" s="4"/>
      <c r="BQ562" s="4"/>
      <c r="BR562" s="4"/>
      <c r="BS562" s="4"/>
      <c r="BT562" s="5">
        <v>40800</v>
      </c>
      <c r="BU562" s="5">
        <v>40800</v>
      </c>
      <c r="BV562" s="5">
        <v>40812</v>
      </c>
      <c r="BW562" s="5">
        <v>40809</v>
      </c>
      <c r="BX562" s="5">
        <v>40809</v>
      </c>
      <c r="BY562" s="5">
        <v>40836</v>
      </c>
      <c r="BZ562" s="5">
        <v>40858</v>
      </c>
      <c r="CA562" s="4"/>
      <c r="CB562" s="4"/>
      <c r="CC562" s="4"/>
      <c r="CD562" s="4"/>
      <c r="CE562" s="4"/>
      <c r="CF562" s="4"/>
      <c r="CG562" s="4"/>
      <c r="CH562" s="4"/>
      <c r="CI562" s="5">
        <v>40843</v>
      </c>
      <c r="CJ562" s="5">
        <v>40830</v>
      </c>
      <c r="CK562" s="5">
        <v>40855</v>
      </c>
      <c r="CL562" s="5">
        <v>40963</v>
      </c>
      <c r="CM562" s="5">
        <v>40862</v>
      </c>
      <c r="CN562" s="5">
        <v>40952</v>
      </c>
      <c r="CO562" s="5">
        <v>41058</v>
      </c>
      <c r="CP562" s="4" t="s">
        <v>1820</v>
      </c>
      <c r="CQ562" s="4"/>
      <c r="CR562" s="5">
        <v>40836</v>
      </c>
      <c r="CS562" s="5">
        <v>40777</v>
      </c>
      <c r="CT562" s="5">
        <v>40777</v>
      </c>
      <c r="CU562" s="5">
        <v>40787</v>
      </c>
      <c r="CV562" s="5">
        <v>40787</v>
      </c>
      <c r="CW562" s="5">
        <v>40787</v>
      </c>
      <c r="CX562" s="5">
        <v>40787</v>
      </c>
      <c r="CY562" s="5">
        <v>40816</v>
      </c>
      <c r="CZ562" s="5">
        <v>40816</v>
      </c>
      <c r="DA562" s="4"/>
      <c r="DB562" s="5">
        <v>40861</v>
      </c>
      <c r="DC562" s="4"/>
      <c r="DD562" s="4"/>
      <c r="DE562" s="4"/>
      <c r="DF562" s="4"/>
      <c r="DG562" s="4"/>
      <c r="DH562" s="4"/>
      <c r="DI562" s="5">
        <v>40807</v>
      </c>
      <c r="DJ562" s="4" t="b">
        <v>0</v>
      </c>
      <c r="DK562" s="4"/>
      <c r="DL562" s="4">
        <v>2788358</v>
      </c>
      <c r="DM562" s="4">
        <v>6387872</v>
      </c>
      <c r="DN562" s="4" t="s">
        <v>1821</v>
      </c>
      <c r="DO562" s="4"/>
      <c r="DP562" s="4" t="s">
        <v>1822</v>
      </c>
      <c r="DQ562" s="4" t="s">
        <v>148</v>
      </c>
      <c r="DR562" s="4"/>
      <c r="DS562" s="4"/>
      <c r="DT562" s="5">
        <v>42151</v>
      </c>
      <c r="DU562" s="4"/>
      <c r="DV562" s="4"/>
      <c r="DW562" s="4"/>
      <c r="DX562" s="4"/>
      <c r="DY562" s="4"/>
      <c r="DZ562" s="4"/>
      <c r="EA562" s="4"/>
      <c r="EB562" s="4"/>
      <c r="EC562" s="4"/>
      <c r="ED562" s="4"/>
      <c r="EE562" s="4"/>
      <c r="EF562" s="4"/>
      <c r="EG562" s="5">
        <v>40836</v>
      </c>
      <c r="EH562" s="5">
        <v>40858</v>
      </c>
      <c r="EI562" s="5">
        <v>40696</v>
      </c>
    </row>
    <row r="563" spans="1:139" hidden="1" x14ac:dyDescent="0.2">
      <c r="A563">
        <f>VLOOKUP(B563,Sheet1!$A$1:$B$18,2,FALSE)</f>
        <v>0</v>
      </c>
      <c r="B563" t="str">
        <f t="shared" si="9"/>
        <v>BOP</v>
      </c>
      <c r="C563" s="2">
        <v>562</v>
      </c>
      <c r="D563" s="3" t="str">
        <f>HYPERLINK("https://sitebase.nzcomms.co.nz/spm/spmnominalview/BOP-023-030/","BOP-023-030")</f>
        <v>BOP-023-030</v>
      </c>
      <c r="E563" s="4" t="s">
        <v>1823</v>
      </c>
      <c r="F563" s="4"/>
      <c r="G563" s="4"/>
      <c r="H563" s="4" t="s">
        <v>1703</v>
      </c>
      <c r="I563" s="4"/>
      <c r="J563" s="4" t="s">
        <v>196</v>
      </c>
      <c r="K563" s="4"/>
      <c r="L563" s="4"/>
      <c r="M563" s="4"/>
      <c r="N563" s="4"/>
      <c r="O563" s="4"/>
      <c r="P563" s="4"/>
      <c r="Q563" s="4"/>
      <c r="R563" s="4"/>
      <c r="S563" s="4"/>
      <c r="T563" s="4"/>
      <c r="U563" s="4"/>
      <c r="V563" s="4"/>
      <c r="W563" s="4"/>
      <c r="X563" s="4"/>
      <c r="Y563" s="4"/>
      <c r="Z563" s="4"/>
      <c r="AA563" s="4"/>
      <c r="AB563" s="4"/>
      <c r="AC563" s="4"/>
      <c r="AD563" s="4"/>
      <c r="AE563" s="4"/>
      <c r="AF563" s="4"/>
      <c r="AG563" s="4" t="b">
        <v>0</v>
      </c>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t="s">
        <v>1824</v>
      </c>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row>
    <row r="564" spans="1:139" hidden="1" x14ac:dyDescent="0.2">
      <c r="A564">
        <f>VLOOKUP(B564,Sheet1!$A$1:$B$18,2,FALSE)</f>
        <v>0</v>
      </c>
      <c r="B564" t="str">
        <f t="shared" si="9"/>
        <v>BOP</v>
      </c>
      <c r="C564" s="2">
        <v>563</v>
      </c>
      <c r="D564" s="3" t="str">
        <f>HYPERLINK("https://sitebase.nzcomms.co.nz/spm/spmnominalview/BOP-023-031/","BOP-023-031")</f>
        <v>BOP-023-031</v>
      </c>
      <c r="E564" s="4" t="s">
        <v>1825</v>
      </c>
      <c r="F564" s="4"/>
      <c r="G564" s="4"/>
      <c r="H564" s="4" t="s">
        <v>1703</v>
      </c>
      <c r="I564" s="4"/>
      <c r="J564" s="4" t="s">
        <v>196</v>
      </c>
      <c r="K564" s="4"/>
      <c r="L564" s="4"/>
      <c r="M564" s="4"/>
      <c r="N564" s="4"/>
      <c r="O564" s="4"/>
      <c r="P564" s="4"/>
      <c r="Q564" s="4"/>
      <c r="R564" s="4"/>
      <c r="S564" s="4"/>
      <c r="T564" s="4"/>
      <c r="U564" s="4"/>
      <c r="V564" s="4"/>
      <c r="W564" s="4"/>
      <c r="X564" s="4"/>
      <c r="Y564" s="4"/>
      <c r="Z564" s="4"/>
      <c r="AA564" s="4"/>
      <c r="AB564" s="4"/>
      <c r="AC564" s="4"/>
      <c r="AD564" s="4"/>
      <c r="AE564" s="4"/>
      <c r="AF564" s="4"/>
      <c r="AG564" s="4" t="b">
        <v>0</v>
      </c>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t="s">
        <v>1826</v>
      </c>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row>
    <row r="565" spans="1:139" hidden="1" x14ac:dyDescent="0.2">
      <c r="A565">
        <f>VLOOKUP(B565,Sheet1!$A$1:$B$18,2,FALSE)</f>
        <v>0</v>
      </c>
      <c r="B565" t="str">
        <f t="shared" si="9"/>
        <v>BOP</v>
      </c>
      <c r="C565" s="2">
        <v>564</v>
      </c>
      <c r="D565" s="3" t="str">
        <f>HYPERLINK("https://sitebase.nzcomms.co.nz/spm/spmnominalview/BOP-023-032/","BOP-023-032")</f>
        <v>BOP-023-032</v>
      </c>
      <c r="E565" s="4" t="s">
        <v>1827</v>
      </c>
      <c r="F565" s="4"/>
      <c r="G565" s="4"/>
      <c r="H565" s="4" t="s">
        <v>1703</v>
      </c>
      <c r="I565" s="4"/>
      <c r="J565" s="4" t="s">
        <v>196</v>
      </c>
      <c r="K565" s="4"/>
      <c r="L565" s="4"/>
      <c r="M565" s="4"/>
      <c r="N565" s="4"/>
      <c r="O565" s="4"/>
      <c r="P565" s="4"/>
      <c r="Q565" s="4"/>
      <c r="R565" s="4"/>
      <c r="S565" s="4"/>
      <c r="T565" s="4"/>
      <c r="U565" s="4"/>
      <c r="V565" s="4"/>
      <c r="W565" s="4"/>
      <c r="X565" s="4"/>
      <c r="Y565" s="4"/>
      <c r="Z565" s="4"/>
      <c r="AA565" s="4"/>
      <c r="AB565" s="4"/>
      <c r="AC565" s="4"/>
      <c r="AD565" s="4"/>
      <c r="AE565" s="4"/>
      <c r="AF565" s="4"/>
      <c r="AG565" s="4" t="b">
        <v>0</v>
      </c>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t="s">
        <v>1828</v>
      </c>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row>
    <row r="566" spans="1:139" hidden="1" x14ac:dyDescent="0.2">
      <c r="A566">
        <f>VLOOKUP(B566,Sheet1!$A$1:$B$18,2,FALSE)</f>
        <v>0</v>
      </c>
      <c r="B566" t="str">
        <f t="shared" si="9"/>
        <v>BOP</v>
      </c>
      <c r="C566" s="2">
        <v>565</v>
      </c>
      <c r="D566" s="3" t="str">
        <f>HYPERLINK("https://sitebase.nzcomms.co.nz/spm/spmnominalview/BOP-023-033/","BOP-023-033")</f>
        <v>BOP-023-033</v>
      </c>
      <c r="E566" s="4" t="s">
        <v>1829</v>
      </c>
      <c r="F566" s="4"/>
      <c r="G566" s="4"/>
      <c r="H566" s="4" t="s">
        <v>1703</v>
      </c>
      <c r="I566" s="4"/>
      <c r="J566" s="4" t="s">
        <v>196</v>
      </c>
      <c r="K566" s="4"/>
      <c r="L566" s="4"/>
      <c r="M566" s="4"/>
      <c r="N566" s="4"/>
      <c r="O566" s="4"/>
      <c r="P566" s="4"/>
      <c r="Q566" s="4"/>
      <c r="R566" s="4"/>
      <c r="S566" s="4"/>
      <c r="T566" s="4"/>
      <c r="U566" s="4"/>
      <c r="V566" s="4"/>
      <c r="W566" s="4"/>
      <c r="X566" s="4"/>
      <c r="Y566" s="4"/>
      <c r="Z566" s="4"/>
      <c r="AA566" s="4"/>
      <c r="AB566" s="4"/>
      <c r="AC566" s="4"/>
      <c r="AD566" s="4"/>
      <c r="AE566" s="4"/>
      <c r="AF566" s="4"/>
      <c r="AG566" s="4" t="b">
        <v>0</v>
      </c>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t="s">
        <v>1830</v>
      </c>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row>
    <row r="567" spans="1:139" hidden="1" x14ac:dyDescent="0.2">
      <c r="A567">
        <f>VLOOKUP(B567,Sheet1!$A$1:$B$18,2,FALSE)</f>
        <v>0</v>
      </c>
      <c r="B567" t="str">
        <f t="shared" si="9"/>
        <v>BOP</v>
      </c>
      <c r="C567" s="2">
        <v>566</v>
      </c>
      <c r="D567" s="3" t="str">
        <f>HYPERLINK("https://sitebase.nzcomms.co.nz/spm/spmnominalview/BOP-023-034/","BOP-023-034")</f>
        <v>BOP-023-034</v>
      </c>
      <c r="E567" s="4" t="s">
        <v>1831</v>
      </c>
      <c r="F567" s="3" t="str">
        <f>HYPERLINK("https://sitebase.nzcomms.co.nz/spm/spmcandidateview/BOP-023-034-A/","BOP-023-034-A")</f>
        <v>BOP-023-034-A</v>
      </c>
      <c r="G567" s="4" t="s">
        <v>1832</v>
      </c>
      <c r="H567" s="4" t="s">
        <v>1703</v>
      </c>
      <c r="I567" s="4"/>
      <c r="J567" s="4" t="s">
        <v>317</v>
      </c>
      <c r="K567" s="4" t="s">
        <v>141</v>
      </c>
      <c r="L567" s="4" t="s">
        <v>142</v>
      </c>
      <c r="M567" s="4" t="s">
        <v>324</v>
      </c>
      <c r="N567" s="4" t="s">
        <v>142</v>
      </c>
      <c r="O567" s="4"/>
      <c r="P567" s="4"/>
      <c r="Q567" s="4" t="s">
        <v>142</v>
      </c>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t="s">
        <v>328</v>
      </c>
      <c r="DR567" s="4" t="s">
        <v>255</v>
      </c>
      <c r="DS567" s="4"/>
      <c r="DT567" s="4"/>
      <c r="DU567" s="4"/>
      <c r="DV567" s="4"/>
      <c r="DW567" s="4"/>
      <c r="DX567" s="4"/>
      <c r="DY567" s="4"/>
      <c r="DZ567" s="4"/>
      <c r="EA567" s="4"/>
      <c r="EB567" s="4"/>
      <c r="EC567" s="4"/>
      <c r="ED567" s="4"/>
      <c r="EE567" s="4"/>
      <c r="EF567" s="4"/>
      <c r="EG567" s="4"/>
      <c r="EH567" s="4"/>
      <c r="EI567" s="4"/>
    </row>
    <row r="568" spans="1:139" hidden="1" x14ac:dyDescent="0.2">
      <c r="A568">
        <f>VLOOKUP(B568,Sheet1!$A$1:$B$18,2,FALSE)</f>
        <v>0</v>
      </c>
      <c r="B568" t="str">
        <f t="shared" si="9"/>
        <v>BOP</v>
      </c>
      <c r="C568" s="2">
        <v>567</v>
      </c>
      <c r="D568" s="3" t="str">
        <f>HYPERLINK("https://sitebase.nzcomms.co.nz/spm/spmnominalview/BOP-023-035/","BOP-023-035")</f>
        <v>BOP-023-035</v>
      </c>
      <c r="E568" s="4" t="s">
        <v>1833</v>
      </c>
      <c r="F568" s="3" t="str">
        <f>HYPERLINK("https://sitebase.nzcomms.co.nz/spm/spmcandidateview/BOP-023-035-A/","BOP-023-035-A")</f>
        <v>BOP-023-035-A</v>
      </c>
      <c r="G568" s="4" t="s">
        <v>1834</v>
      </c>
      <c r="H568" s="4" t="s">
        <v>1703</v>
      </c>
      <c r="I568" s="4">
        <v>23</v>
      </c>
      <c r="J568" s="4" t="s">
        <v>570</v>
      </c>
      <c r="K568" s="4" t="s">
        <v>141</v>
      </c>
      <c r="L568" s="4" t="s">
        <v>189</v>
      </c>
      <c r="M568" s="4" t="s">
        <v>571</v>
      </c>
      <c r="N568" s="4"/>
      <c r="O568" s="4"/>
      <c r="P568" s="4" t="s">
        <v>182</v>
      </c>
      <c r="Q568" s="4"/>
      <c r="R568" s="4"/>
      <c r="S568" s="4"/>
      <c r="T568" s="4"/>
      <c r="U568" s="4"/>
      <c r="V568" s="4"/>
      <c r="W568" s="4"/>
      <c r="X568" s="4"/>
      <c r="Y568" s="4"/>
      <c r="Z568" s="4"/>
      <c r="AA568" s="4" t="s">
        <v>145</v>
      </c>
      <c r="AB568" s="3" t="str">
        <f>HYPERLINK("https://sitebase.nzcomms.co.nz/spm/spmcandidateview/BOP-023-034-A/","BOP-023-034-A")</f>
        <v>BOP-023-034-A</v>
      </c>
      <c r="AC568" s="4" t="b">
        <v>0</v>
      </c>
      <c r="AD568" s="4" t="b">
        <v>0</v>
      </c>
      <c r="AE568" s="4"/>
      <c r="AF568" s="4"/>
      <c r="AG568" s="4" t="b">
        <v>0</v>
      </c>
      <c r="AH568" s="4"/>
      <c r="AI568" s="5">
        <v>42158</v>
      </c>
      <c r="AJ568" s="5">
        <v>42158</v>
      </c>
      <c r="AK568" s="5">
        <v>42160</v>
      </c>
      <c r="AL568" s="5">
        <v>42159</v>
      </c>
      <c r="AM568" s="5">
        <v>42192</v>
      </c>
      <c r="AN568" s="5">
        <v>42181</v>
      </c>
      <c r="AO568" s="4">
        <v>1</v>
      </c>
      <c r="AP568" s="5">
        <v>42199</v>
      </c>
      <c r="AQ568" s="5">
        <v>42181</v>
      </c>
      <c r="AR568" s="5">
        <v>42244</v>
      </c>
      <c r="AS568" s="5">
        <v>42235</v>
      </c>
      <c r="AT568" s="5">
        <v>42244</v>
      </c>
      <c r="AU568" s="5">
        <v>42235</v>
      </c>
      <c r="AV568" s="4"/>
      <c r="AW568" s="5">
        <v>42244</v>
      </c>
      <c r="AX568" s="5">
        <v>42235</v>
      </c>
      <c r="AY568" s="4" t="s">
        <v>183</v>
      </c>
      <c r="AZ568" s="5">
        <v>42237</v>
      </c>
      <c r="BA568" s="5">
        <v>42235</v>
      </c>
      <c r="BB568" s="5">
        <v>42286</v>
      </c>
      <c r="BC568" s="5">
        <v>42272</v>
      </c>
      <c r="BD568" s="4">
        <v>1</v>
      </c>
      <c r="BE568" s="5">
        <v>42286</v>
      </c>
      <c r="BF568" s="5">
        <v>42272</v>
      </c>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t="s">
        <v>1835</v>
      </c>
      <c r="CQ568" s="4"/>
      <c r="CR568" s="4"/>
      <c r="CS568" s="4"/>
      <c r="CT568" s="4"/>
      <c r="CU568" s="4"/>
      <c r="CV568" s="4"/>
      <c r="CW568" s="4"/>
      <c r="CX568" s="4"/>
      <c r="CY568" s="4"/>
      <c r="CZ568" s="4"/>
      <c r="DA568" s="4"/>
      <c r="DB568" s="4"/>
      <c r="DC568" s="4"/>
      <c r="DD568" s="4"/>
      <c r="DE568" s="4"/>
      <c r="DF568" s="4"/>
      <c r="DG568" s="4"/>
      <c r="DH568" s="4" t="s">
        <v>240</v>
      </c>
      <c r="DI568" s="4"/>
      <c r="DJ568" s="4" t="b">
        <v>1</v>
      </c>
      <c r="DK568" s="4"/>
      <c r="DL568" s="4"/>
      <c r="DM568" s="4"/>
      <c r="DN568" s="4"/>
      <c r="DO568" s="4"/>
      <c r="DP568" s="4"/>
      <c r="DQ568" s="4" t="s">
        <v>148</v>
      </c>
      <c r="DR568" s="4" t="s">
        <v>255</v>
      </c>
      <c r="DS568" s="4"/>
      <c r="DT568" s="4"/>
      <c r="DU568" s="4" t="s">
        <v>577</v>
      </c>
      <c r="DV568" s="4"/>
      <c r="DW568" s="4"/>
      <c r="DX568" s="4"/>
      <c r="DY568" s="4"/>
      <c r="DZ568" s="4"/>
      <c r="EA568" s="4"/>
      <c r="EB568" s="4"/>
      <c r="EC568" s="4"/>
      <c r="ED568" s="4"/>
      <c r="EE568" s="4"/>
      <c r="EF568" s="4"/>
      <c r="EG568" s="4"/>
      <c r="EH568" s="4"/>
      <c r="EI568" s="5">
        <v>42159</v>
      </c>
    </row>
    <row r="569" spans="1:139" hidden="1" x14ac:dyDescent="0.2">
      <c r="A569">
        <f>VLOOKUP(B569,Sheet1!$A$1:$B$18,2,FALSE)</f>
        <v>0</v>
      </c>
      <c r="B569" t="str">
        <f t="shared" si="9"/>
        <v>BOP</v>
      </c>
      <c r="C569" s="2">
        <v>568</v>
      </c>
      <c r="D569" s="3" t="str">
        <f>HYPERLINK("https://sitebase.nzcomms.co.nz/spm/spmnominalview/BOP-023-036/","BOP-023-036")</f>
        <v>BOP-023-036</v>
      </c>
      <c r="E569" s="4" t="s">
        <v>1836</v>
      </c>
      <c r="F569" s="3" t="str">
        <f>HYPERLINK("https://sitebase.nzcomms.co.nz/spm/spmcandidateview/BOP-023-036-A/","BOP-023-036-A")</f>
        <v>BOP-023-036-A</v>
      </c>
      <c r="G569" s="4" t="s">
        <v>1837</v>
      </c>
      <c r="H569" s="4" t="s">
        <v>1703</v>
      </c>
      <c r="I569" s="4">
        <v>23</v>
      </c>
      <c r="J569" s="4" t="s">
        <v>570</v>
      </c>
      <c r="K569" s="4" t="s">
        <v>141</v>
      </c>
      <c r="L569" s="4" t="s">
        <v>181</v>
      </c>
      <c r="M569" s="4" t="s">
        <v>592</v>
      </c>
      <c r="N569" s="4" t="s">
        <v>325</v>
      </c>
      <c r="O569" s="4"/>
      <c r="P569" s="4"/>
      <c r="Q569" s="4" t="s">
        <v>170</v>
      </c>
      <c r="R569" s="4"/>
      <c r="S569" s="4"/>
      <c r="T569" s="4"/>
      <c r="U569" s="4"/>
      <c r="V569" s="4"/>
      <c r="W569" s="4"/>
      <c r="X569" s="4"/>
      <c r="Y569" s="4"/>
      <c r="Z569" s="4"/>
      <c r="AA569" s="4" t="s">
        <v>145</v>
      </c>
      <c r="AB569" s="3" t="str">
        <f>HYPERLINK("https://sitebase.nzcomms.co.nz/spm/spmcandidateview/BOP-023-034-A/","BOP-023-034-A")</f>
        <v>BOP-023-034-A</v>
      </c>
      <c r="AC569" s="4" t="b">
        <v>0</v>
      </c>
      <c r="AD569" s="4" t="b">
        <v>0</v>
      </c>
      <c r="AE569" s="4"/>
      <c r="AF569" s="4"/>
      <c r="AG569" s="4" t="b">
        <v>0</v>
      </c>
      <c r="AH569" s="4"/>
      <c r="AI569" s="5">
        <v>42124</v>
      </c>
      <c r="AJ569" s="5">
        <v>42102</v>
      </c>
      <c r="AK569" s="5">
        <v>42128</v>
      </c>
      <c r="AL569" s="5">
        <v>42109</v>
      </c>
      <c r="AM569" s="5">
        <v>42173</v>
      </c>
      <c r="AN569" s="5">
        <v>42172</v>
      </c>
      <c r="AO569" s="4">
        <v>2</v>
      </c>
      <c r="AP569" s="5">
        <v>42173</v>
      </c>
      <c r="AQ569" s="5">
        <v>42230</v>
      </c>
      <c r="AR569" s="5">
        <v>42328</v>
      </c>
      <c r="AS569" s="5">
        <v>42325</v>
      </c>
      <c r="AT569" s="5">
        <v>42489</v>
      </c>
      <c r="AU569" s="4"/>
      <c r="AV569" s="4"/>
      <c r="AW569" s="5">
        <v>42489</v>
      </c>
      <c r="AX569" s="4"/>
      <c r="AY569" s="4"/>
      <c r="AZ569" s="5">
        <v>42492</v>
      </c>
      <c r="BA569" s="4"/>
      <c r="BB569" s="5">
        <v>42538</v>
      </c>
      <c r="BC569" s="4"/>
      <c r="BD569" s="4"/>
      <c r="BE569" s="5">
        <v>42538</v>
      </c>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t="s">
        <v>1838</v>
      </c>
      <c r="CQ569" s="4"/>
      <c r="CR569" s="4"/>
      <c r="CS569" s="4"/>
      <c r="CT569" s="4"/>
      <c r="CU569" s="4"/>
      <c r="CV569" s="4"/>
      <c r="CW569" s="4"/>
      <c r="CX569" s="4"/>
      <c r="CY569" s="4"/>
      <c r="CZ569" s="4"/>
      <c r="DA569" s="4"/>
      <c r="DB569" s="4"/>
      <c r="DC569" s="4"/>
      <c r="DD569" s="4"/>
      <c r="DE569" s="4"/>
      <c r="DF569" s="4"/>
      <c r="DG569" s="4"/>
      <c r="DH569" s="4" t="s">
        <v>174</v>
      </c>
      <c r="DI569" s="4"/>
      <c r="DJ569" s="4" t="b">
        <v>0</v>
      </c>
      <c r="DK569" s="4"/>
      <c r="DL569" s="4"/>
      <c r="DM569" s="4"/>
      <c r="DN569" s="4"/>
      <c r="DO569" s="4"/>
      <c r="DP569" s="4"/>
      <c r="DQ569" s="4" t="s">
        <v>148</v>
      </c>
      <c r="DR569" s="4" t="s">
        <v>255</v>
      </c>
      <c r="DS569" s="4"/>
      <c r="DT569" s="4"/>
      <c r="DU569" s="4" t="s">
        <v>577</v>
      </c>
      <c r="DV569" s="4"/>
      <c r="DW569" s="4"/>
      <c r="DX569" s="4"/>
      <c r="DY569" s="4"/>
      <c r="DZ569" s="4"/>
      <c r="EA569" s="4"/>
      <c r="EB569" s="4"/>
      <c r="EC569" s="4"/>
      <c r="ED569" s="4"/>
      <c r="EE569" s="4"/>
      <c r="EF569" s="4"/>
      <c r="EG569" s="4"/>
      <c r="EH569" s="4"/>
      <c r="EI569" s="5">
        <v>42109</v>
      </c>
    </row>
    <row r="570" spans="1:139" hidden="1" x14ac:dyDescent="0.2">
      <c r="A570">
        <f>VLOOKUP(B570,Sheet1!$A$1:$B$18,2,FALSE)</f>
        <v>0</v>
      </c>
      <c r="B570" t="str">
        <f t="shared" si="9"/>
        <v>BOP</v>
      </c>
      <c r="C570" s="2">
        <v>569</v>
      </c>
      <c r="D570" s="3" t="str">
        <f>HYPERLINK("https://sitebase.nzcomms.co.nz/spm/spmnominalview/BOP-024-001/","BOP-024-001")</f>
        <v>BOP-024-001</v>
      </c>
      <c r="E570" s="4" t="s">
        <v>1839</v>
      </c>
      <c r="F570" s="3" t="str">
        <f>HYPERLINK("https://sitebase.nzcomms.co.nz/spm/spmcandidateview/BOP-024-001-B/","BOP-024-001-B")</f>
        <v>BOP-024-001-B</v>
      </c>
      <c r="G570" s="4" t="s">
        <v>1840</v>
      </c>
      <c r="H570" s="4" t="s">
        <v>1841</v>
      </c>
      <c r="I570" s="4">
        <v>2</v>
      </c>
      <c r="J570" s="4" t="s">
        <v>1633</v>
      </c>
      <c r="K570" s="4" t="s">
        <v>141</v>
      </c>
      <c r="L570" s="4" t="s">
        <v>150</v>
      </c>
      <c r="M570" s="4" t="s">
        <v>190</v>
      </c>
      <c r="N570" s="4" t="s">
        <v>291</v>
      </c>
      <c r="O570" s="4" t="s">
        <v>168</v>
      </c>
      <c r="P570" s="4" t="s">
        <v>169</v>
      </c>
      <c r="Q570" s="4" t="s">
        <v>170</v>
      </c>
      <c r="R570" s="4">
        <v>20.6</v>
      </c>
      <c r="S570" s="4">
        <v>21.1</v>
      </c>
      <c r="T570" s="4">
        <v>1</v>
      </c>
      <c r="U570" s="4">
        <v>-38.12696218</v>
      </c>
      <c r="V570" s="4">
        <v>176.23283688000001</v>
      </c>
      <c r="W570" s="4"/>
      <c r="X570" s="5">
        <v>40308</v>
      </c>
      <c r="Y570" s="4"/>
      <c r="Z570" s="5">
        <v>40296</v>
      </c>
      <c r="AA570" s="4" t="s">
        <v>171</v>
      </c>
      <c r="AB570" s="3" t="str">
        <f>HYPERLINK("https://sitebase.nzcomms.co.nz/spm/spmcandidateview/BOP-024-003-A/","BOP-024-003-A")</f>
        <v>BOP-024-003-A</v>
      </c>
      <c r="AC570" s="4" t="b">
        <v>1</v>
      </c>
      <c r="AD570" s="4" t="b">
        <v>0</v>
      </c>
      <c r="AE570" s="5">
        <v>40308</v>
      </c>
      <c r="AF570" s="4"/>
      <c r="AG570" s="4" t="b">
        <v>0</v>
      </c>
      <c r="AH570" s="4"/>
      <c r="AI570" s="5">
        <v>40583</v>
      </c>
      <c r="AJ570" s="5">
        <v>40583</v>
      </c>
      <c r="AK570" s="5">
        <v>40652</v>
      </c>
      <c r="AL570" s="5">
        <v>40652</v>
      </c>
      <c r="AM570" s="5">
        <v>40669</v>
      </c>
      <c r="AN570" s="5">
        <v>40675</v>
      </c>
      <c r="AO570" s="4">
        <v>1</v>
      </c>
      <c r="AP570" s="5">
        <v>40669</v>
      </c>
      <c r="AQ570" s="5">
        <v>40675</v>
      </c>
      <c r="AR570" s="5">
        <v>40711</v>
      </c>
      <c r="AS570" s="5">
        <v>40696</v>
      </c>
      <c r="AT570" s="5">
        <v>40704</v>
      </c>
      <c r="AU570" s="5">
        <v>40704</v>
      </c>
      <c r="AV570" s="4">
        <v>1</v>
      </c>
      <c r="AW570" s="5">
        <v>40711</v>
      </c>
      <c r="AX570" s="5">
        <v>40708</v>
      </c>
      <c r="AY570" s="4" t="s">
        <v>369</v>
      </c>
      <c r="AZ570" s="5">
        <v>40718</v>
      </c>
      <c r="BA570" s="5">
        <v>40718</v>
      </c>
      <c r="BB570" s="5">
        <v>40752</v>
      </c>
      <c r="BC570" s="5">
        <v>40732</v>
      </c>
      <c r="BD570" s="4">
        <v>1</v>
      </c>
      <c r="BE570" s="5">
        <v>40759</v>
      </c>
      <c r="BF570" s="5">
        <v>40735</v>
      </c>
      <c r="BG570" s="4"/>
      <c r="BH570" s="4"/>
      <c r="BI570" s="5">
        <v>40798</v>
      </c>
      <c r="BJ570" s="5">
        <v>40813</v>
      </c>
      <c r="BK570" s="4">
        <v>1</v>
      </c>
      <c r="BL570" s="4"/>
      <c r="BM570" s="5">
        <v>40798</v>
      </c>
      <c r="BN570" s="5">
        <v>40813</v>
      </c>
      <c r="BO570" s="5">
        <v>40816</v>
      </c>
      <c r="BP570" s="4"/>
      <c r="BQ570" s="4"/>
      <c r="BR570" s="4"/>
      <c r="BS570" s="4"/>
      <c r="BT570" s="5">
        <v>40820</v>
      </c>
      <c r="BU570" s="5">
        <v>40815</v>
      </c>
      <c r="BV570" s="5">
        <v>40861</v>
      </c>
      <c r="BW570" s="5">
        <v>40863</v>
      </c>
      <c r="BX570" s="5">
        <v>40849</v>
      </c>
      <c r="BY570" s="5">
        <v>40851</v>
      </c>
      <c r="BZ570" s="5">
        <v>40859</v>
      </c>
      <c r="CA570" s="4"/>
      <c r="CB570" s="4"/>
      <c r="CC570" s="4"/>
      <c r="CD570" s="4"/>
      <c r="CE570" s="4"/>
      <c r="CF570" s="4"/>
      <c r="CG570" s="4"/>
      <c r="CH570" s="4"/>
      <c r="CI570" s="5">
        <v>40859</v>
      </c>
      <c r="CJ570" s="5">
        <v>40870</v>
      </c>
      <c r="CK570" s="5">
        <v>40870</v>
      </c>
      <c r="CL570" s="5">
        <v>40866</v>
      </c>
      <c r="CM570" s="5">
        <v>40882</v>
      </c>
      <c r="CN570" s="5">
        <v>40973</v>
      </c>
      <c r="CO570" s="5">
        <v>41087</v>
      </c>
      <c r="CP570" s="4" t="s">
        <v>1842</v>
      </c>
      <c r="CQ570" s="4"/>
      <c r="CR570" s="5">
        <v>40851</v>
      </c>
      <c r="CS570" s="5">
        <v>40777</v>
      </c>
      <c r="CT570" s="5">
        <v>40777</v>
      </c>
      <c r="CU570" s="5">
        <v>40807</v>
      </c>
      <c r="CV570" s="5">
        <v>40816</v>
      </c>
      <c r="CW570" s="5">
        <v>40807</v>
      </c>
      <c r="CX570" s="5">
        <v>40816</v>
      </c>
      <c r="CY570" s="5">
        <v>40849</v>
      </c>
      <c r="CZ570" s="5">
        <v>40849</v>
      </c>
      <c r="DA570" s="4"/>
      <c r="DB570" s="5">
        <v>40868</v>
      </c>
      <c r="DC570" s="4"/>
      <c r="DD570" s="4"/>
      <c r="DE570" s="4"/>
      <c r="DF570" s="4"/>
      <c r="DG570" s="4"/>
      <c r="DH570" s="4"/>
      <c r="DI570" s="5">
        <v>40842</v>
      </c>
      <c r="DJ570" s="4" t="b">
        <v>0</v>
      </c>
      <c r="DK570" s="4"/>
      <c r="DL570" s="4">
        <v>2793525</v>
      </c>
      <c r="DM570" s="4">
        <v>6336688</v>
      </c>
      <c r="DN570" s="4" t="s">
        <v>1843</v>
      </c>
      <c r="DO570" s="4"/>
      <c r="DP570" s="4" t="s">
        <v>1844</v>
      </c>
      <c r="DQ570" s="4" t="s">
        <v>148</v>
      </c>
      <c r="DR570" s="4"/>
      <c r="DS570" s="4"/>
      <c r="DT570" s="5">
        <v>42150</v>
      </c>
      <c r="DU570" s="4"/>
      <c r="DV570" s="4"/>
      <c r="DW570" s="4"/>
      <c r="DX570" s="4"/>
      <c r="DY570" s="4"/>
      <c r="DZ570" s="4"/>
      <c r="EA570" s="4"/>
      <c r="EB570" s="4"/>
      <c r="EC570" s="4"/>
      <c r="ED570" s="4"/>
      <c r="EE570" s="4"/>
      <c r="EF570" s="4"/>
      <c r="EG570" s="5">
        <v>40868</v>
      </c>
      <c r="EH570" s="5">
        <v>40868</v>
      </c>
      <c r="EI570" s="5">
        <v>40652</v>
      </c>
    </row>
    <row r="571" spans="1:139" hidden="1" x14ac:dyDescent="0.2">
      <c r="A571">
        <f>VLOOKUP(B571,Sheet1!$A$1:$B$18,2,FALSE)</f>
        <v>0</v>
      </c>
      <c r="B571" t="str">
        <f t="shared" si="9"/>
        <v>BOP</v>
      </c>
      <c r="C571" s="2">
        <v>570</v>
      </c>
      <c r="D571" s="3" t="str">
        <f>HYPERLINK("https://sitebase.nzcomms.co.nz/spm/spmnominalview/BOP-024-002/","BOP-024-002")</f>
        <v>BOP-024-002</v>
      </c>
      <c r="E571" s="4" t="s">
        <v>1845</v>
      </c>
      <c r="F571" s="3" t="str">
        <f>HYPERLINK("https://sitebase.nzcomms.co.nz/spm/spmcandidateview/BOP-024-002-B/","BOP-024-002-B")</f>
        <v>BOP-024-002-B</v>
      </c>
      <c r="G571" s="4" t="s">
        <v>1846</v>
      </c>
      <c r="H571" s="4" t="s">
        <v>1841</v>
      </c>
      <c r="I571" s="4">
        <v>2</v>
      </c>
      <c r="J571" s="4" t="s">
        <v>1633</v>
      </c>
      <c r="K571" s="4" t="s">
        <v>141</v>
      </c>
      <c r="L571" s="4" t="s">
        <v>150</v>
      </c>
      <c r="M571" s="4" t="s">
        <v>190</v>
      </c>
      <c r="N571" s="4" t="s">
        <v>291</v>
      </c>
      <c r="O571" s="4" t="s">
        <v>144</v>
      </c>
      <c r="P571" s="4" t="s">
        <v>169</v>
      </c>
      <c r="Q571" s="4" t="s">
        <v>170</v>
      </c>
      <c r="R571" s="4">
        <v>19.5</v>
      </c>
      <c r="S571" s="4">
        <v>20</v>
      </c>
      <c r="T571" s="4">
        <v>1</v>
      </c>
      <c r="U571" s="4">
        <v>-38.137415109999999</v>
      </c>
      <c r="V571" s="4">
        <v>176.2147315</v>
      </c>
      <c r="W571" s="4"/>
      <c r="X571" s="5">
        <v>40308</v>
      </c>
      <c r="Y571" s="4"/>
      <c r="Z571" s="5">
        <v>40296</v>
      </c>
      <c r="AA571" s="4" t="s">
        <v>171</v>
      </c>
      <c r="AB571" s="3" t="str">
        <f>HYPERLINK("https://sitebase.nzcomms.co.nz/spm/spmcandidateview/BOP-024-017-A/","BOP-024-017-A")</f>
        <v>BOP-024-017-A</v>
      </c>
      <c r="AC571" s="4" t="b">
        <v>0</v>
      </c>
      <c r="AD571" s="4" t="b">
        <v>0</v>
      </c>
      <c r="AE571" s="5">
        <v>40308</v>
      </c>
      <c r="AF571" s="4"/>
      <c r="AG571" s="4" t="b">
        <v>0</v>
      </c>
      <c r="AH571" s="4" t="s">
        <v>1649</v>
      </c>
      <c r="AI571" s="4"/>
      <c r="AJ571" s="5">
        <v>40519</v>
      </c>
      <c r="AK571" s="5">
        <v>40561</v>
      </c>
      <c r="AL571" s="5">
        <v>40568</v>
      </c>
      <c r="AM571" s="5">
        <v>40595</v>
      </c>
      <c r="AN571" s="5">
        <v>40604</v>
      </c>
      <c r="AO571" s="4">
        <v>3</v>
      </c>
      <c r="AP571" s="5">
        <v>40833</v>
      </c>
      <c r="AQ571" s="5">
        <v>40847</v>
      </c>
      <c r="AR571" s="5">
        <v>40625</v>
      </c>
      <c r="AS571" s="5">
        <v>40619</v>
      </c>
      <c r="AT571" s="5">
        <v>40704</v>
      </c>
      <c r="AU571" s="5">
        <v>40704</v>
      </c>
      <c r="AV571" s="4">
        <v>1</v>
      </c>
      <c r="AW571" s="5">
        <v>40704</v>
      </c>
      <c r="AX571" s="5">
        <v>40708</v>
      </c>
      <c r="AY571" s="4" t="s">
        <v>1847</v>
      </c>
      <c r="AZ571" s="5">
        <v>40844</v>
      </c>
      <c r="BA571" s="5">
        <v>40844</v>
      </c>
      <c r="BB571" s="5">
        <v>40967</v>
      </c>
      <c r="BC571" s="5">
        <v>40949</v>
      </c>
      <c r="BD571" s="4">
        <v>3</v>
      </c>
      <c r="BE571" s="5">
        <v>40968</v>
      </c>
      <c r="BF571" s="5">
        <v>40968</v>
      </c>
      <c r="BG571" s="4"/>
      <c r="BH571" s="4"/>
      <c r="BI571" s="5">
        <v>40997</v>
      </c>
      <c r="BJ571" s="5">
        <v>40997</v>
      </c>
      <c r="BK571" s="4">
        <v>1</v>
      </c>
      <c r="BL571" s="4"/>
      <c r="BM571" s="5">
        <v>40997</v>
      </c>
      <c r="BN571" s="5">
        <v>40997</v>
      </c>
      <c r="BO571" s="5">
        <v>41001</v>
      </c>
      <c r="BP571" s="4"/>
      <c r="BQ571" s="4"/>
      <c r="BR571" s="4"/>
      <c r="BS571" s="4"/>
      <c r="BT571" s="5">
        <v>41011</v>
      </c>
      <c r="BU571" s="5">
        <v>41011</v>
      </c>
      <c r="BV571" s="5">
        <v>41031</v>
      </c>
      <c r="BW571" s="5">
        <v>41031</v>
      </c>
      <c r="BX571" s="5">
        <v>41031</v>
      </c>
      <c r="BY571" s="5">
        <v>41040</v>
      </c>
      <c r="BZ571" s="5">
        <v>41040</v>
      </c>
      <c r="CA571" s="4"/>
      <c r="CB571" s="4"/>
      <c r="CC571" s="4"/>
      <c r="CD571" s="4"/>
      <c r="CE571" s="4"/>
      <c r="CF571" s="4"/>
      <c r="CG571" s="4"/>
      <c r="CH571" s="4"/>
      <c r="CI571" s="5">
        <v>41040</v>
      </c>
      <c r="CJ571" s="5">
        <v>41076</v>
      </c>
      <c r="CK571" s="5">
        <v>41045</v>
      </c>
      <c r="CL571" s="5">
        <v>41078</v>
      </c>
      <c r="CM571" s="5">
        <v>41058</v>
      </c>
      <c r="CN571" s="5">
        <v>41148</v>
      </c>
      <c r="CO571" s="5">
        <v>41170</v>
      </c>
      <c r="CP571" s="4" t="s">
        <v>1848</v>
      </c>
      <c r="CQ571" s="4"/>
      <c r="CR571" s="5">
        <v>41043</v>
      </c>
      <c r="CS571" s="5">
        <v>41001</v>
      </c>
      <c r="CT571" s="5">
        <v>41001</v>
      </c>
      <c r="CU571" s="5">
        <v>41001</v>
      </c>
      <c r="CV571" s="5">
        <v>41009</v>
      </c>
      <c r="CW571" s="5">
        <v>41001</v>
      </c>
      <c r="CX571" s="5">
        <v>41001</v>
      </c>
      <c r="CY571" s="5">
        <v>41032</v>
      </c>
      <c r="CZ571" s="5">
        <v>41032</v>
      </c>
      <c r="DA571" s="4"/>
      <c r="DB571" s="5">
        <v>41050</v>
      </c>
      <c r="DC571" s="4"/>
      <c r="DD571" s="4"/>
      <c r="DE571" s="4"/>
      <c r="DF571" s="4"/>
      <c r="DG571" s="4"/>
      <c r="DH571" s="4"/>
      <c r="DI571" s="5">
        <v>41031</v>
      </c>
      <c r="DJ571" s="4" t="b">
        <v>0</v>
      </c>
      <c r="DK571" s="4"/>
      <c r="DL571" s="4">
        <v>2791897</v>
      </c>
      <c r="DM571" s="4">
        <v>6335586</v>
      </c>
      <c r="DN571" s="4" t="s">
        <v>1849</v>
      </c>
      <c r="DO571" s="4"/>
      <c r="DP571" s="4"/>
      <c r="DQ571" s="4" t="s">
        <v>148</v>
      </c>
      <c r="DR571" s="4"/>
      <c r="DS571" s="4"/>
      <c r="DT571" s="5">
        <v>42150</v>
      </c>
      <c r="DU571" s="4"/>
      <c r="DV571" s="4"/>
      <c r="DW571" s="4"/>
      <c r="DX571" s="4"/>
      <c r="DY571" s="4"/>
      <c r="DZ571" s="4"/>
      <c r="EA571" s="4"/>
      <c r="EB571" s="4"/>
      <c r="EC571" s="4"/>
      <c r="ED571" s="4"/>
      <c r="EE571" s="4"/>
      <c r="EF571" s="4"/>
      <c r="EG571" s="5">
        <v>41054</v>
      </c>
      <c r="EH571" s="5">
        <v>41047</v>
      </c>
      <c r="EI571" s="5">
        <v>40569</v>
      </c>
    </row>
    <row r="572" spans="1:139" hidden="1" x14ac:dyDescent="0.2">
      <c r="A572">
        <f>VLOOKUP(B572,Sheet1!$A$1:$B$18,2,FALSE)</f>
        <v>0</v>
      </c>
      <c r="B572" t="str">
        <f t="shared" si="9"/>
        <v>BOP</v>
      </c>
      <c r="C572" s="2">
        <v>571</v>
      </c>
      <c r="D572" s="3" t="str">
        <f>HYPERLINK("https://sitebase.nzcomms.co.nz/spm/spmnominalview/BOP-024-003/","BOP-024-003")</f>
        <v>BOP-024-003</v>
      </c>
      <c r="E572" s="4" t="s">
        <v>1850</v>
      </c>
      <c r="F572" s="3" t="str">
        <f>HYPERLINK("https://sitebase.nzcomms.co.nz/spm/spmcandidateview/BOP-024-003-A/","BOP-024-003-A")</f>
        <v>BOP-024-003-A</v>
      </c>
      <c r="G572" s="4" t="s">
        <v>1851</v>
      </c>
      <c r="H572" s="4" t="s">
        <v>1841</v>
      </c>
      <c r="I572" s="4">
        <v>2</v>
      </c>
      <c r="J572" s="4" t="s">
        <v>1633</v>
      </c>
      <c r="K572" s="4" t="s">
        <v>141</v>
      </c>
      <c r="L572" s="4" t="s">
        <v>181</v>
      </c>
      <c r="M572" s="4" t="s">
        <v>190</v>
      </c>
      <c r="N572" s="4" t="s">
        <v>181</v>
      </c>
      <c r="O572" s="4" t="s">
        <v>144</v>
      </c>
      <c r="P572" s="4" t="s">
        <v>169</v>
      </c>
      <c r="Q572" s="4" t="s">
        <v>170</v>
      </c>
      <c r="R572" s="4">
        <v>35</v>
      </c>
      <c r="S572" s="4">
        <v>35</v>
      </c>
      <c r="T572" s="4">
        <v>1</v>
      </c>
      <c r="U572" s="4">
        <v>-38.138227829999998</v>
      </c>
      <c r="V572" s="4">
        <v>176.25216757999999</v>
      </c>
      <c r="W572" s="4"/>
      <c r="X572" s="5">
        <v>40308</v>
      </c>
      <c r="Y572" s="4"/>
      <c r="Z572" s="5">
        <v>40296</v>
      </c>
      <c r="AA572" s="4" t="s">
        <v>145</v>
      </c>
      <c r="AB572" s="3" t="str">
        <f>HYPERLINK("https://sitebase.nzcomms.co.nz/spm/spmcandidateview/AKL-007-106-A/","AKL-007-106-A")</f>
        <v>AKL-007-106-A</v>
      </c>
      <c r="AC572" s="4" t="b">
        <v>0</v>
      </c>
      <c r="AD572" s="4" t="b">
        <v>0</v>
      </c>
      <c r="AE572" s="5">
        <v>40308</v>
      </c>
      <c r="AF572" s="4"/>
      <c r="AG572" s="4" t="b">
        <v>0</v>
      </c>
      <c r="AH572" s="4"/>
      <c r="AI572" s="4"/>
      <c r="AJ572" s="5">
        <v>40519</v>
      </c>
      <c r="AK572" s="5">
        <v>40569</v>
      </c>
      <c r="AL572" s="5">
        <v>40568</v>
      </c>
      <c r="AM572" s="5">
        <v>40617</v>
      </c>
      <c r="AN572" s="5">
        <v>40617</v>
      </c>
      <c r="AO572" s="4">
        <v>3</v>
      </c>
      <c r="AP572" s="5">
        <v>40662</v>
      </c>
      <c r="AQ572" s="5">
        <v>41977</v>
      </c>
      <c r="AR572" s="5">
        <v>40641</v>
      </c>
      <c r="AS572" s="5">
        <v>40640</v>
      </c>
      <c r="AT572" s="5">
        <v>40711</v>
      </c>
      <c r="AU572" s="5">
        <v>40710</v>
      </c>
      <c r="AV572" s="4">
        <v>2</v>
      </c>
      <c r="AW572" s="5">
        <v>40711</v>
      </c>
      <c r="AX572" s="5">
        <v>40711</v>
      </c>
      <c r="AY572" s="4" t="s">
        <v>183</v>
      </c>
      <c r="AZ572" s="5">
        <v>40644</v>
      </c>
      <c r="BA572" s="5">
        <v>40646</v>
      </c>
      <c r="BB572" s="5">
        <v>40686</v>
      </c>
      <c r="BC572" s="5">
        <v>40679</v>
      </c>
      <c r="BD572" s="4">
        <v>2</v>
      </c>
      <c r="BE572" s="5">
        <v>40693</v>
      </c>
      <c r="BF572" s="5">
        <v>40681</v>
      </c>
      <c r="BG572" s="4"/>
      <c r="BH572" s="4"/>
      <c r="BI572" s="5">
        <v>40821</v>
      </c>
      <c r="BJ572" s="5">
        <v>40865</v>
      </c>
      <c r="BK572" s="4">
        <v>1</v>
      </c>
      <c r="BL572" s="4"/>
      <c r="BM572" s="5">
        <v>40787</v>
      </c>
      <c r="BN572" s="5">
        <v>40865</v>
      </c>
      <c r="BO572" s="5">
        <v>40816</v>
      </c>
      <c r="BP572" s="4"/>
      <c r="BQ572" s="4"/>
      <c r="BR572" s="4"/>
      <c r="BS572" s="4"/>
      <c r="BT572" s="5">
        <v>40814</v>
      </c>
      <c r="BU572" s="5">
        <v>40812</v>
      </c>
      <c r="BV572" s="5">
        <v>40822</v>
      </c>
      <c r="BW572" s="5">
        <v>40823</v>
      </c>
      <c r="BX572" s="5">
        <v>40821</v>
      </c>
      <c r="BY572" s="5">
        <v>40854</v>
      </c>
      <c r="BZ572" s="5">
        <v>40859</v>
      </c>
      <c r="CA572" s="4"/>
      <c r="CB572" s="4"/>
      <c r="CC572" s="4"/>
      <c r="CD572" s="4"/>
      <c r="CE572" s="4"/>
      <c r="CF572" s="4"/>
      <c r="CG572" s="4"/>
      <c r="CH572" s="4"/>
      <c r="CI572" s="5">
        <v>40859</v>
      </c>
      <c r="CJ572" s="5">
        <v>40870</v>
      </c>
      <c r="CK572" s="5">
        <v>40870</v>
      </c>
      <c r="CL572" s="5">
        <v>40866</v>
      </c>
      <c r="CM572" s="5">
        <v>40882</v>
      </c>
      <c r="CN572" s="5">
        <v>41444</v>
      </c>
      <c r="CO572" s="5">
        <v>41439</v>
      </c>
      <c r="CP572" s="4" t="s">
        <v>1852</v>
      </c>
      <c r="CQ572" s="4"/>
      <c r="CR572" s="5">
        <v>40850</v>
      </c>
      <c r="CS572" s="5">
        <v>40777</v>
      </c>
      <c r="CT572" s="5">
        <v>40777</v>
      </c>
      <c r="CU572" s="5">
        <v>40784</v>
      </c>
      <c r="CV572" s="5">
        <v>40816</v>
      </c>
      <c r="CW572" s="5">
        <v>40791</v>
      </c>
      <c r="CX572" s="5">
        <v>40816</v>
      </c>
      <c r="CY572" s="5">
        <v>40829</v>
      </c>
      <c r="CZ572" s="5">
        <v>40830</v>
      </c>
      <c r="DA572" s="4"/>
      <c r="DB572" s="5">
        <v>40868</v>
      </c>
      <c r="DC572" s="4"/>
      <c r="DD572" s="4"/>
      <c r="DE572" s="4"/>
      <c r="DF572" s="4"/>
      <c r="DG572" s="4"/>
      <c r="DH572" s="4" t="s">
        <v>174</v>
      </c>
      <c r="DI572" s="5">
        <v>40820</v>
      </c>
      <c r="DJ572" s="4" t="b">
        <v>0</v>
      </c>
      <c r="DK572" s="4"/>
      <c r="DL572" s="4">
        <v>2795173</v>
      </c>
      <c r="DM572" s="4">
        <v>6335377</v>
      </c>
      <c r="DN572" s="4" t="s">
        <v>1853</v>
      </c>
      <c r="DO572" s="4"/>
      <c r="DP572" s="4" t="s">
        <v>1854</v>
      </c>
      <c r="DQ572" s="4" t="s">
        <v>148</v>
      </c>
      <c r="DR572" s="4"/>
      <c r="DS572" s="4"/>
      <c r="DT572" s="5">
        <v>42150</v>
      </c>
      <c r="DU572" s="4"/>
      <c r="DV572" s="4"/>
      <c r="DW572" s="4"/>
      <c r="DX572" s="4"/>
      <c r="DY572" s="4"/>
      <c r="DZ572" s="4"/>
      <c r="EA572" s="4"/>
      <c r="EB572" s="4"/>
      <c r="EC572" s="4"/>
      <c r="ED572" s="4"/>
      <c r="EE572" s="4"/>
      <c r="EF572" s="4"/>
      <c r="EG572" s="5">
        <v>40868</v>
      </c>
      <c r="EH572" s="5">
        <v>40868</v>
      </c>
      <c r="EI572" s="5">
        <v>40569</v>
      </c>
    </row>
    <row r="573" spans="1:139" hidden="1" x14ac:dyDescent="0.2">
      <c r="A573">
        <f>VLOOKUP(B573,Sheet1!$A$1:$B$18,2,FALSE)</f>
        <v>0</v>
      </c>
      <c r="B573" t="str">
        <f t="shared" si="9"/>
        <v>BOP</v>
      </c>
      <c r="C573" s="2">
        <v>572</v>
      </c>
      <c r="D573" s="3" t="str">
        <f>HYPERLINK("https://sitebase.nzcomms.co.nz/spm/spmnominalview/BOP-024-004/","BOP-024-004")</f>
        <v>BOP-024-004</v>
      </c>
      <c r="E573" s="4" t="s">
        <v>1855</v>
      </c>
      <c r="F573" s="3" t="str">
        <f>HYPERLINK("https://sitebase.nzcomms.co.nz/spm/spmcandidateview/BOP-024-004-A/","BOP-024-004-A")</f>
        <v>BOP-024-004-A</v>
      </c>
      <c r="G573" s="4" t="s">
        <v>1856</v>
      </c>
      <c r="H573" s="4" t="s">
        <v>1841</v>
      </c>
      <c r="I573" s="4">
        <v>2</v>
      </c>
      <c r="J573" s="4" t="s">
        <v>1633</v>
      </c>
      <c r="K573" s="4" t="s">
        <v>141</v>
      </c>
      <c r="L573" s="4" t="s">
        <v>150</v>
      </c>
      <c r="M573" s="4" t="s">
        <v>190</v>
      </c>
      <c r="N573" s="4" t="s">
        <v>291</v>
      </c>
      <c r="O573" s="4" t="s">
        <v>144</v>
      </c>
      <c r="P573" s="4" t="s">
        <v>169</v>
      </c>
      <c r="Q573" s="4" t="s">
        <v>192</v>
      </c>
      <c r="R573" s="4">
        <v>15</v>
      </c>
      <c r="S573" s="4">
        <v>15.4</v>
      </c>
      <c r="T573" s="4">
        <v>1</v>
      </c>
      <c r="U573" s="4">
        <v>-38.14529237</v>
      </c>
      <c r="V573" s="4">
        <v>176.23725171999999</v>
      </c>
      <c r="W573" s="4"/>
      <c r="X573" s="5">
        <v>40308</v>
      </c>
      <c r="Y573" s="4"/>
      <c r="Z573" s="5">
        <v>40296</v>
      </c>
      <c r="AA573" s="4" t="s">
        <v>171</v>
      </c>
      <c r="AB573" s="3" t="str">
        <f>HYPERLINK("https://sitebase.nzcomms.co.nz/spm/spmcandidateview/BOP-024-017-A/","BOP-024-017-A")</f>
        <v>BOP-024-017-A</v>
      </c>
      <c r="AC573" s="4" t="b">
        <v>0</v>
      </c>
      <c r="AD573" s="4" t="b">
        <v>0</v>
      </c>
      <c r="AE573" s="5">
        <v>40308</v>
      </c>
      <c r="AF573" s="4"/>
      <c r="AG573" s="4" t="b">
        <v>0</v>
      </c>
      <c r="AH573" s="4" t="s">
        <v>1857</v>
      </c>
      <c r="AI573" s="5">
        <v>40592</v>
      </c>
      <c r="AJ573" s="5">
        <v>40583</v>
      </c>
      <c r="AK573" s="5">
        <v>40592</v>
      </c>
      <c r="AL573" s="5">
        <v>40595</v>
      </c>
      <c r="AM573" s="5">
        <v>40617</v>
      </c>
      <c r="AN573" s="5">
        <v>40620</v>
      </c>
      <c r="AO573" s="4">
        <v>3</v>
      </c>
      <c r="AP573" s="5">
        <v>40617</v>
      </c>
      <c r="AQ573" s="5">
        <v>42023</v>
      </c>
      <c r="AR573" s="5">
        <v>40690</v>
      </c>
      <c r="AS573" s="5">
        <v>40689</v>
      </c>
      <c r="AT573" s="5">
        <v>40724</v>
      </c>
      <c r="AU573" s="5">
        <v>40718</v>
      </c>
      <c r="AV573" s="4">
        <v>1</v>
      </c>
      <c r="AW573" s="5">
        <v>40724</v>
      </c>
      <c r="AX573" s="5">
        <v>40735</v>
      </c>
      <c r="AY573" s="4" t="s">
        <v>198</v>
      </c>
      <c r="AZ573" s="5">
        <v>40660</v>
      </c>
      <c r="BA573" s="5">
        <v>40659</v>
      </c>
      <c r="BB573" s="5">
        <v>40711</v>
      </c>
      <c r="BC573" s="5">
        <v>40695</v>
      </c>
      <c r="BD573" s="4">
        <v>1</v>
      </c>
      <c r="BE573" s="5">
        <v>40701</v>
      </c>
      <c r="BF573" s="5">
        <v>40697</v>
      </c>
      <c r="BG573" s="4"/>
      <c r="BH573" s="4"/>
      <c r="BI573" s="5">
        <v>40821</v>
      </c>
      <c r="BJ573" s="5">
        <v>40821</v>
      </c>
      <c r="BK573" s="4">
        <v>1</v>
      </c>
      <c r="BL573" s="4"/>
      <c r="BM573" s="5">
        <v>40794</v>
      </c>
      <c r="BN573" s="5">
        <v>40821</v>
      </c>
      <c r="BO573" s="5">
        <v>40834</v>
      </c>
      <c r="BP573" s="4"/>
      <c r="BQ573" s="4"/>
      <c r="BR573" s="4"/>
      <c r="BS573" s="4"/>
      <c r="BT573" s="5">
        <v>40834</v>
      </c>
      <c r="BU573" s="5">
        <v>40833</v>
      </c>
      <c r="BV573" s="5">
        <v>40869</v>
      </c>
      <c r="BW573" s="5">
        <v>40873</v>
      </c>
      <c r="BX573" s="5">
        <v>40859</v>
      </c>
      <c r="BY573" s="5">
        <v>40852</v>
      </c>
      <c r="BZ573" s="5">
        <v>40859</v>
      </c>
      <c r="CA573" s="4"/>
      <c r="CB573" s="4"/>
      <c r="CC573" s="4"/>
      <c r="CD573" s="4"/>
      <c r="CE573" s="4"/>
      <c r="CF573" s="4"/>
      <c r="CG573" s="4"/>
      <c r="CH573" s="4"/>
      <c r="CI573" s="5">
        <v>40858</v>
      </c>
      <c r="CJ573" s="5">
        <v>40870</v>
      </c>
      <c r="CK573" s="5">
        <v>40870</v>
      </c>
      <c r="CL573" s="5">
        <v>40866</v>
      </c>
      <c r="CM573" s="5">
        <v>40882</v>
      </c>
      <c r="CN573" s="5">
        <v>40973</v>
      </c>
      <c r="CO573" s="5">
        <v>41087</v>
      </c>
      <c r="CP573" s="4" t="s">
        <v>1858</v>
      </c>
      <c r="CQ573" s="4"/>
      <c r="CR573" s="5">
        <v>40852</v>
      </c>
      <c r="CS573" s="5">
        <v>40777</v>
      </c>
      <c r="CT573" s="5">
        <v>40777</v>
      </c>
      <c r="CU573" s="5">
        <v>40823</v>
      </c>
      <c r="CV573" s="5">
        <v>40849</v>
      </c>
      <c r="CW573" s="5">
        <v>40821</v>
      </c>
      <c r="CX573" s="5">
        <v>40834</v>
      </c>
      <c r="CY573" s="5">
        <v>40851</v>
      </c>
      <c r="CZ573" s="5">
        <v>40859</v>
      </c>
      <c r="DA573" s="4"/>
      <c r="DB573" s="5">
        <v>40868</v>
      </c>
      <c r="DC573" s="4"/>
      <c r="DD573" s="4"/>
      <c r="DE573" s="4"/>
      <c r="DF573" s="4"/>
      <c r="DG573" s="4"/>
      <c r="DH573" s="4"/>
      <c r="DI573" s="5">
        <v>40850</v>
      </c>
      <c r="DJ573" s="4" t="b">
        <v>0</v>
      </c>
      <c r="DK573" s="4"/>
      <c r="DL573" s="4">
        <v>2793838</v>
      </c>
      <c r="DM573" s="4">
        <v>6334641</v>
      </c>
      <c r="DN573" s="4" t="s">
        <v>1859</v>
      </c>
      <c r="DO573" s="4"/>
      <c r="DP573" s="4" t="s">
        <v>1860</v>
      </c>
      <c r="DQ573" s="4" t="s">
        <v>148</v>
      </c>
      <c r="DR573" s="4"/>
      <c r="DS573" s="4"/>
      <c r="DT573" s="5">
        <v>42150</v>
      </c>
      <c r="DU573" s="4"/>
      <c r="DV573" s="4"/>
      <c r="DW573" s="4"/>
      <c r="DX573" s="4"/>
      <c r="DY573" s="4"/>
      <c r="DZ573" s="4"/>
      <c r="EA573" s="4"/>
      <c r="EB573" s="4"/>
      <c r="EC573" s="4"/>
      <c r="ED573" s="4"/>
      <c r="EE573" s="4"/>
      <c r="EF573" s="4"/>
      <c r="EG573" s="5">
        <v>40868</v>
      </c>
      <c r="EH573" s="5">
        <v>40868</v>
      </c>
      <c r="EI573" s="5">
        <v>40595</v>
      </c>
    </row>
    <row r="574" spans="1:139" hidden="1" x14ac:dyDescent="0.2">
      <c r="A574">
        <f>VLOOKUP(B574,Sheet1!$A$1:$B$18,2,FALSE)</f>
        <v>0</v>
      </c>
      <c r="B574" t="str">
        <f t="shared" si="9"/>
        <v>BOP</v>
      </c>
      <c r="C574" s="2">
        <v>573</v>
      </c>
      <c r="D574" s="3" t="str">
        <f>HYPERLINK("https://sitebase.nzcomms.co.nz/spm/spmnominalview/BOP-024-005/","BOP-024-005")</f>
        <v>BOP-024-005</v>
      </c>
      <c r="E574" s="4" t="s">
        <v>1861</v>
      </c>
      <c r="F574" s="3" t="str">
        <f>HYPERLINK("https://sitebase.nzcomms.co.nz/spm/spmcandidateview/BOP-024-005-A/","BOP-024-005-A")</f>
        <v>BOP-024-005-A</v>
      </c>
      <c r="G574" s="4" t="s">
        <v>1862</v>
      </c>
      <c r="H574" s="4" t="s">
        <v>1841</v>
      </c>
      <c r="I574" s="4">
        <v>2</v>
      </c>
      <c r="J574" s="4" t="s">
        <v>1633</v>
      </c>
      <c r="K574" s="4" t="s">
        <v>141</v>
      </c>
      <c r="L574" s="4" t="s">
        <v>150</v>
      </c>
      <c r="M574" s="4" t="s">
        <v>190</v>
      </c>
      <c r="N574" s="4" t="s">
        <v>156</v>
      </c>
      <c r="O574" s="4" t="s">
        <v>144</v>
      </c>
      <c r="P574" s="4" t="s">
        <v>169</v>
      </c>
      <c r="Q574" s="4" t="s">
        <v>192</v>
      </c>
      <c r="R574" s="4">
        <v>20.6</v>
      </c>
      <c r="S574" s="4">
        <v>21.1</v>
      </c>
      <c r="T574" s="4">
        <v>1</v>
      </c>
      <c r="U574" s="4">
        <v>-38.132028910000002</v>
      </c>
      <c r="V574" s="4">
        <v>176.23600304999999</v>
      </c>
      <c r="W574" s="4"/>
      <c r="X574" s="5">
        <v>40308</v>
      </c>
      <c r="Y574" s="4"/>
      <c r="Z574" s="5">
        <v>40296</v>
      </c>
      <c r="AA574" s="4" t="s">
        <v>171</v>
      </c>
      <c r="AB574" s="3" t="str">
        <f>HYPERLINK("https://sitebase.nzcomms.co.nz/spm/spmcandidateview/BOP-024-001-A/","BOP-024-001-A")</f>
        <v>BOP-024-001-A</v>
      </c>
      <c r="AC574" s="4" t="b">
        <v>0</v>
      </c>
      <c r="AD574" s="4" t="b">
        <v>0</v>
      </c>
      <c r="AE574" s="5">
        <v>40308</v>
      </c>
      <c r="AF574" s="4"/>
      <c r="AG574" s="4" t="b">
        <v>0</v>
      </c>
      <c r="AH574" s="4" t="s">
        <v>1863</v>
      </c>
      <c r="AI574" s="4"/>
      <c r="AJ574" s="5">
        <v>40519</v>
      </c>
      <c r="AK574" s="5">
        <v>40564</v>
      </c>
      <c r="AL574" s="5">
        <v>40569</v>
      </c>
      <c r="AM574" s="5">
        <v>40598</v>
      </c>
      <c r="AN574" s="5">
        <v>40603</v>
      </c>
      <c r="AO574" s="4">
        <v>2</v>
      </c>
      <c r="AP574" s="5">
        <v>40609</v>
      </c>
      <c r="AQ574" s="5">
        <v>40611</v>
      </c>
      <c r="AR574" s="5">
        <v>40633</v>
      </c>
      <c r="AS574" s="5">
        <v>40625</v>
      </c>
      <c r="AT574" s="5">
        <v>40717</v>
      </c>
      <c r="AU574" s="5">
        <v>40710</v>
      </c>
      <c r="AV574" s="4">
        <v>1</v>
      </c>
      <c r="AW574" s="5">
        <v>40722</v>
      </c>
      <c r="AX574" s="5">
        <v>40711</v>
      </c>
      <c r="AY574" s="4" t="s">
        <v>198</v>
      </c>
      <c r="AZ574" s="5">
        <v>40619</v>
      </c>
      <c r="BA574" s="5">
        <v>40623</v>
      </c>
      <c r="BB574" s="5">
        <v>40653</v>
      </c>
      <c r="BC574" s="5">
        <v>40654</v>
      </c>
      <c r="BD574" s="4">
        <v>2</v>
      </c>
      <c r="BE574" s="5">
        <v>40662</v>
      </c>
      <c r="BF574" s="5">
        <v>40659</v>
      </c>
      <c r="BG574" s="4"/>
      <c r="BH574" s="4"/>
      <c r="BI574" s="5">
        <v>40821</v>
      </c>
      <c r="BJ574" s="5">
        <v>40850</v>
      </c>
      <c r="BK574" s="4">
        <v>1</v>
      </c>
      <c r="BL574" s="4"/>
      <c r="BM574" s="5">
        <v>40791</v>
      </c>
      <c r="BN574" s="5">
        <v>40850</v>
      </c>
      <c r="BO574" s="5">
        <v>40849</v>
      </c>
      <c r="BP574" s="4"/>
      <c r="BQ574" s="4"/>
      <c r="BR574" s="4"/>
      <c r="BS574" s="4"/>
      <c r="BT574" s="5">
        <v>40849</v>
      </c>
      <c r="BU574" s="5">
        <v>40849</v>
      </c>
      <c r="BV574" s="5">
        <v>40868</v>
      </c>
      <c r="BW574" s="5">
        <v>40871</v>
      </c>
      <c r="BX574" s="5">
        <v>40865</v>
      </c>
      <c r="BY574" s="5">
        <v>40873</v>
      </c>
      <c r="BZ574" s="5">
        <v>40873</v>
      </c>
      <c r="CA574" s="4"/>
      <c r="CB574" s="4"/>
      <c r="CC574" s="4"/>
      <c r="CD574" s="4"/>
      <c r="CE574" s="4"/>
      <c r="CF574" s="4"/>
      <c r="CG574" s="4"/>
      <c r="CH574" s="4"/>
      <c r="CI574" s="5">
        <v>40875</v>
      </c>
      <c r="CJ574" s="5">
        <v>40886</v>
      </c>
      <c r="CK574" s="5">
        <v>40884</v>
      </c>
      <c r="CL574" s="5">
        <v>40866</v>
      </c>
      <c r="CM574" s="5">
        <v>40893</v>
      </c>
      <c r="CN574" s="5">
        <v>40983</v>
      </c>
      <c r="CO574" s="5">
        <v>41087</v>
      </c>
      <c r="CP574" s="4" t="s">
        <v>1864</v>
      </c>
      <c r="CQ574" s="4"/>
      <c r="CR574" s="5">
        <v>40873</v>
      </c>
      <c r="CS574" s="5">
        <v>40777</v>
      </c>
      <c r="CT574" s="5">
        <v>40777</v>
      </c>
      <c r="CU574" s="5">
        <v>40823</v>
      </c>
      <c r="CV574" s="5">
        <v>40849</v>
      </c>
      <c r="CW574" s="5">
        <v>40823</v>
      </c>
      <c r="CX574" s="5">
        <v>40849</v>
      </c>
      <c r="CY574" s="5">
        <v>40865</v>
      </c>
      <c r="CZ574" s="5">
        <v>40865</v>
      </c>
      <c r="DA574" s="4"/>
      <c r="DB574" s="5">
        <v>40877</v>
      </c>
      <c r="DC574" s="4"/>
      <c r="DD574" s="4"/>
      <c r="DE574" s="4"/>
      <c r="DF574" s="4"/>
      <c r="DG574" s="4"/>
      <c r="DH574" s="4"/>
      <c r="DI574" s="5">
        <v>40868</v>
      </c>
      <c r="DJ574" s="4" t="b">
        <v>0</v>
      </c>
      <c r="DK574" s="4"/>
      <c r="DL574" s="4">
        <v>2793782</v>
      </c>
      <c r="DM574" s="4">
        <v>6336116</v>
      </c>
      <c r="DN574" s="4" t="s">
        <v>1865</v>
      </c>
      <c r="DO574" s="4"/>
      <c r="DP574" s="4" t="s">
        <v>1866</v>
      </c>
      <c r="DQ574" s="4" t="s">
        <v>148</v>
      </c>
      <c r="DR574" s="4"/>
      <c r="DS574" s="4"/>
      <c r="DT574" s="5">
        <v>42150</v>
      </c>
      <c r="DU574" s="4"/>
      <c r="DV574" s="4"/>
      <c r="DW574" s="4"/>
      <c r="DX574" s="4"/>
      <c r="DY574" s="4"/>
      <c r="DZ574" s="4"/>
      <c r="EA574" s="4"/>
      <c r="EB574" s="4"/>
      <c r="EC574" s="4"/>
      <c r="ED574" s="4"/>
      <c r="EE574" s="4"/>
      <c r="EF574" s="4"/>
      <c r="EG574" s="5">
        <v>40879</v>
      </c>
      <c r="EH574" s="5">
        <v>40882</v>
      </c>
      <c r="EI574" s="5">
        <v>40569</v>
      </c>
    </row>
    <row r="575" spans="1:139" hidden="1" x14ac:dyDescent="0.2">
      <c r="A575">
        <f>VLOOKUP(B575,Sheet1!$A$1:$B$18,2,FALSE)</f>
        <v>0</v>
      </c>
      <c r="B575" t="str">
        <f t="shared" si="9"/>
        <v>BOP</v>
      </c>
      <c r="C575" s="2">
        <v>574</v>
      </c>
      <c r="D575" s="3" t="str">
        <f>HYPERLINK("https://sitebase.nzcomms.co.nz/spm/spmnominalview/BOP-024-006/","BOP-024-006")</f>
        <v>BOP-024-006</v>
      </c>
      <c r="E575" s="4" t="s">
        <v>1867</v>
      </c>
      <c r="F575" s="3" t="str">
        <f>HYPERLINK("https://sitebase.nzcomms.co.nz/spm/spmcandidateview/BOP-024-006-D/","BOP-024-006-D")</f>
        <v>BOP-024-006-D</v>
      </c>
      <c r="G575" s="4" t="s">
        <v>1868</v>
      </c>
      <c r="H575" s="4" t="s">
        <v>1841</v>
      </c>
      <c r="I575" s="4">
        <v>2</v>
      </c>
      <c r="J575" s="4" t="s">
        <v>1633</v>
      </c>
      <c r="K575" s="4" t="s">
        <v>141</v>
      </c>
      <c r="L575" s="4" t="s">
        <v>150</v>
      </c>
      <c r="M575" s="4" t="s">
        <v>190</v>
      </c>
      <c r="N575" s="4" t="s">
        <v>335</v>
      </c>
      <c r="O575" s="4"/>
      <c r="P575" s="4" t="s">
        <v>169</v>
      </c>
      <c r="Q575" s="4" t="s">
        <v>192</v>
      </c>
      <c r="R575" s="4"/>
      <c r="S575" s="4">
        <v>15</v>
      </c>
      <c r="T575" s="4">
        <v>1</v>
      </c>
      <c r="U575" s="4">
        <v>-38.13725264</v>
      </c>
      <c r="V575" s="4">
        <v>176.20268041</v>
      </c>
      <c r="W575" s="4"/>
      <c r="X575" s="5">
        <v>40308</v>
      </c>
      <c r="Y575" s="4"/>
      <c r="Z575" s="5">
        <v>40296</v>
      </c>
      <c r="AA575" s="4" t="s">
        <v>171</v>
      </c>
      <c r="AB575" s="3" t="str">
        <f>HYPERLINK("https://sitebase.nzcomms.co.nz/spm/spmcandidateview/BOP-024-017-A/","BOP-024-017-A")</f>
        <v>BOP-024-017-A</v>
      </c>
      <c r="AC575" s="4" t="b">
        <v>0</v>
      </c>
      <c r="AD575" s="4" t="b">
        <v>0</v>
      </c>
      <c r="AE575" s="5">
        <v>40308</v>
      </c>
      <c r="AF575" s="4"/>
      <c r="AG575" s="4" t="b">
        <v>0</v>
      </c>
      <c r="AH575" s="4"/>
      <c r="AI575" s="5">
        <v>40724</v>
      </c>
      <c r="AJ575" s="5">
        <v>40716</v>
      </c>
      <c r="AK575" s="5">
        <v>40718</v>
      </c>
      <c r="AL575" s="5">
        <v>40721</v>
      </c>
      <c r="AM575" s="5">
        <v>40750</v>
      </c>
      <c r="AN575" s="5">
        <v>40751</v>
      </c>
      <c r="AO575" s="4">
        <v>2</v>
      </c>
      <c r="AP575" s="5">
        <v>40802</v>
      </c>
      <c r="AQ575" s="5">
        <v>40800</v>
      </c>
      <c r="AR575" s="5">
        <v>40767</v>
      </c>
      <c r="AS575" s="5">
        <v>40766</v>
      </c>
      <c r="AT575" s="5">
        <v>40816</v>
      </c>
      <c r="AU575" s="5">
        <v>40816</v>
      </c>
      <c r="AV575" s="4">
        <v>2</v>
      </c>
      <c r="AW575" s="5">
        <v>40834</v>
      </c>
      <c r="AX575" s="5">
        <v>40834</v>
      </c>
      <c r="AY575" s="4" t="s">
        <v>183</v>
      </c>
      <c r="AZ575" s="5">
        <v>40815</v>
      </c>
      <c r="BA575" s="5">
        <v>40814</v>
      </c>
      <c r="BB575" s="5">
        <v>40858</v>
      </c>
      <c r="BC575" s="5">
        <v>40856</v>
      </c>
      <c r="BD575" s="4">
        <v>2</v>
      </c>
      <c r="BE575" s="5">
        <v>40865</v>
      </c>
      <c r="BF575" s="5">
        <v>40856</v>
      </c>
      <c r="BG575" s="4"/>
      <c r="BH575" s="4"/>
      <c r="BI575" s="4"/>
      <c r="BJ575" s="5">
        <v>40933</v>
      </c>
      <c r="BK575" s="4">
        <v>1</v>
      </c>
      <c r="BL575" s="4"/>
      <c r="BM575" s="4"/>
      <c r="BN575" s="5">
        <v>40933</v>
      </c>
      <c r="BO575" s="5">
        <v>40970</v>
      </c>
      <c r="BP575" s="4"/>
      <c r="BQ575" s="4"/>
      <c r="BR575" s="4"/>
      <c r="BS575" s="4"/>
      <c r="BT575" s="5">
        <v>40948</v>
      </c>
      <c r="BU575" s="5">
        <v>40948</v>
      </c>
      <c r="BV575" s="5">
        <v>40954</v>
      </c>
      <c r="BW575" s="5">
        <v>40967</v>
      </c>
      <c r="BX575" s="5">
        <v>40963</v>
      </c>
      <c r="BY575" s="5">
        <v>40968</v>
      </c>
      <c r="BZ575" s="5">
        <v>40970</v>
      </c>
      <c r="CA575" s="4"/>
      <c r="CB575" s="4"/>
      <c r="CC575" s="4"/>
      <c r="CD575" s="4"/>
      <c r="CE575" s="4"/>
      <c r="CF575" s="4"/>
      <c r="CG575" s="4"/>
      <c r="CH575" s="4"/>
      <c r="CI575" s="5">
        <v>40974</v>
      </c>
      <c r="CJ575" s="5">
        <v>40977</v>
      </c>
      <c r="CK575" s="5">
        <v>40980</v>
      </c>
      <c r="CL575" s="5">
        <v>40962</v>
      </c>
      <c r="CM575" s="5">
        <v>40991</v>
      </c>
      <c r="CN575" s="5">
        <v>41081</v>
      </c>
      <c r="CO575" s="5">
        <v>41152</v>
      </c>
      <c r="CP575" s="4" t="s">
        <v>1869</v>
      </c>
      <c r="CQ575" s="4"/>
      <c r="CR575" s="5">
        <v>40970</v>
      </c>
      <c r="CS575" s="5">
        <v>40970</v>
      </c>
      <c r="CT575" s="5">
        <v>40970</v>
      </c>
      <c r="CU575" s="5">
        <v>40970</v>
      </c>
      <c r="CV575" s="5">
        <v>40970</v>
      </c>
      <c r="CW575" s="5">
        <v>40886</v>
      </c>
      <c r="CX575" s="5">
        <v>40970</v>
      </c>
      <c r="CY575" s="5">
        <v>40963</v>
      </c>
      <c r="CZ575" s="5">
        <v>40969</v>
      </c>
      <c r="DA575" s="4"/>
      <c r="DB575" s="5">
        <v>40976</v>
      </c>
      <c r="DC575" s="4"/>
      <c r="DD575" s="4"/>
      <c r="DE575" s="4"/>
      <c r="DF575" s="4"/>
      <c r="DG575" s="4"/>
      <c r="DH575" s="4"/>
      <c r="DI575" s="5">
        <v>40963</v>
      </c>
      <c r="DJ575" s="4" t="b">
        <v>0</v>
      </c>
      <c r="DK575" s="4"/>
      <c r="DL575" s="4">
        <v>2790842</v>
      </c>
      <c r="DM575" s="4">
        <v>6335642</v>
      </c>
      <c r="DN575" s="4" t="s">
        <v>1870</v>
      </c>
      <c r="DO575" s="4"/>
      <c r="DP575" s="4" t="s">
        <v>1871</v>
      </c>
      <c r="DQ575" s="4" t="s">
        <v>148</v>
      </c>
      <c r="DR575" s="4"/>
      <c r="DS575" s="4"/>
      <c r="DT575" s="4"/>
      <c r="DU575" s="4"/>
      <c r="DV575" s="4"/>
      <c r="DW575" s="4"/>
      <c r="DX575" s="4"/>
      <c r="DY575" s="4"/>
      <c r="DZ575" s="4"/>
      <c r="EA575" s="4"/>
      <c r="EB575" s="4"/>
      <c r="EC575" s="4"/>
      <c r="ED575" s="4"/>
      <c r="EE575" s="4"/>
      <c r="EF575" s="4"/>
      <c r="EG575" s="5">
        <v>40983</v>
      </c>
      <c r="EH575" s="5">
        <v>40977</v>
      </c>
      <c r="EI575" s="5">
        <v>40721</v>
      </c>
    </row>
    <row r="576" spans="1:139" hidden="1" x14ac:dyDescent="0.2">
      <c r="A576">
        <f>VLOOKUP(B576,Sheet1!$A$1:$B$18,2,FALSE)</f>
        <v>0</v>
      </c>
      <c r="B576" t="str">
        <f t="shared" si="9"/>
        <v>BOP</v>
      </c>
      <c r="C576" s="2">
        <v>575</v>
      </c>
      <c r="D576" s="3" t="str">
        <f>HYPERLINK("https://sitebase.nzcomms.co.nz/spm/spmnominalview/BOP-024-008/","BOP-024-008")</f>
        <v>BOP-024-008</v>
      </c>
      <c r="E576" s="4" t="s">
        <v>1872</v>
      </c>
      <c r="F576" s="3" t="str">
        <f>HYPERLINK("https://sitebase.nzcomms.co.nz/spm/spmcandidateview/BOP-024-008-A/","BOP-024-008-A")</f>
        <v>BOP-024-008-A</v>
      </c>
      <c r="G576" s="4" t="s">
        <v>1873</v>
      </c>
      <c r="H576" s="4" t="s">
        <v>1841</v>
      </c>
      <c r="I576" s="4">
        <v>2</v>
      </c>
      <c r="J576" s="4" t="s">
        <v>1633</v>
      </c>
      <c r="K576" s="4" t="s">
        <v>141</v>
      </c>
      <c r="L576" s="4" t="s">
        <v>189</v>
      </c>
      <c r="M576" s="4" t="s">
        <v>190</v>
      </c>
      <c r="N576" s="4" t="s">
        <v>274</v>
      </c>
      <c r="O576" s="4" t="s">
        <v>356</v>
      </c>
      <c r="P576" s="4" t="s">
        <v>182</v>
      </c>
      <c r="Q576" s="4" t="s">
        <v>192</v>
      </c>
      <c r="R576" s="4">
        <v>14.5</v>
      </c>
      <c r="S576" s="4">
        <v>15</v>
      </c>
      <c r="T576" s="4">
        <v>1</v>
      </c>
      <c r="U576" s="4">
        <v>-38.17005193</v>
      </c>
      <c r="V576" s="4">
        <v>176.24320971</v>
      </c>
      <c r="W576" s="4"/>
      <c r="X576" s="5">
        <v>40308</v>
      </c>
      <c r="Y576" s="4"/>
      <c r="Z576" s="5">
        <v>40296</v>
      </c>
      <c r="AA576" s="4" t="s">
        <v>171</v>
      </c>
      <c r="AB576" s="3" t="str">
        <f>HYPERLINK("https://sitebase.nzcomms.co.nz/spm/spmcandidateview/BOP-024-003-A/","BOP-024-003-A")</f>
        <v>BOP-024-003-A</v>
      </c>
      <c r="AC576" s="4" t="b">
        <v>0</v>
      </c>
      <c r="AD576" s="4" t="b">
        <v>0</v>
      </c>
      <c r="AE576" s="5">
        <v>40308</v>
      </c>
      <c r="AF576" s="4"/>
      <c r="AG576" s="4" t="b">
        <v>0</v>
      </c>
      <c r="AH576" s="4"/>
      <c r="AI576" s="4"/>
      <c r="AJ576" s="5">
        <v>40687</v>
      </c>
      <c r="AK576" s="5">
        <v>40697</v>
      </c>
      <c r="AL576" s="5">
        <v>40695</v>
      </c>
      <c r="AM576" s="5">
        <v>40716</v>
      </c>
      <c r="AN576" s="5">
        <v>40710</v>
      </c>
      <c r="AO576" s="4">
        <v>2</v>
      </c>
      <c r="AP576" s="5">
        <v>40716</v>
      </c>
      <c r="AQ576" s="5">
        <v>40722</v>
      </c>
      <c r="AR576" s="5">
        <v>40774</v>
      </c>
      <c r="AS576" s="5">
        <v>40780</v>
      </c>
      <c r="AT576" s="5">
        <v>40809</v>
      </c>
      <c r="AU576" s="5">
        <v>40802</v>
      </c>
      <c r="AV576" s="4">
        <v>2</v>
      </c>
      <c r="AW576" s="5">
        <v>40809</v>
      </c>
      <c r="AX576" s="5">
        <v>40813</v>
      </c>
      <c r="AY576" s="4" t="s">
        <v>193</v>
      </c>
      <c r="AZ576" s="5">
        <v>40717</v>
      </c>
      <c r="BA576" s="5">
        <v>40711</v>
      </c>
      <c r="BB576" s="5">
        <v>40745</v>
      </c>
      <c r="BC576" s="5">
        <v>40737</v>
      </c>
      <c r="BD576" s="4">
        <v>2</v>
      </c>
      <c r="BE576" s="5">
        <v>40750</v>
      </c>
      <c r="BF576" s="5">
        <v>40745</v>
      </c>
      <c r="BG576" s="4"/>
      <c r="BH576" s="4"/>
      <c r="BI576" s="5">
        <v>40819</v>
      </c>
      <c r="BJ576" s="5">
        <v>40820</v>
      </c>
      <c r="BK576" s="4">
        <v>1</v>
      </c>
      <c r="BL576" s="4"/>
      <c r="BM576" s="5">
        <v>40819</v>
      </c>
      <c r="BN576" s="5">
        <v>40820</v>
      </c>
      <c r="BO576" s="5">
        <v>40812</v>
      </c>
      <c r="BP576" s="4"/>
      <c r="BQ576" s="4"/>
      <c r="BR576" s="4"/>
      <c r="BS576" s="4"/>
      <c r="BT576" s="5">
        <v>40819</v>
      </c>
      <c r="BU576" s="5">
        <v>40819</v>
      </c>
      <c r="BV576" s="5">
        <v>40827</v>
      </c>
      <c r="BW576" s="5">
        <v>40822</v>
      </c>
      <c r="BX576" s="5">
        <v>40828</v>
      </c>
      <c r="BY576" s="5">
        <v>40886</v>
      </c>
      <c r="BZ576" s="5">
        <v>40889</v>
      </c>
      <c r="CA576" s="4"/>
      <c r="CB576" s="4"/>
      <c r="CC576" s="4"/>
      <c r="CD576" s="4"/>
      <c r="CE576" s="4"/>
      <c r="CF576" s="4"/>
      <c r="CG576" s="4"/>
      <c r="CH576" s="4"/>
      <c r="CI576" s="5">
        <v>40889</v>
      </c>
      <c r="CJ576" s="5">
        <v>40893</v>
      </c>
      <c r="CK576" s="5">
        <v>40892</v>
      </c>
      <c r="CL576" s="5">
        <v>40878</v>
      </c>
      <c r="CM576" s="5">
        <v>40935</v>
      </c>
      <c r="CN576" s="5">
        <v>41025</v>
      </c>
      <c r="CO576" s="5">
        <v>41088</v>
      </c>
      <c r="CP576" s="4" t="s">
        <v>1874</v>
      </c>
      <c r="CQ576" s="4"/>
      <c r="CR576" s="5">
        <v>40891</v>
      </c>
      <c r="CS576" s="5">
        <v>40777</v>
      </c>
      <c r="CT576" s="5">
        <v>40777</v>
      </c>
      <c r="CU576" s="5">
        <v>40820</v>
      </c>
      <c r="CV576" s="5">
        <v>40849</v>
      </c>
      <c r="CW576" s="5">
        <v>40812</v>
      </c>
      <c r="CX576" s="5">
        <v>40812</v>
      </c>
      <c r="CY576" s="5">
        <v>40886</v>
      </c>
      <c r="CZ576" s="5">
        <v>40885</v>
      </c>
      <c r="DA576" s="4"/>
      <c r="DB576" s="5">
        <v>40893</v>
      </c>
      <c r="DC576" s="4"/>
      <c r="DD576" s="4"/>
      <c r="DE576" s="4"/>
      <c r="DF576" s="4"/>
      <c r="DG576" s="4"/>
      <c r="DH576" s="4"/>
      <c r="DI576" s="5">
        <v>40828</v>
      </c>
      <c r="DJ576" s="4" t="b">
        <v>0</v>
      </c>
      <c r="DK576" s="4"/>
      <c r="DL576" s="4">
        <v>2794260</v>
      </c>
      <c r="DM576" s="4">
        <v>6331876</v>
      </c>
      <c r="DN576" s="4" t="s">
        <v>1875</v>
      </c>
      <c r="DO576" s="4"/>
      <c r="DP576" s="4" t="s">
        <v>1876</v>
      </c>
      <c r="DQ576" s="4" t="s">
        <v>148</v>
      </c>
      <c r="DR576" s="4"/>
      <c r="DS576" s="4"/>
      <c r="DT576" s="4"/>
      <c r="DU576" s="4"/>
      <c r="DV576" s="4"/>
      <c r="DW576" s="4"/>
      <c r="DX576" s="4"/>
      <c r="DY576" s="4"/>
      <c r="DZ576" s="4"/>
      <c r="EA576" s="4"/>
      <c r="EB576" s="4"/>
      <c r="EC576" s="4"/>
      <c r="ED576" s="4"/>
      <c r="EE576" s="4"/>
      <c r="EF576" s="4"/>
      <c r="EG576" s="5">
        <v>40900</v>
      </c>
      <c r="EH576" s="5">
        <v>40900</v>
      </c>
      <c r="EI576" s="5">
        <v>40695</v>
      </c>
    </row>
    <row r="577" spans="1:139" hidden="1" x14ac:dyDescent="0.2">
      <c r="A577">
        <f>VLOOKUP(B577,Sheet1!$A$1:$B$18,2,FALSE)</f>
        <v>0</v>
      </c>
      <c r="B577" t="str">
        <f t="shared" si="9"/>
        <v>BOP</v>
      </c>
      <c r="C577" s="2">
        <v>576</v>
      </c>
      <c r="D577" s="3" t="str">
        <f>HYPERLINK("https://sitebase.nzcomms.co.nz/spm/spmnominalview/BOP-024-010/","BOP-024-010")</f>
        <v>BOP-024-010</v>
      </c>
      <c r="E577" s="4" t="s">
        <v>1877</v>
      </c>
      <c r="F577" s="4"/>
      <c r="G577" s="4"/>
      <c r="H577" s="4" t="s">
        <v>1841</v>
      </c>
      <c r="I577" s="4"/>
      <c r="J577" s="4" t="s">
        <v>196</v>
      </c>
      <c r="K577" s="4"/>
      <c r="L577" s="4"/>
      <c r="M577" s="4"/>
      <c r="N577" s="4"/>
      <c r="O577" s="4"/>
      <c r="P577" s="4"/>
      <c r="Q577" s="4"/>
      <c r="R577" s="4"/>
      <c r="S577" s="4"/>
      <c r="T577" s="4"/>
      <c r="U577" s="4"/>
      <c r="V577" s="4"/>
      <c r="W577" s="4"/>
      <c r="X577" s="4"/>
      <c r="Y577" s="4"/>
      <c r="Z577" s="4"/>
      <c r="AA577" s="4"/>
      <c r="AB577" s="4"/>
      <c r="AC577" s="4"/>
      <c r="AD577" s="4"/>
      <c r="AE577" s="4"/>
      <c r="AF577" s="4"/>
      <c r="AG577" s="4" t="b">
        <v>0</v>
      </c>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row>
    <row r="578" spans="1:139" hidden="1" x14ac:dyDescent="0.2">
      <c r="A578">
        <f>VLOOKUP(B578,Sheet1!$A$1:$B$18,2,FALSE)</f>
        <v>0</v>
      </c>
      <c r="B578" t="str">
        <f t="shared" si="9"/>
        <v>BOP</v>
      </c>
      <c r="C578" s="2">
        <v>577</v>
      </c>
      <c r="D578" s="3" t="str">
        <f>HYPERLINK("https://sitebase.nzcomms.co.nz/spm/spmnominalview/BOP-024-011/","BOP-024-011")</f>
        <v>BOP-024-011</v>
      </c>
      <c r="E578" s="4" t="s">
        <v>1878</v>
      </c>
      <c r="F578" s="3" t="str">
        <f>HYPERLINK("https://sitebase.nzcomms.co.nz/spm/spmcandidateview/BOP-024-011-B/","BOP-024-011-B")</f>
        <v>BOP-024-011-B</v>
      </c>
      <c r="G578" s="4" t="s">
        <v>1879</v>
      </c>
      <c r="H578" s="4" t="s">
        <v>1841</v>
      </c>
      <c r="I578" s="4">
        <v>2</v>
      </c>
      <c r="J578" s="4" t="s">
        <v>1633</v>
      </c>
      <c r="K578" s="4" t="s">
        <v>141</v>
      </c>
      <c r="L578" s="4" t="s">
        <v>150</v>
      </c>
      <c r="M578" s="4" t="s">
        <v>190</v>
      </c>
      <c r="N578" s="4" t="s">
        <v>291</v>
      </c>
      <c r="O578" s="4" t="s">
        <v>144</v>
      </c>
      <c r="P578" s="4" t="s">
        <v>169</v>
      </c>
      <c r="Q578" s="4" t="s">
        <v>170</v>
      </c>
      <c r="R578" s="4">
        <v>19.5</v>
      </c>
      <c r="S578" s="4">
        <v>20</v>
      </c>
      <c r="T578" s="4">
        <v>1</v>
      </c>
      <c r="U578" s="4">
        <v>-38.114473429999997</v>
      </c>
      <c r="V578" s="4">
        <v>176.23224114000001</v>
      </c>
      <c r="W578" s="4"/>
      <c r="X578" s="5">
        <v>40308</v>
      </c>
      <c r="Y578" s="4"/>
      <c r="Z578" s="5">
        <v>40296</v>
      </c>
      <c r="AA578" s="4" t="s">
        <v>171</v>
      </c>
      <c r="AB578" s="3" t="str">
        <f>HYPERLINK("https://sitebase.nzcomms.co.nz/spm/spmcandidateview/BOP-024-017-A/","BOP-024-017-A")</f>
        <v>BOP-024-017-A</v>
      </c>
      <c r="AC578" s="4" t="b">
        <v>0</v>
      </c>
      <c r="AD578" s="4" t="b">
        <v>0</v>
      </c>
      <c r="AE578" s="5">
        <v>40308</v>
      </c>
      <c r="AF578" s="4"/>
      <c r="AG578" s="4" t="b">
        <v>0</v>
      </c>
      <c r="AH578" s="4" t="s">
        <v>1863</v>
      </c>
      <c r="AI578" s="4"/>
      <c r="AJ578" s="5">
        <v>40519</v>
      </c>
      <c r="AK578" s="5">
        <v>40585</v>
      </c>
      <c r="AL578" s="5">
        <v>40569</v>
      </c>
      <c r="AM578" s="5">
        <v>40606</v>
      </c>
      <c r="AN578" s="5">
        <v>40610</v>
      </c>
      <c r="AO578" s="4">
        <v>1</v>
      </c>
      <c r="AP578" s="5">
        <v>40606</v>
      </c>
      <c r="AQ578" s="5">
        <v>40610</v>
      </c>
      <c r="AR578" s="5">
        <v>40648</v>
      </c>
      <c r="AS578" s="5">
        <v>40626</v>
      </c>
      <c r="AT578" s="5">
        <v>40767</v>
      </c>
      <c r="AU578" s="5">
        <v>40753</v>
      </c>
      <c r="AV578" s="4">
        <v>1</v>
      </c>
      <c r="AW578" s="5">
        <v>40767</v>
      </c>
      <c r="AX578" s="5">
        <v>40756</v>
      </c>
      <c r="AY578" s="4" t="s">
        <v>1847</v>
      </c>
      <c r="AZ578" s="5">
        <v>40640</v>
      </c>
      <c r="BA578" s="5">
        <v>40640</v>
      </c>
      <c r="BB578" s="5">
        <v>40935</v>
      </c>
      <c r="BC578" s="5">
        <v>40898</v>
      </c>
      <c r="BD578" s="4">
        <v>1</v>
      </c>
      <c r="BE578" s="5">
        <v>40935</v>
      </c>
      <c r="BF578" s="5">
        <v>40949</v>
      </c>
      <c r="BG578" s="4"/>
      <c r="BH578" s="4"/>
      <c r="BI578" s="5">
        <v>41001</v>
      </c>
      <c r="BJ578" s="5">
        <v>40995</v>
      </c>
      <c r="BK578" s="4">
        <v>1</v>
      </c>
      <c r="BL578" s="4"/>
      <c r="BM578" s="5">
        <v>41001</v>
      </c>
      <c r="BN578" s="5">
        <v>40995</v>
      </c>
      <c r="BO578" s="5">
        <v>41009</v>
      </c>
      <c r="BP578" s="4"/>
      <c r="BQ578" s="4"/>
      <c r="BR578" s="4"/>
      <c r="BS578" s="4"/>
      <c r="BT578" s="5">
        <v>41001</v>
      </c>
      <c r="BU578" s="5">
        <v>40996</v>
      </c>
      <c r="BV578" s="5">
        <v>41018</v>
      </c>
      <c r="BW578" s="5">
        <v>41017</v>
      </c>
      <c r="BX578" s="5">
        <v>41019</v>
      </c>
      <c r="BY578" s="5">
        <v>41031</v>
      </c>
      <c r="BZ578" s="5">
        <v>41031</v>
      </c>
      <c r="CA578" s="4"/>
      <c r="CB578" s="4"/>
      <c r="CC578" s="4"/>
      <c r="CD578" s="4"/>
      <c r="CE578" s="4"/>
      <c r="CF578" s="4"/>
      <c r="CG578" s="4"/>
      <c r="CH578" s="4"/>
      <c r="CI578" s="5">
        <v>41036</v>
      </c>
      <c r="CJ578" s="5">
        <v>41054</v>
      </c>
      <c r="CK578" s="5">
        <v>41037</v>
      </c>
      <c r="CL578" s="5">
        <v>41052</v>
      </c>
      <c r="CM578" s="5">
        <v>41047</v>
      </c>
      <c r="CN578" s="5">
        <v>41137</v>
      </c>
      <c r="CO578" s="5">
        <v>41149</v>
      </c>
      <c r="CP578" s="4" t="s">
        <v>1880</v>
      </c>
      <c r="CQ578" s="4"/>
      <c r="CR578" s="5">
        <v>41032</v>
      </c>
      <c r="CS578" s="5">
        <v>41001</v>
      </c>
      <c r="CT578" s="5">
        <v>41001</v>
      </c>
      <c r="CU578" s="5">
        <v>41001</v>
      </c>
      <c r="CV578" s="5">
        <v>41009</v>
      </c>
      <c r="CW578" s="5">
        <v>41001</v>
      </c>
      <c r="CX578" s="5">
        <v>41009</v>
      </c>
      <c r="CY578" s="5">
        <v>41017</v>
      </c>
      <c r="CZ578" s="5">
        <v>41019</v>
      </c>
      <c r="DA578" s="4"/>
      <c r="DB578" s="5">
        <v>41037</v>
      </c>
      <c r="DC578" s="4"/>
      <c r="DD578" s="4"/>
      <c r="DE578" s="4"/>
      <c r="DF578" s="4"/>
      <c r="DG578" s="4"/>
      <c r="DH578" s="4"/>
      <c r="DI578" s="5">
        <v>41017</v>
      </c>
      <c r="DJ578" s="4" t="b">
        <v>0</v>
      </c>
      <c r="DK578" s="4"/>
      <c r="DL578" s="4">
        <v>2793523</v>
      </c>
      <c r="DM578" s="4">
        <v>6338075</v>
      </c>
      <c r="DN578" s="4" t="s">
        <v>1881</v>
      </c>
      <c r="DO578" s="4"/>
      <c r="DP578" s="4" t="s">
        <v>1882</v>
      </c>
      <c r="DQ578" s="4" t="s">
        <v>148</v>
      </c>
      <c r="DR578" s="4"/>
      <c r="DS578" s="4"/>
      <c r="DT578" s="5">
        <v>42150</v>
      </c>
      <c r="DU578" s="4"/>
      <c r="DV578" s="4"/>
      <c r="DW578" s="4"/>
      <c r="DX578" s="4"/>
      <c r="DY578" s="4"/>
      <c r="DZ578" s="4"/>
      <c r="EA578" s="4"/>
      <c r="EB578" s="4"/>
      <c r="EC578" s="4"/>
      <c r="ED578" s="4"/>
      <c r="EE578" s="4"/>
      <c r="EF578" s="4"/>
      <c r="EG578" s="5">
        <v>41040</v>
      </c>
      <c r="EH578" s="5">
        <v>41037</v>
      </c>
      <c r="EI578" s="5">
        <v>40569</v>
      </c>
    </row>
    <row r="579" spans="1:139" hidden="1" x14ac:dyDescent="0.2">
      <c r="A579">
        <f>VLOOKUP(B579,Sheet1!$A$1:$B$18,2,FALSE)</f>
        <v>0</v>
      </c>
      <c r="B579" t="str">
        <f t="shared" ref="B579:B642" si="10">LEFT(D579,3)</f>
        <v>BOP</v>
      </c>
      <c r="C579" s="2">
        <v>578</v>
      </c>
      <c r="D579" s="3" t="str">
        <f>HYPERLINK("https://sitebase.nzcomms.co.nz/spm/spmnominalview/BOP-024-012/","BOP-024-012")</f>
        <v>BOP-024-012</v>
      </c>
      <c r="E579" s="4" t="s">
        <v>1883</v>
      </c>
      <c r="F579" s="3" t="str">
        <f>HYPERLINK("https://sitebase.nzcomms.co.nz/spm/spmcandidateview/BOP-024-012-B/","BOP-024-012-B")</f>
        <v>BOP-024-012-B</v>
      </c>
      <c r="G579" s="4" t="s">
        <v>1884</v>
      </c>
      <c r="H579" s="4" t="s">
        <v>1841</v>
      </c>
      <c r="I579" s="4">
        <v>2</v>
      </c>
      <c r="J579" s="4" t="s">
        <v>1633</v>
      </c>
      <c r="K579" s="4" t="s">
        <v>141</v>
      </c>
      <c r="L579" s="4" t="s">
        <v>189</v>
      </c>
      <c r="M579" s="4" t="s">
        <v>190</v>
      </c>
      <c r="N579" s="4" t="s">
        <v>355</v>
      </c>
      <c r="O579" s="4" t="s">
        <v>356</v>
      </c>
      <c r="P579" s="4" t="s">
        <v>182</v>
      </c>
      <c r="Q579" s="4" t="s">
        <v>192</v>
      </c>
      <c r="R579" s="4">
        <v>15.4</v>
      </c>
      <c r="S579" s="4">
        <v>15.9</v>
      </c>
      <c r="T579" s="4">
        <v>1</v>
      </c>
      <c r="U579" s="4">
        <v>-38.130974430000002</v>
      </c>
      <c r="V579" s="4">
        <v>176.30050668999999</v>
      </c>
      <c r="W579" s="4"/>
      <c r="X579" s="5">
        <v>40308</v>
      </c>
      <c r="Y579" s="4"/>
      <c r="Z579" s="5">
        <v>40296</v>
      </c>
      <c r="AA579" s="4" t="s">
        <v>171</v>
      </c>
      <c r="AB579" s="3" t="str">
        <f>HYPERLINK("https://sitebase.nzcomms.co.nz/spm/spmcandidateview/BOP-024-003-A/","BOP-024-003-A")</f>
        <v>BOP-024-003-A</v>
      </c>
      <c r="AC579" s="4" t="b">
        <v>0</v>
      </c>
      <c r="AD579" s="4" t="b">
        <v>0</v>
      </c>
      <c r="AE579" s="5">
        <v>40308</v>
      </c>
      <c r="AF579" s="4"/>
      <c r="AG579" s="4" t="b">
        <v>0</v>
      </c>
      <c r="AH579" s="4"/>
      <c r="AI579" s="5">
        <v>40687</v>
      </c>
      <c r="AJ579" s="5">
        <v>40687</v>
      </c>
      <c r="AK579" s="5">
        <v>40694</v>
      </c>
      <c r="AL579" s="5">
        <v>40690</v>
      </c>
      <c r="AM579" s="5">
        <v>40711</v>
      </c>
      <c r="AN579" s="5">
        <v>40724</v>
      </c>
      <c r="AO579" s="4">
        <v>1</v>
      </c>
      <c r="AP579" s="5">
        <v>40711</v>
      </c>
      <c r="AQ579" s="5">
        <v>40724</v>
      </c>
      <c r="AR579" s="5">
        <v>40774</v>
      </c>
      <c r="AS579" s="5">
        <v>40780</v>
      </c>
      <c r="AT579" s="5">
        <v>40809</v>
      </c>
      <c r="AU579" s="5">
        <v>40802</v>
      </c>
      <c r="AV579" s="4"/>
      <c r="AW579" s="5">
        <v>40809</v>
      </c>
      <c r="AX579" s="5">
        <v>40822</v>
      </c>
      <c r="AY579" s="4" t="s">
        <v>193</v>
      </c>
      <c r="AZ579" s="5">
        <v>40732</v>
      </c>
      <c r="BA579" s="5">
        <v>40736</v>
      </c>
      <c r="BB579" s="5">
        <v>40763</v>
      </c>
      <c r="BC579" s="5">
        <v>40753</v>
      </c>
      <c r="BD579" s="4">
        <v>1</v>
      </c>
      <c r="BE579" s="5">
        <v>40770</v>
      </c>
      <c r="BF579" s="5">
        <v>40756</v>
      </c>
      <c r="BG579" s="4"/>
      <c r="BH579" s="4"/>
      <c r="BI579" s="5">
        <v>40819</v>
      </c>
      <c r="BJ579" s="5">
        <v>40820</v>
      </c>
      <c r="BK579" s="4">
        <v>1</v>
      </c>
      <c r="BL579" s="4"/>
      <c r="BM579" s="5">
        <v>40819</v>
      </c>
      <c r="BN579" s="5">
        <v>40820</v>
      </c>
      <c r="BO579" s="5">
        <v>40812</v>
      </c>
      <c r="BP579" s="4"/>
      <c r="BQ579" s="4"/>
      <c r="BR579" s="4"/>
      <c r="BS579" s="4"/>
      <c r="BT579" s="5">
        <v>40822</v>
      </c>
      <c r="BU579" s="5">
        <v>40819</v>
      </c>
      <c r="BV579" s="5">
        <v>40831</v>
      </c>
      <c r="BW579" s="5">
        <v>40828</v>
      </c>
      <c r="BX579" s="5">
        <v>40829</v>
      </c>
      <c r="BY579" s="5">
        <v>40844</v>
      </c>
      <c r="BZ579" s="5">
        <v>40849</v>
      </c>
      <c r="CA579" s="4"/>
      <c r="CB579" s="4"/>
      <c r="CC579" s="4"/>
      <c r="CD579" s="4"/>
      <c r="CE579" s="4"/>
      <c r="CF579" s="4"/>
      <c r="CG579" s="4"/>
      <c r="CH579" s="4"/>
      <c r="CI579" s="5">
        <v>40849</v>
      </c>
      <c r="CJ579" s="5">
        <v>40879</v>
      </c>
      <c r="CK579" s="5">
        <v>40870</v>
      </c>
      <c r="CL579" s="5">
        <v>40866</v>
      </c>
      <c r="CM579" s="5">
        <v>40882</v>
      </c>
      <c r="CN579" s="5">
        <v>41404</v>
      </c>
      <c r="CO579" s="5">
        <v>41401</v>
      </c>
      <c r="CP579" s="4" t="s">
        <v>1885</v>
      </c>
      <c r="CQ579" s="4"/>
      <c r="CR579" s="5">
        <v>40846</v>
      </c>
      <c r="CS579" s="5">
        <v>40777</v>
      </c>
      <c r="CT579" s="5">
        <v>40777</v>
      </c>
      <c r="CU579" s="5">
        <v>40820</v>
      </c>
      <c r="CV579" s="5">
        <v>40849</v>
      </c>
      <c r="CW579" s="5">
        <v>40812</v>
      </c>
      <c r="CX579" s="5">
        <v>40812</v>
      </c>
      <c r="CY579" s="5">
        <v>40835</v>
      </c>
      <c r="CZ579" s="5">
        <v>40837</v>
      </c>
      <c r="DA579" s="4"/>
      <c r="DB579" s="5">
        <v>40868</v>
      </c>
      <c r="DC579" s="4"/>
      <c r="DD579" s="4"/>
      <c r="DE579" s="4"/>
      <c r="DF579" s="4"/>
      <c r="DG579" s="4"/>
      <c r="DH579" s="4" t="s">
        <v>174</v>
      </c>
      <c r="DI579" s="5">
        <v>40833</v>
      </c>
      <c r="DJ579" s="4" t="b">
        <v>0</v>
      </c>
      <c r="DK579" s="4"/>
      <c r="DL579" s="4">
        <v>2799437</v>
      </c>
      <c r="DM579" s="4">
        <v>6336026</v>
      </c>
      <c r="DN579" s="4" t="s">
        <v>1886</v>
      </c>
      <c r="DO579" s="4"/>
      <c r="DP579" s="4" t="s">
        <v>1887</v>
      </c>
      <c r="DQ579" s="4" t="s">
        <v>148</v>
      </c>
      <c r="DR579" s="4"/>
      <c r="DS579" s="4"/>
      <c r="DT579" s="4"/>
      <c r="DU579" s="4"/>
      <c r="DV579" s="4"/>
      <c r="DW579" s="4"/>
      <c r="DX579" s="4"/>
      <c r="DY579" s="4"/>
      <c r="DZ579" s="4"/>
      <c r="EA579" s="4"/>
      <c r="EB579" s="4"/>
      <c r="EC579" s="4"/>
      <c r="ED579" s="4"/>
      <c r="EE579" s="4"/>
      <c r="EF579" s="4"/>
      <c r="EG579" s="5">
        <v>40868</v>
      </c>
      <c r="EH579" s="5">
        <v>40868</v>
      </c>
      <c r="EI579" s="5">
        <v>40690</v>
      </c>
    </row>
    <row r="580" spans="1:139" hidden="1" x14ac:dyDescent="0.2">
      <c r="A580">
        <f>VLOOKUP(B580,Sheet1!$A$1:$B$18,2,FALSE)</f>
        <v>0</v>
      </c>
      <c r="B580" t="str">
        <f t="shared" si="10"/>
        <v>BOP</v>
      </c>
      <c r="C580" s="2">
        <v>579</v>
      </c>
      <c r="D580" s="3" t="str">
        <f>HYPERLINK("https://sitebase.nzcomms.co.nz/spm/spmnominalview/BOP-024-013/","BOP-024-013")</f>
        <v>BOP-024-013</v>
      </c>
      <c r="E580" s="4" t="s">
        <v>1888</v>
      </c>
      <c r="F580" s="4"/>
      <c r="G580" s="4"/>
      <c r="H580" s="4" t="s">
        <v>1841</v>
      </c>
      <c r="I580" s="4"/>
      <c r="J580" s="4" t="s">
        <v>196</v>
      </c>
      <c r="K580" s="4"/>
      <c r="L580" s="4"/>
      <c r="M580" s="4"/>
      <c r="N580" s="4"/>
      <c r="O580" s="4"/>
      <c r="P580" s="4"/>
      <c r="Q580" s="4"/>
      <c r="R580" s="4"/>
      <c r="S580" s="4"/>
      <c r="T580" s="4"/>
      <c r="U580" s="4"/>
      <c r="V580" s="4"/>
      <c r="W580" s="4"/>
      <c r="X580" s="4"/>
      <c r="Y580" s="4"/>
      <c r="Z580" s="4"/>
      <c r="AA580" s="4"/>
      <c r="AB580" s="4"/>
      <c r="AC580" s="4"/>
      <c r="AD580" s="4"/>
      <c r="AE580" s="4"/>
      <c r="AF580" s="4"/>
      <c r="AG580" s="4" t="b">
        <v>0</v>
      </c>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row>
    <row r="581" spans="1:139" hidden="1" x14ac:dyDescent="0.2">
      <c r="A581">
        <f>VLOOKUP(B581,Sheet1!$A$1:$B$18,2,FALSE)</f>
        <v>0</v>
      </c>
      <c r="B581" t="str">
        <f t="shared" si="10"/>
        <v>BOP</v>
      </c>
      <c r="C581" s="2">
        <v>580</v>
      </c>
      <c r="D581" s="3" t="str">
        <f>HYPERLINK("https://sitebase.nzcomms.co.nz/spm/spmnominalview/BOP-024-015/","BOP-024-015")</f>
        <v>BOP-024-015</v>
      </c>
      <c r="E581" s="4" t="s">
        <v>1889</v>
      </c>
      <c r="F581" s="3" t="str">
        <f>HYPERLINK("https://sitebase.nzcomms.co.nz/spm/spmcandidateview/BOP-024-015-A/","BOP-024-015-A")</f>
        <v>BOP-024-015-A</v>
      </c>
      <c r="G581" s="4" t="s">
        <v>1890</v>
      </c>
      <c r="H581" s="4" t="s">
        <v>1841</v>
      </c>
      <c r="I581" s="4">
        <v>22</v>
      </c>
      <c r="J581" s="4" t="s">
        <v>331</v>
      </c>
      <c r="K581" s="4" t="s">
        <v>141</v>
      </c>
      <c r="L581" s="4" t="s">
        <v>142</v>
      </c>
      <c r="M581" s="4" t="s">
        <v>166</v>
      </c>
      <c r="N581" s="4" t="s">
        <v>142</v>
      </c>
      <c r="O581" s="4"/>
      <c r="P581" s="4" t="s">
        <v>169</v>
      </c>
      <c r="Q581" s="4" t="s">
        <v>142</v>
      </c>
      <c r="R581" s="4">
        <v>30</v>
      </c>
      <c r="S581" s="4">
        <v>30.65</v>
      </c>
      <c r="T581" s="4"/>
      <c r="U581" s="4">
        <v>-38.042824430000003</v>
      </c>
      <c r="V581" s="4">
        <v>176.39702650999999</v>
      </c>
      <c r="W581" s="4"/>
      <c r="X581" s="4"/>
      <c r="Y581" s="4"/>
      <c r="Z581" s="4"/>
      <c r="AA581" s="4" t="s">
        <v>171</v>
      </c>
      <c r="AB581" s="3" t="str">
        <f>HYPERLINK("https://sitebase.nzcomms.co.nz/spm/spmcandidateview/BOP-024-016-A/","BOP-024-016-A")</f>
        <v>BOP-024-016-A</v>
      </c>
      <c r="AC581" s="4" t="b">
        <v>0</v>
      </c>
      <c r="AD581" s="4" t="b">
        <v>0</v>
      </c>
      <c r="AE581" s="4"/>
      <c r="AF581" s="4"/>
      <c r="AG581" s="4" t="b">
        <v>0</v>
      </c>
      <c r="AH581" s="4"/>
      <c r="AI581" s="5">
        <v>40991</v>
      </c>
      <c r="AJ581" s="5">
        <v>40977</v>
      </c>
      <c r="AK581" s="5">
        <v>41040</v>
      </c>
      <c r="AL581" s="5">
        <v>41040</v>
      </c>
      <c r="AM581" s="5">
        <v>41081</v>
      </c>
      <c r="AN581" s="5">
        <v>41066</v>
      </c>
      <c r="AO581" s="4">
        <v>5</v>
      </c>
      <c r="AP581" s="5">
        <v>42285</v>
      </c>
      <c r="AQ581" s="5">
        <v>42328</v>
      </c>
      <c r="AR581" s="5">
        <v>42422</v>
      </c>
      <c r="AS581" s="4"/>
      <c r="AT581" s="5">
        <v>42457</v>
      </c>
      <c r="AU581" s="4"/>
      <c r="AV581" s="4"/>
      <c r="AW581" s="5">
        <v>42464</v>
      </c>
      <c r="AX581" s="4"/>
      <c r="AY581" s="4" t="s">
        <v>183</v>
      </c>
      <c r="AZ581" s="5">
        <v>42397</v>
      </c>
      <c r="BA581" s="5">
        <v>42397</v>
      </c>
      <c r="BB581" s="5">
        <v>42429</v>
      </c>
      <c r="BC581" s="4"/>
      <c r="BD581" s="4">
        <v>5</v>
      </c>
      <c r="BE581" s="5">
        <v>42429</v>
      </c>
      <c r="BF581" s="4"/>
      <c r="BG581" s="5">
        <v>42397</v>
      </c>
      <c r="BH581" s="5">
        <v>42396</v>
      </c>
      <c r="BI581" s="5">
        <v>42429</v>
      </c>
      <c r="BJ581" s="4"/>
      <c r="BK581" s="4"/>
      <c r="BL581" s="4"/>
      <c r="BM581" s="5">
        <v>42429</v>
      </c>
      <c r="BN581" s="4"/>
      <c r="BO581" s="4"/>
      <c r="BP581" s="4"/>
      <c r="BQ581" s="4"/>
      <c r="BR581" s="4"/>
      <c r="BS581" s="4"/>
      <c r="BT581" s="5">
        <v>42478</v>
      </c>
      <c r="BU581" s="4"/>
      <c r="BV581" s="5">
        <v>42506</v>
      </c>
      <c r="BW581" s="4"/>
      <c r="BX581" s="4"/>
      <c r="BY581" s="5">
        <v>42541</v>
      </c>
      <c r="BZ581" s="4"/>
      <c r="CA581" s="4"/>
      <c r="CB581" s="4"/>
      <c r="CC581" s="4"/>
      <c r="CD581" s="4"/>
      <c r="CE581" s="4"/>
      <c r="CF581" s="4"/>
      <c r="CG581" s="4"/>
      <c r="CH581" s="4"/>
      <c r="CI581" s="4"/>
      <c r="CJ581" s="5">
        <v>42590</v>
      </c>
      <c r="CK581" s="4"/>
      <c r="CL581" s="4"/>
      <c r="CM581" s="4"/>
      <c r="CN581" s="4"/>
      <c r="CO581" s="4"/>
      <c r="CP581" s="4" t="s">
        <v>1891</v>
      </c>
      <c r="CQ581" s="4" t="s">
        <v>230</v>
      </c>
      <c r="CR581" s="4"/>
      <c r="CS581" s="4"/>
      <c r="CT581" s="4"/>
      <c r="CU581" s="4"/>
      <c r="CV581" s="4"/>
      <c r="CW581" s="4"/>
      <c r="CX581" s="4"/>
      <c r="CY581" s="4"/>
      <c r="CZ581" s="4"/>
      <c r="DA581" s="5">
        <v>42569</v>
      </c>
      <c r="DB581" s="4"/>
      <c r="DC581" s="4"/>
      <c r="DD581" s="4"/>
      <c r="DE581" s="4" t="s">
        <v>1892</v>
      </c>
      <c r="DF581" s="4"/>
      <c r="DG581" s="4"/>
      <c r="DH581" s="4" t="s">
        <v>174</v>
      </c>
      <c r="DI581" s="4"/>
      <c r="DJ581" s="4" t="b">
        <v>0</v>
      </c>
      <c r="DK581" s="4"/>
      <c r="DL581" s="4">
        <v>2808264</v>
      </c>
      <c r="DM581" s="4">
        <v>6345485</v>
      </c>
      <c r="DN581" s="4" t="s">
        <v>1893</v>
      </c>
      <c r="DO581" s="4"/>
      <c r="DP581" s="4"/>
      <c r="DQ581" s="4" t="s">
        <v>148</v>
      </c>
      <c r="DR581" s="4" t="s">
        <v>255</v>
      </c>
      <c r="DS581" s="4"/>
      <c r="DT581" s="4"/>
      <c r="DU581" s="4" t="s">
        <v>178</v>
      </c>
      <c r="DV581" s="4"/>
      <c r="DW581" s="4"/>
      <c r="DX581" s="4"/>
      <c r="DY581" s="5">
        <v>42430</v>
      </c>
      <c r="DZ581" s="4"/>
      <c r="EA581" s="4"/>
      <c r="EB581" s="4"/>
      <c r="EC581" s="4"/>
      <c r="ED581" s="4"/>
      <c r="EE581" s="5">
        <v>42457</v>
      </c>
      <c r="EF581" s="4"/>
      <c r="EG581" s="4"/>
      <c r="EH581" s="4"/>
      <c r="EI581" s="5">
        <v>41040</v>
      </c>
    </row>
    <row r="582" spans="1:139" hidden="1" x14ac:dyDescent="0.2">
      <c r="A582">
        <f>VLOOKUP(B582,Sheet1!$A$1:$B$18,2,FALSE)</f>
        <v>0</v>
      </c>
      <c r="B582" t="str">
        <f t="shared" si="10"/>
        <v>BOP</v>
      </c>
      <c r="C582" s="2">
        <v>581</v>
      </c>
      <c r="D582" s="3" t="str">
        <f>HYPERLINK("https://sitebase.nzcomms.co.nz/spm/spmnominalview/BOP-024-016/","BOP-024-016")</f>
        <v>BOP-024-016</v>
      </c>
      <c r="E582" s="4" t="s">
        <v>1894</v>
      </c>
      <c r="F582" s="3" t="str">
        <f>HYPERLINK("https://sitebase.nzcomms.co.nz/spm/spmcandidateview/BOP-024-016-A/","BOP-024-016-A")</f>
        <v>BOP-024-016-A</v>
      </c>
      <c r="G582" s="4" t="s">
        <v>1895</v>
      </c>
      <c r="H582" s="4" t="s">
        <v>1841</v>
      </c>
      <c r="I582" s="4">
        <v>22</v>
      </c>
      <c r="J582" s="4" t="s">
        <v>331</v>
      </c>
      <c r="K582" s="4" t="s">
        <v>141</v>
      </c>
      <c r="L582" s="4" t="s">
        <v>142</v>
      </c>
      <c r="M582" s="4" t="s">
        <v>166</v>
      </c>
      <c r="N582" s="4" t="s">
        <v>142</v>
      </c>
      <c r="O582" s="4"/>
      <c r="P582" s="4" t="s">
        <v>169</v>
      </c>
      <c r="Q582" s="4" t="s">
        <v>142</v>
      </c>
      <c r="R582" s="4">
        <v>24</v>
      </c>
      <c r="S582" s="4">
        <v>25</v>
      </c>
      <c r="T582" s="4"/>
      <c r="U582" s="4"/>
      <c r="V582" s="4"/>
      <c r="W582" s="4"/>
      <c r="X582" s="4"/>
      <c r="Y582" s="4"/>
      <c r="Z582" s="4"/>
      <c r="AA582" s="4" t="s">
        <v>171</v>
      </c>
      <c r="AB582" s="3" t="str">
        <f>HYPERLINK("https://sitebase.nzcomms.co.nz/spm/spmcandidateview/BOP-024-027-C/","BOP-024-027-C")</f>
        <v>BOP-024-027-C</v>
      </c>
      <c r="AC582" s="4" t="b">
        <v>0</v>
      </c>
      <c r="AD582" s="4" t="b">
        <v>0</v>
      </c>
      <c r="AE582" s="4"/>
      <c r="AF582" s="4"/>
      <c r="AG582" s="4" t="b">
        <v>0</v>
      </c>
      <c r="AH582" s="4"/>
      <c r="AI582" s="5">
        <v>42335</v>
      </c>
      <c r="AJ582" s="5">
        <v>42335</v>
      </c>
      <c r="AK582" s="5">
        <v>42340</v>
      </c>
      <c r="AL582" s="5">
        <v>42341</v>
      </c>
      <c r="AM582" s="5">
        <v>42387</v>
      </c>
      <c r="AN582" s="5">
        <v>42383</v>
      </c>
      <c r="AO582" s="4">
        <v>1</v>
      </c>
      <c r="AP582" s="5">
        <v>42394</v>
      </c>
      <c r="AQ582" s="5">
        <v>42383</v>
      </c>
      <c r="AR582" s="5">
        <v>42429</v>
      </c>
      <c r="AS582" s="4"/>
      <c r="AT582" s="5">
        <v>42485</v>
      </c>
      <c r="AU582" s="4"/>
      <c r="AV582" s="4"/>
      <c r="AW582" s="5">
        <v>42492</v>
      </c>
      <c r="AX582" s="4"/>
      <c r="AY582" s="4" t="s">
        <v>172</v>
      </c>
      <c r="AZ582" s="5">
        <v>42422</v>
      </c>
      <c r="BA582" s="4"/>
      <c r="BB582" s="5">
        <v>42457</v>
      </c>
      <c r="BC582" s="4"/>
      <c r="BD582" s="4"/>
      <c r="BE582" s="5">
        <v>42464</v>
      </c>
      <c r="BF582" s="4"/>
      <c r="BG582" s="5">
        <v>42422</v>
      </c>
      <c r="BH582" s="4"/>
      <c r="BI582" s="5">
        <v>42457</v>
      </c>
      <c r="BJ582" s="4"/>
      <c r="BK582" s="4"/>
      <c r="BL582" s="4"/>
      <c r="BM582" s="5">
        <v>42464</v>
      </c>
      <c r="BN582" s="4"/>
      <c r="BO582" s="4"/>
      <c r="BP582" s="4"/>
      <c r="BQ582" s="4"/>
      <c r="BR582" s="4"/>
      <c r="BS582" s="4"/>
      <c r="BT582" s="5">
        <v>42499</v>
      </c>
      <c r="BU582" s="4"/>
      <c r="BV582" s="5">
        <v>42534</v>
      </c>
      <c r="BW582" s="4"/>
      <c r="BX582" s="4"/>
      <c r="BY582" s="5">
        <v>42548</v>
      </c>
      <c r="BZ582" s="4"/>
      <c r="CA582" s="4"/>
      <c r="CB582" s="4"/>
      <c r="CC582" s="4"/>
      <c r="CD582" s="4"/>
      <c r="CE582" s="4"/>
      <c r="CF582" s="4"/>
      <c r="CG582" s="4"/>
      <c r="CH582" s="4"/>
      <c r="CI582" s="4"/>
      <c r="CJ582" s="5">
        <v>42590</v>
      </c>
      <c r="CK582" s="4"/>
      <c r="CL582" s="4"/>
      <c r="CM582" s="4"/>
      <c r="CN582" s="4"/>
      <c r="CO582" s="4"/>
      <c r="CP582" s="4" t="s">
        <v>1896</v>
      </c>
      <c r="CQ582" s="4" t="s">
        <v>230</v>
      </c>
      <c r="CR582" s="4"/>
      <c r="CS582" s="4"/>
      <c r="CT582" s="4"/>
      <c r="CU582" s="4"/>
      <c r="CV582" s="4"/>
      <c r="CW582" s="4"/>
      <c r="CX582" s="4"/>
      <c r="CY582" s="4"/>
      <c r="CZ582" s="4"/>
      <c r="DA582" s="5">
        <v>42569</v>
      </c>
      <c r="DB582" s="4"/>
      <c r="DC582" s="4"/>
      <c r="DD582" s="4"/>
      <c r="DE582" s="4"/>
      <c r="DF582" s="4"/>
      <c r="DG582" s="4"/>
      <c r="DH582" s="4" t="s">
        <v>174</v>
      </c>
      <c r="DI582" s="4"/>
      <c r="DJ582" s="4" t="b">
        <v>0</v>
      </c>
      <c r="DK582" s="4"/>
      <c r="DL582" s="4"/>
      <c r="DM582" s="4"/>
      <c r="DN582" s="4" t="s">
        <v>1897</v>
      </c>
      <c r="DO582" s="4"/>
      <c r="DP582" s="4"/>
      <c r="DQ582" s="4" t="s">
        <v>148</v>
      </c>
      <c r="DR582" s="4" t="s">
        <v>255</v>
      </c>
      <c r="DS582" s="4"/>
      <c r="DT582" s="4"/>
      <c r="DU582" s="4" t="s">
        <v>178</v>
      </c>
      <c r="DV582" s="4"/>
      <c r="DW582" s="4"/>
      <c r="DX582" s="4"/>
      <c r="DY582" s="5">
        <v>42464</v>
      </c>
      <c r="DZ582" s="4"/>
      <c r="EA582" s="4"/>
      <c r="EB582" s="4"/>
      <c r="EC582" s="4"/>
      <c r="ED582" s="4"/>
      <c r="EE582" s="5">
        <v>42492</v>
      </c>
      <c r="EF582" s="4"/>
      <c r="EG582" s="4"/>
      <c r="EH582" s="4"/>
      <c r="EI582" s="5">
        <v>42341</v>
      </c>
    </row>
    <row r="583" spans="1:139" hidden="1" x14ac:dyDescent="0.2">
      <c r="A583">
        <f>VLOOKUP(B583,Sheet1!$A$1:$B$18,2,FALSE)</f>
        <v>0</v>
      </c>
      <c r="B583" t="str">
        <f t="shared" si="10"/>
        <v>BOP</v>
      </c>
      <c r="C583" s="2">
        <v>582</v>
      </c>
      <c r="D583" s="3" t="str">
        <f>HYPERLINK("https://sitebase.nzcomms.co.nz/spm/spmnominalview/BOP-024-017/","BOP-024-017")</f>
        <v>BOP-024-017</v>
      </c>
      <c r="E583" s="4" t="s">
        <v>1898</v>
      </c>
      <c r="F583" s="3" t="str">
        <f>HYPERLINK("https://sitebase.nzcomms.co.nz/spm/spmcandidateview/BOP-024-017-A/","BOP-024-017-A")</f>
        <v>BOP-024-017-A</v>
      </c>
      <c r="G583" s="4" t="s">
        <v>1899</v>
      </c>
      <c r="H583" s="4" t="s">
        <v>1841</v>
      </c>
      <c r="I583" s="4">
        <v>2</v>
      </c>
      <c r="J583" s="4" t="s">
        <v>1633</v>
      </c>
      <c r="K583" s="4" t="s">
        <v>141</v>
      </c>
      <c r="L583" s="4" t="s">
        <v>142</v>
      </c>
      <c r="M583" s="4" t="s">
        <v>190</v>
      </c>
      <c r="N583" s="4" t="s">
        <v>142</v>
      </c>
      <c r="O583" s="4"/>
      <c r="P583" s="4" t="s">
        <v>169</v>
      </c>
      <c r="Q583" s="4" t="s">
        <v>142</v>
      </c>
      <c r="R583" s="4"/>
      <c r="S583" s="4"/>
      <c r="T583" s="4">
        <v>1</v>
      </c>
      <c r="U583" s="4">
        <v>-38.131674940000003</v>
      </c>
      <c r="V583" s="4">
        <v>176.34843812</v>
      </c>
      <c r="W583" s="4"/>
      <c r="X583" s="5">
        <v>40308</v>
      </c>
      <c r="Y583" s="4"/>
      <c r="Z583" s="5">
        <v>40296</v>
      </c>
      <c r="AA583" s="4" t="s">
        <v>171</v>
      </c>
      <c r="AB583" s="3" t="str">
        <f>HYPERLINK("https://sitebase.nzcomms.co.nz/spm/spmcandidateview/BOP-024-003-A/","BOP-024-003-A")</f>
        <v>BOP-024-003-A</v>
      </c>
      <c r="AC583" s="4" t="b">
        <v>0</v>
      </c>
      <c r="AD583" s="4" t="b">
        <v>0</v>
      </c>
      <c r="AE583" s="5">
        <v>40308</v>
      </c>
      <c r="AF583" s="4"/>
      <c r="AG583" s="4" t="b">
        <v>0</v>
      </c>
      <c r="AH583" s="4" t="s">
        <v>1900</v>
      </c>
      <c r="AI583" s="5">
        <v>40641</v>
      </c>
      <c r="AJ583" s="5">
        <v>40365</v>
      </c>
      <c r="AK583" s="5">
        <v>40648</v>
      </c>
      <c r="AL583" s="5">
        <v>40624</v>
      </c>
      <c r="AM583" s="5">
        <v>40690</v>
      </c>
      <c r="AN583" s="5">
        <v>40689</v>
      </c>
      <c r="AO583" s="4">
        <v>1</v>
      </c>
      <c r="AP583" s="5">
        <v>40690</v>
      </c>
      <c r="AQ583" s="5">
        <v>40689</v>
      </c>
      <c r="AR583" s="5">
        <v>40690</v>
      </c>
      <c r="AS583" s="5">
        <v>40675</v>
      </c>
      <c r="AT583" s="5">
        <v>40718</v>
      </c>
      <c r="AU583" s="5">
        <v>40711</v>
      </c>
      <c r="AV583" s="4"/>
      <c r="AW583" s="5">
        <v>40718</v>
      </c>
      <c r="AX583" s="5">
        <v>40724</v>
      </c>
      <c r="AY583" s="4" t="s">
        <v>1901</v>
      </c>
      <c r="AZ583" s="5">
        <v>40693</v>
      </c>
      <c r="BA583" s="5">
        <v>40688</v>
      </c>
      <c r="BB583" s="5">
        <v>40697</v>
      </c>
      <c r="BC583" s="5">
        <v>40695</v>
      </c>
      <c r="BD583" s="4">
        <v>1</v>
      </c>
      <c r="BE583" s="5">
        <v>40697</v>
      </c>
      <c r="BF583" s="5">
        <v>40695</v>
      </c>
      <c r="BG583" s="4"/>
      <c r="BH583" s="4"/>
      <c r="BI583" s="5">
        <v>40787</v>
      </c>
      <c r="BJ583" s="5">
        <v>40816</v>
      </c>
      <c r="BK583" s="4">
        <v>1</v>
      </c>
      <c r="BL583" s="4"/>
      <c r="BM583" s="5">
        <v>40787</v>
      </c>
      <c r="BN583" s="5">
        <v>40816</v>
      </c>
      <c r="BO583" s="5">
        <v>40816</v>
      </c>
      <c r="BP583" s="4"/>
      <c r="BQ583" s="4"/>
      <c r="BR583" s="4"/>
      <c r="BS583" s="4"/>
      <c r="BT583" s="5">
        <v>40805</v>
      </c>
      <c r="BU583" s="5">
        <v>40799</v>
      </c>
      <c r="BV583" s="5">
        <v>40817</v>
      </c>
      <c r="BW583" s="5">
        <v>40808</v>
      </c>
      <c r="BX583" s="5">
        <v>40821</v>
      </c>
      <c r="BY583" s="5">
        <v>40850</v>
      </c>
      <c r="BZ583" s="5">
        <v>40859</v>
      </c>
      <c r="CA583" s="4"/>
      <c r="CB583" s="4"/>
      <c r="CC583" s="4"/>
      <c r="CD583" s="4"/>
      <c r="CE583" s="4"/>
      <c r="CF583" s="4"/>
      <c r="CG583" s="4"/>
      <c r="CH583" s="4"/>
      <c r="CI583" s="5">
        <v>40859</v>
      </c>
      <c r="CJ583" s="5">
        <v>40870</v>
      </c>
      <c r="CK583" s="5">
        <v>40870</v>
      </c>
      <c r="CL583" s="5">
        <v>40866</v>
      </c>
      <c r="CM583" s="5">
        <v>40882</v>
      </c>
      <c r="CN583" s="5">
        <v>40973</v>
      </c>
      <c r="CO583" s="5">
        <v>41152</v>
      </c>
      <c r="CP583" s="4" t="s">
        <v>1902</v>
      </c>
      <c r="CQ583" s="4" t="s">
        <v>1657</v>
      </c>
      <c r="CR583" s="5">
        <v>40850</v>
      </c>
      <c r="CS583" s="5">
        <v>40777</v>
      </c>
      <c r="CT583" s="5">
        <v>40849</v>
      </c>
      <c r="CU583" s="5">
        <v>40820</v>
      </c>
      <c r="CV583" s="5">
        <v>40816</v>
      </c>
      <c r="CW583" s="5">
        <v>40787</v>
      </c>
      <c r="CX583" s="5">
        <v>40816</v>
      </c>
      <c r="CY583" s="5">
        <v>40834</v>
      </c>
      <c r="CZ583" s="5">
        <v>40837</v>
      </c>
      <c r="DA583" s="4"/>
      <c r="DB583" s="5">
        <v>40868</v>
      </c>
      <c r="DC583" s="4"/>
      <c r="DD583" s="4"/>
      <c r="DE583" s="4"/>
      <c r="DF583" s="4"/>
      <c r="DG583" s="4"/>
      <c r="DH583" s="4"/>
      <c r="DI583" s="5">
        <v>40826</v>
      </c>
      <c r="DJ583" s="4" t="b">
        <v>0</v>
      </c>
      <c r="DK583" s="4"/>
      <c r="DL583" s="4">
        <v>2803633</v>
      </c>
      <c r="DM583" s="4">
        <v>6335792</v>
      </c>
      <c r="DN583" s="4" t="s">
        <v>1903</v>
      </c>
      <c r="DO583" s="4"/>
      <c r="DP583" s="4"/>
      <c r="DQ583" s="4" t="s">
        <v>148</v>
      </c>
      <c r="DR583" s="4"/>
      <c r="DS583" s="4"/>
      <c r="DT583" s="4"/>
      <c r="DU583" s="4"/>
      <c r="DV583" s="4"/>
      <c r="DW583" s="4"/>
      <c r="DX583" s="4"/>
      <c r="DY583" s="4"/>
      <c r="DZ583" s="4"/>
      <c r="EA583" s="4"/>
      <c r="EB583" s="4"/>
      <c r="EC583" s="4"/>
      <c r="ED583" s="4"/>
      <c r="EE583" s="4"/>
      <c r="EF583" s="4"/>
      <c r="EG583" s="5">
        <v>40868</v>
      </c>
      <c r="EH583" s="5">
        <v>40868</v>
      </c>
      <c r="EI583" s="5">
        <v>40624</v>
      </c>
    </row>
    <row r="584" spans="1:139" hidden="1" x14ac:dyDescent="0.2">
      <c r="A584">
        <f>VLOOKUP(B584,Sheet1!$A$1:$B$18,2,FALSE)</f>
        <v>0</v>
      </c>
      <c r="B584" t="str">
        <f t="shared" si="10"/>
        <v>BOP</v>
      </c>
      <c r="C584" s="2">
        <v>583</v>
      </c>
      <c r="D584" s="3" t="str">
        <f>HYPERLINK("https://sitebase.nzcomms.co.nz/spm/spmnominalview/BOP-024-018/","BOP-024-018")</f>
        <v>BOP-024-018</v>
      </c>
      <c r="E584" s="4" t="s">
        <v>1904</v>
      </c>
      <c r="F584" s="3" t="str">
        <f>HYPERLINK("https://sitebase.nzcomms.co.nz/spm/spmcandidateview/BOP-024-018-A/","BOP-024-018-A")</f>
        <v>BOP-024-018-A</v>
      </c>
      <c r="G584" s="4" t="s">
        <v>1905</v>
      </c>
      <c r="H584" s="4" t="s">
        <v>1841</v>
      </c>
      <c r="I584" s="4">
        <v>22</v>
      </c>
      <c r="J584" s="4" t="s">
        <v>331</v>
      </c>
      <c r="K584" s="4" t="s">
        <v>141</v>
      </c>
      <c r="L584" s="4" t="s">
        <v>150</v>
      </c>
      <c r="M584" s="4" t="s">
        <v>166</v>
      </c>
      <c r="N584" s="4"/>
      <c r="O584" s="4"/>
      <c r="P584" s="4" t="s">
        <v>169</v>
      </c>
      <c r="Q584" s="4" t="s">
        <v>170</v>
      </c>
      <c r="R584" s="4"/>
      <c r="S584" s="4"/>
      <c r="T584" s="4"/>
      <c r="U584" s="4"/>
      <c r="V584" s="4"/>
      <c r="W584" s="4"/>
      <c r="X584" s="4"/>
      <c r="Y584" s="4"/>
      <c r="Z584" s="5">
        <v>40296</v>
      </c>
      <c r="AA584" s="4"/>
      <c r="AB584" s="4"/>
      <c r="AC584" s="4" t="b">
        <v>0</v>
      </c>
      <c r="AD584" s="4" t="b">
        <v>0</v>
      </c>
      <c r="AE584" s="5">
        <v>40308</v>
      </c>
      <c r="AF584" s="4"/>
      <c r="AG584" s="4" t="b">
        <v>0</v>
      </c>
      <c r="AH584" s="4"/>
      <c r="AI584" s="5">
        <v>42429</v>
      </c>
      <c r="AJ584" s="4"/>
      <c r="AK584" s="5">
        <v>42430</v>
      </c>
      <c r="AL584" s="4"/>
      <c r="AM584" s="5">
        <v>42458</v>
      </c>
      <c r="AN584" s="4"/>
      <c r="AO584" s="4"/>
      <c r="AP584" s="5">
        <v>42464</v>
      </c>
      <c r="AQ584" s="4"/>
      <c r="AR584" s="5">
        <v>42506</v>
      </c>
      <c r="AS584" s="4"/>
      <c r="AT584" s="5">
        <v>42548</v>
      </c>
      <c r="AU584" s="4"/>
      <c r="AV584" s="4"/>
      <c r="AW584" s="5">
        <v>42555</v>
      </c>
      <c r="AX584" s="4"/>
      <c r="AY584" s="4"/>
      <c r="AZ584" s="5">
        <v>42513</v>
      </c>
      <c r="BA584" s="4"/>
      <c r="BB584" s="5">
        <v>42555</v>
      </c>
      <c r="BC584" s="4"/>
      <c r="BD584" s="4"/>
      <c r="BE584" s="5">
        <v>42562</v>
      </c>
      <c r="BF584" s="4"/>
      <c r="BG584" s="5">
        <v>42513</v>
      </c>
      <c r="BH584" s="4"/>
      <c r="BI584" s="5">
        <v>42548</v>
      </c>
      <c r="BJ584" s="4"/>
      <c r="BK584" s="4"/>
      <c r="BL584" s="4"/>
      <c r="BM584" s="5">
        <v>42555</v>
      </c>
      <c r="BN584" s="4"/>
      <c r="BO584" s="4"/>
      <c r="BP584" s="4"/>
      <c r="BQ584" s="4"/>
      <c r="BR584" s="4"/>
      <c r="BS584" s="4"/>
      <c r="BT584" s="5">
        <v>42604</v>
      </c>
      <c r="BU584" s="4"/>
      <c r="BV584" s="5">
        <v>42632</v>
      </c>
      <c r="BW584" s="4"/>
      <c r="BX584" s="4"/>
      <c r="BY584" s="5">
        <v>42646</v>
      </c>
      <c r="BZ584" s="4"/>
      <c r="CA584" s="4"/>
      <c r="CB584" s="4"/>
      <c r="CC584" s="4"/>
      <c r="CD584" s="4"/>
      <c r="CE584" s="4"/>
      <c r="CF584" s="4"/>
      <c r="CG584" s="4"/>
      <c r="CH584" s="4"/>
      <c r="CI584" s="4"/>
      <c r="CJ584" s="5">
        <v>42675</v>
      </c>
      <c r="CK584" s="4"/>
      <c r="CL584" s="4"/>
      <c r="CM584" s="4"/>
      <c r="CN584" s="4"/>
      <c r="CO584" s="4"/>
      <c r="CP584" s="4" t="s">
        <v>1906</v>
      </c>
      <c r="CQ584" s="4"/>
      <c r="CR584" s="4"/>
      <c r="CS584" s="4"/>
      <c r="CT584" s="4"/>
      <c r="CU584" s="4"/>
      <c r="CV584" s="4"/>
      <c r="CW584" s="4"/>
      <c r="CX584" s="4"/>
      <c r="CY584" s="4"/>
      <c r="CZ584" s="4"/>
      <c r="DA584" s="5">
        <v>42660</v>
      </c>
      <c r="DB584" s="4"/>
      <c r="DC584" s="4"/>
      <c r="DD584" s="4"/>
      <c r="DE584" s="4"/>
      <c r="DF584" s="4"/>
      <c r="DG584" s="4"/>
      <c r="DH584" s="4" t="s">
        <v>174</v>
      </c>
      <c r="DI584" s="4"/>
      <c r="DJ584" s="4" t="b">
        <v>0</v>
      </c>
      <c r="DK584" s="4"/>
      <c r="DL584" s="4"/>
      <c r="DM584" s="4"/>
      <c r="DN584" s="4" t="s">
        <v>1907</v>
      </c>
      <c r="DO584" s="4"/>
      <c r="DP584" s="4"/>
      <c r="DQ584" s="4" t="s">
        <v>148</v>
      </c>
      <c r="DR584" s="4" t="s">
        <v>255</v>
      </c>
      <c r="DS584" s="4"/>
      <c r="DT584" s="4"/>
      <c r="DU584" s="4" t="s">
        <v>178</v>
      </c>
      <c r="DV584" s="4"/>
      <c r="DW584" s="4"/>
      <c r="DX584" s="4"/>
      <c r="DY584" s="5">
        <v>42555</v>
      </c>
      <c r="DZ584" s="4"/>
      <c r="EA584" s="4"/>
      <c r="EB584" s="4"/>
      <c r="EC584" s="4"/>
      <c r="ED584" s="4"/>
      <c r="EE584" s="5">
        <v>42583</v>
      </c>
      <c r="EF584" s="4"/>
      <c r="EG584" s="4"/>
      <c r="EH584" s="4"/>
      <c r="EI584" s="4"/>
    </row>
    <row r="585" spans="1:139" hidden="1" x14ac:dyDescent="0.2">
      <c r="A585">
        <f>VLOOKUP(B585,Sheet1!$A$1:$B$18,2,FALSE)</f>
        <v>0</v>
      </c>
      <c r="B585" t="str">
        <f t="shared" si="10"/>
        <v>BOP</v>
      </c>
      <c r="C585" s="2">
        <v>584</v>
      </c>
      <c r="D585" s="3" t="str">
        <f>HYPERLINK("https://sitebase.nzcomms.co.nz/spm/spmnominalview/BOP-024-019/","BOP-024-019")</f>
        <v>BOP-024-019</v>
      </c>
      <c r="E585" s="4" t="s">
        <v>1908</v>
      </c>
      <c r="F585" s="3" t="str">
        <f>HYPERLINK("https://sitebase.nzcomms.co.nz/spm/spmcandidateview/BOP-024-019-A/","BOP-024-019-A")</f>
        <v>BOP-024-019-A</v>
      </c>
      <c r="G585" s="4" t="s">
        <v>1909</v>
      </c>
      <c r="H585" s="4" t="s">
        <v>1841</v>
      </c>
      <c r="I585" s="4">
        <v>2</v>
      </c>
      <c r="J585" s="4" t="s">
        <v>180</v>
      </c>
      <c r="K585" s="4" t="s">
        <v>141</v>
      </c>
      <c r="L585" s="4" t="s">
        <v>142</v>
      </c>
      <c r="M585" s="4" t="s">
        <v>190</v>
      </c>
      <c r="N585" s="4" t="s">
        <v>142</v>
      </c>
      <c r="O585" s="4" t="s">
        <v>144</v>
      </c>
      <c r="P585" s="4" t="s">
        <v>169</v>
      </c>
      <c r="Q585" s="4" t="s">
        <v>142</v>
      </c>
      <c r="R585" s="4">
        <v>24.7</v>
      </c>
      <c r="S585" s="4">
        <v>25.25</v>
      </c>
      <c r="T585" s="4">
        <v>1</v>
      </c>
      <c r="U585" s="4">
        <v>-38.210841430000002</v>
      </c>
      <c r="V585" s="4">
        <v>176.27794369</v>
      </c>
      <c r="W585" s="4"/>
      <c r="X585" s="4"/>
      <c r="Y585" s="4"/>
      <c r="Z585" s="5">
        <v>40695</v>
      </c>
      <c r="AA585" s="4" t="s">
        <v>171</v>
      </c>
      <c r="AB585" s="3" t="str">
        <f>HYPERLINK("https://sitebase.nzcomms.co.nz/spm/spmcandidateview/BOP-024-003-A/","BOP-024-003-A")</f>
        <v>BOP-024-003-A</v>
      </c>
      <c r="AC585" s="4" t="b">
        <v>1</v>
      </c>
      <c r="AD585" s="4" t="b">
        <v>1</v>
      </c>
      <c r="AE585" s="5">
        <v>40695</v>
      </c>
      <c r="AF585" s="4"/>
      <c r="AG585" s="4" t="b">
        <v>1</v>
      </c>
      <c r="AH585" s="4"/>
      <c r="AI585" s="5">
        <v>40745</v>
      </c>
      <c r="AJ585" s="5">
        <v>40742</v>
      </c>
      <c r="AK585" s="5">
        <v>40746</v>
      </c>
      <c r="AL585" s="5">
        <v>40744</v>
      </c>
      <c r="AM585" s="5">
        <v>40753</v>
      </c>
      <c r="AN585" s="5">
        <v>40753</v>
      </c>
      <c r="AO585" s="4">
        <v>1</v>
      </c>
      <c r="AP585" s="5">
        <v>40753</v>
      </c>
      <c r="AQ585" s="5">
        <v>40753</v>
      </c>
      <c r="AR585" s="5">
        <v>40767</v>
      </c>
      <c r="AS585" s="5">
        <v>40766</v>
      </c>
      <c r="AT585" s="5">
        <v>41031</v>
      </c>
      <c r="AU585" s="5">
        <v>41016</v>
      </c>
      <c r="AV585" s="4"/>
      <c r="AW585" s="5">
        <v>41031</v>
      </c>
      <c r="AX585" s="5">
        <v>41101</v>
      </c>
      <c r="AY585" s="4" t="s">
        <v>183</v>
      </c>
      <c r="AZ585" s="5">
        <v>40760</v>
      </c>
      <c r="BA585" s="5">
        <v>40763</v>
      </c>
      <c r="BB585" s="5">
        <v>40791</v>
      </c>
      <c r="BC585" s="5">
        <v>40787</v>
      </c>
      <c r="BD585" s="4">
        <v>1</v>
      </c>
      <c r="BE585" s="5">
        <v>40795</v>
      </c>
      <c r="BF585" s="5">
        <v>40791</v>
      </c>
      <c r="BG585" s="5">
        <v>40957</v>
      </c>
      <c r="BH585" s="5">
        <v>40957</v>
      </c>
      <c r="BI585" s="5">
        <v>41029</v>
      </c>
      <c r="BJ585" s="5">
        <v>41026</v>
      </c>
      <c r="BK585" s="4">
        <v>1</v>
      </c>
      <c r="BL585" s="4"/>
      <c r="BM585" s="5">
        <v>41029</v>
      </c>
      <c r="BN585" s="5">
        <v>41026</v>
      </c>
      <c r="BO585" s="5">
        <v>41050</v>
      </c>
      <c r="BP585" s="5">
        <v>41017</v>
      </c>
      <c r="BQ585" s="4"/>
      <c r="BR585" s="4"/>
      <c r="BS585" s="4"/>
      <c r="BT585" s="5">
        <v>41041</v>
      </c>
      <c r="BU585" s="5">
        <v>41041</v>
      </c>
      <c r="BV585" s="5">
        <v>41046</v>
      </c>
      <c r="BW585" s="5">
        <v>41047</v>
      </c>
      <c r="BX585" s="5">
        <v>41050</v>
      </c>
      <c r="BY585" s="5">
        <v>41058</v>
      </c>
      <c r="BZ585" s="5">
        <v>41054</v>
      </c>
      <c r="CA585" s="4"/>
      <c r="CB585" s="4"/>
      <c r="CC585" s="4"/>
      <c r="CD585" s="4"/>
      <c r="CE585" s="4"/>
      <c r="CF585" s="4"/>
      <c r="CG585" s="4"/>
      <c r="CH585" s="4"/>
      <c r="CI585" s="5">
        <v>41054</v>
      </c>
      <c r="CJ585" s="5">
        <v>41075</v>
      </c>
      <c r="CK585" s="5">
        <v>41068</v>
      </c>
      <c r="CL585" s="5">
        <v>41075</v>
      </c>
      <c r="CM585" s="5">
        <v>41081</v>
      </c>
      <c r="CN585" s="5">
        <v>41346</v>
      </c>
      <c r="CO585" s="5">
        <v>41358</v>
      </c>
      <c r="CP585" s="4" t="s">
        <v>1639</v>
      </c>
      <c r="CQ585" s="4" t="s">
        <v>230</v>
      </c>
      <c r="CR585" s="5">
        <v>41058</v>
      </c>
      <c r="CS585" s="5">
        <v>41050</v>
      </c>
      <c r="CT585" s="5">
        <v>41050</v>
      </c>
      <c r="CU585" s="5">
        <v>41050</v>
      </c>
      <c r="CV585" s="5">
        <v>41050</v>
      </c>
      <c r="CW585" s="5">
        <v>41045</v>
      </c>
      <c r="CX585" s="5">
        <v>41050</v>
      </c>
      <c r="CY585" s="5">
        <v>41051</v>
      </c>
      <c r="CZ585" s="5">
        <v>41051</v>
      </c>
      <c r="DA585" s="4"/>
      <c r="DB585" s="5">
        <v>41068</v>
      </c>
      <c r="DC585" s="4"/>
      <c r="DD585" s="4"/>
      <c r="DE585" s="4" t="s">
        <v>1892</v>
      </c>
      <c r="DF585" s="4"/>
      <c r="DG585" s="4"/>
      <c r="DH585" s="4" t="s">
        <v>174</v>
      </c>
      <c r="DI585" s="5">
        <v>41046</v>
      </c>
      <c r="DJ585" s="4" t="b">
        <v>0</v>
      </c>
      <c r="DK585" s="4"/>
      <c r="DL585" s="4">
        <v>2797135</v>
      </c>
      <c r="DM585" s="4">
        <v>6327241</v>
      </c>
      <c r="DN585" s="4" t="s">
        <v>1910</v>
      </c>
      <c r="DO585" s="4"/>
      <c r="DP585" s="4" t="s">
        <v>1911</v>
      </c>
      <c r="DQ585" s="4" t="s">
        <v>148</v>
      </c>
      <c r="DR585" s="4"/>
      <c r="DS585" s="4"/>
      <c r="DT585" s="4"/>
      <c r="DU585" s="4"/>
      <c r="DV585" s="4"/>
      <c r="DW585" s="4"/>
      <c r="DX585" s="4"/>
      <c r="DY585" s="5">
        <v>41019</v>
      </c>
      <c r="DZ585" s="4"/>
      <c r="EA585" s="4"/>
      <c r="EB585" s="4"/>
      <c r="EC585" s="4"/>
      <c r="ED585" s="4"/>
      <c r="EE585" s="4"/>
      <c r="EF585" s="4"/>
      <c r="EG585" s="5">
        <v>41068</v>
      </c>
      <c r="EH585" s="5">
        <v>41068</v>
      </c>
      <c r="EI585" s="5">
        <v>40744</v>
      </c>
    </row>
    <row r="586" spans="1:139" hidden="1" x14ac:dyDescent="0.2">
      <c r="A586">
        <f>VLOOKUP(B586,Sheet1!$A$1:$B$18,2,FALSE)</f>
        <v>0</v>
      </c>
      <c r="B586" t="str">
        <f t="shared" si="10"/>
        <v>BOP</v>
      </c>
      <c r="C586" s="2">
        <v>585</v>
      </c>
      <c r="D586" s="3" t="str">
        <f>HYPERLINK("https://sitebase.nzcomms.co.nz/spm/spmnominalview/BOP-024-020/","BOP-024-020")</f>
        <v>BOP-024-020</v>
      </c>
      <c r="E586" s="4" t="s">
        <v>1912</v>
      </c>
      <c r="F586" s="3" t="str">
        <f>HYPERLINK("https://sitebase.nzcomms.co.nz/spm/spmcandidateview/BOP-024-020-A/","BOP-024-020-A")</f>
        <v>BOP-024-020-A</v>
      </c>
      <c r="G586" s="4" t="s">
        <v>1913</v>
      </c>
      <c r="H586" s="4" t="s">
        <v>1841</v>
      </c>
      <c r="I586" s="4">
        <v>23</v>
      </c>
      <c r="J586" s="4" t="s">
        <v>180</v>
      </c>
      <c r="K586" s="4" t="s">
        <v>141</v>
      </c>
      <c r="L586" s="4" t="s">
        <v>142</v>
      </c>
      <c r="M586" s="4" t="s">
        <v>190</v>
      </c>
      <c r="N586" s="4" t="s">
        <v>142</v>
      </c>
      <c r="O586" s="4"/>
      <c r="P586" s="4" t="s">
        <v>169</v>
      </c>
      <c r="Q586" s="4" t="s">
        <v>142</v>
      </c>
      <c r="R586" s="4">
        <v>34</v>
      </c>
      <c r="S586" s="4">
        <v>45</v>
      </c>
      <c r="T586" s="4">
        <v>1</v>
      </c>
      <c r="U586" s="4">
        <v>-38.38048671</v>
      </c>
      <c r="V586" s="4">
        <v>176.25852129</v>
      </c>
      <c r="W586" s="4"/>
      <c r="X586" s="4"/>
      <c r="Y586" s="4"/>
      <c r="Z586" s="4"/>
      <c r="AA586" s="4" t="s">
        <v>152</v>
      </c>
      <c r="AB586" s="4"/>
      <c r="AC586" s="4" t="b">
        <v>0</v>
      </c>
      <c r="AD586" s="4" t="b">
        <v>0</v>
      </c>
      <c r="AE586" s="4"/>
      <c r="AF586" s="4"/>
      <c r="AG586" s="4" t="b">
        <v>0</v>
      </c>
      <c r="AH586" s="4"/>
      <c r="AI586" s="5">
        <v>40984</v>
      </c>
      <c r="AJ586" s="5">
        <v>40981</v>
      </c>
      <c r="AK586" s="5">
        <v>41050</v>
      </c>
      <c r="AL586" s="5">
        <v>41051</v>
      </c>
      <c r="AM586" s="5">
        <v>41054</v>
      </c>
      <c r="AN586" s="5">
        <v>41051</v>
      </c>
      <c r="AO586" s="4">
        <v>1</v>
      </c>
      <c r="AP586" s="5">
        <v>41054</v>
      </c>
      <c r="AQ586" s="5">
        <v>41051</v>
      </c>
      <c r="AR586" s="5">
        <v>41064</v>
      </c>
      <c r="AS586" s="5">
        <v>41051</v>
      </c>
      <c r="AT586" s="5">
        <v>41078</v>
      </c>
      <c r="AU586" s="5">
        <v>41051</v>
      </c>
      <c r="AV586" s="4"/>
      <c r="AW586" s="5">
        <v>41182</v>
      </c>
      <c r="AX586" s="5">
        <v>41214</v>
      </c>
      <c r="AY586" s="4" t="s">
        <v>1901</v>
      </c>
      <c r="AZ586" s="5">
        <v>41064</v>
      </c>
      <c r="BA586" s="5">
        <v>41068</v>
      </c>
      <c r="BB586" s="5">
        <v>41105</v>
      </c>
      <c r="BC586" s="5">
        <v>41087</v>
      </c>
      <c r="BD586" s="4">
        <v>1</v>
      </c>
      <c r="BE586" s="5">
        <v>41105</v>
      </c>
      <c r="BF586" s="5">
        <v>41087</v>
      </c>
      <c r="BG586" s="5">
        <v>41073</v>
      </c>
      <c r="BH586" s="5">
        <v>41073</v>
      </c>
      <c r="BI586" s="5">
        <v>41121</v>
      </c>
      <c r="BJ586" s="5">
        <v>41144</v>
      </c>
      <c r="BK586" s="4">
        <v>1</v>
      </c>
      <c r="BL586" s="4"/>
      <c r="BM586" s="5">
        <v>41121</v>
      </c>
      <c r="BN586" s="5">
        <v>41144</v>
      </c>
      <c r="BO586" s="5">
        <v>41143</v>
      </c>
      <c r="BP586" s="4"/>
      <c r="BQ586" s="4"/>
      <c r="BR586" s="4"/>
      <c r="BS586" s="4"/>
      <c r="BT586" s="5">
        <v>41155</v>
      </c>
      <c r="BU586" s="5">
        <v>41142</v>
      </c>
      <c r="BV586" s="5">
        <v>41166</v>
      </c>
      <c r="BW586" s="5">
        <v>41164</v>
      </c>
      <c r="BX586" s="5">
        <v>41164</v>
      </c>
      <c r="BY586" s="5">
        <v>41173</v>
      </c>
      <c r="BZ586" s="5">
        <v>41173</v>
      </c>
      <c r="CA586" s="5">
        <v>41173</v>
      </c>
      <c r="CB586" s="5">
        <v>41173</v>
      </c>
      <c r="CC586" s="4"/>
      <c r="CD586" s="4"/>
      <c r="CE586" s="4"/>
      <c r="CF586" s="4"/>
      <c r="CG586" s="4"/>
      <c r="CH586" s="4"/>
      <c r="CI586" s="5">
        <v>41176</v>
      </c>
      <c r="CJ586" s="5">
        <v>41194</v>
      </c>
      <c r="CK586" s="5">
        <v>41187</v>
      </c>
      <c r="CL586" s="5">
        <v>41208</v>
      </c>
      <c r="CM586" s="5">
        <v>41198</v>
      </c>
      <c r="CN586" s="5">
        <v>41375</v>
      </c>
      <c r="CO586" s="5">
        <v>41375</v>
      </c>
      <c r="CP586" s="4" t="s">
        <v>1914</v>
      </c>
      <c r="CQ586" s="4" t="s">
        <v>1657</v>
      </c>
      <c r="CR586" s="5">
        <v>41176</v>
      </c>
      <c r="CS586" s="4"/>
      <c r="CT586" s="4"/>
      <c r="CU586" s="5">
        <v>41152</v>
      </c>
      <c r="CV586" s="5">
        <v>41152</v>
      </c>
      <c r="CW586" s="5">
        <v>41143</v>
      </c>
      <c r="CX586" s="5">
        <v>41143</v>
      </c>
      <c r="CY586" s="5">
        <v>41165</v>
      </c>
      <c r="CZ586" s="5">
        <v>41166</v>
      </c>
      <c r="DA586" s="5">
        <v>41185</v>
      </c>
      <c r="DB586" s="5">
        <v>41184</v>
      </c>
      <c r="DC586" s="4"/>
      <c r="DD586" s="4"/>
      <c r="DE586" s="4" t="s">
        <v>1892</v>
      </c>
      <c r="DF586" s="5">
        <v>41173</v>
      </c>
      <c r="DG586" s="5">
        <v>41173</v>
      </c>
      <c r="DH586" s="4" t="s">
        <v>174</v>
      </c>
      <c r="DI586" s="5">
        <v>41165</v>
      </c>
      <c r="DJ586" s="4" t="b">
        <v>0</v>
      </c>
      <c r="DK586" s="4"/>
      <c r="DL586" s="4">
        <v>2794748</v>
      </c>
      <c r="DM586" s="4">
        <v>6308488</v>
      </c>
      <c r="DN586" s="4" t="s">
        <v>1915</v>
      </c>
      <c r="DO586" s="4"/>
      <c r="DP586" s="4"/>
      <c r="DQ586" s="4" t="s">
        <v>148</v>
      </c>
      <c r="DR586" s="4"/>
      <c r="DS586" s="4"/>
      <c r="DT586" s="4"/>
      <c r="DU586" s="4"/>
      <c r="DV586" s="4"/>
      <c r="DW586" s="4"/>
      <c r="DX586" s="4"/>
      <c r="DY586" s="4"/>
      <c r="DZ586" s="4"/>
      <c r="EA586" s="4"/>
      <c r="EB586" s="4"/>
      <c r="EC586" s="4"/>
      <c r="ED586" s="4"/>
      <c r="EE586" s="4"/>
      <c r="EF586" s="4"/>
      <c r="EG586" s="5">
        <v>41180</v>
      </c>
      <c r="EH586" s="5">
        <v>41184</v>
      </c>
      <c r="EI586" s="5">
        <v>41046</v>
      </c>
    </row>
    <row r="587" spans="1:139" hidden="1" x14ac:dyDescent="0.2">
      <c r="A587">
        <f>VLOOKUP(B587,Sheet1!$A$1:$B$18,2,FALSE)</f>
        <v>0</v>
      </c>
      <c r="B587" t="str">
        <f t="shared" si="10"/>
        <v>BOP</v>
      </c>
      <c r="C587" s="2">
        <v>586</v>
      </c>
      <c r="D587" s="3" t="str">
        <f>HYPERLINK("https://sitebase.nzcomms.co.nz/spm/spmnominalview/BOP-024-021/","BOP-024-021")</f>
        <v>BOP-024-021</v>
      </c>
      <c r="E587" s="4" t="s">
        <v>1916</v>
      </c>
      <c r="F587" s="3" t="str">
        <f>HYPERLINK("https://sitebase.nzcomms.co.nz/spm/spmcandidateview/BOP-024-021-D/","BOP-024-021-D")</f>
        <v>BOP-024-021-D</v>
      </c>
      <c r="G587" s="4" t="s">
        <v>1917</v>
      </c>
      <c r="H587" s="4" t="s">
        <v>1841</v>
      </c>
      <c r="I587" s="4">
        <v>23</v>
      </c>
      <c r="J587" s="4" t="s">
        <v>331</v>
      </c>
      <c r="K587" s="4" t="s">
        <v>141</v>
      </c>
      <c r="L587" s="4" t="s">
        <v>142</v>
      </c>
      <c r="M587" s="4" t="s">
        <v>166</v>
      </c>
      <c r="N587" s="4"/>
      <c r="O587" s="4"/>
      <c r="P587" s="4" t="s">
        <v>182</v>
      </c>
      <c r="Q587" s="4"/>
      <c r="R587" s="4"/>
      <c r="S587" s="4"/>
      <c r="T587" s="4"/>
      <c r="U587" s="4"/>
      <c r="V587" s="4"/>
      <c r="W587" s="4"/>
      <c r="X587" s="4"/>
      <c r="Y587" s="4"/>
      <c r="Z587" s="4"/>
      <c r="AA587" s="4"/>
      <c r="AB587" s="4"/>
      <c r="AC587" s="4" t="b">
        <v>0</v>
      </c>
      <c r="AD587" s="4" t="b">
        <v>0</v>
      </c>
      <c r="AE587" s="4"/>
      <c r="AF587" s="4"/>
      <c r="AG587" s="4" t="b">
        <v>0</v>
      </c>
      <c r="AH587" s="4"/>
      <c r="AI587" s="5">
        <v>42342</v>
      </c>
      <c r="AJ587" s="5">
        <v>42339</v>
      </c>
      <c r="AK587" s="5">
        <v>42349</v>
      </c>
      <c r="AL587" s="5">
        <v>42342</v>
      </c>
      <c r="AM587" s="5">
        <v>42419</v>
      </c>
      <c r="AN587" s="4"/>
      <c r="AO587" s="4"/>
      <c r="AP587" s="5">
        <v>42419</v>
      </c>
      <c r="AQ587" s="4"/>
      <c r="AR587" s="5">
        <v>42461</v>
      </c>
      <c r="AS587" s="4"/>
      <c r="AT587" s="5">
        <v>42510</v>
      </c>
      <c r="AU587" s="4"/>
      <c r="AV587" s="4"/>
      <c r="AW587" s="5">
        <v>42517</v>
      </c>
      <c r="AX587" s="4"/>
      <c r="AY587" s="4"/>
      <c r="AZ587" s="5">
        <v>42492</v>
      </c>
      <c r="BA587" s="4"/>
      <c r="BB587" s="5">
        <v>42580</v>
      </c>
      <c r="BC587" s="4"/>
      <c r="BD587" s="4"/>
      <c r="BE587" s="5">
        <v>42580</v>
      </c>
      <c r="BF587" s="4"/>
      <c r="BG587" s="5">
        <v>42527</v>
      </c>
      <c r="BH587" s="4"/>
      <c r="BI587" s="5">
        <v>42580</v>
      </c>
      <c r="BJ587" s="4"/>
      <c r="BK587" s="4"/>
      <c r="BL587" s="4"/>
      <c r="BM587" s="5">
        <v>42580</v>
      </c>
      <c r="BN587" s="4"/>
      <c r="BO587" s="4"/>
      <c r="BP587" s="4"/>
      <c r="BQ587" s="4"/>
      <c r="BR587" s="4"/>
      <c r="BS587" s="4"/>
      <c r="BT587" s="5">
        <v>42590</v>
      </c>
      <c r="BU587" s="4"/>
      <c r="BV587" s="4"/>
      <c r="BW587" s="4"/>
      <c r="BX587" s="4"/>
      <c r="BY587" s="4"/>
      <c r="BZ587" s="4"/>
      <c r="CA587" s="4"/>
      <c r="CB587" s="4"/>
      <c r="CC587" s="4"/>
      <c r="CD587" s="4"/>
      <c r="CE587" s="4"/>
      <c r="CF587" s="4"/>
      <c r="CG587" s="4"/>
      <c r="CH587" s="4"/>
      <c r="CI587" s="4"/>
      <c r="CJ587" s="5">
        <v>42685</v>
      </c>
      <c r="CK587" s="4"/>
      <c r="CL587" s="4"/>
      <c r="CM587" s="4"/>
      <c r="CN587" s="4"/>
      <c r="CO587" s="4"/>
      <c r="CP587" s="4" t="s">
        <v>1918</v>
      </c>
      <c r="CQ587" s="4"/>
      <c r="CR587" s="4"/>
      <c r="CS587" s="4"/>
      <c r="CT587" s="4"/>
      <c r="CU587" s="4"/>
      <c r="CV587" s="4"/>
      <c r="CW587" s="4"/>
      <c r="CX587" s="4"/>
      <c r="CY587" s="4"/>
      <c r="CZ587" s="4"/>
      <c r="DA587" s="5">
        <v>42678</v>
      </c>
      <c r="DB587" s="4"/>
      <c r="DC587" s="4"/>
      <c r="DD587" s="4"/>
      <c r="DE587" s="4" t="s">
        <v>1892</v>
      </c>
      <c r="DF587" s="4"/>
      <c r="DG587" s="4"/>
      <c r="DH587" s="4" t="s">
        <v>174</v>
      </c>
      <c r="DI587" s="4"/>
      <c r="DJ587" s="4" t="b">
        <v>0</v>
      </c>
      <c r="DK587" s="4"/>
      <c r="DL587" s="4"/>
      <c r="DM587" s="4"/>
      <c r="DN587" s="4" t="s">
        <v>1919</v>
      </c>
      <c r="DO587" s="4"/>
      <c r="DP587" s="4"/>
      <c r="DQ587" s="4" t="s">
        <v>148</v>
      </c>
      <c r="DR587" s="4" t="s">
        <v>255</v>
      </c>
      <c r="DS587" s="4"/>
      <c r="DT587" s="4"/>
      <c r="DU587" s="4" t="s">
        <v>178</v>
      </c>
      <c r="DV587" s="4"/>
      <c r="DW587" s="4"/>
      <c r="DX587" s="4"/>
      <c r="DY587" s="4"/>
      <c r="DZ587" s="4"/>
      <c r="EA587" s="4"/>
      <c r="EB587" s="4"/>
      <c r="EC587" s="4"/>
      <c r="ED587" s="4"/>
      <c r="EE587" s="5">
        <v>42580</v>
      </c>
      <c r="EF587" s="4"/>
      <c r="EG587" s="4"/>
      <c r="EH587" s="4"/>
      <c r="EI587" s="5">
        <v>42342</v>
      </c>
    </row>
    <row r="588" spans="1:139" hidden="1" x14ac:dyDescent="0.2">
      <c r="A588">
        <f>VLOOKUP(B588,Sheet1!$A$1:$B$18,2,FALSE)</f>
        <v>0</v>
      </c>
      <c r="B588" t="str">
        <f t="shared" si="10"/>
        <v>BOP</v>
      </c>
      <c r="C588" s="2">
        <v>587</v>
      </c>
      <c r="D588" s="3" t="str">
        <f>HYPERLINK("https://sitebase.nzcomms.co.nz/spm/spmnominalview/BOP-024-022/","BOP-024-022")</f>
        <v>BOP-024-022</v>
      </c>
      <c r="E588" s="4" t="s">
        <v>1920</v>
      </c>
      <c r="F588" s="4"/>
      <c r="G588" s="4"/>
      <c r="H588" s="4" t="s">
        <v>1841</v>
      </c>
      <c r="I588" s="4"/>
      <c r="J588" s="4" t="s">
        <v>196</v>
      </c>
      <c r="K588" s="4"/>
      <c r="L588" s="4"/>
      <c r="M588" s="4"/>
      <c r="N588" s="4"/>
      <c r="O588" s="4"/>
      <c r="P588" s="4"/>
      <c r="Q588" s="4"/>
      <c r="R588" s="4"/>
      <c r="S588" s="4"/>
      <c r="T588" s="4"/>
      <c r="U588" s="4"/>
      <c r="V588" s="4"/>
      <c r="W588" s="4"/>
      <c r="X588" s="4"/>
      <c r="Y588" s="4"/>
      <c r="Z588" s="4"/>
      <c r="AA588" s="4"/>
      <c r="AB588" s="4"/>
      <c r="AC588" s="4"/>
      <c r="AD588" s="4"/>
      <c r="AE588" s="4"/>
      <c r="AF588" s="4"/>
      <c r="AG588" s="4" t="b">
        <v>0</v>
      </c>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t="s">
        <v>1921</v>
      </c>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row>
    <row r="589" spans="1:139" hidden="1" x14ac:dyDescent="0.2">
      <c r="A589">
        <f>VLOOKUP(B589,Sheet1!$A$1:$B$18,2,FALSE)</f>
        <v>0</v>
      </c>
      <c r="B589" t="str">
        <f t="shared" si="10"/>
        <v>BOP</v>
      </c>
      <c r="C589" s="2">
        <v>588</v>
      </c>
      <c r="D589" s="3" t="str">
        <f>HYPERLINK("https://sitebase.nzcomms.co.nz/spm/spmnominalview/BOP-024-023/","BOP-024-023")</f>
        <v>BOP-024-023</v>
      </c>
      <c r="E589" s="4" t="s">
        <v>1922</v>
      </c>
      <c r="F589" s="3" t="str">
        <f>HYPERLINK("https://sitebase.nzcomms.co.nz/spm/spmcandidateview/BOP-024-023-A/","BOP-024-023-A")</f>
        <v>BOP-024-023-A</v>
      </c>
      <c r="G589" s="4" t="s">
        <v>1923</v>
      </c>
      <c r="H589" s="4" t="s">
        <v>1841</v>
      </c>
      <c r="I589" s="4">
        <v>2</v>
      </c>
      <c r="J589" s="4" t="s">
        <v>1633</v>
      </c>
      <c r="K589" s="4" t="s">
        <v>141</v>
      </c>
      <c r="L589" s="4" t="s">
        <v>181</v>
      </c>
      <c r="M589" s="4" t="s">
        <v>166</v>
      </c>
      <c r="N589" s="4" t="s">
        <v>181</v>
      </c>
      <c r="O589" s="4" t="s">
        <v>144</v>
      </c>
      <c r="P589" s="4" t="s">
        <v>182</v>
      </c>
      <c r="Q589" s="4" t="s">
        <v>170</v>
      </c>
      <c r="R589" s="4">
        <v>16.600000000000001</v>
      </c>
      <c r="S589" s="4">
        <v>17.7</v>
      </c>
      <c r="T589" s="4">
        <v>1</v>
      </c>
      <c r="U589" s="4">
        <v>-38.149863359999998</v>
      </c>
      <c r="V589" s="4">
        <v>176.25734041999999</v>
      </c>
      <c r="W589" s="4"/>
      <c r="X589" s="5">
        <v>40308</v>
      </c>
      <c r="Y589" s="4"/>
      <c r="Z589" s="5">
        <v>40296</v>
      </c>
      <c r="AA589" s="4" t="s">
        <v>171</v>
      </c>
      <c r="AB589" s="3" t="str">
        <f>HYPERLINK("https://sitebase.nzcomms.co.nz/spm/spmcandidateview/BOP-024-003-A/","BOP-024-003-A")</f>
        <v>BOP-024-003-A</v>
      </c>
      <c r="AC589" s="4" t="b">
        <v>0</v>
      </c>
      <c r="AD589" s="4" t="b">
        <v>0</v>
      </c>
      <c r="AE589" s="5">
        <v>40308</v>
      </c>
      <c r="AF589" s="4"/>
      <c r="AG589" s="4" t="b">
        <v>0</v>
      </c>
      <c r="AH589" s="4" t="s">
        <v>1857</v>
      </c>
      <c r="AI589" s="5">
        <v>40668</v>
      </c>
      <c r="AJ589" s="5">
        <v>40612</v>
      </c>
      <c r="AK589" s="5">
        <v>40620</v>
      </c>
      <c r="AL589" s="5">
        <v>40616</v>
      </c>
      <c r="AM589" s="5">
        <v>40641</v>
      </c>
      <c r="AN589" s="5">
        <v>40646</v>
      </c>
      <c r="AO589" s="4">
        <v>2</v>
      </c>
      <c r="AP589" s="5">
        <v>40641</v>
      </c>
      <c r="AQ589" s="5">
        <v>41981</v>
      </c>
      <c r="AR589" s="5">
        <v>40690</v>
      </c>
      <c r="AS589" s="5">
        <v>40689</v>
      </c>
      <c r="AT589" s="5">
        <v>40715</v>
      </c>
      <c r="AU589" s="5">
        <v>40710</v>
      </c>
      <c r="AV589" s="4">
        <v>1</v>
      </c>
      <c r="AW589" s="5">
        <v>40715</v>
      </c>
      <c r="AX589" s="5">
        <v>40711</v>
      </c>
      <c r="AY589" s="4" t="s">
        <v>183</v>
      </c>
      <c r="AZ589" s="5">
        <v>40669</v>
      </c>
      <c r="BA589" s="5">
        <v>40669</v>
      </c>
      <c r="BB589" s="5">
        <v>40711</v>
      </c>
      <c r="BC589" s="5">
        <v>40693</v>
      </c>
      <c r="BD589" s="4">
        <v>1</v>
      </c>
      <c r="BE589" s="5">
        <v>40718</v>
      </c>
      <c r="BF589" s="5">
        <v>40696</v>
      </c>
      <c r="BG589" s="4"/>
      <c r="BH589" s="4"/>
      <c r="BI589" s="5">
        <v>40823</v>
      </c>
      <c r="BJ589" s="5">
        <v>40843</v>
      </c>
      <c r="BK589" s="4">
        <v>2</v>
      </c>
      <c r="BL589" s="4"/>
      <c r="BM589" s="5">
        <v>40823</v>
      </c>
      <c r="BN589" s="5">
        <v>40843</v>
      </c>
      <c r="BO589" s="5">
        <v>40834</v>
      </c>
      <c r="BP589" s="4"/>
      <c r="BQ589" s="4"/>
      <c r="BR589" s="4"/>
      <c r="BS589" s="4"/>
      <c r="BT589" s="5">
        <v>40833</v>
      </c>
      <c r="BU589" s="5">
        <v>40833</v>
      </c>
      <c r="BV589" s="5">
        <v>40868</v>
      </c>
      <c r="BW589" s="5">
        <v>40868</v>
      </c>
      <c r="BX589" s="5">
        <v>40862</v>
      </c>
      <c r="BY589" s="5">
        <v>40873</v>
      </c>
      <c r="BZ589" s="5">
        <v>40873</v>
      </c>
      <c r="CA589" s="4"/>
      <c r="CB589" s="4"/>
      <c r="CC589" s="4"/>
      <c r="CD589" s="4"/>
      <c r="CE589" s="4"/>
      <c r="CF589" s="4"/>
      <c r="CG589" s="4"/>
      <c r="CH589" s="4"/>
      <c r="CI589" s="5">
        <v>40876</v>
      </c>
      <c r="CJ589" s="5">
        <v>40886</v>
      </c>
      <c r="CK589" s="5">
        <v>40884</v>
      </c>
      <c r="CL589" s="5">
        <v>40866</v>
      </c>
      <c r="CM589" s="5">
        <v>40893</v>
      </c>
      <c r="CN589" s="5">
        <v>40983</v>
      </c>
      <c r="CO589" s="5">
        <v>41170</v>
      </c>
      <c r="CP589" s="4" t="s">
        <v>1924</v>
      </c>
      <c r="CQ589" s="4"/>
      <c r="CR589" s="5">
        <v>40875</v>
      </c>
      <c r="CS589" s="5">
        <v>40777</v>
      </c>
      <c r="CT589" s="5">
        <v>40777</v>
      </c>
      <c r="CU589" s="5">
        <v>40820</v>
      </c>
      <c r="CV589" s="5">
        <v>40849</v>
      </c>
      <c r="CW589" s="5">
        <v>40826</v>
      </c>
      <c r="CX589" s="5">
        <v>40834</v>
      </c>
      <c r="CY589" s="5">
        <v>40865</v>
      </c>
      <c r="CZ589" s="5">
        <v>40865</v>
      </c>
      <c r="DA589" s="4"/>
      <c r="DB589" s="5">
        <v>40882</v>
      </c>
      <c r="DC589" s="4"/>
      <c r="DD589" s="4"/>
      <c r="DE589" s="4"/>
      <c r="DF589" s="4"/>
      <c r="DG589" s="4"/>
      <c r="DH589" s="4"/>
      <c r="DI589" s="5">
        <v>40863</v>
      </c>
      <c r="DJ589" s="4" t="b">
        <v>0</v>
      </c>
      <c r="DK589" s="4"/>
      <c r="DL589" s="4">
        <v>2795579</v>
      </c>
      <c r="DM589" s="4">
        <v>6334070</v>
      </c>
      <c r="DN589" s="4" t="s">
        <v>1925</v>
      </c>
      <c r="DO589" s="4"/>
      <c r="DP589" s="4" t="s">
        <v>1926</v>
      </c>
      <c r="DQ589" s="4" t="s">
        <v>148</v>
      </c>
      <c r="DR589" s="4"/>
      <c r="DS589" s="4"/>
      <c r="DT589" s="4"/>
      <c r="DU589" s="4"/>
      <c r="DV589" s="4"/>
      <c r="DW589" s="4"/>
      <c r="DX589" s="4"/>
      <c r="DY589" s="4"/>
      <c r="DZ589" s="4"/>
      <c r="EA589" s="4"/>
      <c r="EB589" s="4"/>
      <c r="EC589" s="4"/>
      <c r="ED589" s="4"/>
      <c r="EE589" s="4"/>
      <c r="EF589" s="4"/>
      <c r="EG589" s="5">
        <v>40879</v>
      </c>
      <c r="EH589" s="5">
        <v>40882</v>
      </c>
      <c r="EI589" s="5">
        <v>40616</v>
      </c>
    </row>
    <row r="590" spans="1:139" hidden="1" x14ac:dyDescent="0.2">
      <c r="A590">
        <f>VLOOKUP(B590,Sheet1!$A$1:$B$18,2,FALSE)</f>
        <v>0</v>
      </c>
      <c r="B590" t="str">
        <f t="shared" si="10"/>
        <v>BOP</v>
      </c>
      <c r="C590" s="2">
        <v>589</v>
      </c>
      <c r="D590" s="3" t="str">
        <f>HYPERLINK("https://sitebase.nzcomms.co.nz/spm/spmnominalview/BOP-024-024/","BOP-024-024")</f>
        <v>BOP-024-024</v>
      </c>
      <c r="E590" s="4" t="s">
        <v>282</v>
      </c>
      <c r="F590" s="3" t="str">
        <f>HYPERLINK("https://sitebase.nzcomms.co.nz/spm/spmcandidateview/BOP-024-024-B/","BOP-024-024-B")</f>
        <v>BOP-024-024-B</v>
      </c>
      <c r="G590" s="4" t="s">
        <v>1927</v>
      </c>
      <c r="H590" s="4" t="s">
        <v>1841</v>
      </c>
      <c r="I590" s="4">
        <v>2</v>
      </c>
      <c r="J590" s="4" t="s">
        <v>1633</v>
      </c>
      <c r="K590" s="4" t="s">
        <v>141</v>
      </c>
      <c r="L590" s="4" t="s">
        <v>150</v>
      </c>
      <c r="M590" s="4" t="s">
        <v>190</v>
      </c>
      <c r="N590" s="4" t="s">
        <v>291</v>
      </c>
      <c r="O590" s="4" t="s">
        <v>144</v>
      </c>
      <c r="P590" s="4" t="s">
        <v>169</v>
      </c>
      <c r="Q590" s="4" t="s">
        <v>170</v>
      </c>
      <c r="R590" s="4">
        <v>19.5</v>
      </c>
      <c r="S590" s="4">
        <v>20</v>
      </c>
      <c r="T590" s="4">
        <v>1</v>
      </c>
      <c r="U590" s="4">
        <v>-38.153107810000002</v>
      </c>
      <c r="V590" s="4">
        <v>176.22628391000001</v>
      </c>
      <c r="W590" s="4"/>
      <c r="X590" s="5">
        <v>40308</v>
      </c>
      <c r="Y590" s="4"/>
      <c r="Z590" s="5">
        <v>40296</v>
      </c>
      <c r="AA590" s="4" t="s">
        <v>171</v>
      </c>
      <c r="AB590" s="3" t="str">
        <f>HYPERLINK("https://sitebase.nzcomms.co.nz/spm/spmcandidateview/BOP-024-003-A/","BOP-024-003-A")</f>
        <v>BOP-024-003-A</v>
      </c>
      <c r="AC590" s="4" t="b">
        <v>0</v>
      </c>
      <c r="AD590" s="4" t="b">
        <v>0</v>
      </c>
      <c r="AE590" s="5">
        <v>40308</v>
      </c>
      <c r="AF590" s="4"/>
      <c r="AG590" s="4" t="b">
        <v>0</v>
      </c>
      <c r="AH590" s="4"/>
      <c r="AI590" s="5">
        <v>40613</v>
      </c>
      <c r="AJ590" s="5">
        <v>40612</v>
      </c>
      <c r="AK590" s="5">
        <v>40620</v>
      </c>
      <c r="AL590" s="5">
        <v>40616</v>
      </c>
      <c r="AM590" s="5">
        <v>40644</v>
      </c>
      <c r="AN590" s="5">
        <v>40640</v>
      </c>
      <c r="AO590" s="4">
        <v>4</v>
      </c>
      <c r="AP590" s="5">
        <v>40651</v>
      </c>
      <c r="AQ590" s="5">
        <v>42020</v>
      </c>
      <c r="AR590" s="5">
        <v>40690</v>
      </c>
      <c r="AS590" s="5">
        <v>40689</v>
      </c>
      <c r="AT590" s="5">
        <v>40809</v>
      </c>
      <c r="AU590" s="5">
        <v>40808</v>
      </c>
      <c r="AV590" s="4"/>
      <c r="AW590" s="5">
        <v>40816</v>
      </c>
      <c r="AX590" s="5">
        <v>40813</v>
      </c>
      <c r="AY590" s="4" t="s">
        <v>183</v>
      </c>
      <c r="AZ590" s="5">
        <v>40830</v>
      </c>
      <c r="BA590" s="5">
        <v>40830</v>
      </c>
      <c r="BB590" s="5">
        <v>40862</v>
      </c>
      <c r="BC590" s="5">
        <v>40857</v>
      </c>
      <c r="BD590" s="4">
        <v>3</v>
      </c>
      <c r="BE590" s="5">
        <v>40869</v>
      </c>
      <c r="BF590" s="5">
        <v>40861</v>
      </c>
      <c r="BG590" s="4"/>
      <c r="BH590" s="4"/>
      <c r="BI590" s="4"/>
      <c r="BJ590" s="5">
        <v>40946</v>
      </c>
      <c r="BK590" s="4">
        <v>1</v>
      </c>
      <c r="BL590" s="4"/>
      <c r="BM590" s="4"/>
      <c r="BN590" s="5">
        <v>40946</v>
      </c>
      <c r="BO590" s="5">
        <v>40974</v>
      </c>
      <c r="BP590" s="4"/>
      <c r="BQ590" s="4"/>
      <c r="BR590" s="4"/>
      <c r="BS590" s="4"/>
      <c r="BT590" s="5">
        <v>40941</v>
      </c>
      <c r="BU590" s="5">
        <v>40970</v>
      </c>
      <c r="BV590" s="5">
        <v>40998</v>
      </c>
      <c r="BW590" s="5">
        <v>41004</v>
      </c>
      <c r="BX590" s="5">
        <v>40997</v>
      </c>
      <c r="BY590" s="5">
        <v>40999</v>
      </c>
      <c r="BZ590" s="5">
        <v>41004</v>
      </c>
      <c r="CA590" s="4"/>
      <c r="CB590" s="4"/>
      <c r="CC590" s="4"/>
      <c r="CD590" s="4"/>
      <c r="CE590" s="4"/>
      <c r="CF590" s="4"/>
      <c r="CG590" s="4"/>
      <c r="CH590" s="4"/>
      <c r="CI590" s="5">
        <v>41004</v>
      </c>
      <c r="CJ590" s="5">
        <v>41012</v>
      </c>
      <c r="CK590" s="5">
        <v>41011</v>
      </c>
      <c r="CL590" s="5">
        <v>41029</v>
      </c>
      <c r="CM590" s="5">
        <v>41018</v>
      </c>
      <c r="CN590" s="5">
        <v>41108</v>
      </c>
      <c r="CO590" s="5">
        <v>41152</v>
      </c>
      <c r="CP590" s="4" t="s">
        <v>1928</v>
      </c>
      <c r="CQ590" s="4"/>
      <c r="CR590" s="5">
        <v>40999</v>
      </c>
      <c r="CS590" s="5">
        <v>40974</v>
      </c>
      <c r="CT590" s="5">
        <v>40974</v>
      </c>
      <c r="CU590" s="5">
        <v>40974</v>
      </c>
      <c r="CV590" s="5">
        <v>40974</v>
      </c>
      <c r="CW590" s="5">
        <v>40974</v>
      </c>
      <c r="CX590" s="5">
        <v>40974</v>
      </c>
      <c r="CY590" s="5">
        <v>41009</v>
      </c>
      <c r="CZ590" s="5">
        <v>41047</v>
      </c>
      <c r="DA590" s="4"/>
      <c r="DB590" s="5">
        <v>41004</v>
      </c>
      <c r="DC590" s="4"/>
      <c r="DD590" s="4"/>
      <c r="DE590" s="4"/>
      <c r="DF590" s="4"/>
      <c r="DG590" s="4"/>
      <c r="DH590" s="4"/>
      <c r="DI590" s="5">
        <v>40998</v>
      </c>
      <c r="DJ590" s="4" t="b">
        <v>0</v>
      </c>
      <c r="DK590" s="4"/>
      <c r="DL590" s="4">
        <v>2792846</v>
      </c>
      <c r="DM590" s="4">
        <v>6333809</v>
      </c>
      <c r="DN590" s="4" t="s">
        <v>1929</v>
      </c>
      <c r="DO590" s="4"/>
      <c r="DP590" s="4" t="s">
        <v>1930</v>
      </c>
      <c r="DQ590" s="4" t="s">
        <v>148</v>
      </c>
      <c r="DR590" s="4"/>
      <c r="DS590" s="4"/>
      <c r="DT590" s="5">
        <v>42150</v>
      </c>
      <c r="DU590" s="4"/>
      <c r="DV590" s="4"/>
      <c r="DW590" s="4"/>
      <c r="DX590" s="4"/>
      <c r="DY590" s="4"/>
      <c r="DZ590" s="4"/>
      <c r="EA590" s="4"/>
      <c r="EB590" s="4"/>
      <c r="EC590" s="4"/>
      <c r="ED590" s="4"/>
      <c r="EE590" s="4"/>
      <c r="EF590" s="4"/>
      <c r="EG590" s="5">
        <v>41005</v>
      </c>
      <c r="EH590" s="5">
        <v>41004</v>
      </c>
      <c r="EI590" s="5">
        <v>40616</v>
      </c>
    </row>
    <row r="591" spans="1:139" hidden="1" x14ac:dyDescent="0.2">
      <c r="A591">
        <f>VLOOKUP(B591,Sheet1!$A$1:$B$18,2,FALSE)</f>
        <v>0</v>
      </c>
      <c r="B591" t="str">
        <f t="shared" si="10"/>
        <v>BOP</v>
      </c>
      <c r="C591" s="2">
        <v>590</v>
      </c>
      <c r="D591" s="3" t="str">
        <f>HYPERLINK("https://sitebase.nzcomms.co.nz/spm/spmnominalview/BOP-024-025/","BOP-024-025")</f>
        <v>BOP-024-025</v>
      </c>
      <c r="E591" s="4" t="s">
        <v>1931</v>
      </c>
      <c r="F591" s="4"/>
      <c r="G591" s="4"/>
      <c r="H591" s="4" t="s">
        <v>1841</v>
      </c>
      <c r="I591" s="4"/>
      <c r="J591" s="4" t="s">
        <v>196</v>
      </c>
      <c r="K591" s="4"/>
      <c r="L591" s="4"/>
      <c r="M591" s="4"/>
      <c r="N591" s="4"/>
      <c r="O591" s="4"/>
      <c r="P591" s="4"/>
      <c r="Q591" s="4"/>
      <c r="R591" s="4"/>
      <c r="S591" s="4"/>
      <c r="T591" s="4"/>
      <c r="U591" s="4"/>
      <c r="V591" s="4"/>
      <c r="W591" s="4"/>
      <c r="X591" s="4"/>
      <c r="Y591" s="4"/>
      <c r="Z591" s="4"/>
      <c r="AA591" s="4"/>
      <c r="AB591" s="4"/>
      <c r="AC591" s="4"/>
      <c r="AD591" s="4"/>
      <c r="AE591" s="4"/>
      <c r="AF591" s="4"/>
      <c r="AG591" s="4" t="b">
        <v>0</v>
      </c>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row>
    <row r="592" spans="1:139" hidden="1" x14ac:dyDescent="0.2">
      <c r="A592">
        <f>VLOOKUP(B592,Sheet1!$A$1:$B$18,2,FALSE)</f>
        <v>0</v>
      </c>
      <c r="B592" t="str">
        <f t="shared" si="10"/>
        <v>BOP</v>
      </c>
      <c r="C592" s="2">
        <v>591</v>
      </c>
      <c r="D592" s="3" t="str">
        <f>HYPERLINK("https://sitebase.nzcomms.co.nz/spm/spmnominalview/BOP-024-026/","BOP-024-026")</f>
        <v>BOP-024-026</v>
      </c>
      <c r="E592" s="4" t="s">
        <v>1932</v>
      </c>
      <c r="F592" s="3" t="str">
        <f>HYPERLINK("https://sitebase.nzcomms.co.nz/spm/spmcandidateview/BOP-024-026-A/","BOP-024-026-A")</f>
        <v>BOP-024-026-A</v>
      </c>
      <c r="G592" s="4" t="s">
        <v>1933</v>
      </c>
      <c r="H592" s="4" t="s">
        <v>1841</v>
      </c>
      <c r="I592" s="4">
        <v>2</v>
      </c>
      <c r="J592" s="4" t="s">
        <v>1633</v>
      </c>
      <c r="K592" s="4" t="s">
        <v>141</v>
      </c>
      <c r="L592" s="4" t="s">
        <v>150</v>
      </c>
      <c r="M592" s="4" t="s">
        <v>190</v>
      </c>
      <c r="N592" s="4" t="s">
        <v>291</v>
      </c>
      <c r="O592" s="4" t="s">
        <v>144</v>
      </c>
      <c r="P592" s="4" t="s">
        <v>169</v>
      </c>
      <c r="Q592" s="4" t="s">
        <v>192</v>
      </c>
      <c r="R592" s="4">
        <v>20.6</v>
      </c>
      <c r="S592" s="4">
        <v>21.1</v>
      </c>
      <c r="T592" s="4">
        <v>1</v>
      </c>
      <c r="U592" s="4">
        <v>-38.143815549999999</v>
      </c>
      <c r="V592" s="4">
        <v>176.28218975999999</v>
      </c>
      <c r="W592" s="4"/>
      <c r="X592" s="5">
        <v>40308</v>
      </c>
      <c r="Y592" s="4"/>
      <c r="Z592" s="5">
        <v>40296</v>
      </c>
      <c r="AA592" s="4" t="s">
        <v>171</v>
      </c>
      <c r="AB592" s="3" t="str">
        <f>HYPERLINK("https://sitebase.nzcomms.co.nz/spm/spmcandidateview/BOP-024-023-A/","BOP-024-023-A")</f>
        <v>BOP-024-023-A</v>
      </c>
      <c r="AC592" s="4" t="b">
        <v>0</v>
      </c>
      <c r="AD592" s="4" t="b">
        <v>0</v>
      </c>
      <c r="AE592" s="5">
        <v>40308</v>
      </c>
      <c r="AF592" s="4"/>
      <c r="AG592" s="4" t="b">
        <v>0</v>
      </c>
      <c r="AH592" s="4" t="s">
        <v>1863</v>
      </c>
      <c r="AI592" s="4"/>
      <c r="AJ592" s="5">
        <v>40520</v>
      </c>
      <c r="AK592" s="5">
        <v>40569</v>
      </c>
      <c r="AL592" s="5">
        <v>40568</v>
      </c>
      <c r="AM592" s="5">
        <v>40598</v>
      </c>
      <c r="AN592" s="5">
        <v>40603</v>
      </c>
      <c r="AO592" s="4">
        <v>1</v>
      </c>
      <c r="AP592" s="5">
        <v>40598</v>
      </c>
      <c r="AQ592" s="5">
        <v>40603</v>
      </c>
      <c r="AR592" s="5">
        <v>40634</v>
      </c>
      <c r="AS592" s="5">
        <v>40626</v>
      </c>
      <c r="AT592" s="5">
        <v>40669</v>
      </c>
      <c r="AU592" s="5">
        <v>40668</v>
      </c>
      <c r="AV592" s="4"/>
      <c r="AW592" s="5">
        <v>40676</v>
      </c>
      <c r="AX592" s="5">
        <v>40674</v>
      </c>
      <c r="AY592" s="4" t="s">
        <v>198</v>
      </c>
      <c r="AZ592" s="5">
        <v>40627</v>
      </c>
      <c r="BA592" s="5">
        <v>40627</v>
      </c>
      <c r="BB592" s="5">
        <v>40653</v>
      </c>
      <c r="BC592" s="5">
        <v>40660</v>
      </c>
      <c r="BD592" s="4">
        <v>1</v>
      </c>
      <c r="BE592" s="5">
        <v>40662</v>
      </c>
      <c r="BF592" s="5">
        <v>40662</v>
      </c>
      <c r="BG592" s="4"/>
      <c r="BH592" s="4"/>
      <c r="BI592" s="5">
        <v>40823</v>
      </c>
      <c r="BJ592" s="5">
        <v>40850</v>
      </c>
      <c r="BK592" s="4">
        <v>1</v>
      </c>
      <c r="BL592" s="4"/>
      <c r="BM592" s="5">
        <v>40823</v>
      </c>
      <c r="BN592" s="5">
        <v>40850</v>
      </c>
      <c r="BO592" s="5">
        <v>40849</v>
      </c>
      <c r="BP592" s="4"/>
      <c r="BQ592" s="4"/>
      <c r="BR592" s="4"/>
      <c r="BS592" s="4"/>
      <c r="BT592" s="5">
        <v>40835</v>
      </c>
      <c r="BU592" s="5">
        <v>40836</v>
      </c>
      <c r="BV592" s="5">
        <v>40856</v>
      </c>
      <c r="BW592" s="5">
        <v>40859</v>
      </c>
      <c r="BX592" s="5">
        <v>40856</v>
      </c>
      <c r="BY592" s="5">
        <v>40873</v>
      </c>
      <c r="BZ592" s="5">
        <v>40873</v>
      </c>
      <c r="CA592" s="4"/>
      <c r="CB592" s="4"/>
      <c r="CC592" s="4"/>
      <c r="CD592" s="4"/>
      <c r="CE592" s="4"/>
      <c r="CF592" s="4"/>
      <c r="CG592" s="4"/>
      <c r="CH592" s="4"/>
      <c r="CI592" s="5">
        <v>40876</v>
      </c>
      <c r="CJ592" s="5">
        <v>40886</v>
      </c>
      <c r="CK592" s="5">
        <v>40884</v>
      </c>
      <c r="CL592" s="5">
        <v>40866</v>
      </c>
      <c r="CM592" s="5">
        <v>40893</v>
      </c>
      <c r="CN592" s="5">
        <v>40983</v>
      </c>
      <c r="CO592" s="5">
        <v>41121</v>
      </c>
      <c r="CP592" s="4" t="s">
        <v>1934</v>
      </c>
      <c r="CQ592" s="4"/>
      <c r="CR592" s="5">
        <v>40874</v>
      </c>
      <c r="CS592" s="5">
        <v>40777</v>
      </c>
      <c r="CT592" s="5">
        <v>40777</v>
      </c>
      <c r="CU592" s="5">
        <v>40835</v>
      </c>
      <c r="CV592" s="5">
        <v>40849</v>
      </c>
      <c r="CW592" s="5">
        <v>40835</v>
      </c>
      <c r="CX592" s="5">
        <v>40849</v>
      </c>
      <c r="CY592" s="5">
        <v>40871</v>
      </c>
      <c r="CZ592" s="5">
        <v>40870</v>
      </c>
      <c r="DA592" s="4"/>
      <c r="DB592" s="5">
        <v>40877</v>
      </c>
      <c r="DC592" s="4"/>
      <c r="DD592" s="4"/>
      <c r="DE592" s="4"/>
      <c r="DF592" s="4"/>
      <c r="DG592" s="4"/>
      <c r="DH592" s="4"/>
      <c r="DI592" s="5">
        <v>40854</v>
      </c>
      <c r="DJ592" s="4" t="b">
        <v>0</v>
      </c>
      <c r="DK592" s="4"/>
      <c r="DL592" s="4">
        <v>2797780</v>
      </c>
      <c r="DM592" s="4">
        <v>6334661</v>
      </c>
      <c r="DN592" s="4" t="s">
        <v>1935</v>
      </c>
      <c r="DO592" s="4"/>
      <c r="DP592" s="4" t="s">
        <v>1936</v>
      </c>
      <c r="DQ592" s="4" t="s">
        <v>148</v>
      </c>
      <c r="DR592" s="4"/>
      <c r="DS592" s="4"/>
      <c r="DT592" s="5">
        <v>42150</v>
      </c>
      <c r="DU592" s="4"/>
      <c r="DV592" s="4"/>
      <c r="DW592" s="4"/>
      <c r="DX592" s="4"/>
      <c r="DY592" s="4"/>
      <c r="DZ592" s="4"/>
      <c r="EA592" s="4"/>
      <c r="EB592" s="4"/>
      <c r="EC592" s="4"/>
      <c r="ED592" s="4"/>
      <c r="EE592" s="4"/>
      <c r="EF592" s="4"/>
      <c r="EG592" s="5">
        <v>40879</v>
      </c>
      <c r="EH592" s="5">
        <v>40882</v>
      </c>
      <c r="EI592" s="5">
        <v>40569</v>
      </c>
    </row>
    <row r="593" spans="1:139" hidden="1" x14ac:dyDescent="0.2">
      <c r="A593">
        <f>VLOOKUP(B593,Sheet1!$A$1:$B$18,2,FALSE)</f>
        <v>0</v>
      </c>
      <c r="B593" t="str">
        <f t="shared" si="10"/>
        <v>BOP</v>
      </c>
      <c r="C593" s="2">
        <v>592</v>
      </c>
      <c r="D593" s="3" t="str">
        <f>HYPERLINK("https://sitebase.nzcomms.co.nz/spm/spmnominalview/BOP-024-027/","BOP-024-027")</f>
        <v>BOP-024-027</v>
      </c>
      <c r="E593" s="4" t="s">
        <v>1937</v>
      </c>
      <c r="F593" s="3" t="str">
        <f>HYPERLINK("https://sitebase.nzcomms.co.nz/spm/spmcandidateview/BOP-024-027-C/","BOP-024-027-C")</f>
        <v>BOP-024-027-C</v>
      </c>
      <c r="G593" s="4" t="s">
        <v>1938</v>
      </c>
      <c r="H593" s="4" t="s">
        <v>1841</v>
      </c>
      <c r="I593" s="4">
        <v>2</v>
      </c>
      <c r="J593" s="4" t="s">
        <v>1633</v>
      </c>
      <c r="K593" s="4" t="s">
        <v>141</v>
      </c>
      <c r="L593" s="4" t="s">
        <v>150</v>
      </c>
      <c r="M593" s="4" t="s">
        <v>190</v>
      </c>
      <c r="N593" s="4" t="s">
        <v>156</v>
      </c>
      <c r="O593" s="4" t="s">
        <v>144</v>
      </c>
      <c r="P593" s="4" t="s">
        <v>169</v>
      </c>
      <c r="Q593" s="4" t="s">
        <v>170</v>
      </c>
      <c r="R593" s="4">
        <v>19.5</v>
      </c>
      <c r="S593" s="4">
        <v>20</v>
      </c>
      <c r="T593" s="4">
        <v>1</v>
      </c>
      <c r="U593" s="4">
        <v>-38.110768790000002</v>
      </c>
      <c r="V593" s="4">
        <v>176.31772892999999</v>
      </c>
      <c r="W593" s="4"/>
      <c r="X593" s="5">
        <v>40308</v>
      </c>
      <c r="Y593" s="4"/>
      <c r="Z593" s="5">
        <v>40296</v>
      </c>
      <c r="AA593" s="4" t="s">
        <v>171</v>
      </c>
      <c r="AB593" s="3" t="str">
        <f>HYPERLINK("https://sitebase.nzcomms.co.nz/spm/spmcandidateview/BOP-024-017-A/","BOP-024-017-A")</f>
        <v>BOP-024-017-A</v>
      </c>
      <c r="AC593" s="4" t="b">
        <v>0</v>
      </c>
      <c r="AD593" s="4" t="b">
        <v>0</v>
      </c>
      <c r="AE593" s="5">
        <v>40308</v>
      </c>
      <c r="AF593" s="4"/>
      <c r="AG593" s="4" t="b">
        <v>0</v>
      </c>
      <c r="AH593" s="4"/>
      <c r="AI593" s="4"/>
      <c r="AJ593" s="5">
        <v>40520</v>
      </c>
      <c r="AK593" s="5">
        <v>40630</v>
      </c>
      <c r="AL593" s="5">
        <v>40626</v>
      </c>
      <c r="AM593" s="5">
        <v>40651</v>
      </c>
      <c r="AN593" s="5">
        <v>40823</v>
      </c>
      <c r="AO593" s="4">
        <v>1</v>
      </c>
      <c r="AP593" s="5">
        <v>40651</v>
      </c>
      <c r="AQ593" s="5">
        <v>40823</v>
      </c>
      <c r="AR593" s="5">
        <v>40697</v>
      </c>
      <c r="AS593" s="5">
        <v>40696</v>
      </c>
      <c r="AT593" s="5">
        <v>40795</v>
      </c>
      <c r="AU593" s="5">
        <v>40795</v>
      </c>
      <c r="AV593" s="4">
        <v>1</v>
      </c>
      <c r="AW593" s="5">
        <v>40795</v>
      </c>
      <c r="AX593" s="5">
        <v>40802</v>
      </c>
      <c r="AY593" s="4" t="s">
        <v>203</v>
      </c>
      <c r="AZ593" s="5">
        <v>40701</v>
      </c>
      <c r="BA593" s="5">
        <v>40704</v>
      </c>
      <c r="BB593" s="5">
        <v>40738</v>
      </c>
      <c r="BC593" s="5">
        <v>40732</v>
      </c>
      <c r="BD593" s="4">
        <v>1</v>
      </c>
      <c r="BE593" s="5">
        <v>40745</v>
      </c>
      <c r="BF593" s="5">
        <v>40735</v>
      </c>
      <c r="BG593" s="4"/>
      <c r="BH593" s="4"/>
      <c r="BI593" s="5">
        <v>40823</v>
      </c>
      <c r="BJ593" s="5">
        <v>40850</v>
      </c>
      <c r="BK593" s="4">
        <v>1</v>
      </c>
      <c r="BL593" s="4"/>
      <c r="BM593" s="5">
        <v>40823</v>
      </c>
      <c r="BN593" s="5">
        <v>40850</v>
      </c>
      <c r="BO593" s="5">
        <v>40828</v>
      </c>
      <c r="BP593" s="4"/>
      <c r="BQ593" s="4"/>
      <c r="BR593" s="4"/>
      <c r="BS593" s="4"/>
      <c r="BT593" s="5">
        <v>40825</v>
      </c>
      <c r="BU593" s="5">
        <v>40826</v>
      </c>
      <c r="BV593" s="5">
        <v>40851</v>
      </c>
      <c r="BW593" s="5">
        <v>40859</v>
      </c>
      <c r="BX593" s="5">
        <v>40849</v>
      </c>
      <c r="BY593" s="5">
        <v>40852</v>
      </c>
      <c r="BZ593" s="5">
        <v>40859</v>
      </c>
      <c r="CA593" s="4"/>
      <c r="CB593" s="4"/>
      <c r="CC593" s="4"/>
      <c r="CD593" s="4"/>
      <c r="CE593" s="4"/>
      <c r="CF593" s="4"/>
      <c r="CG593" s="4"/>
      <c r="CH593" s="4"/>
      <c r="CI593" s="5">
        <v>40859</v>
      </c>
      <c r="CJ593" s="5">
        <v>40870</v>
      </c>
      <c r="CK593" s="5">
        <v>40870</v>
      </c>
      <c r="CL593" s="5">
        <v>40866</v>
      </c>
      <c r="CM593" s="5">
        <v>40882</v>
      </c>
      <c r="CN593" s="5">
        <v>40973</v>
      </c>
      <c r="CO593" s="5">
        <v>41087</v>
      </c>
      <c r="CP593" s="4" t="s">
        <v>1939</v>
      </c>
      <c r="CQ593" s="4"/>
      <c r="CR593" s="5">
        <v>40852</v>
      </c>
      <c r="CS593" s="5">
        <v>40777</v>
      </c>
      <c r="CT593" s="5">
        <v>40777</v>
      </c>
      <c r="CU593" s="5">
        <v>40820</v>
      </c>
      <c r="CV593" s="5">
        <v>40849</v>
      </c>
      <c r="CW593" s="5">
        <v>40828</v>
      </c>
      <c r="CX593" s="5">
        <v>40828</v>
      </c>
      <c r="CY593" s="5">
        <v>40849</v>
      </c>
      <c r="CZ593" s="5">
        <v>40849</v>
      </c>
      <c r="DA593" s="4"/>
      <c r="DB593" s="5">
        <v>40868</v>
      </c>
      <c r="DC593" s="4"/>
      <c r="DD593" s="4"/>
      <c r="DE593" s="4"/>
      <c r="DF593" s="4"/>
      <c r="DG593" s="4"/>
      <c r="DH593" s="4"/>
      <c r="DI593" s="5">
        <v>40843</v>
      </c>
      <c r="DJ593" s="4" t="b">
        <v>0</v>
      </c>
      <c r="DK593" s="4"/>
      <c r="DL593" s="4">
        <v>2801029</v>
      </c>
      <c r="DM593" s="4">
        <v>6338211</v>
      </c>
      <c r="DN593" s="4" t="s">
        <v>1940</v>
      </c>
      <c r="DO593" s="4"/>
      <c r="DP593" s="4" t="s">
        <v>1941</v>
      </c>
      <c r="DQ593" s="4" t="s">
        <v>148</v>
      </c>
      <c r="DR593" s="4"/>
      <c r="DS593" s="4"/>
      <c r="DT593" s="4"/>
      <c r="DU593" s="4"/>
      <c r="DV593" s="4"/>
      <c r="DW593" s="4"/>
      <c r="DX593" s="4"/>
      <c r="DY593" s="4"/>
      <c r="DZ593" s="4"/>
      <c r="EA593" s="4"/>
      <c r="EB593" s="4"/>
      <c r="EC593" s="4"/>
      <c r="ED593" s="4"/>
      <c r="EE593" s="4"/>
      <c r="EF593" s="4"/>
      <c r="EG593" s="5">
        <v>40868</v>
      </c>
      <c r="EH593" s="5">
        <v>40868</v>
      </c>
      <c r="EI593" s="5">
        <v>40626</v>
      </c>
    </row>
    <row r="594" spans="1:139" hidden="1" x14ac:dyDescent="0.2">
      <c r="A594">
        <f>VLOOKUP(B594,Sheet1!$A$1:$B$18,2,FALSE)</f>
        <v>0</v>
      </c>
      <c r="B594" t="str">
        <f t="shared" si="10"/>
        <v>BOP</v>
      </c>
      <c r="C594" s="2">
        <v>593</v>
      </c>
      <c r="D594" s="3" t="str">
        <f>HYPERLINK("https://sitebase.nzcomms.co.nz/spm/spmnominalview/BOP-024-028/","BOP-024-028")</f>
        <v>BOP-024-028</v>
      </c>
      <c r="E594" s="4" t="s">
        <v>1942</v>
      </c>
      <c r="F594" s="4"/>
      <c r="G594" s="4"/>
      <c r="H594" s="4" t="s">
        <v>1841</v>
      </c>
      <c r="I594" s="4"/>
      <c r="J594" s="4" t="s">
        <v>196</v>
      </c>
      <c r="K594" s="4"/>
      <c r="L594" s="4"/>
      <c r="M594" s="4"/>
      <c r="N594" s="4"/>
      <c r="O594" s="4"/>
      <c r="P594" s="4"/>
      <c r="Q594" s="4"/>
      <c r="R594" s="4"/>
      <c r="S594" s="4"/>
      <c r="T594" s="4"/>
      <c r="U594" s="4"/>
      <c r="V594" s="4"/>
      <c r="W594" s="4"/>
      <c r="X594" s="4"/>
      <c r="Y594" s="4"/>
      <c r="Z594" s="4"/>
      <c r="AA594" s="4"/>
      <c r="AB594" s="4"/>
      <c r="AC594" s="4"/>
      <c r="AD594" s="4"/>
      <c r="AE594" s="4"/>
      <c r="AF594" s="4"/>
      <c r="AG594" s="4" t="b">
        <v>0</v>
      </c>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row>
    <row r="595" spans="1:139" hidden="1" x14ac:dyDescent="0.2">
      <c r="A595">
        <f>VLOOKUP(B595,Sheet1!$A$1:$B$18,2,FALSE)</f>
        <v>0</v>
      </c>
      <c r="B595" t="str">
        <f t="shared" si="10"/>
        <v>BOP</v>
      </c>
      <c r="C595" s="2">
        <v>594</v>
      </c>
      <c r="D595" s="3" t="str">
        <f>HYPERLINK("https://sitebase.nzcomms.co.nz/spm/spmnominalview/BOP-024-029/","BOP-024-029")</f>
        <v>BOP-024-029</v>
      </c>
      <c r="E595" s="4"/>
      <c r="F595" s="4"/>
      <c r="G595" s="4"/>
      <c r="H595" s="4" t="s">
        <v>1841</v>
      </c>
      <c r="I595" s="4"/>
      <c r="J595" s="4" t="s">
        <v>196</v>
      </c>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row>
    <row r="596" spans="1:139" hidden="1" x14ac:dyDescent="0.2">
      <c r="A596">
        <f>VLOOKUP(B596,Sheet1!$A$1:$B$18,2,FALSE)</f>
        <v>0</v>
      </c>
      <c r="B596" t="str">
        <f t="shared" si="10"/>
        <v>BOP</v>
      </c>
      <c r="C596" s="2">
        <v>595</v>
      </c>
      <c r="D596" s="3" t="str">
        <f>HYPERLINK("https://sitebase.nzcomms.co.nz/spm/spmnominalview/BOP-024-030/","BOP-024-030")</f>
        <v>BOP-024-030</v>
      </c>
      <c r="E596" s="4" t="s">
        <v>1943</v>
      </c>
      <c r="F596" s="3" t="str">
        <f>HYPERLINK("https://sitebase.nzcomms.co.nz/spm/spmcandidateview/BOP-024-030-A/","BOP-024-030-A")</f>
        <v>BOP-024-030-A</v>
      </c>
      <c r="G596" s="4" t="s">
        <v>1944</v>
      </c>
      <c r="H596" s="4" t="s">
        <v>1841</v>
      </c>
      <c r="I596" s="4">
        <v>2</v>
      </c>
      <c r="J596" s="4" t="s">
        <v>1633</v>
      </c>
      <c r="K596" s="4" t="s">
        <v>141</v>
      </c>
      <c r="L596" s="4" t="s">
        <v>150</v>
      </c>
      <c r="M596" s="4" t="s">
        <v>190</v>
      </c>
      <c r="N596" s="4" t="s">
        <v>1557</v>
      </c>
      <c r="O596" s="4" t="s">
        <v>144</v>
      </c>
      <c r="P596" s="4" t="s">
        <v>169</v>
      </c>
      <c r="Q596" s="4" t="s">
        <v>192</v>
      </c>
      <c r="R596" s="4">
        <v>22</v>
      </c>
      <c r="S596" s="4">
        <v>22.5</v>
      </c>
      <c r="T596" s="4">
        <v>1</v>
      </c>
      <c r="U596" s="4">
        <v>-38.079165949999997</v>
      </c>
      <c r="V596" s="4">
        <v>176.21547433000001</v>
      </c>
      <c r="W596" s="5">
        <v>40612</v>
      </c>
      <c r="X596" s="5">
        <v>40612</v>
      </c>
      <c r="Y596" s="5">
        <v>40612</v>
      </c>
      <c r="Z596" s="5">
        <v>40612</v>
      </c>
      <c r="AA596" s="4" t="s">
        <v>171</v>
      </c>
      <c r="AB596" s="3" t="str">
        <f>HYPERLINK("https://sitebase.nzcomms.co.nz/spm/spmcandidateview/BOP-024-017-A/","BOP-024-017-A")</f>
        <v>BOP-024-017-A</v>
      </c>
      <c r="AC596" s="4" t="b">
        <v>1</v>
      </c>
      <c r="AD596" s="4" t="b">
        <v>1</v>
      </c>
      <c r="AE596" s="5">
        <v>40612</v>
      </c>
      <c r="AF596" s="5">
        <v>40612</v>
      </c>
      <c r="AG596" s="4" t="b">
        <v>1</v>
      </c>
      <c r="AH596" s="4"/>
      <c r="AI596" s="5">
        <v>40612</v>
      </c>
      <c r="AJ596" s="5">
        <v>40612</v>
      </c>
      <c r="AK596" s="5">
        <v>40620</v>
      </c>
      <c r="AL596" s="5">
        <v>40616</v>
      </c>
      <c r="AM596" s="5">
        <v>40644</v>
      </c>
      <c r="AN596" s="5">
        <v>40644</v>
      </c>
      <c r="AO596" s="4">
        <v>3</v>
      </c>
      <c r="AP596" s="5">
        <v>40644</v>
      </c>
      <c r="AQ596" s="5">
        <v>40759</v>
      </c>
      <c r="AR596" s="5">
        <v>40662</v>
      </c>
      <c r="AS596" s="5">
        <v>40667</v>
      </c>
      <c r="AT596" s="5">
        <v>40693</v>
      </c>
      <c r="AU596" s="5">
        <v>40694</v>
      </c>
      <c r="AV596" s="4"/>
      <c r="AW596" s="5">
        <v>40693</v>
      </c>
      <c r="AX596" s="5">
        <v>40694</v>
      </c>
      <c r="AY596" s="4" t="s">
        <v>198</v>
      </c>
      <c r="AZ596" s="5">
        <v>40735</v>
      </c>
      <c r="BA596" s="5">
        <v>40732</v>
      </c>
      <c r="BB596" s="5">
        <v>40764</v>
      </c>
      <c r="BC596" s="5">
        <v>40758</v>
      </c>
      <c r="BD596" s="4">
        <v>3</v>
      </c>
      <c r="BE596" s="5">
        <v>40763</v>
      </c>
      <c r="BF596" s="5">
        <v>40763</v>
      </c>
      <c r="BG596" s="4"/>
      <c r="BH596" s="4"/>
      <c r="BI596" s="5">
        <v>40823</v>
      </c>
      <c r="BJ596" s="5">
        <v>40833</v>
      </c>
      <c r="BK596" s="4">
        <v>1</v>
      </c>
      <c r="BL596" s="4"/>
      <c r="BM596" s="5">
        <v>40823</v>
      </c>
      <c r="BN596" s="5">
        <v>40833</v>
      </c>
      <c r="BO596" s="5">
        <v>40885</v>
      </c>
      <c r="BP596" s="4"/>
      <c r="BQ596" s="4"/>
      <c r="BR596" s="4"/>
      <c r="BS596" s="4"/>
      <c r="BT596" s="5">
        <v>40847</v>
      </c>
      <c r="BU596" s="5">
        <v>40834</v>
      </c>
      <c r="BV596" s="5">
        <v>40886</v>
      </c>
      <c r="BW596" s="5">
        <v>40889</v>
      </c>
      <c r="BX596" s="5">
        <v>40885</v>
      </c>
      <c r="BY596" s="5">
        <v>40889</v>
      </c>
      <c r="BZ596" s="5">
        <v>40889</v>
      </c>
      <c r="CA596" s="4"/>
      <c r="CB596" s="4"/>
      <c r="CC596" s="4"/>
      <c r="CD596" s="4"/>
      <c r="CE596" s="4"/>
      <c r="CF596" s="4"/>
      <c r="CG596" s="4"/>
      <c r="CH596" s="4"/>
      <c r="CI596" s="5">
        <v>40891</v>
      </c>
      <c r="CJ596" s="5">
        <v>40893</v>
      </c>
      <c r="CK596" s="5">
        <v>40892</v>
      </c>
      <c r="CL596" s="5">
        <v>40878</v>
      </c>
      <c r="CM596" s="5">
        <v>40935</v>
      </c>
      <c r="CN596" s="5">
        <v>41025</v>
      </c>
      <c r="CO596" s="5">
        <v>41121</v>
      </c>
      <c r="CP596" s="4" t="s">
        <v>1945</v>
      </c>
      <c r="CQ596" s="4"/>
      <c r="CR596" s="5">
        <v>40892</v>
      </c>
      <c r="CS596" s="5">
        <v>40777</v>
      </c>
      <c r="CT596" s="5">
        <v>40777</v>
      </c>
      <c r="CU596" s="5">
        <v>40820</v>
      </c>
      <c r="CV596" s="5">
        <v>40849</v>
      </c>
      <c r="CW596" s="5">
        <v>40879</v>
      </c>
      <c r="CX596" s="5">
        <v>40885</v>
      </c>
      <c r="CY596" s="5">
        <v>40885</v>
      </c>
      <c r="CZ596" s="5">
        <v>40885</v>
      </c>
      <c r="DA596" s="4"/>
      <c r="DB596" s="5">
        <v>40892</v>
      </c>
      <c r="DC596" s="4"/>
      <c r="DD596" s="4"/>
      <c r="DE596" s="4"/>
      <c r="DF596" s="4"/>
      <c r="DG596" s="4"/>
      <c r="DH596" s="4"/>
      <c r="DI596" s="5">
        <v>40879</v>
      </c>
      <c r="DJ596" s="4" t="b">
        <v>0</v>
      </c>
      <c r="DK596" s="4"/>
      <c r="DL596" s="4">
        <v>2792195</v>
      </c>
      <c r="DM596" s="4">
        <v>6342044</v>
      </c>
      <c r="DN596" s="4" t="s">
        <v>1946</v>
      </c>
      <c r="DO596" s="4"/>
      <c r="DP596" s="4" t="s">
        <v>1947</v>
      </c>
      <c r="DQ596" s="4" t="s">
        <v>148</v>
      </c>
      <c r="DR596" s="4"/>
      <c r="DS596" s="4"/>
      <c r="DT596" s="4"/>
      <c r="DU596" s="4"/>
      <c r="DV596" s="4"/>
      <c r="DW596" s="4"/>
      <c r="DX596" s="4"/>
      <c r="DY596" s="4"/>
      <c r="DZ596" s="4"/>
      <c r="EA596" s="4"/>
      <c r="EB596" s="4"/>
      <c r="EC596" s="4"/>
      <c r="ED596" s="4"/>
      <c r="EE596" s="4"/>
      <c r="EF596" s="4"/>
      <c r="EG596" s="5">
        <v>40900</v>
      </c>
      <c r="EH596" s="5">
        <v>40900</v>
      </c>
      <c r="EI596" s="5">
        <v>40616</v>
      </c>
    </row>
    <row r="597" spans="1:139" hidden="1" x14ac:dyDescent="0.2">
      <c r="A597">
        <f>VLOOKUP(B597,Sheet1!$A$1:$B$18,2,FALSE)</f>
        <v>0</v>
      </c>
      <c r="B597" t="str">
        <f t="shared" si="10"/>
        <v>BOP</v>
      </c>
      <c r="C597" s="2">
        <v>596</v>
      </c>
      <c r="D597" s="3" t="str">
        <f>HYPERLINK("https://sitebase.nzcomms.co.nz/spm/spmnominalview/BOP-024-031/","BOP-024-031")</f>
        <v>BOP-024-031</v>
      </c>
      <c r="E597" s="4" t="s">
        <v>1948</v>
      </c>
      <c r="F597" s="4"/>
      <c r="G597" s="4"/>
      <c r="H597" s="4" t="s">
        <v>1841</v>
      </c>
      <c r="I597" s="4"/>
      <c r="J597" s="4" t="s">
        <v>722</v>
      </c>
      <c r="K597" s="4"/>
      <c r="L597" s="4"/>
      <c r="M597" s="4"/>
      <c r="N597" s="4"/>
      <c r="O597" s="4"/>
      <c r="P597" s="4"/>
      <c r="Q597" s="4"/>
      <c r="R597" s="4"/>
      <c r="S597" s="4"/>
      <c r="T597" s="4"/>
      <c r="U597" s="4"/>
      <c r="V597" s="4"/>
      <c r="W597" s="4"/>
      <c r="X597" s="4"/>
      <c r="Y597" s="4"/>
      <c r="Z597" s="4"/>
      <c r="AA597" s="4"/>
      <c r="AB597" s="4"/>
      <c r="AC597" s="4"/>
      <c r="AD597" s="4"/>
      <c r="AE597" s="4"/>
      <c r="AF597" s="4"/>
      <c r="AG597" s="4" t="b">
        <v>0</v>
      </c>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row>
    <row r="598" spans="1:139" hidden="1" x14ac:dyDescent="0.2">
      <c r="A598">
        <f>VLOOKUP(B598,Sheet1!$A$1:$B$18,2,FALSE)</f>
        <v>0</v>
      </c>
      <c r="B598" t="str">
        <f t="shared" si="10"/>
        <v>BOP</v>
      </c>
      <c r="C598" s="2">
        <v>597</v>
      </c>
      <c r="D598" s="3" t="str">
        <f>HYPERLINK("https://sitebase.nzcomms.co.nz/spm/spmnominalview/BOP-024-032/","BOP-024-032")</f>
        <v>BOP-024-032</v>
      </c>
      <c r="E598" s="4" t="s">
        <v>1949</v>
      </c>
      <c r="F598" s="4"/>
      <c r="G598" s="4"/>
      <c r="H598" s="4" t="s">
        <v>1841</v>
      </c>
      <c r="I598" s="4"/>
      <c r="J598" s="4" t="s">
        <v>722</v>
      </c>
      <c r="K598" s="4"/>
      <c r="L598" s="4"/>
      <c r="M598" s="4"/>
      <c r="N598" s="4"/>
      <c r="O598" s="4"/>
      <c r="P598" s="4"/>
      <c r="Q598" s="4"/>
      <c r="R598" s="4"/>
      <c r="S598" s="4"/>
      <c r="T598" s="4"/>
      <c r="U598" s="4"/>
      <c r="V598" s="4"/>
      <c r="W598" s="4"/>
      <c r="X598" s="4"/>
      <c r="Y598" s="4"/>
      <c r="Z598" s="4"/>
      <c r="AA598" s="4"/>
      <c r="AB598" s="4"/>
      <c r="AC598" s="4"/>
      <c r="AD598" s="4"/>
      <c r="AE598" s="4"/>
      <c r="AF598" s="4"/>
      <c r="AG598" s="4" t="b">
        <v>0</v>
      </c>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row>
    <row r="599" spans="1:139" hidden="1" x14ac:dyDescent="0.2">
      <c r="A599">
        <f>VLOOKUP(B599,Sheet1!$A$1:$B$18,2,FALSE)</f>
        <v>0</v>
      </c>
      <c r="B599" t="str">
        <f t="shared" si="10"/>
        <v>BOP</v>
      </c>
      <c r="C599" s="2">
        <v>598</v>
      </c>
      <c r="D599" s="3" t="str">
        <f>HYPERLINK("https://sitebase.nzcomms.co.nz/spm/spmnominalview/BOP-024-033/","BOP-024-033")</f>
        <v>BOP-024-033</v>
      </c>
      <c r="E599" s="4" t="s">
        <v>1950</v>
      </c>
      <c r="F599" s="3" t="str">
        <f>HYPERLINK("https://sitebase.nzcomms.co.nz/spm/spmcandidateview/BOP-024-033-A/","BOP-024-033-A")</f>
        <v>BOP-024-033-A</v>
      </c>
      <c r="G599" s="4" t="s">
        <v>1951</v>
      </c>
      <c r="H599" s="4" t="s">
        <v>1841</v>
      </c>
      <c r="I599" s="4"/>
      <c r="J599" s="4" t="s">
        <v>331</v>
      </c>
      <c r="K599" s="4" t="s">
        <v>141</v>
      </c>
      <c r="L599" s="4" t="s">
        <v>722</v>
      </c>
      <c r="M599" s="4" t="s">
        <v>166</v>
      </c>
      <c r="N599" s="4" t="s">
        <v>142</v>
      </c>
      <c r="O599" s="4"/>
      <c r="P599" s="4" t="s">
        <v>169</v>
      </c>
      <c r="Q599" s="4" t="s">
        <v>170</v>
      </c>
      <c r="R599" s="4"/>
      <c r="S599" s="4"/>
      <c r="T599" s="4"/>
      <c r="U599" s="4"/>
      <c r="V599" s="4"/>
      <c r="W599" s="4"/>
      <c r="X599" s="4"/>
      <c r="Y599" s="4"/>
      <c r="Z599" s="4"/>
      <c r="AA599" s="4"/>
      <c r="AB599" s="4"/>
      <c r="AC599" s="4" t="b">
        <v>0</v>
      </c>
      <c r="AD599" s="4" t="b">
        <v>0</v>
      </c>
      <c r="AE599" s="4"/>
      <c r="AF599" s="4"/>
      <c r="AG599" s="4" t="b">
        <v>0</v>
      </c>
      <c r="AH599" s="4"/>
      <c r="AI599" s="5">
        <v>42293</v>
      </c>
      <c r="AJ599" s="4"/>
      <c r="AK599" s="5">
        <v>42300</v>
      </c>
      <c r="AL599" s="4"/>
      <c r="AM599" s="5">
        <v>42321</v>
      </c>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t="s">
        <v>1521</v>
      </c>
      <c r="DI599" s="4"/>
      <c r="DJ599" s="4" t="b">
        <v>0</v>
      </c>
      <c r="DK599" s="4"/>
      <c r="DL599" s="4"/>
      <c r="DM599" s="4"/>
      <c r="DN599" s="4"/>
      <c r="DO599" s="4"/>
      <c r="DP599" s="4"/>
      <c r="DQ599" s="4" t="s">
        <v>148</v>
      </c>
      <c r="DR599" s="4"/>
      <c r="DS599" s="4"/>
      <c r="DT599" s="4"/>
      <c r="DU599" s="4" t="s">
        <v>178</v>
      </c>
      <c r="DV599" s="4"/>
      <c r="DW599" s="4"/>
      <c r="DX599" s="4"/>
      <c r="DY599" s="4"/>
      <c r="DZ599" s="4"/>
      <c r="EA599" s="4"/>
      <c r="EB599" s="4"/>
      <c r="EC599" s="4"/>
      <c r="ED599" s="4"/>
      <c r="EE599" s="4"/>
      <c r="EF599" s="4"/>
      <c r="EG599" s="4"/>
      <c r="EH599" s="4"/>
      <c r="EI599" s="4"/>
    </row>
    <row r="600" spans="1:139" hidden="1" x14ac:dyDescent="0.2">
      <c r="A600">
        <f>VLOOKUP(B600,Sheet1!$A$1:$B$18,2,FALSE)</f>
        <v>0</v>
      </c>
      <c r="B600" t="str">
        <f t="shared" si="10"/>
        <v>BOP</v>
      </c>
      <c r="C600" s="2">
        <v>599</v>
      </c>
      <c r="D600" s="3" t="str">
        <f>HYPERLINK("https://sitebase.nzcomms.co.nz/spm/spmnominalview/BOP-024-034/","BOP-024-034")</f>
        <v>BOP-024-034</v>
      </c>
      <c r="E600" s="4" t="s">
        <v>1920</v>
      </c>
      <c r="F600" s="4"/>
      <c r="G600" s="4"/>
      <c r="H600" s="4" t="s">
        <v>1841</v>
      </c>
      <c r="I600" s="4"/>
      <c r="J600" s="4" t="s">
        <v>196</v>
      </c>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row>
    <row r="601" spans="1:139" hidden="1" x14ac:dyDescent="0.2">
      <c r="A601">
        <f>VLOOKUP(B601,Sheet1!$A$1:$B$18,2,FALSE)</f>
        <v>0</v>
      </c>
      <c r="B601" t="str">
        <f t="shared" si="10"/>
        <v>BOP</v>
      </c>
      <c r="C601" s="2">
        <v>600</v>
      </c>
      <c r="D601" s="3" t="str">
        <f>HYPERLINK("https://sitebase.nzcomms.co.nz/spm/spmnominalview/BOP-025-001/","BOP-025-001")</f>
        <v>BOP-025-001</v>
      </c>
      <c r="E601" s="4" t="s">
        <v>1952</v>
      </c>
      <c r="F601" s="3" t="str">
        <f>HYPERLINK("https://sitebase.nzcomms.co.nz/spm/spmcandidateview/BOP-025-001-D/","BOP-025-001-D")</f>
        <v>BOP-025-001-D</v>
      </c>
      <c r="G601" s="4" t="s">
        <v>1953</v>
      </c>
      <c r="H601" s="4" t="s">
        <v>1954</v>
      </c>
      <c r="I601" s="4">
        <v>2</v>
      </c>
      <c r="J601" s="4" t="s">
        <v>180</v>
      </c>
      <c r="K601" s="4" t="s">
        <v>141</v>
      </c>
      <c r="L601" s="4" t="s">
        <v>189</v>
      </c>
      <c r="M601" s="4" t="s">
        <v>190</v>
      </c>
      <c r="N601" s="4" t="s">
        <v>612</v>
      </c>
      <c r="O601" s="4"/>
      <c r="P601" s="4" t="s">
        <v>182</v>
      </c>
      <c r="Q601" s="4" t="s">
        <v>192</v>
      </c>
      <c r="R601" s="4"/>
      <c r="S601" s="4"/>
      <c r="T601" s="4">
        <v>1</v>
      </c>
      <c r="U601" s="4">
        <v>-37.95742181</v>
      </c>
      <c r="V601" s="4">
        <v>177.01937962</v>
      </c>
      <c r="W601" s="5">
        <v>40359</v>
      </c>
      <c r="X601" s="5">
        <v>40360</v>
      </c>
      <c r="Y601" s="4"/>
      <c r="Z601" s="5">
        <v>40335</v>
      </c>
      <c r="AA601" s="4" t="s">
        <v>145</v>
      </c>
      <c r="AB601" s="4"/>
      <c r="AC601" s="4" t="b">
        <v>0</v>
      </c>
      <c r="AD601" s="4" t="b">
        <v>0</v>
      </c>
      <c r="AE601" s="4"/>
      <c r="AF601" s="5">
        <v>40480</v>
      </c>
      <c r="AG601" s="4" t="b">
        <v>0</v>
      </c>
      <c r="AH601" s="4"/>
      <c r="AI601" s="5">
        <v>41042</v>
      </c>
      <c r="AJ601" s="5">
        <v>41042</v>
      </c>
      <c r="AK601" s="5">
        <v>41072</v>
      </c>
      <c r="AL601" s="5">
        <v>41072</v>
      </c>
      <c r="AM601" s="5">
        <v>41096</v>
      </c>
      <c r="AN601" s="5">
        <v>41100</v>
      </c>
      <c r="AO601" s="4">
        <v>3</v>
      </c>
      <c r="AP601" s="5">
        <v>41096</v>
      </c>
      <c r="AQ601" s="5">
        <v>42122</v>
      </c>
      <c r="AR601" s="5">
        <v>41131</v>
      </c>
      <c r="AS601" s="5">
        <v>41136</v>
      </c>
      <c r="AT601" s="5">
        <v>41131</v>
      </c>
      <c r="AU601" s="5">
        <v>41136</v>
      </c>
      <c r="AV601" s="4"/>
      <c r="AW601" s="5">
        <v>41138</v>
      </c>
      <c r="AX601" s="5">
        <v>41137</v>
      </c>
      <c r="AY601" s="4" t="s">
        <v>193</v>
      </c>
      <c r="AZ601" s="5">
        <v>41136</v>
      </c>
      <c r="BA601" s="5">
        <v>41134</v>
      </c>
      <c r="BB601" s="5">
        <v>41166</v>
      </c>
      <c r="BC601" s="5">
        <v>41148</v>
      </c>
      <c r="BD601" s="4">
        <v>2</v>
      </c>
      <c r="BE601" s="5">
        <v>41173</v>
      </c>
      <c r="BF601" s="5">
        <v>41148</v>
      </c>
      <c r="BG601" s="5">
        <v>41138</v>
      </c>
      <c r="BH601" s="4"/>
      <c r="BI601" s="5">
        <v>41172</v>
      </c>
      <c r="BJ601" s="5">
        <v>41165</v>
      </c>
      <c r="BK601" s="4">
        <v>1</v>
      </c>
      <c r="BL601" s="4"/>
      <c r="BM601" s="5">
        <v>41172</v>
      </c>
      <c r="BN601" s="5">
        <v>41165</v>
      </c>
      <c r="BO601" s="4"/>
      <c r="BP601" s="4"/>
      <c r="BQ601" s="4"/>
      <c r="BR601" s="5">
        <v>41155</v>
      </c>
      <c r="BS601" s="4"/>
      <c r="BT601" s="5">
        <v>41184</v>
      </c>
      <c r="BU601" s="5">
        <v>41184</v>
      </c>
      <c r="BV601" s="5">
        <v>41207</v>
      </c>
      <c r="BW601" s="5">
        <v>41207</v>
      </c>
      <c r="BX601" s="5">
        <v>41191</v>
      </c>
      <c r="BY601" s="5">
        <v>41222</v>
      </c>
      <c r="BZ601" s="5">
        <v>41222</v>
      </c>
      <c r="CA601" s="5">
        <v>41221</v>
      </c>
      <c r="CB601" s="5">
        <v>41220</v>
      </c>
      <c r="CC601" s="4"/>
      <c r="CD601" s="4"/>
      <c r="CE601" s="4"/>
      <c r="CF601" s="4"/>
      <c r="CG601" s="4"/>
      <c r="CH601" s="4"/>
      <c r="CI601" s="5">
        <v>41225</v>
      </c>
      <c r="CJ601" s="5">
        <v>41239</v>
      </c>
      <c r="CK601" s="5">
        <v>41228</v>
      </c>
      <c r="CL601" s="5">
        <v>41255</v>
      </c>
      <c r="CM601" s="5">
        <v>41240</v>
      </c>
      <c r="CN601" s="5">
        <v>41390</v>
      </c>
      <c r="CO601" s="5">
        <v>41390</v>
      </c>
      <c r="CP601" s="4" t="s">
        <v>1955</v>
      </c>
      <c r="CQ601" s="4"/>
      <c r="CR601" s="5">
        <v>41223</v>
      </c>
      <c r="CS601" s="5">
        <v>41188</v>
      </c>
      <c r="CT601" s="5">
        <v>41188</v>
      </c>
      <c r="CU601" s="5">
        <v>41185</v>
      </c>
      <c r="CV601" s="5">
        <v>41185</v>
      </c>
      <c r="CW601" s="5">
        <v>41197</v>
      </c>
      <c r="CX601" s="4"/>
      <c r="CY601" s="5">
        <v>41215</v>
      </c>
      <c r="CZ601" s="5">
        <v>41215</v>
      </c>
      <c r="DA601" s="5">
        <v>41225</v>
      </c>
      <c r="DB601" s="5">
        <v>41226</v>
      </c>
      <c r="DC601" s="5">
        <v>41102</v>
      </c>
      <c r="DD601" s="4" t="s">
        <v>586</v>
      </c>
      <c r="DE601" s="4" t="s">
        <v>1956</v>
      </c>
      <c r="DF601" s="5">
        <v>41211</v>
      </c>
      <c r="DG601" s="5">
        <v>41220</v>
      </c>
      <c r="DH601" s="4" t="s">
        <v>174</v>
      </c>
      <c r="DI601" s="5">
        <v>41191</v>
      </c>
      <c r="DJ601" s="4" t="b">
        <v>1</v>
      </c>
      <c r="DK601" s="4"/>
      <c r="DL601" s="4">
        <v>2863266</v>
      </c>
      <c r="DM601" s="4">
        <v>6352696</v>
      </c>
      <c r="DN601" s="4" t="s">
        <v>1957</v>
      </c>
      <c r="DO601" s="4"/>
      <c r="DP601" s="4"/>
      <c r="DQ601" s="4" t="s">
        <v>148</v>
      </c>
      <c r="DR601" s="4"/>
      <c r="DS601" s="4"/>
      <c r="DT601" s="5">
        <v>42298</v>
      </c>
      <c r="DU601" s="4"/>
      <c r="DV601" s="4"/>
      <c r="DW601" s="4"/>
      <c r="DX601" s="4"/>
      <c r="DY601" s="4"/>
      <c r="DZ601" s="4"/>
      <c r="EA601" s="4"/>
      <c r="EB601" s="4"/>
      <c r="EC601" s="4"/>
      <c r="ED601" s="4"/>
      <c r="EE601" s="4"/>
      <c r="EF601" s="4"/>
      <c r="EG601" s="5">
        <v>41226</v>
      </c>
      <c r="EH601" s="5">
        <v>41228</v>
      </c>
      <c r="EI601" s="5">
        <v>41072</v>
      </c>
    </row>
    <row r="602" spans="1:139" hidden="1" x14ac:dyDescent="0.2">
      <c r="A602">
        <f>VLOOKUP(B602,Sheet1!$A$1:$B$18,2,FALSE)</f>
        <v>0</v>
      </c>
      <c r="B602" t="str">
        <f t="shared" si="10"/>
        <v>BOP</v>
      </c>
      <c r="C602" s="2">
        <v>601</v>
      </c>
      <c r="D602" s="3" t="str">
        <f>HYPERLINK("https://sitebase.nzcomms.co.nz/spm/spmnominalview/BOP-025-002/","BOP-025-002")</f>
        <v>BOP-025-002</v>
      </c>
      <c r="E602" s="4" t="s">
        <v>1958</v>
      </c>
      <c r="F602" s="3" t="str">
        <f>HYPERLINK("https://sitebase.nzcomms.co.nz/spm/spmcandidateview/BOP-025-002-A/","BOP-025-002-A")</f>
        <v>BOP-025-002-A</v>
      </c>
      <c r="G602" s="4" t="s">
        <v>1959</v>
      </c>
      <c r="H602" s="4" t="s">
        <v>1954</v>
      </c>
      <c r="I602" s="4">
        <v>2</v>
      </c>
      <c r="J602" s="4" t="s">
        <v>180</v>
      </c>
      <c r="K602" s="4" t="s">
        <v>141</v>
      </c>
      <c r="L602" s="4" t="s">
        <v>189</v>
      </c>
      <c r="M602" s="4" t="s">
        <v>190</v>
      </c>
      <c r="N602" s="4" t="s">
        <v>274</v>
      </c>
      <c r="O602" s="4"/>
      <c r="P602" s="4" t="s">
        <v>182</v>
      </c>
      <c r="Q602" s="4" t="s">
        <v>192</v>
      </c>
      <c r="R602" s="4">
        <v>11.5</v>
      </c>
      <c r="S602" s="4">
        <v>13</v>
      </c>
      <c r="T602" s="4">
        <v>1</v>
      </c>
      <c r="U602" s="4">
        <v>-37.950305620000002</v>
      </c>
      <c r="V602" s="4">
        <v>176.99486594999999</v>
      </c>
      <c r="W602" s="5">
        <v>40360</v>
      </c>
      <c r="X602" s="4"/>
      <c r="Y602" s="4"/>
      <c r="Z602" s="5">
        <v>40335</v>
      </c>
      <c r="AA602" s="4" t="s">
        <v>145</v>
      </c>
      <c r="AB602" s="4"/>
      <c r="AC602" s="4" t="b">
        <v>0</v>
      </c>
      <c r="AD602" s="4" t="b">
        <v>0</v>
      </c>
      <c r="AE602" s="5">
        <v>40360</v>
      </c>
      <c r="AF602" s="4"/>
      <c r="AG602" s="4" t="b">
        <v>0</v>
      </c>
      <c r="AH602" s="4"/>
      <c r="AI602" s="5">
        <v>41067</v>
      </c>
      <c r="AJ602" s="5">
        <v>41067</v>
      </c>
      <c r="AK602" s="5">
        <v>41071</v>
      </c>
      <c r="AL602" s="5">
        <v>41072</v>
      </c>
      <c r="AM602" s="5">
        <v>41096</v>
      </c>
      <c r="AN602" s="5">
        <v>41100</v>
      </c>
      <c r="AO602" s="4">
        <v>3</v>
      </c>
      <c r="AP602" s="5">
        <v>41096</v>
      </c>
      <c r="AQ602" s="5">
        <v>42139</v>
      </c>
      <c r="AR602" s="5">
        <v>41138</v>
      </c>
      <c r="AS602" s="5">
        <v>41136</v>
      </c>
      <c r="AT602" s="5">
        <v>41138</v>
      </c>
      <c r="AU602" s="5">
        <v>41136</v>
      </c>
      <c r="AV602" s="4"/>
      <c r="AW602" s="5">
        <v>41145</v>
      </c>
      <c r="AX602" s="5">
        <v>41142</v>
      </c>
      <c r="AY602" s="4" t="s">
        <v>193</v>
      </c>
      <c r="AZ602" s="5">
        <v>41138</v>
      </c>
      <c r="BA602" s="5">
        <v>41138</v>
      </c>
      <c r="BB602" s="5">
        <v>41173</v>
      </c>
      <c r="BC602" s="5">
        <v>41170</v>
      </c>
      <c r="BD602" s="4">
        <v>2</v>
      </c>
      <c r="BE602" s="5">
        <v>41180</v>
      </c>
      <c r="BF602" s="5">
        <v>41170</v>
      </c>
      <c r="BG602" s="5">
        <v>41138</v>
      </c>
      <c r="BH602" s="4"/>
      <c r="BI602" s="5">
        <v>41177</v>
      </c>
      <c r="BJ602" s="5">
        <v>41177</v>
      </c>
      <c r="BK602" s="4">
        <v>1</v>
      </c>
      <c r="BL602" s="4"/>
      <c r="BM602" s="5">
        <v>41177</v>
      </c>
      <c r="BN602" s="5">
        <v>41177</v>
      </c>
      <c r="BO602" s="5">
        <v>41206</v>
      </c>
      <c r="BP602" s="4"/>
      <c r="BQ602" s="4"/>
      <c r="BR602" s="5">
        <v>41165</v>
      </c>
      <c r="BS602" s="4"/>
      <c r="BT602" s="5">
        <v>41198</v>
      </c>
      <c r="BU602" s="5">
        <v>41197</v>
      </c>
      <c r="BV602" s="5">
        <v>41207</v>
      </c>
      <c r="BW602" s="5">
        <v>41207</v>
      </c>
      <c r="BX602" s="5">
        <v>41206</v>
      </c>
      <c r="BY602" s="5">
        <v>41212</v>
      </c>
      <c r="BZ602" s="5">
        <v>41212</v>
      </c>
      <c r="CA602" s="5">
        <v>41220</v>
      </c>
      <c r="CB602" s="5">
        <v>41220</v>
      </c>
      <c r="CC602" s="4"/>
      <c r="CD602" s="4"/>
      <c r="CE602" s="4"/>
      <c r="CF602" s="4"/>
      <c r="CG602" s="4"/>
      <c r="CH602" s="4"/>
      <c r="CI602" s="5">
        <v>41225</v>
      </c>
      <c r="CJ602" s="5">
        <v>41239</v>
      </c>
      <c r="CK602" s="5">
        <v>41228</v>
      </c>
      <c r="CL602" s="5">
        <v>41255</v>
      </c>
      <c r="CM602" s="5">
        <v>41240</v>
      </c>
      <c r="CN602" s="5">
        <v>41390</v>
      </c>
      <c r="CO602" s="5">
        <v>41390</v>
      </c>
      <c r="CP602" s="4" t="s">
        <v>1960</v>
      </c>
      <c r="CQ602" s="4"/>
      <c r="CR602" s="5">
        <v>41223</v>
      </c>
      <c r="CS602" s="5">
        <v>41188</v>
      </c>
      <c r="CT602" s="5">
        <v>41188</v>
      </c>
      <c r="CU602" s="5">
        <v>41185</v>
      </c>
      <c r="CV602" s="5">
        <v>41185</v>
      </c>
      <c r="CW602" s="5">
        <v>41198</v>
      </c>
      <c r="CX602" s="5">
        <v>41206</v>
      </c>
      <c r="CY602" s="5">
        <v>41212</v>
      </c>
      <c r="CZ602" s="5">
        <v>41212</v>
      </c>
      <c r="DA602" s="5">
        <v>41226</v>
      </c>
      <c r="DB602" s="5">
        <v>41226</v>
      </c>
      <c r="DC602" s="5">
        <v>41129</v>
      </c>
      <c r="DD602" s="4" t="s">
        <v>586</v>
      </c>
      <c r="DE602" s="4" t="s">
        <v>1956</v>
      </c>
      <c r="DF602" s="5">
        <v>41205</v>
      </c>
      <c r="DG602" s="5">
        <v>41206</v>
      </c>
      <c r="DH602" s="4" t="s">
        <v>174</v>
      </c>
      <c r="DI602" s="5">
        <v>41206</v>
      </c>
      <c r="DJ602" s="4" t="b">
        <v>1</v>
      </c>
      <c r="DK602" s="5">
        <v>41156</v>
      </c>
      <c r="DL602" s="4">
        <v>2861149</v>
      </c>
      <c r="DM602" s="4">
        <v>6353581</v>
      </c>
      <c r="DN602" s="4" t="s">
        <v>1961</v>
      </c>
      <c r="DO602" s="4"/>
      <c r="DP602" s="4"/>
      <c r="DQ602" s="4" t="s">
        <v>148</v>
      </c>
      <c r="DR602" s="4"/>
      <c r="DS602" s="4"/>
      <c r="DT602" s="5">
        <v>42298</v>
      </c>
      <c r="DU602" s="4"/>
      <c r="DV602" s="4"/>
      <c r="DW602" s="4"/>
      <c r="DX602" s="4"/>
      <c r="DY602" s="4"/>
      <c r="DZ602" s="4"/>
      <c r="EA602" s="4"/>
      <c r="EB602" s="4"/>
      <c r="EC602" s="4"/>
      <c r="ED602" s="4"/>
      <c r="EE602" s="4"/>
      <c r="EF602" s="4"/>
      <c r="EG602" s="5">
        <v>41228</v>
      </c>
      <c r="EH602" s="5">
        <v>41228</v>
      </c>
      <c r="EI602" s="5">
        <v>41072</v>
      </c>
    </row>
    <row r="603" spans="1:139" hidden="1" x14ac:dyDescent="0.2">
      <c r="A603">
        <f>VLOOKUP(B603,Sheet1!$A$1:$B$18,2,FALSE)</f>
        <v>0</v>
      </c>
      <c r="B603" t="str">
        <f t="shared" si="10"/>
        <v>BOP</v>
      </c>
      <c r="C603" s="2">
        <v>602</v>
      </c>
      <c r="D603" s="3" t="str">
        <f>HYPERLINK("https://sitebase.nzcomms.co.nz/spm/spmnominalview/BOP-025-003/","BOP-025-003")</f>
        <v>BOP-025-003</v>
      </c>
      <c r="E603" s="4" t="s">
        <v>1962</v>
      </c>
      <c r="F603" s="3" t="str">
        <f>HYPERLINK("https://sitebase.nzcomms.co.nz/spm/spmcandidateview/BOP-025-003-C/","BOP-025-003-C")</f>
        <v>BOP-025-003-C</v>
      </c>
      <c r="G603" s="4" t="s">
        <v>1962</v>
      </c>
      <c r="H603" s="4" t="s">
        <v>1954</v>
      </c>
      <c r="I603" s="4">
        <v>2</v>
      </c>
      <c r="J603" s="4" t="s">
        <v>180</v>
      </c>
      <c r="K603" s="4" t="s">
        <v>141</v>
      </c>
      <c r="L603" s="4" t="s">
        <v>150</v>
      </c>
      <c r="M603" s="4" t="s">
        <v>190</v>
      </c>
      <c r="N603" s="4" t="s">
        <v>730</v>
      </c>
      <c r="O603" s="4"/>
      <c r="P603" s="4" t="s">
        <v>169</v>
      </c>
      <c r="Q603" s="4" t="s">
        <v>192</v>
      </c>
      <c r="R603" s="4"/>
      <c r="S603" s="4">
        <v>25</v>
      </c>
      <c r="T603" s="4">
        <v>1</v>
      </c>
      <c r="U603" s="4">
        <v>-37.97271001</v>
      </c>
      <c r="V603" s="4">
        <v>176.96499875999999</v>
      </c>
      <c r="W603" s="5">
        <v>40360</v>
      </c>
      <c r="X603" s="4"/>
      <c r="Y603" s="4"/>
      <c r="Z603" s="5">
        <v>40335</v>
      </c>
      <c r="AA603" s="4" t="s">
        <v>145</v>
      </c>
      <c r="AB603" s="4"/>
      <c r="AC603" s="4" t="b">
        <v>0</v>
      </c>
      <c r="AD603" s="4" t="b">
        <v>0</v>
      </c>
      <c r="AE603" s="5">
        <v>40360</v>
      </c>
      <c r="AF603" s="4"/>
      <c r="AG603" s="4" t="b">
        <v>0</v>
      </c>
      <c r="AH603" s="4"/>
      <c r="AI603" s="5">
        <v>41106</v>
      </c>
      <c r="AJ603" s="5">
        <v>41122</v>
      </c>
      <c r="AK603" s="5">
        <v>41121</v>
      </c>
      <c r="AL603" s="5">
        <v>41124</v>
      </c>
      <c r="AM603" s="5">
        <v>41156</v>
      </c>
      <c r="AN603" s="5">
        <v>41145</v>
      </c>
      <c r="AO603" s="4">
        <v>3</v>
      </c>
      <c r="AP603" s="5">
        <v>41156</v>
      </c>
      <c r="AQ603" s="5">
        <v>41178</v>
      </c>
      <c r="AR603" s="5">
        <v>41194</v>
      </c>
      <c r="AS603" s="5">
        <v>41194</v>
      </c>
      <c r="AT603" s="5">
        <v>41201</v>
      </c>
      <c r="AU603" s="5">
        <v>41212</v>
      </c>
      <c r="AV603" s="4">
        <v>3</v>
      </c>
      <c r="AW603" s="5">
        <v>41208</v>
      </c>
      <c r="AX603" s="5">
        <v>41212</v>
      </c>
      <c r="AY603" s="4" t="s">
        <v>172</v>
      </c>
      <c r="AZ603" s="5">
        <v>41169</v>
      </c>
      <c r="BA603" s="5">
        <v>41169</v>
      </c>
      <c r="BB603" s="5">
        <v>41200</v>
      </c>
      <c r="BC603" s="5">
        <v>41183</v>
      </c>
      <c r="BD603" s="4">
        <v>2</v>
      </c>
      <c r="BE603" s="5">
        <v>41207</v>
      </c>
      <c r="BF603" s="5">
        <v>41187</v>
      </c>
      <c r="BG603" s="4"/>
      <c r="BH603" s="5">
        <v>41213</v>
      </c>
      <c r="BI603" s="5">
        <v>41243</v>
      </c>
      <c r="BJ603" s="5">
        <v>41243</v>
      </c>
      <c r="BK603" s="4">
        <v>1</v>
      </c>
      <c r="BL603" s="4"/>
      <c r="BM603" s="5">
        <v>41243</v>
      </c>
      <c r="BN603" s="5">
        <v>41243</v>
      </c>
      <c r="BO603" s="5">
        <v>41281</v>
      </c>
      <c r="BP603" s="4"/>
      <c r="BQ603" s="4"/>
      <c r="BR603" s="5">
        <v>41233</v>
      </c>
      <c r="BS603" s="4"/>
      <c r="BT603" s="5">
        <v>41247</v>
      </c>
      <c r="BU603" s="5">
        <v>41246</v>
      </c>
      <c r="BV603" s="5">
        <v>41297</v>
      </c>
      <c r="BW603" s="5">
        <v>41297</v>
      </c>
      <c r="BX603" s="5">
        <v>41298</v>
      </c>
      <c r="BY603" s="5">
        <v>41310</v>
      </c>
      <c r="BZ603" s="5">
        <v>41309</v>
      </c>
      <c r="CA603" s="5">
        <v>41304</v>
      </c>
      <c r="CB603" s="5">
        <v>41309</v>
      </c>
      <c r="CC603" s="4"/>
      <c r="CD603" s="4"/>
      <c r="CE603" s="4"/>
      <c r="CF603" s="4"/>
      <c r="CG603" s="4"/>
      <c r="CH603" s="4"/>
      <c r="CI603" s="5">
        <v>41313</v>
      </c>
      <c r="CJ603" s="5">
        <v>41319</v>
      </c>
      <c r="CK603" s="5">
        <v>41319</v>
      </c>
      <c r="CL603" s="5">
        <v>41341</v>
      </c>
      <c r="CM603" s="5">
        <v>41327</v>
      </c>
      <c r="CN603" s="5">
        <v>41429</v>
      </c>
      <c r="CO603" s="5">
        <v>41424</v>
      </c>
      <c r="CP603" s="4" t="s">
        <v>1963</v>
      </c>
      <c r="CQ603" s="4"/>
      <c r="CR603" s="5">
        <v>41312</v>
      </c>
      <c r="CS603" s="5">
        <v>41254</v>
      </c>
      <c r="CT603" s="5">
        <v>41254</v>
      </c>
      <c r="CU603" s="5">
        <v>41253</v>
      </c>
      <c r="CV603" s="5">
        <v>41253</v>
      </c>
      <c r="CW603" s="5">
        <v>41281</v>
      </c>
      <c r="CX603" s="5">
        <v>41281</v>
      </c>
      <c r="CY603" s="5">
        <v>41298</v>
      </c>
      <c r="CZ603" s="5">
        <v>41298</v>
      </c>
      <c r="DA603" s="5">
        <v>41313</v>
      </c>
      <c r="DB603" s="5">
        <v>41313</v>
      </c>
      <c r="DC603" s="5">
        <v>41153</v>
      </c>
      <c r="DD603" s="4" t="s">
        <v>586</v>
      </c>
      <c r="DE603" s="4" t="s">
        <v>1956</v>
      </c>
      <c r="DF603" s="5">
        <v>41296</v>
      </c>
      <c r="DG603" s="5">
        <v>41299</v>
      </c>
      <c r="DH603" s="4" t="s">
        <v>174</v>
      </c>
      <c r="DI603" s="5">
        <v>41298</v>
      </c>
      <c r="DJ603" s="4" t="b">
        <v>1</v>
      </c>
      <c r="DK603" s="5">
        <v>41228</v>
      </c>
      <c r="DL603" s="4">
        <v>2858417</v>
      </c>
      <c r="DM603" s="4">
        <v>6351213</v>
      </c>
      <c r="DN603" s="4" t="s">
        <v>1964</v>
      </c>
      <c r="DO603" s="4"/>
      <c r="DP603" s="4"/>
      <c r="DQ603" s="4" t="s">
        <v>148</v>
      </c>
      <c r="DR603" s="4"/>
      <c r="DS603" s="4"/>
      <c r="DT603" s="5">
        <v>42298</v>
      </c>
      <c r="DU603" s="4"/>
      <c r="DV603" s="4"/>
      <c r="DW603" s="4"/>
      <c r="DX603" s="4"/>
      <c r="DY603" s="4"/>
      <c r="DZ603" s="4"/>
      <c r="EA603" s="4"/>
      <c r="EB603" s="4"/>
      <c r="EC603" s="4"/>
      <c r="ED603" s="4"/>
      <c r="EE603" s="4"/>
      <c r="EF603" s="4"/>
      <c r="EG603" s="5">
        <v>41316</v>
      </c>
      <c r="EH603" s="5">
        <v>41316</v>
      </c>
      <c r="EI603" s="4"/>
    </row>
    <row r="604" spans="1:139" hidden="1" x14ac:dyDescent="0.2">
      <c r="A604">
        <f>VLOOKUP(B604,Sheet1!$A$1:$B$18,2,FALSE)</f>
        <v>0</v>
      </c>
      <c r="B604" t="str">
        <f t="shared" si="10"/>
        <v>BOP</v>
      </c>
      <c r="C604" s="2">
        <v>603</v>
      </c>
      <c r="D604" s="3" t="str">
        <f>HYPERLINK("https://sitebase.nzcomms.co.nz/spm/spmnominalview/BOP-025-004/","BOP-025-004")</f>
        <v>BOP-025-004</v>
      </c>
      <c r="E604" s="4" t="s">
        <v>1965</v>
      </c>
      <c r="F604" s="4"/>
      <c r="G604" s="4"/>
      <c r="H604" s="4" t="s">
        <v>1954</v>
      </c>
      <c r="I604" s="4"/>
      <c r="J604" s="4" t="s">
        <v>196</v>
      </c>
      <c r="K604" s="4"/>
      <c r="L604" s="4"/>
      <c r="M604" s="4"/>
      <c r="N604" s="4"/>
      <c r="O604" s="4"/>
      <c r="P604" s="4"/>
      <c r="Q604" s="4"/>
      <c r="R604" s="4"/>
      <c r="S604" s="4"/>
      <c r="T604" s="4"/>
      <c r="U604" s="4"/>
      <c r="V604" s="4"/>
      <c r="W604" s="4"/>
      <c r="X604" s="4"/>
      <c r="Y604" s="4"/>
      <c r="Z604" s="4"/>
      <c r="AA604" s="4"/>
      <c r="AB604" s="4"/>
      <c r="AC604" s="4"/>
      <c r="AD604" s="4"/>
      <c r="AE604" s="4"/>
      <c r="AF604" s="4"/>
      <c r="AG604" s="4" t="b">
        <v>0</v>
      </c>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row>
    <row r="605" spans="1:139" hidden="1" x14ac:dyDescent="0.2">
      <c r="A605">
        <f>VLOOKUP(B605,Sheet1!$A$1:$B$18,2,FALSE)</f>
        <v>0</v>
      </c>
      <c r="B605" t="str">
        <f t="shared" si="10"/>
        <v>BOP</v>
      </c>
      <c r="C605" s="2">
        <v>604</v>
      </c>
      <c r="D605" s="3" t="str">
        <f>HYPERLINK("https://sitebase.nzcomms.co.nz/spm/spmnominalview/BOP-025-005/","BOP-025-005")</f>
        <v>BOP-025-005</v>
      </c>
      <c r="E605" s="4" t="s">
        <v>1966</v>
      </c>
      <c r="F605" s="3" t="str">
        <f>HYPERLINK("https://sitebase.nzcomms.co.nz/spm/spmcandidateview/BOP-025-005-A/","BOP-025-005-A")</f>
        <v>BOP-025-005-A</v>
      </c>
      <c r="G605" s="4" t="s">
        <v>1967</v>
      </c>
      <c r="H605" s="4" t="s">
        <v>1954</v>
      </c>
      <c r="I605" s="4">
        <v>22</v>
      </c>
      <c r="J605" s="4" t="s">
        <v>165</v>
      </c>
      <c r="K605" s="4" t="s">
        <v>141</v>
      </c>
      <c r="L605" s="4" t="s">
        <v>142</v>
      </c>
      <c r="M605" s="4" t="s">
        <v>166</v>
      </c>
      <c r="N605" s="4" t="s">
        <v>142</v>
      </c>
      <c r="O605" s="4"/>
      <c r="P605" s="4" t="s">
        <v>169</v>
      </c>
      <c r="Q605" s="4" t="s">
        <v>142</v>
      </c>
      <c r="R605" s="4"/>
      <c r="S605" s="4"/>
      <c r="T605" s="4"/>
      <c r="U605" s="4">
        <v>-38.104812889999998</v>
      </c>
      <c r="V605" s="4">
        <v>176.73701929999999</v>
      </c>
      <c r="W605" s="4"/>
      <c r="X605" s="4"/>
      <c r="Y605" s="4"/>
      <c r="Z605" s="4"/>
      <c r="AA605" s="4" t="s">
        <v>446</v>
      </c>
      <c r="AB605" s="3" t="str">
        <f>HYPERLINK("https://sitebase.nzcomms.co.nz/spm/spmcandidateview/BOP-025-009-B/","BOP-025-009-B")</f>
        <v>BOP-025-009-B</v>
      </c>
      <c r="AC605" s="4" t="b">
        <v>0</v>
      </c>
      <c r="AD605" s="4" t="b">
        <v>0</v>
      </c>
      <c r="AE605" s="4"/>
      <c r="AF605" s="4"/>
      <c r="AG605" s="4" t="b">
        <v>0</v>
      </c>
      <c r="AH605" s="4"/>
      <c r="AI605" s="5">
        <v>41927</v>
      </c>
      <c r="AJ605" s="5">
        <v>41927</v>
      </c>
      <c r="AK605" s="5">
        <v>41957</v>
      </c>
      <c r="AL605" s="5">
        <v>41957</v>
      </c>
      <c r="AM605" s="5">
        <v>42034</v>
      </c>
      <c r="AN605" s="5">
        <v>42020</v>
      </c>
      <c r="AO605" s="4">
        <v>1</v>
      </c>
      <c r="AP605" s="5">
        <v>42034</v>
      </c>
      <c r="AQ605" s="5">
        <v>42020</v>
      </c>
      <c r="AR605" s="5">
        <v>41992</v>
      </c>
      <c r="AS605" s="5">
        <v>42017</v>
      </c>
      <c r="AT605" s="5">
        <v>42137</v>
      </c>
      <c r="AU605" s="5">
        <v>42115</v>
      </c>
      <c r="AV605" s="4"/>
      <c r="AW605" s="5">
        <v>42144</v>
      </c>
      <c r="AX605" s="5">
        <v>42115</v>
      </c>
      <c r="AY605" s="4" t="s">
        <v>1901</v>
      </c>
      <c r="AZ605" s="5">
        <v>42034</v>
      </c>
      <c r="BA605" s="5">
        <v>42020</v>
      </c>
      <c r="BB605" s="5">
        <v>42062</v>
      </c>
      <c r="BC605" s="5">
        <v>42061</v>
      </c>
      <c r="BD605" s="4">
        <v>1</v>
      </c>
      <c r="BE605" s="5">
        <v>42069</v>
      </c>
      <c r="BF605" s="5">
        <v>42061</v>
      </c>
      <c r="BG605" s="5">
        <v>42051</v>
      </c>
      <c r="BH605" s="5">
        <v>42048</v>
      </c>
      <c r="BI605" s="5">
        <v>42086</v>
      </c>
      <c r="BJ605" s="5">
        <v>42125</v>
      </c>
      <c r="BK605" s="4">
        <v>1</v>
      </c>
      <c r="BL605" s="4"/>
      <c r="BM605" s="5">
        <v>42093</v>
      </c>
      <c r="BN605" s="5">
        <v>42125</v>
      </c>
      <c r="BO605" s="4"/>
      <c r="BP605" s="4"/>
      <c r="BQ605" s="4"/>
      <c r="BR605" s="4"/>
      <c r="BS605" s="4"/>
      <c r="BT605" s="5">
        <v>42226</v>
      </c>
      <c r="BU605" s="5">
        <v>42227</v>
      </c>
      <c r="BV605" s="5">
        <v>42233</v>
      </c>
      <c r="BW605" s="5">
        <v>42229</v>
      </c>
      <c r="BX605" s="5">
        <v>42229</v>
      </c>
      <c r="BY605" s="5">
        <v>42237</v>
      </c>
      <c r="BZ605" s="5">
        <v>42240</v>
      </c>
      <c r="CA605" s="4"/>
      <c r="CB605" s="4"/>
      <c r="CC605" s="4"/>
      <c r="CD605" s="4"/>
      <c r="CE605" s="4"/>
      <c r="CF605" s="4"/>
      <c r="CG605" s="4"/>
      <c r="CH605" s="4"/>
      <c r="CI605" s="4"/>
      <c r="CJ605" s="5">
        <v>42263</v>
      </c>
      <c r="CK605" s="5">
        <v>42258</v>
      </c>
      <c r="CL605" s="5">
        <v>42275</v>
      </c>
      <c r="CM605" s="5">
        <v>42276</v>
      </c>
      <c r="CN605" s="4"/>
      <c r="CO605" s="4"/>
      <c r="CP605" s="4" t="s">
        <v>1968</v>
      </c>
      <c r="CQ605" s="4" t="s">
        <v>1657</v>
      </c>
      <c r="CR605" s="5">
        <v>42236</v>
      </c>
      <c r="CS605" s="4"/>
      <c r="CT605" s="4"/>
      <c r="CU605" s="4"/>
      <c r="CV605" s="4"/>
      <c r="CW605" s="4"/>
      <c r="CX605" s="4"/>
      <c r="CY605" s="5">
        <v>42231</v>
      </c>
      <c r="CZ605" s="5">
        <v>42231</v>
      </c>
      <c r="DA605" s="5">
        <v>42262</v>
      </c>
      <c r="DB605" s="5">
        <v>42255</v>
      </c>
      <c r="DC605" s="4"/>
      <c r="DD605" s="4"/>
      <c r="DE605" s="4" t="s">
        <v>1956</v>
      </c>
      <c r="DF605" s="4"/>
      <c r="DG605" s="4"/>
      <c r="DH605" s="4" t="s">
        <v>174</v>
      </c>
      <c r="DI605" s="5">
        <v>42229</v>
      </c>
      <c r="DJ605" s="4" t="b">
        <v>0</v>
      </c>
      <c r="DK605" s="4"/>
      <c r="DL605" s="4">
        <v>2837795</v>
      </c>
      <c r="DM605" s="4">
        <v>6337423</v>
      </c>
      <c r="DN605" s="4" t="s">
        <v>1969</v>
      </c>
      <c r="DO605" s="4"/>
      <c r="DP605" s="4"/>
      <c r="DQ605" s="4" t="s">
        <v>148</v>
      </c>
      <c r="DR605" s="4"/>
      <c r="DS605" s="4"/>
      <c r="DT605" s="4"/>
      <c r="DU605" s="4" t="s">
        <v>178</v>
      </c>
      <c r="DV605" s="4"/>
      <c r="DW605" s="4"/>
      <c r="DX605" s="5">
        <v>42044</v>
      </c>
      <c r="DY605" s="4"/>
      <c r="DZ605" s="5">
        <v>42095</v>
      </c>
      <c r="EA605" s="4"/>
      <c r="EB605" s="4"/>
      <c r="EC605" s="4"/>
      <c r="ED605" s="4"/>
      <c r="EE605" s="4"/>
      <c r="EF605" s="5">
        <v>42142</v>
      </c>
      <c r="EG605" s="5">
        <v>42251</v>
      </c>
      <c r="EH605" s="4"/>
      <c r="EI605" s="5">
        <v>41957</v>
      </c>
    </row>
    <row r="606" spans="1:139" hidden="1" x14ac:dyDescent="0.2">
      <c r="A606">
        <f>VLOOKUP(B606,Sheet1!$A$1:$B$18,2,FALSE)</f>
        <v>0</v>
      </c>
      <c r="B606" t="str">
        <f t="shared" si="10"/>
        <v>BOP</v>
      </c>
      <c r="C606" s="2">
        <v>605</v>
      </c>
      <c r="D606" s="3" t="str">
        <f>HYPERLINK("https://sitebase.nzcomms.co.nz/spm/spmnominalview/BOP-025-006/","BOP-025-006")</f>
        <v>BOP-025-006</v>
      </c>
      <c r="E606" s="4" t="s">
        <v>1970</v>
      </c>
      <c r="F606" s="3" t="str">
        <f>HYPERLINK("https://sitebase.nzcomms.co.nz/spm/spmcandidateview/BOP-025-006-B/","BOP-025-006-B")</f>
        <v>BOP-025-006-B</v>
      </c>
      <c r="G606" s="4" t="s">
        <v>1971</v>
      </c>
      <c r="H606" s="4" t="s">
        <v>1954</v>
      </c>
      <c r="I606" s="4">
        <v>22</v>
      </c>
      <c r="J606" s="4" t="s">
        <v>165</v>
      </c>
      <c r="K606" s="4" t="s">
        <v>141</v>
      </c>
      <c r="L606" s="4" t="s">
        <v>150</v>
      </c>
      <c r="M606" s="4" t="s">
        <v>190</v>
      </c>
      <c r="N606" s="4" t="s">
        <v>216</v>
      </c>
      <c r="O606" s="4"/>
      <c r="P606" s="4" t="s">
        <v>169</v>
      </c>
      <c r="Q606" s="4" t="s">
        <v>170</v>
      </c>
      <c r="R606" s="4">
        <v>19.5</v>
      </c>
      <c r="S606" s="4">
        <v>20</v>
      </c>
      <c r="T606" s="4"/>
      <c r="U606" s="4">
        <v>-38.498003699999998</v>
      </c>
      <c r="V606" s="4">
        <v>176.69621205000001</v>
      </c>
      <c r="W606" s="4"/>
      <c r="X606" s="4"/>
      <c r="Y606" s="4"/>
      <c r="Z606" s="4"/>
      <c r="AA606" s="4" t="s">
        <v>171</v>
      </c>
      <c r="AB606" s="3" t="str">
        <f>HYPERLINK("https://sitebase.nzcomms.co.nz/spm/spmcandidateview/BOP-025-010-B/","BOP-025-010-B")</f>
        <v>BOP-025-010-B</v>
      </c>
      <c r="AC606" s="4" t="b">
        <v>0</v>
      </c>
      <c r="AD606" s="4" t="b">
        <v>0</v>
      </c>
      <c r="AE606" s="4"/>
      <c r="AF606" s="4"/>
      <c r="AG606" s="4" t="b">
        <v>0</v>
      </c>
      <c r="AH606" s="4"/>
      <c r="AI606" s="5">
        <v>40974</v>
      </c>
      <c r="AJ606" s="5">
        <v>40974</v>
      </c>
      <c r="AK606" s="5">
        <v>41009</v>
      </c>
      <c r="AL606" s="5">
        <v>41009</v>
      </c>
      <c r="AM606" s="5">
        <v>41050</v>
      </c>
      <c r="AN606" s="5">
        <v>41053</v>
      </c>
      <c r="AO606" s="4">
        <v>1</v>
      </c>
      <c r="AP606" s="5">
        <v>41052</v>
      </c>
      <c r="AQ606" s="5">
        <v>41053</v>
      </c>
      <c r="AR606" s="5">
        <v>41068</v>
      </c>
      <c r="AS606" s="5">
        <v>41011</v>
      </c>
      <c r="AT606" s="5">
        <v>41089</v>
      </c>
      <c r="AU606" s="5">
        <v>41039</v>
      </c>
      <c r="AV606" s="4"/>
      <c r="AW606" s="5">
        <v>41096</v>
      </c>
      <c r="AX606" s="5">
        <v>41039</v>
      </c>
      <c r="AY606" s="4" t="s">
        <v>172</v>
      </c>
      <c r="AZ606" s="5">
        <v>41057</v>
      </c>
      <c r="BA606" s="5">
        <v>41058</v>
      </c>
      <c r="BB606" s="5">
        <v>41094</v>
      </c>
      <c r="BC606" s="5">
        <v>41074</v>
      </c>
      <c r="BD606" s="4">
        <v>1</v>
      </c>
      <c r="BE606" s="5">
        <v>41099</v>
      </c>
      <c r="BF606" s="5">
        <v>41074</v>
      </c>
      <c r="BG606" s="5">
        <v>41936</v>
      </c>
      <c r="BH606" s="5">
        <v>41933</v>
      </c>
      <c r="BI606" s="5">
        <v>42048</v>
      </c>
      <c r="BJ606" s="5">
        <v>42045</v>
      </c>
      <c r="BK606" s="4">
        <v>1</v>
      </c>
      <c r="BL606" s="4"/>
      <c r="BM606" s="5">
        <v>42048</v>
      </c>
      <c r="BN606" s="5">
        <v>42045</v>
      </c>
      <c r="BO606" s="4"/>
      <c r="BP606" s="4"/>
      <c r="BQ606" s="4"/>
      <c r="BR606" s="4"/>
      <c r="BS606" s="4"/>
      <c r="BT606" s="5">
        <v>42163</v>
      </c>
      <c r="BU606" s="5">
        <v>42163</v>
      </c>
      <c r="BV606" s="5">
        <v>42209</v>
      </c>
      <c r="BW606" s="5">
        <v>42208</v>
      </c>
      <c r="BX606" s="5">
        <v>42199</v>
      </c>
      <c r="BY606" s="5">
        <v>42207</v>
      </c>
      <c r="BZ606" s="5">
        <v>42208</v>
      </c>
      <c r="CA606" s="4"/>
      <c r="CB606" s="4"/>
      <c r="CC606" s="4"/>
      <c r="CD606" s="4"/>
      <c r="CE606" s="4"/>
      <c r="CF606" s="4"/>
      <c r="CG606" s="4"/>
      <c r="CH606" s="4"/>
      <c r="CI606" s="5">
        <v>42240</v>
      </c>
      <c r="CJ606" s="5">
        <v>42234</v>
      </c>
      <c r="CK606" s="5">
        <v>42227</v>
      </c>
      <c r="CL606" s="5">
        <v>42233</v>
      </c>
      <c r="CM606" s="5">
        <v>42244</v>
      </c>
      <c r="CN606" s="4"/>
      <c r="CO606" s="4"/>
      <c r="CP606" s="4" t="s">
        <v>1972</v>
      </c>
      <c r="CQ606" s="4"/>
      <c r="CR606" s="5">
        <v>42209</v>
      </c>
      <c r="CS606" s="4"/>
      <c r="CT606" s="4"/>
      <c r="CU606" s="4"/>
      <c r="CV606" s="4"/>
      <c r="CW606" s="4"/>
      <c r="CX606" s="4"/>
      <c r="CY606" s="5">
        <v>42187</v>
      </c>
      <c r="CZ606" s="5">
        <v>42194</v>
      </c>
      <c r="DA606" s="5">
        <v>42222</v>
      </c>
      <c r="DB606" s="5">
        <v>42221</v>
      </c>
      <c r="DC606" s="4"/>
      <c r="DD606" s="4"/>
      <c r="DE606" s="4" t="s">
        <v>1892</v>
      </c>
      <c r="DF606" s="4"/>
      <c r="DG606" s="4"/>
      <c r="DH606" s="4" t="s">
        <v>174</v>
      </c>
      <c r="DI606" s="5">
        <v>42206</v>
      </c>
      <c r="DJ606" s="4" t="b">
        <v>0</v>
      </c>
      <c r="DK606" s="4"/>
      <c r="DL606" s="4">
        <v>2832419</v>
      </c>
      <c r="DM606" s="4">
        <v>6293969</v>
      </c>
      <c r="DN606" s="4" t="s">
        <v>1973</v>
      </c>
      <c r="DO606" s="4"/>
      <c r="DP606" s="4" t="s">
        <v>1974</v>
      </c>
      <c r="DQ606" s="4" t="s">
        <v>148</v>
      </c>
      <c r="DR606" s="4"/>
      <c r="DS606" s="4"/>
      <c r="DT606" s="4"/>
      <c r="DU606" s="4" t="s">
        <v>178</v>
      </c>
      <c r="DV606" s="4"/>
      <c r="DW606" s="5">
        <v>42076</v>
      </c>
      <c r="DX606" s="5">
        <v>42044</v>
      </c>
      <c r="DY606" s="4"/>
      <c r="DZ606" s="5">
        <v>42093</v>
      </c>
      <c r="EA606" s="4"/>
      <c r="EB606" s="4"/>
      <c r="EC606" s="4"/>
      <c r="ED606" s="4"/>
      <c r="EE606" s="4"/>
      <c r="EF606" s="5">
        <v>42144</v>
      </c>
      <c r="EG606" s="4"/>
      <c r="EH606" s="4"/>
      <c r="EI606" s="5">
        <v>41009</v>
      </c>
    </row>
    <row r="607" spans="1:139" hidden="1" x14ac:dyDescent="0.2">
      <c r="A607">
        <f>VLOOKUP(B607,Sheet1!$A$1:$B$18,2,FALSE)</f>
        <v>0</v>
      </c>
      <c r="B607" t="str">
        <f t="shared" si="10"/>
        <v>BOP</v>
      </c>
      <c r="C607" s="2">
        <v>606</v>
      </c>
      <c r="D607" s="3" t="str">
        <f>HYPERLINK("https://sitebase.nzcomms.co.nz/spm/spmnominalview/BOP-025-007/","BOP-025-007")</f>
        <v>BOP-025-007</v>
      </c>
      <c r="E607" s="4" t="s">
        <v>1958</v>
      </c>
      <c r="F607" s="4"/>
      <c r="G607" s="4"/>
      <c r="H607" s="4" t="s">
        <v>1954</v>
      </c>
      <c r="I607" s="4"/>
      <c r="J607" s="4" t="s">
        <v>196</v>
      </c>
      <c r="K607" s="4"/>
      <c r="L607" s="4"/>
      <c r="M607" s="4"/>
      <c r="N607" s="4"/>
      <c r="O607" s="4"/>
      <c r="P607" s="4"/>
      <c r="Q607" s="4"/>
      <c r="R607" s="4"/>
      <c r="S607" s="4"/>
      <c r="T607" s="4"/>
      <c r="U607" s="4"/>
      <c r="V607" s="4"/>
      <c r="W607" s="4"/>
      <c r="X607" s="4"/>
      <c r="Y607" s="4"/>
      <c r="Z607" s="4"/>
      <c r="AA607" s="4"/>
      <c r="AB607" s="4"/>
      <c r="AC607" s="4"/>
      <c r="AD607" s="4"/>
      <c r="AE607" s="4"/>
      <c r="AF607" s="4"/>
      <c r="AG607" s="4" t="b">
        <v>0</v>
      </c>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row>
    <row r="608" spans="1:139" hidden="1" x14ac:dyDescent="0.2">
      <c r="A608">
        <f>VLOOKUP(B608,Sheet1!$A$1:$B$18,2,FALSE)</f>
        <v>0</v>
      </c>
      <c r="B608" t="str">
        <f t="shared" si="10"/>
        <v>BOP</v>
      </c>
      <c r="C608" s="2">
        <v>607</v>
      </c>
      <c r="D608" s="3" t="str">
        <f>HYPERLINK("https://sitebase.nzcomms.co.nz/spm/spmnominalview/BOP-025-008/","BOP-025-008")</f>
        <v>BOP-025-008</v>
      </c>
      <c r="E608" s="4" t="s">
        <v>1962</v>
      </c>
      <c r="F608" s="4"/>
      <c r="G608" s="4"/>
      <c r="H608" s="4" t="s">
        <v>1954</v>
      </c>
      <c r="I608" s="4"/>
      <c r="J608" s="4" t="s">
        <v>196</v>
      </c>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row>
    <row r="609" spans="1:139" hidden="1" x14ac:dyDescent="0.2">
      <c r="A609">
        <f>VLOOKUP(B609,Sheet1!$A$1:$B$18,2,FALSE)</f>
        <v>0</v>
      </c>
      <c r="B609" t="str">
        <f t="shared" si="10"/>
        <v>BOP</v>
      </c>
      <c r="C609" s="2">
        <v>608</v>
      </c>
      <c r="D609" s="3" t="str">
        <f>HYPERLINK("https://sitebase.nzcomms.co.nz/spm/spmnominalview/BOP-025-009/","BOP-025-009")</f>
        <v>BOP-025-009</v>
      </c>
      <c r="E609" s="4" t="s">
        <v>1975</v>
      </c>
      <c r="F609" s="3" t="str">
        <f>HYPERLINK("https://sitebase.nzcomms.co.nz/spm/spmcandidateview/BOP-025-009-B/","BOP-025-009-B")</f>
        <v>BOP-025-009-B</v>
      </c>
      <c r="G609" s="4" t="s">
        <v>1976</v>
      </c>
      <c r="H609" s="4" t="s">
        <v>1954</v>
      </c>
      <c r="I609" s="4">
        <v>2</v>
      </c>
      <c r="J609" s="4" t="s">
        <v>180</v>
      </c>
      <c r="K609" s="4" t="s">
        <v>141</v>
      </c>
      <c r="L609" s="4" t="s">
        <v>150</v>
      </c>
      <c r="M609" s="4" t="s">
        <v>190</v>
      </c>
      <c r="N609" s="4" t="s">
        <v>1557</v>
      </c>
      <c r="O609" s="4"/>
      <c r="P609" s="4" t="s">
        <v>169</v>
      </c>
      <c r="Q609" s="4" t="s">
        <v>192</v>
      </c>
      <c r="R609" s="4"/>
      <c r="S609" s="4">
        <v>25</v>
      </c>
      <c r="T609" s="4">
        <v>1</v>
      </c>
      <c r="U609" s="4">
        <v>-38.086737190000001</v>
      </c>
      <c r="V609" s="4">
        <v>176.70055814</v>
      </c>
      <c r="W609" s="5">
        <v>41065</v>
      </c>
      <c r="X609" s="5">
        <v>41058</v>
      </c>
      <c r="Y609" s="5">
        <v>41066</v>
      </c>
      <c r="Z609" s="4"/>
      <c r="AA609" s="4" t="s">
        <v>145</v>
      </c>
      <c r="AB609" s="4"/>
      <c r="AC609" s="4" t="b">
        <v>0</v>
      </c>
      <c r="AD609" s="4" t="b">
        <v>0</v>
      </c>
      <c r="AE609" s="4"/>
      <c r="AF609" s="5">
        <v>41089</v>
      </c>
      <c r="AG609" s="4" t="b">
        <v>0</v>
      </c>
      <c r="AH609" s="4"/>
      <c r="AI609" s="5">
        <v>41169</v>
      </c>
      <c r="AJ609" s="5">
        <v>41169</v>
      </c>
      <c r="AK609" s="5">
        <v>41173</v>
      </c>
      <c r="AL609" s="5">
        <v>41173</v>
      </c>
      <c r="AM609" s="5">
        <v>41201</v>
      </c>
      <c r="AN609" s="5">
        <v>41200</v>
      </c>
      <c r="AO609" s="4">
        <v>2</v>
      </c>
      <c r="AP609" s="5">
        <v>41201</v>
      </c>
      <c r="AQ609" s="5">
        <v>41207</v>
      </c>
      <c r="AR609" s="5">
        <v>41194</v>
      </c>
      <c r="AS609" s="5">
        <v>41194</v>
      </c>
      <c r="AT609" s="5">
        <v>41201</v>
      </c>
      <c r="AU609" s="5">
        <v>41213</v>
      </c>
      <c r="AV609" s="4"/>
      <c r="AW609" s="5">
        <v>41208</v>
      </c>
      <c r="AX609" s="5">
        <v>41243</v>
      </c>
      <c r="AY609" s="4" t="s">
        <v>172</v>
      </c>
      <c r="AZ609" s="5">
        <v>41201</v>
      </c>
      <c r="BA609" s="5">
        <v>41207</v>
      </c>
      <c r="BB609" s="5">
        <v>41233</v>
      </c>
      <c r="BC609" s="5">
        <v>41228</v>
      </c>
      <c r="BD609" s="4">
        <v>2</v>
      </c>
      <c r="BE609" s="5">
        <v>41240</v>
      </c>
      <c r="BF609" s="5">
        <v>41228</v>
      </c>
      <c r="BG609" s="4"/>
      <c r="BH609" s="5">
        <v>41213</v>
      </c>
      <c r="BI609" s="5">
        <v>41243</v>
      </c>
      <c r="BJ609" s="5">
        <v>41243</v>
      </c>
      <c r="BK609" s="4">
        <v>1</v>
      </c>
      <c r="BL609" s="4"/>
      <c r="BM609" s="5">
        <v>41243</v>
      </c>
      <c r="BN609" s="5">
        <v>41243</v>
      </c>
      <c r="BO609" s="5">
        <v>41281</v>
      </c>
      <c r="BP609" s="4"/>
      <c r="BQ609" s="4"/>
      <c r="BR609" s="5">
        <v>41243</v>
      </c>
      <c r="BS609" s="4"/>
      <c r="BT609" s="5">
        <v>41295</v>
      </c>
      <c r="BU609" s="5">
        <v>41295</v>
      </c>
      <c r="BV609" s="5">
        <v>41317</v>
      </c>
      <c r="BW609" s="5">
        <v>41317</v>
      </c>
      <c r="BX609" s="5">
        <v>41312</v>
      </c>
      <c r="BY609" s="5">
        <v>41340</v>
      </c>
      <c r="BZ609" s="5">
        <v>41338</v>
      </c>
      <c r="CA609" s="5">
        <v>41326</v>
      </c>
      <c r="CB609" s="5">
        <v>41330</v>
      </c>
      <c r="CC609" s="4"/>
      <c r="CD609" s="4"/>
      <c r="CE609" s="4"/>
      <c r="CF609" s="4"/>
      <c r="CG609" s="4"/>
      <c r="CH609" s="4"/>
      <c r="CI609" s="5">
        <v>41338</v>
      </c>
      <c r="CJ609" s="5">
        <v>41348</v>
      </c>
      <c r="CK609" s="5">
        <v>41344</v>
      </c>
      <c r="CL609" s="5">
        <v>41361</v>
      </c>
      <c r="CM609" s="5">
        <v>41355</v>
      </c>
      <c r="CN609" s="5">
        <v>41509</v>
      </c>
      <c r="CO609" s="5">
        <v>41564</v>
      </c>
      <c r="CP609" s="4" t="s">
        <v>1977</v>
      </c>
      <c r="CQ609" s="4"/>
      <c r="CR609" s="5">
        <v>41340</v>
      </c>
      <c r="CS609" s="5">
        <v>41253</v>
      </c>
      <c r="CT609" s="5">
        <v>41253</v>
      </c>
      <c r="CU609" s="5">
        <v>41254</v>
      </c>
      <c r="CV609" s="5">
        <v>41254</v>
      </c>
      <c r="CW609" s="5">
        <v>41276</v>
      </c>
      <c r="CX609" s="5">
        <v>41281</v>
      </c>
      <c r="CY609" s="5">
        <v>41318</v>
      </c>
      <c r="CZ609" s="5">
        <v>41318</v>
      </c>
      <c r="DA609" s="5">
        <v>41345</v>
      </c>
      <c r="DB609" s="5">
        <v>41339</v>
      </c>
      <c r="DC609" s="4"/>
      <c r="DD609" s="4"/>
      <c r="DE609" s="4" t="s">
        <v>1956</v>
      </c>
      <c r="DF609" s="5">
        <v>41324</v>
      </c>
      <c r="DG609" s="5">
        <v>41330</v>
      </c>
      <c r="DH609" s="4" t="s">
        <v>174</v>
      </c>
      <c r="DI609" s="5">
        <v>41312</v>
      </c>
      <c r="DJ609" s="4" t="b">
        <v>1</v>
      </c>
      <c r="DK609" s="5">
        <v>41243</v>
      </c>
      <c r="DL609" s="4">
        <v>2834683</v>
      </c>
      <c r="DM609" s="4">
        <v>6339560</v>
      </c>
      <c r="DN609" s="4" t="s">
        <v>1978</v>
      </c>
      <c r="DO609" s="4"/>
      <c r="DP609" s="4"/>
      <c r="DQ609" s="4" t="s">
        <v>148</v>
      </c>
      <c r="DR609" s="4"/>
      <c r="DS609" s="4"/>
      <c r="DT609" s="4"/>
      <c r="DU609" s="4"/>
      <c r="DV609" s="4"/>
      <c r="DW609" s="4"/>
      <c r="DX609" s="4"/>
      <c r="DY609" s="4"/>
      <c r="DZ609" s="4"/>
      <c r="EA609" s="4"/>
      <c r="EB609" s="4"/>
      <c r="EC609" s="4"/>
      <c r="ED609" s="4"/>
      <c r="EE609" s="4"/>
      <c r="EF609" s="4"/>
      <c r="EG609" s="5">
        <v>41346</v>
      </c>
      <c r="EH609" s="5">
        <v>41340</v>
      </c>
      <c r="EI609" s="4"/>
    </row>
    <row r="610" spans="1:139" hidden="1" x14ac:dyDescent="0.2">
      <c r="A610">
        <f>VLOOKUP(B610,Sheet1!$A$1:$B$18,2,FALSE)</f>
        <v>0</v>
      </c>
      <c r="B610" t="str">
        <f t="shared" si="10"/>
        <v>BOP</v>
      </c>
      <c r="C610" s="2">
        <v>609</v>
      </c>
      <c r="D610" s="3" t="str">
        <f>HYPERLINK("https://sitebase.nzcomms.co.nz/spm/spmnominalview/BOP-025-010/","BOP-025-010")</f>
        <v>BOP-025-010</v>
      </c>
      <c r="E610" s="4" t="s">
        <v>1979</v>
      </c>
      <c r="F610" s="3" t="str">
        <f>HYPERLINK("https://sitebase.nzcomms.co.nz/spm/spmcandidateview/BOP-025-010-B/","BOP-025-010-B")</f>
        <v>BOP-025-010-B</v>
      </c>
      <c r="G610" s="4" t="s">
        <v>1980</v>
      </c>
      <c r="H610" s="4" t="s">
        <v>1954</v>
      </c>
      <c r="I610" s="4">
        <v>22</v>
      </c>
      <c r="J610" s="4" t="s">
        <v>165</v>
      </c>
      <c r="K610" s="4" t="s">
        <v>141</v>
      </c>
      <c r="L610" s="4" t="s">
        <v>142</v>
      </c>
      <c r="M610" s="4" t="s">
        <v>324</v>
      </c>
      <c r="N610" s="4" t="s">
        <v>142</v>
      </c>
      <c r="O610" s="4"/>
      <c r="P610" s="4"/>
      <c r="Q610" s="4" t="s">
        <v>142</v>
      </c>
      <c r="R610" s="4"/>
      <c r="S610" s="4"/>
      <c r="T610" s="4"/>
      <c r="U610" s="4"/>
      <c r="V610" s="4"/>
      <c r="W610" s="4"/>
      <c r="X610" s="4"/>
      <c r="Y610" s="4"/>
      <c r="Z610" s="4"/>
      <c r="AA610" s="4" t="s">
        <v>145</v>
      </c>
      <c r="AB610" s="3" t="str">
        <f>HYPERLINK("https://sitebase.nzcomms.co.nz/spm/spmcandidateview/BOP-024-003-A/","BOP-024-003-A")</f>
        <v>BOP-024-003-A</v>
      </c>
      <c r="AC610" s="4" t="b">
        <v>1</v>
      </c>
      <c r="AD610" s="4" t="b">
        <v>0</v>
      </c>
      <c r="AE610" s="4"/>
      <c r="AF610" s="4"/>
      <c r="AG610" s="4" t="b">
        <v>0</v>
      </c>
      <c r="AH610" s="4"/>
      <c r="AI610" s="5">
        <v>41071</v>
      </c>
      <c r="AJ610" s="5">
        <v>41067</v>
      </c>
      <c r="AK610" s="5">
        <v>41073</v>
      </c>
      <c r="AL610" s="5">
        <v>41072</v>
      </c>
      <c r="AM610" s="5">
        <v>41087</v>
      </c>
      <c r="AN610" s="5">
        <v>41124</v>
      </c>
      <c r="AO610" s="4">
        <v>2</v>
      </c>
      <c r="AP610" s="5">
        <v>41088</v>
      </c>
      <c r="AQ610" s="5">
        <v>41131</v>
      </c>
      <c r="AR610" s="5">
        <v>42066</v>
      </c>
      <c r="AS610" s="5">
        <v>42083</v>
      </c>
      <c r="AT610" s="5">
        <v>42095</v>
      </c>
      <c r="AU610" s="5">
        <v>42116</v>
      </c>
      <c r="AV610" s="4"/>
      <c r="AW610" s="5">
        <v>42102</v>
      </c>
      <c r="AX610" s="5">
        <v>42158</v>
      </c>
      <c r="AY610" s="4" t="s">
        <v>183</v>
      </c>
      <c r="AZ610" s="5">
        <v>41159</v>
      </c>
      <c r="BA610" s="5">
        <v>41150</v>
      </c>
      <c r="BB610" s="5">
        <v>41194</v>
      </c>
      <c r="BC610" s="5">
        <v>41185</v>
      </c>
      <c r="BD610" s="4">
        <v>1</v>
      </c>
      <c r="BE610" s="5">
        <v>41183</v>
      </c>
      <c r="BF610" s="5">
        <v>41190</v>
      </c>
      <c r="BG610" s="5">
        <v>42034</v>
      </c>
      <c r="BH610" s="5">
        <v>42034</v>
      </c>
      <c r="BI610" s="5">
        <v>42062</v>
      </c>
      <c r="BJ610" s="5">
        <v>42054</v>
      </c>
      <c r="BK610" s="4">
        <v>1</v>
      </c>
      <c r="BL610" s="4"/>
      <c r="BM610" s="5">
        <v>42062</v>
      </c>
      <c r="BN610" s="5">
        <v>42054</v>
      </c>
      <c r="BO610" s="4"/>
      <c r="BP610" s="4"/>
      <c r="BQ610" s="4"/>
      <c r="BR610" s="4"/>
      <c r="BS610" s="4"/>
      <c r="BT610" s="5">
        <v>42180</v>
      </c>
      <c r="BU610" s="5">
        <v>42180</v>
      </c>
      <c r="BV610" s="5">
        <v>42205</v>
      </c>
      <c r="BW610" s="5">
        <v>42208</v>
      </c>
      <c r="BX610" s="4"/>
      <c r="BY610" s="5">
        <v>42209</v>
      </c>
      <c r="BZ610" s="5">
        <v>42209</v>
      </c>
      <c r="CA610" s="4"/>
      <c r="CB610" s="4"/>
      <c r="CC610" s="4"/>
      <c r="CD610" s="4"/>
      <c r="CE610" s="4"/>
      <c r="CF610" s="4"/>
      <c r="CG610" s="4"/>
      <c r="CH610" s="4"/>
      <c r="CI610" s="4"/>
      <c r="CJ610" s="5">
        <v>42234</v>
      </c>
      <c r="CK610" s="5">
        <v>42227</v>
      </c>
      <c r="CL610" s="5">
        <v>42233</v>
      </c>
      <c r="CM610" s="5">
        <v>42244</v>
      </c>
      <c r="CN610" s="4"/>
      <c r="CO610" s="4"/>
      <c r="CP610" s="4" t="s">
        <v>1981</v>
      </c>
      <c r="CQ610" s="4" t="s">
        <v>205</v>
      </c>
      <c r="CR610" s="4"/>
      <c r="CS610" s="4"/>
      <c r="CT610" s="4"/>
      <c r="CU610" s="4"/>
      <c r="CV610" s="4"/>
      <c r="CW610" s="4"/>
      <c r="CX610" s="4"/>
      <c r="CY610" s="4"/>
      <c r="CZ610" s="4"/>
      <c r="DA610" s="5">
        <v>42222</v>
      </c>
      <c r="DB610" s="5">
        <v>42221</v>
      </c>
      <c r="DC610" s="5">
        <v>41127</v>
      </c>
      <c r="DD610" s="4" t="s">
        <v>586</v>
      </c>
      <c r="DE610" s="4" t="s">
        <v>1982</v>
      </c>
      <c r="DF610" s="4"/>
      <c r="DG610" s="4"/>
      <c r="DH610" s="4" t="s">
        <v>174</v>
      </c>
      <c r="DI610" s="4"/>
      <c r="DJ610" s="4" t="b">
        <v>0</v>
      </c>
      <c r="DK610" s="4"/>
      <c r="DL610" s="4"/>
      <c r="DM610" s="4"/>
      <c r="DN610" s="4" t="s">
        <v>1983</v>
      </c>
      <c r="DO610" s="4"/>
      <c r="DP610" s="4"/>
      <c r="DQ610" s="4" t="s">
        <v>328</v>
      </c>
      <c r="DR610" s="4"/>
      <c r="DS610" s="4"/>
      <c r="DT610" s="4"/>
      <c r="DU610" s="4" t="s">
        <v>178</v>
      </c>
      <c r="DV610" s="4"/>
      <c r="DW610" s="4"/>
      <c r="DX610" s="5">
        <v>42044</v>
      </c>
      <c r="DY610" s="4"/>
      <c r="DZ610" s="5">
        <v>42093</v>
      </c>
      <c r="EA610" s="4"/>
      <c r="EB610" s="4"/>
      <c r="EC610" s="4"/>
      <c r="ED610" s="4"/>
      <c r="EE610" s="4"/>
      <c r="EF610" s="5">
        <v>42144</v>
      </c>
      <c r="EG610" s="4"/>
      <c r="EH610" s="4"/>
      <c r="EI610" s="5">
        <v>41072</v>
      </c>
    </row>
    <row r="611" spans="1:139" hidden="1" x14ac:dyDescent="0.2">
      <c r="A611">
        <f>VLOOKUP(B611,Sheet1!$A$1:$B$18,2,FALSE)</f>
        <v>0</v>
      </c>
      <c r="B611" t="str">
        <f t="shared" si="10"/>
        <v>BOP</v>
      </c>
      <c r="C611" s="2">
        <v>610</v>
      </c>
      <c r="D611" s="3" t="str">
        <f>HYPERLINK("https://sitebase.nzcomms.co.nz/spm/spmnominalview/BOP-025-011/","BOP-025-011")</f>
        <v>BOP-025-011</v>
      </c>
      <c r="E611" s="4" t="s">
        <v>1984</v>
      </c>
      <c r="F611" s="3" t="str">
        <f>HYPERLINK("https://sitebase.nzcomms.co.nz/spm/spmcandidateview/BOP-025-011-A/","BOP-025-011-A")</f>
        <v>BOP-025-011-A</v>
      </c>
      <c r="G611" s="4" t="s">
        <v>1985</v>
      </c>
      <c r="H611" s="4" t="s">
        <v>1954</v>
      </c>
      <c r="I611" s="4">
        <v>22</v>
      </c>
      <c r="J611" s="4" t="s">
        <v>165</v>
      </c>
      <c r="K611" s="4" t="s">
        <v>141</v>
      </c>
      <c r="L611" s="4" t="s">
        <v>722</v>
      </c>
      <c r="M611" s="4" t="s">
        <v>190</v>
      </c>
      <c r="N611" s="4" t="s">
        <v>1986</v>
      </c>
      <c r="O611" s="4"/>
      <c r="P611" s="4" t="s">
        <v>169</v>
      </c>
      <c r="Q611" s="4" t="s">
        <v>142</v>
      </c>
      <c r="R611" s="4"/>
      <c r="S611" s="4"/>
      <c r="T611" s="4"/>
      <c r="U611" s="4">
        <v>-37.981476909999998</v>
      </c>
      <c r="V611" s="4">
        <v>176.68210037</v>
      </c>
      <c r="W611" s="4"/>
      <c r="X611" s="4"/>
      <c r="Y611" s="4"/>
      <c r="Z611" s="4"/>
      <c r="AA611" s="4" t="s">
        <v>171</v>
      </c>
      <c r="AB611" s="3" t="str">
        <f>HYPERLINK("https://sitebase.nzcomms.co.nz/spm/spmcandidateview/BOP-025-003-C/","BOP-025-003-C")</f>
        <v>BOP-025-003-C</v>
      </c>
      <c r="AC611" s="4" t="b">
        <v>0</v>
      </c>
      <c r="AD611" s="4" t="b">
        <v>0</v>
      </c>
      <c r="AE611" s="4"/>
      <c r="AF611" s="4"/>
      <c r="AG611" s="4" t="b">
        <v>0</v>
      </c>
      <c r="AH611" s="4"/>
      <c r="AI611" s="5">
        <v>41982</v>
      </c>
      <c r="AJ611" s="5">
        <v>41977</v>
      </c>
      <c r="AK611" s="5">
        <v>41967</v>
      </c>
      <c r="AL611" s="5">
        <v>41964</v>
      </c>
      <c r="AM611" s="5">
        <v>41971</v>
      </c>
      <c r="AN611" s="5">
        <v>41213</v>
      </c>
      <c r="AO611" s="4">
        <v>3</v>
      </c>
      <c r="AP611" s="5">
        <v>41978</v>
      </c>
      <c r="AQ611" s="5">
        <v>42109</v>
      </c>
      <c r="AR611" s="5">
        <v>42167</v>
      </c>
      <c r="AS611" s="5">
        <v>42164</v>
      </c>
      <c r="AT611" s="5">
        <v>42216</v>
      </c>
      <c r="AU611" s="5">
        <v>42201</v>
      </c>
      <c r="AV611" s="4"/>
      <c r="AW611" s="5">
        <v>42223</v>
      </c>
      <c r="AX611" s="5">
        <v>42255</v>
      </c>
      <c r="AY611" s="4" t="s">
        <v>183</v>
      </c>
      <c r="AZ611" s="5">
        <v>42167</v>
      </c>
      <c r="BA611" s="5">
        <v>42171</v>
      </c>
      <c r="BB611" s="5">
        <v>42209</v>
      </c>
      <c r="BC611" s="5">
        <v>42202</v>
      </c>
      <c r="BD611" s="4">
        <v>3</v>
      </c>
      <c r="BE611" s="5">
        <v>42216</v>
      </c>
      <c r="BF611" s="5">
        <v>42202</v>
      </c>
      <c r="BG611" s="5">
        <v>42167</v>
      </c>
      <c r="BH611" s="5">
        <v>42180</v>
      </c>
      <c r="BI611" s="5">
        <v>42215</v>
      </c>
      <c r="BJ611" s="5">
        <v>42242</v>
      </c>
      <c r="BK611" s="4">
        <v>1</v>
      </c>
      <c r="BL611" s="4"/>
      <c r="BM611" s="5">
        <v>42216</v>
      </c>
      <c r="BN611" s="5">
        <v>42242</v>
      </c>
      <c r="BO611" s="4"/>
      <c r="BP611" s="4"/>
      <c r="BQ611" s="4"/>
      <c r="BR611" s="4"/>
      <c r="BS611" s="4"/>
      <c r="BT611" s="5">
        <v>42293</v>
      </c>
      <c r="BU611" s="5">
        <v>42291</v>
      </c>
      <c r="BV611" s="5">
        <v>42321</v>
      </c>
      <c r="BW611" s="5">
        <v>42324</v>
      </c>
      <c r="BX611" s="4"/>
      <c r="BY611" s="5">
        <v>42324</v>
      </c>
      <c r="BZ611" s="5">
        <v>42325</v>
      </c>
      <c r="CA611" s="4"/>
      <c r="CB611" s="4"/>
      <c r="CC611" s="4"/>
      <c r="CD611" s="4"/>
      <c r="CE611" s="4"/>
      <c r="CF611" s="4"/>
      <c r="CG611" s="4"/>
      <c r="CH611" s="4"/>
      <c r="CI611" s="4"/>
      <c r="CJ611" s="5">
        <v>42338</v>
      </c>
      <c r="CK611" s="5">
        <v>42338</v>
      </c>
      <c r="CL611" s="5">
        <v>42356</v>
      </c>
      <c r="CM611" s="5">
        <v>42354</v>
      </c>
      <c r="CN611" s="4"/>
      <c r="CO611" s="4"/>
      <c r="CP611" s="4" t="s">
        <v>1987</v>
      </c>
      <c r="CQ611" s="4" t="s">
        <v>205</v>
      </c>
      <c r="CR611" s="4"/>
      <c r="CS611" s="4"/>
      <c r="CT611" s="4"/>
      <c r="CU611" s="4"/>
      <c r="CV611" s="4"/>
      <c r="CW611" s="4"/>
      <c r="CX611" s="4"/>
      <c r="CY611" s="4"/>
      <c r="CZ611" s="4"/>
      <c r="DA611" s="5">
        <v>42333</v>
      </c>
      <c r="DB611" s="5">
        <v>42333</v>
      </c>
      <c r="DC611" s="4"/>
      <c r="DD611" s="4"/>
      <c r="DE611" s="4" t="s">
        <v>722</v>
      </c>
      <c r="DF611" s="4"/>
      <c r="DG611" s="4"/>
      <c r="DH611" s="4" t="s">
        <v>174</v>
      </c>
      <c r="DI611" s="4"/>
      <c r="DJ611" s="4" t="b">
        <v>0</v>
      </c>
      <c r="DK611" s="4"/>
      <c r="DL611" s="4">
        <v>2833545</v>
      </c>
      <c r="DM611" s="4">
        <v>6351299</v>
      </c>
      <c r="DN611" s="4" t="s">
        <v>1988</v>
      </c>
      <c r="DO611" s="4"/>
      <c r="DP611" s="4"/>
      <c r="DQ611" s="4" t="s">
        <v>148</v>
      </c>
      <c r="DR611" s="4"/>
      <c r="DS611" s="4"/>
      <c r="DT611" s="4"/>
      <c r="DU611" s="4" t="s">
        <v>178</v>
      </c>
      <c r="DV611" s="4"/>
      <c r="DW611" s="4"/>
      <c r="DX611" s="5">
        <v>42118</v>
      </c>
      <c r="DY611" s="5">
        <v>42209</v>
      </c>
      <c r="DZ611" s="5">
        <v>42223</v>
      </c>
      <c r="EA611" s="4"/>
      <c r="EB611" s="4"/>
      <c r="EC611" s="4"/>
      <c r="ED611" s="4"/>
      <c r="EE611" s="5">
        <v>42272</v>
      </c>
      <c r="EF611" s="5">
        <v>42262</v>
      </c>
      <c r="EG611" s="4"/>
      <c r="EH611" s="4"/>
      <c r="EI611" s="5">
        <v>41964</v>
      </c>
    </row>
    <row r="612" spans="1:139" hidden="1" x14ac:dyDescent="0.2">
      <c r="A612">
        <f>VLOOKUP(B612,Sheet1!$A$1:$B$18,2,FALSE)</f>
        <v>0</v>
      </c>
      <c r="B612" t="str">
        <f t="shared" si="10"/>
        <v>BOP</v>
      </c>
      <c r="C612" s="2">
        <v>611</v>
      </c>
      <c r="D612" s="3" t="str">
        <f>HYPERLINK("https://sitebase.nzcomms.co.nz/spm/spmnominalview/BOP-025-012/","BOP-025-012")</f>
        <v>BOP-025-012</v>
      </c>
      <c r="E612" s="4" t="s">
        <v>1989</v>
      </c>
      <c r="F612" s="3" t="str">
        <f>HYPERLINK("https://sitebase.nzcomms.co.nz/spm/spmcandidateview/BOP-025-012-A/","BOP-025-012-A")</f>
        <v>BOP-025-012-A</v>
      </c>
      <c r="G612" s="4" t="s">
        <v>1990</v>
      </c>
      <c r="H612" s="4" t="s">
        <v>1954</v>
      </c>
      <c r="I612" s="4">
        <v>25</v>
      </c>
      <c r="J612" s="4" t="s">
        <v>331</v>
      </c>
      <c r="K612" s="4" t="s">
        <v>141</v>
      </c>
      <c r="L612" s="4" t="s">
        <v>722</v>
      </c>
      <c r="M612" s="4" t="s">
        <v>166</v>
      </c>
      <c r="N612" s="4" t="s">
        <v>142</v>
      </c>
      <c r="O612" s="4"/>
      <c r="P612" s="4" t="s">
        <v>169</v>
      </c>
      <c r="Q612" s="4" t="s">
        <v>142</v>
      </c>
      <c r="R612" s="4">
        <v>23</v>
      </c>
      <c r="S612" s="4">
        <v>25</v>
      </c>
      <c r="T612" s="4"/>
      <c r="U612" s="4">
        <v>-38.135593229999998</v>
      </c>
      <c r="V612" s="4">
        <v>177.10240628</v>
      </c>
      <c r="W612" s="4"/>
      <c r="X612" s="4"/>
      <c r="Y612" s="4"/>
      <c r="Z612" s="4"/>
      <c r="AA612" s="4" t="s">
        <v>145</v>
      </c>
      <c r="AB612" s="3" t="str">
        <f>HYPERLINK("https://sitebase.nzcomms.co.nz/spm/spmcandidateview/BOP-023-004-A/","BOP-023-004-A")</f>
        <v>BOP-023-004-A</v>
      </c>
      <c r="AC612" s="4" t="b">
        <v>0</v>
      </c>
      <c r="AD612" s="4" t="b">
        <v>0</v>
      </c>
      <c r="AE612" s="4"/>
      <c r="AF612" s="4"/>
      <c r="AG612" s="4" t="b">
        <v>0</v>
      </c>
      <c r="AH612" s="4"/>
      <c r="AI612" s="5">
        <v>42291</v>
      </c>
      <c r="AJ612" s="5">
        <v>42291</v>
      </c>
      <c r="AK612" s="5">
        <v>42300</v>
      </c>
      <c r="AL612" s="5">
        <v>42331</v>
      </c>
      <c r="AM612" s="5">
        <v>42300</v>
      </c>
      <c r="AN612" s="5">
        <v>42310</v>
      </c>
      <c r="AO612" s="4">
        <v>1</v>
      </c>
      <c r="AP612" s="5">
        <v>42304</v>
      </c>
      <c r="AQ612" s="5">
        <v>42310</v>
      </c>
      <c r="AR612" s="5">
        <v>42404</v>
      </c>
      <c r="AS612" s="4"/>
      <c r="AT612" s="5">
        <v>42426</v>
      </c>
      <c r="AU612" s="4"/>
      <c r="AV612" s="4"/>
      <c r="AW612" s="5">
        <v>42426</v>
      </c>
      <c r="AX612" s="4"/>
      <c r="AY612" s="4" t="s">
        <v>172</v>
      </c>
      <c r="AZ612" s="5">
        <v>42398</v>
      </c>
      <c r="BA612" s="4"/>
      <c r="BB612" s="5">
        <v>42404</v>
      </c>
      <c r="BC612" s="4"/>
      <c r="BD612" s="4"/>
      <c r="BE612" s="5">
        <v>42405</v>
      </c>
      <c r="BF612" s="4"/>
      <c r="BG612" s="5">
        <v>42324</v>
      </c>
      <c r="BH612" s="5">
        <v>42324</v>
      </c>
      <c r="BI612" s="5">
        <v>42409</v>
      </c>
      <c r="BJ612" s="5">
        <v>42391</v>
      </c>
      <c r="BK612" s="4">
        <v>1</v>
      </c>
      <c r="BL612" s="4"/>
      <c r="BM612" s="5">
        <v>42411</v>
      </c>
      <c r="BN612" s="5">
        <v>42391</v>
      </c>
      <c r="BO612" s="4"/>
      <c r="BP612" s="4"/>
      <c r="BQ612" s="4"/>
      <c r="BR612" s="4"/>
      <c r="BS612" s="4"/>
      <c r="BT612" s="5">
        <v>42471</v>
      </c>
      <c r="BU612" s="4"/>
      <c r="BV612" s="5">
        <v>42475</v>
      </c>
      <c r="BW612" s="4"/>
      <c r="BX612" s="4"/>
      <c r="BY612" s="5">
        <v>42475</v>
      </c>
      <c r="BZ612" s="4"/>
      <c r="CA612" s="5">
        <v>42440</v>
      </c>
      <c r="CB612" s="4"/>
      <c r="CC612" s="5">
        <v>42438</v>
      </c>
      <c r="CD612" s="4"/>
      <c r="CE612" s="5">
        <v>42459</v>
      </c>
      <c r="CF612" s="4"/>
      <c r="CG612" s="5">
        <v>42460</v>
      </c>
      <c r="CH612" s="4"/>
      <c r="CI612" s="4"/>
      <c r="CJ612" s="5">
        <v>42488</v>
      </c>
      <c r="CK612" s="4"/>
      <c r="CL612" s="4"/>
      <c r="CM612" s="4"/>
      <c r="CN612" s="4"/>
      <c r="CO612" s="4"/>
      <c r="CP612" s="4" t="s">
        <v>1991</v>
      </c>
      <c r="CQ612" s="4" t="s">
        <v>230</v>
      </c>
      <c r="CR612" s="4"/>
      <c r="CS612" s="4"/>
      <c r="CT612" s="4"/>
      <c r="CU612" s="4"/>
      <c r="CV612" s="4"/>
      <c r="CW612" s="4"/>
      <c r="CX612" s="4"/>
      <c r="CY612" s="4"/>
      <c r="CZ612" s="4"/>
      <c r="DA612" s="5">
        <v>42482</v>
      </c>
      <c r="DB612" s="4"/>
      <c r="DC612" s="4"/>
      <c r="DD612" s="4"/>
      <c r="DE612" s="4"/>
      <c r="DF612" s="5">
        <v>42472</v>
      </c>
      <c r="DG612" s="4"/>
      <c r="DH612" s="4" t="s">
        <v>174</v>
      </c>
      <c r="DI612" s="5">
        <v>42471</v>
      </c>
      <c r="DJ612" s="4" t="b">
        <v>0</v>
      </c>
      <c r="DK612" s="4"/>
      <c r="DL612" s="4">
        <v>2869653</v>
      </c>
      <c r="DM612" s="4">
        <v>6332612</v>
      </c>
      <c r="DN612" s="4" t="s">
        <v>1992</v>
      </c>
      <c r="DO612" s="4"/>
      <c r="DP612" s="4"/>
      <c r="DQ612" s="4" t="s">
        <v>148</v>
      </c>
      <c r="DR612" s="4"/>
      <c r="DS612" s="4"/>
      <c r="DT612" s="4"/>
      <c r="DU612" s="4" t="s">
        <v>178</v>
      </c>
      <c r="DV612" s="4"/>
      <c r="DW612" s="4"/>
      <c r="DX612" s="5">
        <v>42410</v>
      </c>
      <c r="DY612" s="5">
        <v>42360</v>
      </c>
      <c r="DZ612" s="5">
        <v>42360</v>
      </c>
      <c r="EA612" s="5">
        <v>42293</v>
      </c>
      <c r="EB612" s="5">
        <v>42296</v>
      </c>
      <c r="EC612" s="5">
        <v>42321</v>
      </c>
      <c r="ED612" s="5">
        <v>42321</v>
      </c>
      <c r="EE612" s="5">
        <v>42412</v>
      </c>
      <c r="EF612" s="5">
        <v>42402</v>
      </c>
      <c r="EG612" s="4"/>
      <c r="EH612" s="4"/>
      <c r="EI612" s="5">
        <v>42293</v>
      </c>
    </row>
    <row r="613" spans="1:139" hidden="1" x14ac:dyDescent="0.2">
      <c r="A613">
        <f>VLOOKUP(B613,Sheet1!$A$1:$B$18,2,FALSE)</f>
        <v>0</v>
      </c>
      <c r="B613" t="str">
        <f t="shared" si="10"/>
        <v>BOP</v>
      </c>
      <c r="C613" s="2">
        <v>612</v>
      </c>
      <c r="D613" s="3" t="str">
        <f>HYPERLINK("https://sitebase.nzcomms.co.nz/spm/spmnominalview/BOP-025-013/","BOP-025-013")</f>
        <v>BOP-025-013</v>
      </c>
      <c r="E613" s="4" t="s">
        <v>1993</v>
      </c>
      <c r="F613" s="4"/>
      <c r="G613" s="4"/>
      <c r="H613" s="4" t="s">
        <v>1954</v>
      </c>
      <c r="I613" s="4"/>
      <c r="J613" s="4" t="s">
        <v>722</v>
      </c>
      <c r="K613" s="4"/>
      <c r="L613" s="4"/>
      <c r="M613" s="4"/>
      <c r="N613" s="4"/>
      <c r="O613" s="4"/>
      <c r="P613" s="4"/>
      <c r="Q613" s="4"/>
      <c r="R613" s="4"/>
      <c r="S613" s="4"/>
      <c r="T613" s="4"/>
      <c r="U613" s="4"/>
      <c r="V613" s="4"/>
      <c r="W613" s="4"/>
      <c r="X613" s="4"/>
      <c r="Y613" s="4"/>
      <c r="Z613" s="4"/>
      <c r="AA613" s="4"/>
      <c r="AB613" s="4"/>
      <c r="AC613" s="4"/>
      <c r="AD613" s="4"/>
      <c r="AE613" s="4"/>
      <c r="AF613" s="4"/>
      <c r="AG613" s="4" t="b">
        <v>0</v>
      </c>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row>
    <row r="614" spans="1:139" hidden="1" x14ac:dyDescent="0.2">
      <c r="A614">
        <f>VLOOKUP(B614,Sheet1!$A$1:$B$18,2,FALSE)</f>
        <v>0</v>
      </c>
      <c r="B614" t="str">
        <f t="shared" si="10"/>
        <v>BOP</v>
      </c>
      <c r="C614" s="2">
        <v>613</v>
      </c>
      <c r="D614" s="3" t="str">
        <f>HYPERLINK("https://sitebase.nzcomms.co.nz/spm/spmnominalview/BOP-025-014/","BOP-025-014")</f>
        <v>BOP-025-014</v>
      </c>
      <c r="E614" s="4" t="s">
        <v>1994</v>
      </c>
      <c r="F614" s="4"/>
      <c r="G614" s="4"/>
      <c r="H614" s="4" t="s">
        <v>1954</v>
      </c>
      <c r="I614" s="4"/>
      <c r="J614" s="4" t="s">
        <v>722</v>
      </c>
      <c r="K614" s="4"/>
      <c r="L614" s="4"/>
      <c r="M614" s="4"/>
      <c r="N614" s="4"/>
      <c r="O614" s="4"/>
      <c r="P614" s="4"/>
      <c r="Q614" s="4"/>
      <c r="R614" s="4"/>
      <c r="S614" s="4"/>
      <c r="T614" s="4"/>
      <c r="U614" s="4"/>
      <c r="V614" s="4"/>
      <c r="W614" s="4"/>
      <c r="X614" s="4"/>
      <c r="Y614" s="4"/>
      <c r="Z614" s="4"/>
      <c r="AA614" s="4"/>
      <c r="AB614" s="4"/>
      <c r="AC614" s="4"/>
      <c r="AD614" s="4"/>
      <c r="AE614" s="4"/>
      <c r="AF614" s="4"/>
      <c r="AG614" s="4" t="b">
        <v>0</v>
      </c>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row>
    <row r="615" spans="1:139" hidden="1" x14ac:dyDescent="0.2">
      <c r="A615">
        <f>VLOOKUP(B615,Sheet1!$A$1:$B$18,2,FALSE)</f>
        <v>0</v>
      </c>
      <c r="B615" t="str">
        <f t="shared" si="10"/>
        <v>BOP</v>
      </c>
      <c r="C615" s="2">
        <v>614</v>
      </c>
      <c r="D615" s="3" t="str">
        <f>HYPERLINK("https://sitebase.nzcomms.co.nz/spm/spmnominalview/BOP-025-015/","BOP-025-015")</f>
        <v>BOP-025-015</v>
      </c>
      <c r="E615" s="4" t="s">
        <v>1995</v>
      </c>
      <c r="F615" s="3" t="str">
        <f>HYPERLINK("https://sitebase.nzcomms.co.nz/spm/spmcandidateview/BOP-025-015-A/","BOP-025-015-A")</f>
        <v>BOP-025-015-A</v>
      </c>
      <c r="G615" s="4" t="s">
        <v>1996</v>
      </c>
      <c r="H615" s="4" t="s">
        <v>1954</v>
      </c>
      <c r="I615" s="4">
        <v>25</v>
      </c>
      <c r="J615" s="4" t="s">
        <v>331</v>
      </c>
      <c r="K615" s="4" t="s">
        <v>141</v>
      </c>
      <c r="L615" s="4" t="s">
        <v>722</v>
      </c>
      <c r="M615" s="4" t="s">
        <v>166</v>
      </c>
      <c r="N615" s="4" t="s">
        <v>142</v>
      </c>
      <c r="O615" s="4"/>
      <c r="P615" s="4" t="s">
        <v>169</v>
      </c>
      <c r="Q615" s="4" t="s">
        <v>142</v>
      </c>
      <c r="R615" s="4">
        <v>28</v>
      </c>
      <c r="S615" s="4">
        <v>30</v>
      </c>
      <c r="T615" s="4"/>
      <c r="U615" s="4">
        <v>-37.931714249999999</v>
      </c>
      <c r="V615" s="4">
        <v>176.83031331999999</v>
      </c>
      <c r="W615" s="4"/>
      <c r="X615" s="4"/>
      <c r="Y615" s="4"/>
      <c r="Z615" s="4"/>
      <c r="AA615" s="4" t="s">
        <v>145</v>
      </c>
      <c r="AB615" s="3" t="str">
        <f>HYPERLINK("https://sitebase.nzcomms.co.nz/spm/spmcandidateview/BOP-023-004-A/","BOP-023-004-A")</f>
        <v>BOP-023-004-A</v>
      </c>
      <c r="AC615" s="4" t="b">
        <v>0</v>
      </c>
      <c r="AD615" s="4" t="b">
        <v>0</v>
      </c>
      <c r="AE615" s="4"/>
      <c r="AF615" s="4"/>
      <c r="AG615" s="4" t="b">
        <v>0</v>
      </c>
      <c r="AH615" s="4"/>
      <c r="AI615" s="5">
        <v>42290</v>
      </c>
      <c r="AJ615" s="5">
        <v>42291</v>
      </c>
      <c r="AK615" s="5">
        <v>42293</v>
      </c>
      <c r="AL615" s="5">
        <v>42296</v>
      </c>
      <c r="AM615" s="5">
        <v>42296</v>
      </c>
      <c r="AN615" s="5">
        <v>42310</v>
      </c>
      <c r="AO615" s="4">
        <v>1</v>
      </c>
      <c r="AP615" s="5">
        <v>42304</v>
      </c>
      <c r="AQ615" s="5">
        <v>42310</v>
      </c>
      <c r="AR615" s="5">
        <v>42390</v>
      </c>
      <c r="AS615" s="5">
        <v>42331</v>
      </c>
      <c r="AT615" s="5">
        <v>42332</v>
      </c>
      <c r="AU615" s="5">
        <v>42334</v>
      </c>
      <c r="AV615" s="4"/>
      <c r="AW615" s="5">
        <v>42412</v>
      </c>
      <c r="AX615" s="5">
        <v>42405</v>
      </c>
      <c r="AY615" s="4" t="s">
        <v>172</v>
      </c>
      <c r="AZ615" s="5">
        <v>42334</v>
      </c>
      <c r="BA615" s="5">
        <v>42334</v>
      </c>
      <c r="BB615" s="5">
        <v>42338</v>
      </c>
      <c r="BC615" s="5">
        <v>42350</v>
      </c>
      <c r="BD615" s="4">
        <v>1</v>
      </c>
      <c r="BE615" s="5">
        <v>42338</v>
      </c>
      <c r="BF615" s="5">
        <v>42341</v>
      </c>
      <c r="BG615" s="5">
        <v>42325</v>
      </c>
      <c r="BH615" s="5">
        <v>42354</v>
      </c>
      <c r="BI615" s="5">
        <v>42360</v>
      </c>
      <c r="BJ615" s="5">
        <v>42384</v>
      </c>
      <c r="BK615" s="4">
        <v>1</v>
      </c>
      <c r="BL615" s="4"/>
      <c r="BM615" s="5">
        <v>42361</v>
      </c>
      <c r="BN615" s="5">
        <v>42384</v>
      </c>
      <c r="BO615" s="4"/>
      <c r="BP615" s="4"/>
      <c r="BQ615" s="4"/>
      <c r="BR615" s="4"/>
      <c r="BS615" s="4"/>
      <c r="BT615" s="5">
        <v>42429</v>
      </c>
      <c r="BU615" s="4"/>
      <c r="BV615" s="5">
        <v>42433</v>
      </c>
      <c r="BW615" s="4"/>
      <c r="BX615" s="4"/>
      <c r="BY615" s="5">
        <v>42433</v>
      </c>
      <c r="BZ615" s="4"/>
      <c r="CA615" s="5">
        <v>42424</v>
      </c>
      <c r="CB615" s="4"/>
      <c r="CC615" s="5">
        <v>42397</v>
      </c>
      <c r="CD615" s="4"/>
      <c r="CE615" s="5">
        <v>42417</v>
      </c>
      <c r="CF615" s="4"/>
      <c r="CG615" s="5">
        <v>42417</v>
      </c>
      <c r="CH615" s="5">
        <v>42394</v>
      </c>
      <c r="CI615" s="4"/>
      <c r="CJ615" s="5">
        <v>42447</v>
      </c>
      <c r="CK615" s="4"/>
      <c r="CL615" s="4"/>
      <c r="CM615" s="4"/>
      <c r="CN615" s="4"/>
      <c r="CO615" s="4"/>
      <c r="CP615" s="4" t="s">
        <v>1997</v>
      </c>
      <c r="CQ615" s="4" t="s">
        <v>230</v>
      </c>
      <c r="CR615" s="4"/>
      <c r="CS615" s="4"/>
      <c r="CT615" s="4"/>
      <c r="CU615" s="4"/>
      <c r="CV615" s="4"/>
      <c r="CW615" s="4"/>
      <c r="CX615" s="4"/>
      <c r="CY615" s="4"/>
      <c r="CZ615" s="4"/>
      <c r="DA615" s="5">
        <v>42440</v>
      </c>
      <c r="DB615" s="4"/>
      <c r="DC615" s="5">
        <v>42397</v>
      </c>
      <c r="DD615" s="4" t="s">
        <v>586</v>
      </c>
      <c r="DE615" s="4"/>
      <c r="DF615" s="5">
        <v>42430</v>
      </c>
      <c r="DG615" s="4"/>
      <c r="DH615" s="4" t="s">
        <v>174</v>
      </c>
      <c r="DI615" s="5">
        <v>42429</v>
      </c>
      <c r="DJ615" s="4" t="b">
        <v>0</v>
      </c>
      <c r="DK615" s="4"/>
      <c r="DL615" s="4">
        <v>2846789</v>
      </c>
      <c r="DM615" s="4">
        <v>6356272</v>
      </c>
      <c r="DN615" s="4" t="s">
        <v>1998</v>
      </c>
      <c r="DO615" s="4"/>
      <c r="DP615" s="4"/>
      <c r="DQ615" s="4" t="s">
        <v>148</v>
      </c>
      <c r="DR615" s="4"/>
      <c r="DS615" s="4"/>
      <c r="DT615" s="4"/>
      <c r="DU615" s="4" t="s">
        <v>178</v>
      </c>
      <c r="DV615" s="4"/>
      <c r="DW615" s="4"/>
      <c r="DX615" s="5">
        <v>42410</v>
      </c>
      <c r="DY615" s="5">
        <v>42331</v>
      </c>
      <c r="DZ615" s="5">
        <v>42347</v>
      </c>
      <c r="EA615" s="5">
        <v>42293</v>
      </c>
      <c r="EB615" s="5">
        <v>42297</v>
      </c>
      <c r="EC615" s="5">
        <v>42326</v>
      </c>
      <c r="ED615" s="5">
        <v>42326</v>
      </c>
      <c r="EE615" s="5">
        <v>42398</v>
      </c>
      <c r="EF615" s="5">
        <v>42402</v>
      </c>
      <c r="EG615" s="4"/>
      <c r="EH615" s="4"/>
      <c r="EI615" s="5">
        <v>42296</v>
      </c>
    </row>
    <row r="616" spans="1:139" hidden="1" x14ac:dyDescent="0.2">
      <c r="A616">
        <f>VLOOKUP(B616,Sheet1!$A$1:$B$18,2,FALSE)</f>
        <v>0</v>
      </c>
      <c r="B616" t="str">
        <f t="shared" si="10"/>
        <v>BOP</v>
      </c>
      <c r="C616" s="2">
        <v>615</v>
      </c>
      <c r="D616" s="3" t="str">
        <f>HYPERLINK("https://sitebase.nzcomms.co.nz/spm/spmnominalview/BOP-025-016/","BOP-025-016")</f>
        <v>BOP-025-016</v>
      </c>
      <c r="E616" s="4" t="s">
        <v>1999</v>
      </c>
      <c r="F616" s="3" t="str">
        <f>HYPERLINK("https://sitebase.nzcomms.co.nz/spm/spmcandidateview/BOP-025-016-A/","BOP-025-016-A")</f>
        <v>BOP-025-016-A</v>
      </c>
      <c r="G616" s="4" t="s">
        <v>2000</v>
      </c>
      <c r="H616" s="4" t="s">
        <v>1954</v>
      </c>
      <c r="I616" s="4">
        <v>23</v>
      </c>
      <c r="J616" s="4" t="s">
        <v>165</v>
      </c>
      <c r="K616" s="4" t="s">
        <v>141</v>
      </c>
      <c r="L616" s="4" t="s">
        <v>722</v>
      </c>
      <c r="M616" s="4" t="s">
        <v>166</v>
      </c>
      <c r="N616" s="4"/>
      <c r="O616" s="4"/>
      <c r="P616" s="4" t="s">
        <v>182</v>
      </c>
      <c r="Q616" s="4" t="s">
        <v>142</v>
      </c>
      <c r="R616" s="4">
        <v>28</v>
      </c>
      <c r="S616" s="4">
        <v>30</v>
      </c>
      <c r="T616" s="4"/>
      <c r="U616" s="4">
        <v>-38.137103019999998</v>
      </c>
      <c r="V616" s="4">
        <v>176.98848728999999</v>
      </c>
      <c r="W616" s="4"/>
      <c r="X616" s="5">
        <v>42201</v>
      </c>
      <c r="Y616" s="4"/>
      <c r="Z616" s="4"/>
      <c r="AA616" s="4" t="s">
        <v>145</v>
      </c>
      <c r="AB616" s="3" t="str">
        <f>HYPERLINK("https://sitebase.nzcomms.co.nz/spm/spmcandidateview/BOP-023-004-A/","BOP-023-004-A")</f>
        <v>BOP-023-004-A</v>
      </c>
      <c r="AC616" s="4" t="b">
        <v>0</v>
      </c>
      <c r="AD616" s="4" t="b">
        <v>0</v>
      </c>
      <c r="AE616" s="4"/>
      <c r="AF616" s="4"/>
      <c r="AG616" s="4" t="b">
        <v>0</v>
      </c>
      <c r="AH616" s="4"/>
      <c r="AI616" s="5">
        <v>42198</v>
      </c>
      <c r="AJ616" s="5">
        <v>42198</v>
      </c>
      <c r="AK616" s="5">
        <v>42215</v>
      </c>
      <c r="AL616" s="5">
        <v>42215</v>
      </c>
      <c r="AM616" s="5">
        <v>42215</v>
      </c>
      <c r="AN616" s="5">
        <v>42234</v>
      </c>
      <c r="AO616" s="4">
        <v>1</v>
      </c>
      <c r="AP616" s="5">
        <v>42215</v>
      </c>
      <c r="AQ616" s="5">
        <v>42234</v>
      </c>
      <c r="AR616" s="5">
        <v>42230</v>
      </c>
      <c r="AS616" s="5">
        <v>42235</v>
      </c>
      <c r="AT616" s="5">
        <v>42262</v>
      </c>
      <c r="AU616" s="5">
        <v>42268</v>
      </c>
      <c r="AV616" s="4"/>
      <c r="AW616" s="5">
        <v>42263</v>
      </c>
      <c r="AX616" s="5">
        <v>42312</v>
      </c>
      <c r="AY616" s="4" t="s">
        <v>172</v>
      </c>
      <c r="AZ616" s="5">
        <v>42234</v>
      </c>
      <c r="BA616" s="5">
        <v>42250</v>
      </c>
      <c r="BB616" s="5">
        <v>42237</v>
      </c>
      <c r="BC616" s="5">
        <v>42250</v>
      </c>
      <c r="BD616" s="4">
        <v>1</v>
      </c>
      <c r="BE616" s="5">
        <v>42237</v>
      </c>
      <c r="BF616" s="5">
        <v>42338</v>
      </c>
      <c r="BG616" s="5">
        <v>42205</v>
      </c>
      <c r="BH616" s="5">
        <v>42205</v>
      </c>
      <c r="BI616" s="5">
        <v>42220</v>
      </c>
      <c r="BJ616" s="5">
        <v>42220</v>
      </c>
      <c r="BK616" s="4">
        <v>3</v>
      </c>
      <c r="BL616" s="4"/>
      <c r="BM616" s="5">
        <v>42222</v>
      </c>
      <c r="BN616" s="5">
        <v>42227</v>
      </c>
      <c r="BO616" s="4"/>
      <c r="BP616" s="4"/>
      <c r="BQ616" s="4"/>
      <c r="BR616" s="4"/>
      <c r="BS616" s="4"/>
      <c r="BT616" s="5">
        <v>42338</v>
      </c>
      <c r="BU616" s="5">
        <v>42338</v>
      </c>
      <c r="BV616" s="5">
        <v>42342</v>
      </c>
      <c r="BW616" s="5">
        <v>42352</v>
      </c>
      <c r="BX616" s="5">
        <v>42341</v>
      </c>
      <c r="BY616" s="5">
        <v>42345</v>
      </c>
      <c r="BZ616" s="5">
        <v>42345</v>
      </c>
      <c r="CA616" s="5">
        <v>42346</v>
      </c>
      <c r="CB616" s="5">
        <v>42346</v>
      </c>
      <c r="CC616" s="5">
        <v>42241</v>
      </c>
      <c r="CD616" s="4"/>
      <c r="CE616" s="5">
        <v>42277</v>
      </c>
      <c r="CF616" s="4"/>
      <c r="CG616" s="4"/>
      <c r="CH616" s="4"/>
      <c r="CI616" s="4"/>
      <c r="CJ616" s="5">
        <v>42359</v>
      </c>
      <c r="CK616" s="5">
        <v>42359</v>
      </c>
      <c r="CL616" s="4"/>
      <c r="CM616" s="4"/>
      <c r="CN616" s="4"/>
      <c r="CO616" s="4"/>
      <c r="CP616" s="4" t="s">
        <v>2001</v>
      </c>
      <c r="CQ616" s="4" t="s">
        <v>230</v>
      </c>
      <c r="CR616" s="4"/>
      <c r="CS616" s="4"/>
      <c r="CT616" s="4"/>
      <c r="CU616" s="4"/>
      <c r="CV616" s="4"/>
      <c r="CW616" s="4"/>
      <c r="CX616" s="4"/>
      <c r="CY616" s="4"/>
      <c r="CZ616" s="4"/>
      <c r="DA616" s="5">
        <v>42352</v>
      </c>
      <c r="DB616" s="5">
        <v>42353</v>
      </c>
      <c r="DC616" s="4"/>
      <c r="DD616" s="4"/>
      <c r="DE616" s="4"/>
      <c r="DF616" s="5">
        <v>42346</v>
      </c>
      <c r="DG616" s="5">
        <v>42346</v>
      </c>
      <c r="DH616" s="4" t="s">
        <v>174</v>
      </c>
      <c r="DI616" s="5">
        <v>42338</v>
      </c>
      <c r="DJ616" s="4" t="b">
        <v>0</v>
      </c>
      <c r="DK616" s="4"/>
      <c r="DL616" s="4">
        <v>2859669</v>
      </c>
      <c r="DM616" s="4">
        <v>6332894</v>
      </c>
      <c r="DN616" s="4" t="s">
        <v>2002</v>
      </c>
      <c r="DO616" s="4"/>
      <c r="DP616" s="4"/>
      <c r="DQ616" s="4" t="s">
        <v>148</v>
      </c>
      <c r="DR616" s="4"/>
      <c r="DS616" s="4"/>
      <c r="DT616" s="4"/>
      <c r="DU616" s="4" t="s">
        <v>178</v>
      </c>
      <c r="DV616" s="4"/>
      <c r="DW616" s="4"/>
      <c r="DX616" s="5">
        <v>42188</v>
      </c>
      <c r="DY616" s="5">
        <v>42229</v>
      </c>
      <c r="DZ616" s="5">
        <v>42223</v>
      </c>
      <c r="EA616" s="5">
        <v>42205</v>
      </c>
      <c r="EB616" s="5">
        <v>42205</v>
      </c>
      <c r="EC616" s="5">
        <v>42216</v>
      </c>
      <c r="ED616" s="5">
        <v>42221</v>
      </c>
      <c r="EE616" s="5">
        <v>42251</v>
      </c>
      <c r="EF616" s="5">
        <v>42250</v>
      </c>
      <c r="EG616" s="4"/>
      <c r="EH616" s="4"/>
      <c r="EI616" s="5">
        <v>42208</v>
      </c>
    </row>
    <row r="617" spans="1:139" hidden="1" x14ac:dyDescent="0.2">
      <c r="A617">
        <f>VLOOKUP(B617,Sheet1!$A$1:$B$18,2,FALSE)</f>
        <v>0</v>
      </c>
      <c r="B617" t="str">
        <f t="shared" si="10"/>
        <v>BOP</v>
      </c>
      <c r="C617" s="2">
        <v>616</v>
      </c>
      <c r="D617" s="3" t="str">
        <f>HYPERLINK("https://sitebase.nzcomms.co.nz/spm/spmnominalview/BOP-026-001/","BOP-026-001")</f>
        <v>BOP-026-001</v>
      </c>
      <c r="E617" s="4"/>
      <c r="F617" s="4"/>
      <c r="G617" s="4"/>
      <c r="H617" s="4" t="s">
        <v>1975</v>
      </c>
      <c r="I617" s="4"/>
      <c r="J617" s="4" t="s">
        <v>196</v>
      </c>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row>
    <row r="618" spans="1:139" hidden="1" x14ac:dyDescent="0.2">
      <c r="A618">
        <f>VLOOKUP(B618,Sheet1!$A$1:$B$18,2,FALSE)</f>
        <v>0</v>
      </c>
      <c r="B618" t="str">
        <f t="shared" si="10"/>
        <v>BOP</v>
      </c>
      <c r="C618" s="2">
        <v>617</v>
      </c>
      <c r="D618" s="3" t="str">
        <f>HYPERLINK("https://sitebase.nzcomms.co.nz/spm/spmnominalview/BOP-027-001/","BOP-027-001")</f>
        <v>BOP-027-001</v>
      </c>
      <c r="E618" s="4"/>
      <c r="F618" s="4"/>
      <c r="G618" s="4"/>
      <c r="H618" s="4" t="s">
        <v>2003</v>
      </c>
      <c r="I618" s="4"/>
      <c r="J618" s="4" t="s">
        <v>196</v>
      </c>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row>
    <row r="619" spans="1:139" hidden="1" x14ac:dyDescent="0.2">
      <c r="A619">
        <f>VLOOKUP(B619,Sheet1!$A$1:$B$18,2,FALSE)</f>
        <v>0</v>
      </c>
      <c r="B619" t="str">
        <f t="shared" si="10"/>
        <v>BOP</v>
      </c>
      <c r="C619" s="2">
        <v>618</v>
      </c>
      <c r="D619" s="3" t="str">
        <f>HYPERLINK("https://sitebase.nzcomms.co.nz/spm/spmnominalview/BOP-027-002/","BOP-027-002")</f>
        <v>BOP-027-002</v>
      </c>
      <c r="E619" s="4" t="s">
        <v>2003</v>
      </c>
      <c r="F619" s="3" t="str">
        <f>HYPERLINK("https://sitebase.nzcomms.co.nz/spm/spmcandidateview/BOP-027-002-A/","BOP-027-002-A")</f>
        <v>BOP-027-002-A</v>
      </c>
      <c r="G619" s="4" t="s">
        <v>2004</v>
      </c>
      <c r="H619" s="4" t="s">
        <v>2003</v>
      </c>
      <c r="I619" s="4">
        <v>2</v>
      </c>
      <c r="J619" s="4" t="s">
        <v>180</v>
      </c>
      <c r="K619" s="4" t="s">
        <v>141</v>
      </c>
      <c r="L619" s="4" t="s">
        <v>150</v>
      </c>
      <c r="M619" s="4" t="s">
        <v>190</v>
      </c>
      <c r="N619" s="4" t="s">
        <v>335</v>
      </c>
      <c r="O619" s="4"/>
      <c r="P619" s="4" t="s">
        <v>169</v>
      </c>
      <c r="Q619" s="4" t="s">
        <v>192</v>
      </c>
      <c r="R619" s="4">
        <v>14.4</v>
      </c>
      <c r="S619" s="4">
        <v>15</v>
      </c>
      <c r="T619" s="4">
        <v>1</v>
      </c>
      <c r="U619" s="4">
        <v>-38.007773919999998</v>
      </c>
      <c r="V619" s="4">
        <v>177.28523838999999</v>
      </c>
      <c r="W619" s="4"/>
      <c r="X619" s="4"/>
      <c r="Y619" s="4"/>
      <c r="Z619" s="4"/>
      <c r="AA619" s="4" t="s">
        <v>145</v>
      </c>
      <c r="AB619" s="4"/>
      <c r="AC619" s="4" t="b">
        <v>0</v>
      </c>
      <c r="AD619" s="4" t="b">
        <v>0</v>
      </c>
      <c r="AE619" s="4"/>
      <c r="AF619" s="4"/>
      <c r="AG619" s="4" t="b">
        <v>0</v>
      </c>
      <c r="AH619" s="4"/>
      <c r="AI619" s="5">
        <v>41029</v>
      </c>
      <c r="AJ619" s="5">
        <v>41022</v>
      </c>
      <c r="AK619" s="5">
        <v>41033</v>
      </c>
      <c r="AL619" s="5">
        <v>41031</v>
      </c>
      <c r="AM619" s="5">
        <v>41059</v>
      </c>
      <c r="AN619" s="5">
        <v>41066</v>
      </c>
      <c r="AO619" s="4">
        <v>1</v>
      </c>
      <c r="AP619" s="5">
        <v>41059</v>
      </c>
      <c r="AQ619" s="5">
        <v>41066</v>
      </c>
      <c r="AR619" s="5">
        <v>41075</v>
      </c>
      <c r="AS619" s="5">
        <v>41058</v>
      </c>
      <c r="AT619" s="5">
        <v>41159</v>
      </c>
      <c r="AU619" s="5">
        <v>41162</v>
      </c>
      <c r="AV619" s="4"/>
      <c r="AW619" s="5">
        <v>41159</v>
      </c>
      <c r="AX619" s="5">
        <v>41162</v>
      </c>
      <c r="AY619" s="4" t="s">
        <v>172</v>
      </c>
      <c r="AZ619" s="5">
        <v>41099</v>
      </c>
      <c r="BA619" s="5">
        <v>41101</v>
      </c>
      <c r="BB619" s="5">
        <v>41141</v>
      </c>
      <c r="BC619" s="5">
        <v>41136</v>
      </c>
      <c r="BD619" s="4">
        <v>1</v>
      </c>
      <c r="BE619" s="5">
        <v>41148</v>
      </c>
      <c r="BF619" s="5">
        <v>41142</v>
      </c>
      <c r="BG619" s="5">
        <v>41135</v>
      </c>
      <c r="BH619" s="4"/>
      <c r="BI619" s="5">
        <v>41190</v>
      </c>
      <c r="BJ619" s="5">
        <v>41186</v>
      </c>
      <c r="BK619" s="4">
        <v>1</v>
      </c>
      <c r="BL619" s="4"/>
      <c r="BM619" s="5">
        <v>41190</v>
      </c>
      <c r="BN619" s="5">
        <v>41186</v>
      </c>
      <c r="BO619" s="5">
        <v>41227</v>
      </c>
      <c r="BP619" s="4"/>
      <c r="BQ619" s="4"/>
      <c r="BR619" s="5">
        <v>41181</v>
      </c>
      <c r="BS619" s="4"/>
      <c r="BT619" s="5">
        <v>41213</v>
      </c>
      <c r="BU619" s="5">
        <v>41213</v>
      </c>
      <c r="BV619" s="5">
        <v>41234</v>
      </c>
      <c r="BW619" s="5">
        <v>41234</v>
      </c>
      <c r="BX619" s="5">
        <v>41233</v>
      </c>
      <c r="BY619" s="5">
        <v>41239</v>
      </c>
      <c r="BZ619" s="5">
        <v>41239</v>
      </c>
      <c r="CA619" s="5">
        <v>41235</v>
      </c>
      <c r="CB619" s="5">
        <v>41239</v>
      </c>
      <c r="CC619" s="4"/>
      <c r="CD619" s="4"/>
      <c r="CE619" s="4"/>
      <c r="CF619" s="4"/>
      <c r="CG619" s="4"/>
      <c r="CH619" s="4"/>
      <c r="CI619" s="5">
        <v>41240</v>
      </c>
      <c r="CJ619" s="5">
        <v>41250</v>
      </c>
      <c r="CK619" s="5">
        <v>41246</v>
      </c>
      <c r="CL619" s="5">
        <v>41255</v>
      </c>
      <c r="CM619" s="5">
        <v>41248</v>
      </c>
      <c r="CN619" s="5">
        <v>41422</v>
      </c>
      <c r="CO619" s="5">
        <v>41418</v>
      </c>
      <c r="CP619" s="4" t="s">
        <v>2005</v>
      </c>
      <c r="CQ619" s="4"/>
      <c r="CR619" s="5">
        <v>41240</v>
      </c>
      <c r="CS619" s="5">
        <v>41188</v>
      </c>
      <c r="CT619" s="5">
        <v>41188</v>
      </c>
      <c r="CU619" s="5">
        <v>41211</v>
      </c>
      <c r="CV619" s="5">
        <v>41227</v>
      </c>
      <c r="CW619" s="5">
        <v>41204</v>
      </c>
      <c r="CX619" s="5">
        <v>41227</v>
      </c>
      <c r="CY619" s="5">
        <v>41235</v>
      </c>
      <c r="CZ619" s="5">
        <v>41235</v>
      </c>
      <c r="DA619" s="5">
        <v>41241</v>
      </c>
      <c r="DB619" s="5">
        <v>41241</v>
      </c>
      <c r="DC619" s="5">
        <v>40998</v>
      </c>
      <c r="DD619" s="4" t="s">
        <v>206</v>
      </c>
      <c r="DE619" s="4" t="s">
        <v>1956</v>
      </c>
      <c r="DF619" s="5">
        <v>41221</v>
      </c>
      <c r="DG619" s="5">
        <v>41226</v>
      </c>
      <c r="DH619" s="4" t="s">
        <v>174</v>
      </c>
      <c r="DI619" s="5">
        <v>41233</v>
      </c>
      <c r="DJ619" s="4" t="b">
        <v>1</v>
      </c>
      <c r="DK619" s="5">
        <v>41180</v>
      </c>
      <c r="DL619" s="4">
        <v>2886339</v>
      </c>
      <c r="DM619" s="4">
        <v>6346036</v>
      </c>
      <c r="DN619" s="4" t="s">
        <v>2006</v>
      </c>
      <c r="DO619" s="4"/>
      <c r="DP619" s="4"/>
      <c r="DQ619" s="4" t="s">
        <v>148</v>
      </c>
      <c r="DR619" s="4"/>
      <c r="DS619" s="4"/>
      <c r="DT619" s="4"/>
      <c r="DU619" s="4"/>
      <c r="DV619" s="4"/>
      <c r="DW619" s="4"/>
      <c r="DX619" s="4"/>
      <c r="DY619" s="4"/>
      <c r="DZ619" s="4"/>
      <c r="EA619" s="4"/>
      <c r="EB619" s="4"/>
      <c r="EC619" s="4"/>
      <c r="ED619" s="4"/>
      <c r="EE619" s="4"/>
      <c r="EF619" s="4"/>
      <c r="EG619" s="5">
        <v>41241</v>
      </c>
      <c r="EH619" s="5">
        <v>41241</v>
      </c>
      <c r="EI619" s="5">
        <v>41031</v>
      </c>
    </row>
    <row r="620" spans="1:139" hidden="1" x14ac:dyDescent="0.2">
      <c r="A620">
        <f>VLOOKUP(B620,Sheet1!$A$1:$B$18,2,FALSE)</f>
        <v>0</v>
      </c>
      <c r="B620" t="str">
        <f t="shared" si="10"/>
        <v>BOP</v>
      </c>
      <c r="C620" s="2">
        <v>619</v>
      </c>
      <c r="D620" s="3" t="str">
        <f>HYPERLINK("https://sitebase.nzcomms.co.nz/spm/spmnominalview/BOP-027-003/","BOP-027-003")</f>
        <v>BOP-027-003</v>
      </c>
      <c r="E620" s="4" t="s">
        <v>2007</v>
      </c>
      <c r="F620" s="4"/>
      <c r="G620" s="4"/>
      <c r="H620" s="4" t="s">
        <v>2003</v>
      </c>
      <c r="I620" s="4"/>
      <c r="J620" s="4" t="s">
        <v>722</v>
      </c>
      <c r="K620" s="4"/>
      <c r="L620" s="4"/>
      <c r="M620" s="4"/>
      <c r="N620" s="4"/>
      <c r="O620" s="4"/>
      <c r="P620" s="4"/>
      <c r="Q620" s="4"/>
      <c r="R620" s="4"/>
      <c r="S620" s="4"/>
      <c r="T620" s="4"/>
      <c r="U620" s="4"/>
      <c r="V620" s="4"/>
      <c r="W620" s="4"/>
      <c r="X620" s="4"/>
      <c r="Y620" s="4"/>
      <c r="Z620" s="4"/>
      <c r="AA620" s="4"/>
      <c r="AB620" s="4"/>
      <c r="AC620" s="4"/>
      <c r="AD620" s="4"/>
      <c r="AE620" s="4"/>
      <c r="AF620" s="4"/>
      <c r="AG620" s="4" t="b">
        <v>0</v>
      </c>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row>
    <row r="621" spans="1:139" hidden="1" x14ac:dyDescent="0.2">
      <c r="A621">
        <f>VLOOKUP(B621,Sheet1!$A$1:$B$18,2,FALSE)</f>
        <v>0</v>
      </c>
      <c r="B621" t="str">
        <f t="shared" si="10"/>
        <v>BOP</v>
      </c>
      <c r="C621" s="2">
        <v>620</v>
      </c>
      <c r="D621" s="3" t="str">
        <f>HYPERLINK("https://sitebase.nzcomms.co.nz/spm/spmnominalview/BOP-027-004/","BOP-027-004")</f>
        <v>BOP-027-004</v>
      </c>
      <c r="E621" s="4" t="s">
        <v>2008</v>
      </c>
      <c r="F621" s="4"/>
      <c r="G621" s="4"/>
      <c r="H621" s="4" t="s">
        <v>2003</v>
      </c>
      <c r="I621" s="4"/>
      <c r="J621" s="4" t="s">
        <v>722</v>
      </c>
      <c r="K621" s="4"/>
      <c r="L621" s="4"/>
      <c r="M621" s="4"/>
      <c r="N621" s="4"/>
      <c r="O621" s="4"/>
      <c r="P621" s="4"/>
      <c r="Q621" s="4"/>
      <c r="R621" s="4"/>
      <c r="S621" s="4"/>
      <c r="T621" s="4"/>
      <c r="U621" s="4"/>
      <c r="V621" s="4"/>
      <c r="W621" s="4"/>
      <c r="X621" s="4"/>
      <c r="Y621" s="4"/>
      <c r="Z621" s="4"/>
      <c r="AA621" s="4"/>
      <c r="AB621" s="4"/>
      <c r="AC621" s="4"/>
      <c r="AD621" s="4"/>
      <c r="AE621" s="4"/>
      <c r="AF621" s="4"/>
      <c r="AG621" s="4" t="b">
        <v>0</v>
      </c>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row>
    <row r="622" spans="1:139" hidden="1" x14ac:dyDescent="0.2">
      <c r="A622" t="str">
        <f>VLOOKUP(B622,Sheet1!$A$1:$B$18,2,FALSE)</f>
        <v>South Island</v>
      </c>
      <c r="B622" t="str">
        <f>LEFT(D622,3)</f>
        <v>OTG</v>
      </c>
      <c r="C622" s="2">
        <v>1211</v>
      </c>
      <c r="D622" s="3" t="str">
        <f>HYPERLINK("https://sitebase.nzcomms.co.nz/spm/spmnominalview/OTG-070-004/","OTG-070-004")</f>
        <v>OTG-070-004</v>
      </c>
      <c r="E622" s="4" t="s">
        <v>3692</v>
      </c>
      <c r="F622" s="3" t="str">
        <f>HYPERLINK("https://sitebase.nzcomms.co.nz/spm/spmcandidateview/OTG-070-004-A/","OTG-070-004-A")</f>
        <v>OTG-070-004-A</v>
      </c>
      <c r="G622" s="4" t="s">
        <v>3693</v>
      </c>
      <c r="H622" s="4" t="s">
        <v>3682</v>
      </c>
      <c r="I622" s="4"/>
      <c r="J622" s="4" t="s">
        <v>139</v>
      </c>
      <c r="K622" s="4" t="s">
        <v>141</v>
      </c>
      <c r="L622" s="4" t="s">
        <v>142</v>
      </c>
      <c r="M622" s="4" t="s">
        <v>324</v>
      </c>
      <c r="N622" s="4" t="s">
        <v>142</v>
      </c>
      <c r="O622" s="4"/>
      <c r="P622" s="4"/>
      <c r="Q622" s="4"/>
      <c r="R622" s="4"/>
      <c r="S622" s="4"/>
      <c r="T622" s="4"/>
      <c r="U622" s="4">
        <v>-45.029036769999998</v>
      </c>
      <c r="V622" s="4">
        <v>168.65821854999999</v>
      </c>
      <c r="W622" s="4"/>
      <c r="X622" s="4"/>
      <c r="Y622" s="4"/>
      <c r="Z622" s="4"/>
      <c r="AA622" s="4"/>
      <c r="AB622" s="4"/>
      <c r="AC622" s="4"/>
      <c r="AD622" s="4"/>
      <c r="AE622" s="4"/>
      <c r="AF622" s="4"/>
      <c r="AG622" s="4"/>
      <c r="AH622" s="4"/>
      <c r="AI622" s="5">
        <v>39855</v>
      </c>
      <c r="AJ622" s="5">
        <v>39855</v>
      </c>
      <c r="AK622" s="4"/>
      <c r="AL622" s="4"/>
      <c r="AM622" s="4"/>
      <c r="AN622" s="5">
        <v>39924</v>
      </c>
      <c r="AO622" s="4">
        <v>1</v>
      </c>
      <c r="AP622" s="5">
        <v>39924</v>
      </c>
      <c r="AQ622" s="5">
        <v>39924</v>
      </c>
      <c r="AR622" s="4"/>
      <c r="AS622" s="4"/>
      <c r="AT622" s="5">
        <v>39953</v>
      </c>
      <c r="AU622" s="5">
        <v>39948</v>
      </c>
      <c r="AV622" s="4"/>
      <c r="AW622" s="5">
        <v>39953</v>
      </c>
      <c r="AX622" s="5">
        <v>39948</v>
      </c>
      <c r="AY622" s="4"/>
      <c r="AZ622" s="5">
        <v>39932</v>
      </c>
      <c r="BA622" s="4"/>
      <c r="BB622" s="5">
        <v>39951</v>
      </c>
      <c r="BC622" s="4"/>
      <c r="BD622" s="4"/>
      <c r="BE622" s="5">
        <v>39980</v>
      </c>
      <c r="BF622" s="5">
        <v>39952</v>
      </c>
      <c r="BG622" s="4"/>
      <c r="BH622" s="5">
        <v>39910</v>
      </c>
      <c r="BI622" s="4"/>
      <c r="BJ622" s="5">
        <v>39947</v>
      </c>
      <c r="BK622" s="4">
        <v>1</v>
      </c>
      <c r="BL622" s="4">
        <v>1</v>
      </c>
      <c r="BM622" s="5">
        <v>39934</v>
      </c>
      <c r="BN622" s="5">
        <v>39947</v>
      </c>
      <c r="BO622" s="4"/>
      <c r="BP622" s="4"/>
      <c r="BQ622" s="4"/>
      <c r="BR622" s="4"/>
      <c r="BS622" s="4"/>
      <c r="BT622" s="5">
        <v>39930</v>
      </c>
      <c r="BU622" s="5">
        <v>39930</v>
      </c>
      <c r="BV622" s="5">
        <v>39960</v>
      </c>
      <c r="BW622" s="5">
        <v>39955</v>
      </c>
      <c r="BX622" s="4"/>
      <c r="BY622" s="5">
        <v>39961</v>
      </c>
      <c r="BZ622" s="5">
        <v>39956</v>
      </c>
      <c r="CA622" s="4"/>
      <c r="CB622" s="4"/>
      <c r="CC622" s="4"/>
      <c r="CD622" s="4"/>
      <c r="CE622" s="4"/>
      <c r="CF622" s="4"/>
      <c r="CG622" s="4"/>
      <c r="CH622" s="4"/>
      <c r="CI622" s="5">
        <v>39969</v>
      </c>
      <c r="CJ622" s="5">
        <v>39974</v>
      </c>
      <c r="CK622" s="5">
        <v>39969</v>
      </c>
      <c r="CL622" s="4"/>
      <c r="CM622" s="4"/>
      <c r="CN622" s="4"/>
      <c r="CO622" s="4"/>
      <c r="CP622" s="4"/>
      <c r="CQ622" s="4"/>
      <c r="CR622" s="5">
        <v>39974</v>
      </c>
      <c r="CS622" s="4"/>
      <c r="CT622" s="4"/>
      <c r="CU622" s="4"/>
      <c r="CV622" s="4"/>
      <c r="CW622" s="4"/>
      <c r="CX622" s="4"/>
      <c r="CY622" s="4"/>
      <c r="CZ622" s="4"/>
      <c r="DA622" s="4"/>
      <c r="DB622" s="4"/>
      <c r="DC622" s="4"/>
      <c r="DD622" s="4"/>
      <c r="DE622" s="4"/>
      <c r="DF622" s="4"/>
      <c r="DG622" s="4"/>
      <c r="DH622" s="4"/>
      <c r="DI622" s="4"/>
      <c r="DJ622" s="4" t="b">
        <v>0</v>
      </c>
      <c r="DK622" s="4"/>
      <c r="DL622" s="4">
        <v>2167959</v>
      </c>
      <c r="DM622" s="4">
        <v>5566431</v>
      </c>
      <c r="DN622" s="4" t="s">
        <v>3694</v>
      </c>
      <c r="DO622" s="4"/>
      <c r="DP622" s="4"/>
      <c r="DQ622" s="4" t="s">
        <v>328</v>
      </c>
      <c r="DR622" s="4"/>
      <c r="DS622" s="4"/>
      <c r="DT622" s="4"/>
      <c r="DU622" s="4"/>
      <c r="DV622" s="4"/>
      <c r="DW622" s="4"/>
      <c r="DX622" s="4"/>
      <c r="DY622" s="5">
        <v>39934</v>
      </c>
      <c r="DZ622" s="5">
        <v>39918</v>
      </c>
      <c r="EA622" s="4"/>
      <c r="EB622" s="4"/>
      <c r="EC622" s="4"/>
      <c r="ED622" s="4"/>
      <c r="EE622" s="4"/>
      <c r="EF622" s="4"/>
      <c r="EG622" s="4"/>
      <c r="EH622" s="4"/>
      <c r="EI622" s="5">
        <v>39910</v>
      </c>
    </row>
    <row r="623" spans="1:139" hidden="1" x14ac:dyDescent="0.2">
      <c r="A623" t="str">
        <f>VLOOKUP(B623,Sheet1!$A$1:$B$18,2,FALSE)</f>
        <v>South Island</v>
      </c>
      <c r="B623" t="str">
        <f>LEFT(D623,3)</f>
        <v>OTG</v>
      </c>
      <c r="C623" s="2">
        <v>1208</v>
      </c>
      <c r="D623" s="3" t="str">
        <f>HYPERLINK("https://sitebase.nzcomms.co.nz/spm/spmnominalview/OTG-070-001/","OTG-070-001")</f>
        <v>OTG-070-001</v>
      </c>
      <c r="E623" s="4" t="s">
        <v>3681</v>
      </c>
      <c r="F623" s="3" t="str">
        <f>HYPERLINK("https://sitebase.nzcomms.co.nz/spm/spmcandidateview/OTG-070-001-A/","OTG-070-001-A")</f>
        <v>OTG-070-001-A</v>
      </c>
      <c r="G623" s="4" t="s">
        <v>3681</v>
      </c>
      <c r="H623" s="4" t="s">
        <v>3682</v>
      </c>
      <c r="I623" s="4"/>
      <c r="J623" s="4" t="s">
        <v>139</v>
      </c>
      <c r="K623" s="4" t="s">
        <v>141</v>
      </c>
      <c r="L623" s="4" t="s">
        <v>150</v>
      </c>
      <c r="M623" s="4" t="s">
        <v>143</v>
      </c>
      <c r="N623" s="4" t="s">
        <v>1661</v>
      </c>
      <c r="O623" s="4" t="s">
        <v>144</v>
      </c>
      <c r="P623" s="4"/>
      <c r="Q623" s="4"/>
      <c r="R623" s="4">
        <v>13.8</v>
      </c>
      <c r="S623" s="4">
        <v>13.8</v>
      </c>
      <c r="T623" s="4"/>
      <c r="U623" s="4">
        <v>-45.04066211</v>
      </c>
      <c r="V623" s="4">
        <v>168.72399455999999</v>
      </c>
      <c r="W623" s="4"/>
      <c r="X623" s="4"/>
      <c r="Y623" s="4"/>
      <c r="Z623" s="4"/>
      <c r="AA623" s="4" t="s">
        <v>171</v>
      </c>
      <c r="AB623" s="3" t="str">
        <f>HYPERLINK("https://sitebase.nzcomms.co.nz/spm/spmcandidateview/OTG-070-004-A/","OTG-070-004-A")</f>
        <v>OTG-070-004-A</v>
      </c>
      <c r="AC623" s="4"/>
      <c r="AD623" s="4"/>
      <c r="AE623" s="4"/>
      <c r="AF623" s="4"/>
      <c r="AG623" s="4"/>
      <c r="AH623" s="4"/>
      <c r="AI623" s="5">
        <v>39855</v>
      </c>
      <c r="AJ623" s="5">
        <v>39855</v>
      </c>
      <c r="AK623" s="4"/>
      <c r="AL623" s="4"/>
      <c r="AM623" s="4"/>
      <c r="AN623" s="5">
        <v>39498</v>
      </c>
      <c r="AO623" s="4">
        <v>7</v>
      </c>
      <c r="AP623" s="5">
        <v>39876</v>
      </c>
      <c r="AQ623" s="5">
        <v>39898</v>
      </c>
      <c r="AR623" s="4"/>
      <c r="AS623" s="4"/>
      <c r="AT623" s="5">
        <v>39904</v>
      </c>
      <c r="AU623" s="5">
        <v>39727</v>
      </c>
      <c r="AV623" s="4"/>
      <c r="AW623" s="5">
        <v>39963</v>
      </c>
      <c r="AX623" s="5">
        <v>39966</v>
      </c>
      <c r="AY623" s="4"/>
      <c r="AZ623" s="5">
        <v>39883</v>
      </c>
      <c r="BA623" s="4"/>
      <c r="BB623" s="5">
        <v>39890</v>
      </c>
      <c r="BC623" s="4"/>
      <c r="BD623" s="4"/>
      <c r="BE623" s="5">
        <v>39906</v>
      </c>
      <c r="BF623" s="5">
        <v>39905</v>
      </c>
      <c r="BG623" s="5">
        <v>39881</v>
      </c>
      <c r="BH623" s="5">
        <v>39885</v>
      </c>
      <c r="BI623" s="4"/>
      <c r="BJ623" s="5">
        <v>39902</v>
      </c>
      <c r="BK623" s="4">
        <v>1</v>
      </c>
      <c r="BL623" s="4">
        <v>7</v>
      </c>
      <c r="BM623" s="5">
        <v>39892</v>
      </c>
      <c r="BN623" s="5">
        <v>39902</v>
      </c>
      <c r="BO623" s="5">
        <v>39911</v>
      </c>
      <c r="BP623" s="4"/>
      <c r="BQ623" s="4"/>
      <c r="BR623" s="4"/>
      <c r="BS623" s="4"/>
      <c r="BT623" s="4"/>
      <c r="BU623" s="5">
        <v>39909</v>
      </c>
      <c r="BV623" s="5">
        <v>39948</v>
      </c>
      <c r="BW623" s="5">
        <v>39941</v>
      </c>
      <c r="BX623" s="4"/>
      <c r="BY623" s="5">
        <v>39955</v>
      </c>
      <c r="BZ623" s="5">
        <v>39948</v>
      </c>
      <c r="CA623" s="4"/>
      <c r="CB623" s="4"/>
      <c r="CC623" s="4"/>
      <c r="CD623" s="4"/>
      <c r="CE623" s="4"/>
      <c r="CF623" s="4"/>
      <c r="CG623" s="4"/>
      <c r="CH623" s="4"/>
      <c r="CI623" s="5">
        <v>39972</v>
      </c>
      <c r="CJ623" s="5">
        <v>39976</v>
      </c>
      <c r="CK623" s="5">
        <v>39972</v>
      </c>
      <c r="CL623" s="4"/>
      <c r="CM623" s="4"/>
      <c r="CN623" s="4"/>
      <c r="CO623" s="4"/>
      <c r="CP623" s="4" t="s">
        <v>3683</v>
      </c>
      <c r="CQ623" s="4"/>
      <c r="CR623" s="5">
        <v>39976</v>
      </c>
      <c r="CS623" s="4"/>
      <c r="CT623" s="4"/>
      <c r="CU623" s="4"/>
      <c r="CV623" s="4"/>
      <c r="CW623" s="5">
        <v>39923</v>
      </c>
      <c r="CX623" s="5">
        <v>39911</v>
      </c>
      <c r="CY623" s="4"/>
      <c r="CZ623" s="4"/>
      <c r="DA623" s="4"/>
      <c r="DB623" s="4"/>
      <c r="DC623" s="4"/>
      <c r="DD623" s="4"/>
      <c r="DE623" s="4"/>
      <c r="DF623" s="4"/>
      <c r="DG623" s="4"/>
      <c r="DH623" s="4"/>
      <c r="DI623" s="4"/>
      <c r="DJ623" s="4" t="b">
        <v>0</v>
      </c>
      <c r="DK623" s="4"/>
      <c r="DL623" s="4">
        <v>2173202</v>
      </c>
      <c r="DM623" s="4">
        <v>5565412</v>
      </c>
      <c r="DN623" s="4" t="s">
        <v>3684</v>
      </c>
      <c r="DO623" s="4"/>
      <c r="DP623" s="4"/>
      <c r="DQ623" s="4" t="s">
        <v>148</v>
      </c>
      <c r="DR623" s="4"/>
      <c r="DS623" s="4"/>
      <c r="DT623" s="4"/>
      <c r="DU623" s="4"/>
      <c r="DV623" s="4"/>
      <c r="DW623" s="4"/>
      <c r="DX623" s="4"/>
      <c r="DY623" s="5">
        <v>39899</v>
      </c>
      <c r="DZ623" s="5">
        <v>39899</v>
      </c>
      <c r="EA623" s="4"/>
      <c r="EB623" s="4"/>
      <c r="EC623" s="4"/>
      <c r="ED623" s="4"/>
      <c r="EE623" s="4"/>
      <c r="EF623" s="4"/>
      <c r="EG623" s="4"/>
      <c r="EH623" s="4"/>
      <c r="EI623" s="5">
        <v>39863</v>
      </c>
    </row>
    <row r="624" spans="1:139" hidden="1" x14ac:dyDescent="0.2">
      <c r="A624" t="str">
        <f>VLOOKUP(B624,Sheet1!$A$1:$B$18,2,FALSE)</f>
        <v>South Island</v>
      </c>
      <c r="B624" t="str">
        <f>LEFT(D624,3)</f>
        <v>OTG</v>
      </c>
      <c r="C624" s="2">
        <v>1212</v>
      </c>
      <c r="D624" s="3" t="str">
        <f>HYPERLINK("https://sitebase.nzcomms.co.nz/spm/spmnominalview/OTG-070-005/","OTG-070-005")</f>
        <v>OTG-070-005</v>
      </c>
      <c r="E624" s="4" t="s">
        <v>3695</v>
      </c>
      <c r="F624" s="3" t="str">
        <f>HYPERLINK("https://sitebase.nzcomms.co.nz/spm/spmcandidateview/OTG-070-005-A/","OTG-070-005-A")</f>
        <v>OTG-070-005-A</v>
      </c>
      <c r="G624" s="4" t="s">
        <v>3695</v>
      </c>
      <c r="H624" s="4" t="s">
        <v>3682</v>
      </c>
      <c r="I624" s="4"/>
      <c r="J624" s="4" t="s">
        <v>139</v>
      </c>
      <c r="K624" s="4" t="s">
        <v>141</v>
      </c>
      <c r="L624" s="4" t="s">
        <v>150</v>
      </c>
      <c r="M624" s="4" t="s">
        <v>143</v>
      </c>
      <c r="N624" s="4" t="s">
        <v>620</v>
      </c>
      <c r="O624" s="4" t="s">
        <v>144</v>
      </c>
      <c r="P624" s="4"/>
      <c r="Q624" s="4"/>
      <c r="R624" s="4">
        <v>15</v>
      </c>
      <c r="S624" s="4">
        <v>15</v>
      </c>
      <c r="T624" s="4"/>
      <c r="U624" s="4">
        <v>-45.01004271</v>
      </c>
      <c r="V624" s="4">
        <v>168.73946192</v>
      </c>
      <c r="W624" s="4"/>
      <c r="X624" s="4"/>
      <c r="Y624" s="4"/>
      <c r="Z624" s="4"/>
      <c r="AA624" s="4"/>
      <c r="AB624" s="4"/>
      <c r="AC624" s="4"/>
      <c r="AD624" s="4"/>
      <c r="AE624" s="4"/>
      <c r="AF624" s="4"/>
      <c r="AG624" s="4"/>
      <c r="AH624" s="4"/>
      <c r="AI624" s="5">
        <v>39855</v>
      </c>
      <c r="AJ624" s="5">
        <v>39855</v>
      </c>
      <c r="AK624" s="4"/>
      <c r="AL624" s="4"/>
      <c r="AM624" s="4"/>
      <c r="AN624" s="5">
        <v>39898</v>
      </c>
      <c r="AO624" s="4">
        <v>4</v>
      </c>
      <c r="AP624" s="5">
        <v>39906</v>
      </c>
      <c r="AQ624" s="5">
        <v>39938</v>
      </c>
      <c r="AR624" s="4"/>
      <c r="AS624" s="4"/>
      <c r="AT624" s="5">
        <v>39968</v>
      </c>
      <c r="AU624" s="5">
        <v>39962</v>
      </c>
      <c r="AV624" s="4">
        <v>4</v>
      </c>
      <c r="AW624" s="5">
        <v>39968</v>
      </c>
      <c r="AX624" s="5">
        <v>39968</v>
      </c>
      <c r="AY624" s="4"/>
      <c r="AZ624" s="5">
        <v>39926</v>
      </c>
      <c r="BA624" s="4"/>
      <c r="BB624" s="5">
        <v>39953</v>
      </c>
      <c r="BC624" s="4"/>
      <c r="BD624" s="4"/>
      <c r="BE624" s="5">
        <v>39960</v>
      </c>
      <c r="BF624" s="5">
        <v>39961</v>
      </c>
      <c r="BG624" s="5">
        <v>39917</v>
      </c>
      <c r="BH624" s="5">
        <v>39924</v>
      </c>
      <c r="BI624" s="4"/>
      <c r="BJ624" s="5">
        <v>39937</v>
      </c>
      <c r="BK624" s="4">
        <v>3</v>
      </c>
      <c r="BL624" s="4">
        <v>4</v>
      </c>
      <c r="BM624" s="5">
        <v>39941</v>
      </c>
      <c r="BN624" s="5">
        <v>39994</v>
      </c>
      <c r="BO624" s="5">
        <v>39903</v>
      </c>
      <c r="BP624" s="4"/>
      <c r="BQ624" s="4"/>
      <c r="BR624" s="4"/>
      <c r="BS624" s="4"/>
      <c r="BT624" s="5">
        <v>39972</v>
      </c>
      <c r="BU624" s="5">
        <v>39972</v>
      </c>
      <c r="BV624" s="5">
        <v>40011</v>
      </c>
      <c r="BW624" s="5">
        <v>40011</v>
      </c>
      <c r="BX624" s="4"/>
      <c r="BY624" s="5">
        <v>40018</v>
      </c>
      <c r="BZ624" s="5">
        <v>40016</v>
      </c>
      <c r="CA624" s="4"/>
      <c r="CB624" s="4"/>
      <c r="CC624" s="4"/>
      <c r="CD624" s="4"/>
      <c r="CE624" s="4"/>
      <c r="CF624" s="4"/>
      <c r="CG624" s="4"/>
      <c r="CH624" s="4"/>
      <c r="CI624" s="5">
        <v>40025</v>
      </c>
      <c r="CJ624" s="5">
        <v>40023</v>
      </c>
      <c r="CK624" s="5">
        <v>40025</v>
      </c>
      <c r="CL624" s="4"/>
      <c r="CM624" s="4"/>
      <c r="CN624" s="4"/>
      <c r="CO624" s="4"/>
      <c r="CP624" s="4" t="s">
        <v>3696</v>
      </c>
      <c r="CQ624" s="4"/>
      <c r="CR624" s="5">
        <v>40023</v>
      </c>
      <c r="CS624" s="4"/>
      <c r="CT624" s="4"/>
      <c r="CU624" s="4"/>
      <c r="CV624" s="4"/>
      <c r="CW624" s="5">
        <v>39910</v>
      </c>
      <c r="CX624" s="5">
        <v>39903</v>
      </c>
      <c r="CY624" s="4"/>
      <c r="CZ624" s="4"/>
      <c r="DA624" s="4"/>
      <c r="DB624" s="4"/>
      <c r="DC624" s="4"/>
      <c r="DD624" s="4"/>
      <c r="DE624" s="4"/>
      <c r="DF624" s="4"/>
      <c r="DG624" s="4"/>
      <c r="DH624" s="4"/>
      <c r="DI624" s="4"/>
      <c r="DJ624" s="4" t="b">
        <v>0</v>
      </c>
      <c r="DK624" s="4"/>
      <c r="DL624" s="4">
        <v>2174243</v>
      </c>
      <c r="DM624" s="4">
        <v>5568873</v>
      </c>
      <c r="DN624" s="4" t="s">
        <v>3697</v>
      </c>
      <c r="DO624" s="4"/>
      <c r="DP624" s="4"/>
      <c r="DQ624" s="4" t="s">
        <v>148</v>
      </c>
      <c r="DR624" s="4"/>
      <c r="DS624" s="4"/>
      <c r="DT624" s="4"/>
      <c r="DU624" s="4"/>
      <c r="DV624" s="4"/>
      <c r="DW624" s="4"/>
      <c r="DX624" s="4"/>
      <c r="DY624" s="5">
        <v>39968</v>
      </c>
      <c r="DZ624" s="5">
        <v>39968</v>
      </c>
      <c r="EA624" s="4"/>
      <c r="EB624" s="4"/>
      <c r="EC624" s="4"/>
      <c r="ED624" s="4"/>
      <c r="EE624" s="4"/>
      <c r="EF624" s="4"/>
      <c r="EG624" s="4"/>
      <c r="EH624" s="4"/>
      <c r="EI624" s="5">
        <v>39863</v>
      </c>
    </row>
    <row r="625" spans="1:139" hidden="1" x14ac:dyDescent="0.2">
      <c r="A625" t="str">
        <f>VLOOKUP(B625,Sheet1!$A$1:$B$18,2,FALSE)</f>
        <v>South Island</v>
      </c>
      <c r="B625" t="str">
        <f>LEFT(D625,3)</f>
        <v>OTG</v>
      </c>
      <c r="C625" s="2">
        <v>1209</v>
      </c>
      <c r="D625" s="3" t="str">
        <f>HYPERLINK("https://sitebase.nzcomms.co.nz/spm/spmnominalview/OTG-070-002/","OTG-070-002")</f>
        <v>OTG-070-002</v>
      </c>
      <c r="E625" s="4" t="s">
        <v>3685</v>
      </c>
      <c r="F625" s="3" t="str">
        <f>HYPERLINK("https://sitebase.nzcomms.co.nz/spm/spmcandidateview/OTG-070-002-A/","OTG-070-002-A")</f>
        <v>OTG-070-002-A</v>
      </c>
      <c r="G625" s="4" t="s">
        <v>3685</v>
      </c>
      <c r="H625" s="4" t="s">
        <v>3682</v>
      </c>
      <c r="I625" s="4"/>
      <c r="J625" s="4" t="s">
        <v>139</v>
      </c>
      <c r="K625" s="4" t="s">
        <v>141</v>
      </c>
      <c r="L625" s="4" t="s">
        <v>325</v>
      </c>
      <c r="M625" s="4" t="s">
        <v>296</v>
      </c>
      <c r="N625" s="4" t="s">
        <v>364</v>
      </c>
      <c r="O625" s="4" t="s">
        <v>356</v>
      </c>
      <c r="P625" s="4"/>
      <c r="Q625" s="4"/>
      <c r="R625" s="4">
        <v>0</v>
      </c>
      <c r="S625" s="4">
        <v>0</v>
      </c>
      <c r="T625" s="4"/>
      <c r="U625" s="4">
        <v>-45.026992270000001</v>
      </c>
      <c r="V625" s="4">
        <v>168.64983107</v>
      </c>
      <c r="W625" s="4"/>
      <c r="X625" s="4"/>
      <c r="Y625" s="4"/>
      <c r="Z625" s="4"/>
      <c r="AA625" s="4" t="s">
        <v>171</v>
      </c>
      <c r="AB625" s="3" t="str">
        <f>HYPERLINK("https://sitebase.nzcomms.co.nz/spm/spmcandidateview/OTG-070-001-A/","OTG-070-001-A")</f>
        <v>OTG-070-001-A</v>
      </c>
      <c r="AC625" s="4"/>
      <c r="AD625" s="4"/>
      <c r="AE625" s="4"/>
      <c r="AF625" s="4"/>
      <c r="AG625" s="4"/>
      <c r="AH625" s="4"/>
      <c r="AI625" s="5">
        <v>39855</v>
      </c>
      <c r="AJ625" s="5">
        <v>39855</v>
      </c>
      <c r="AK625" s="4"/>
      <c r="AL625" s="4"/>
      <c r="AM625" s="4"/>
      <c r="AN625" s="5">
        <v>39898</v>
      </c>
      <c r="AO625" s="4">
        <v>6</v>
      </c>
      <c r="AP625" s="5">
        <v>39892</v>
      </c>
      <c r="AQ625" s="5">
        <v>40357</v>
      </c>
      <c r="AR625" s="4"/>
      <c r="AS625" s="4"/>
      <c r="AT625" s="5">
        <v>39968</v>
      </c>
      <c r="AU625" s="5">
        <v>39972</v>
      </c>
      <c r="AV625" s="4">
        <v>3</v>
      </c>
      <c r="AW625" s="5">
        <v>39968</v>
      </c>
      <c r="AX625" s="5">
        <v>39972</v>
      </c>
      <c r="AY625" s="4"/>
      <c r="AZ625" s="5">
        <v>39895</v>
      </c>
      <c r="BA625" s="4"/>
      <c r="BB625" s="5">
        <v>39944</v>
      </c>
      <c r="BC625" s="4"/>
      <c r="BD625" s="4"/>
      <c r="BE625" s="5">
        <v>39948</v>
      </c>
      <c r="BF625" s="5">
        <v>39946</v>
      </c>
      <c r="BG625" s="5">
        <v>39917</v>
      </c>
      <c r="BH625" s="5">
        <v>39911</v>
      </c>
      <c r="BI625" s="4"/>
      <c r="BJ625" s="5">
        <v>39946</v>
      </c>
      <c r="BK625" s="4">
        <v>2</v>
      </c>
      <c r="BL625" s="4">
        <v>5</v>
      </c>
      <c r="BM625" s="5">
        <v>39945</v>
      </c>
      <c r="BN625" s="5">
        <v>39960</v>
      </c>
      <c r="BO625" s="4"/>
      <c r="BP625" s="4"/>
      <c r="BQ625" s="4"/>
      <c r="BR625" s="4"/>
      <c r="BS625" s="4"/>
      <c r="BT625" s="5">
        <v>39941</v>
      </c>
      <c r="BU625" s="5">
        <v>39963</v>
      </c>
      <c r="BV625" s="5">
        <v>40017</v>
      </c>
      <c r="BW625" s="5">
        <v>39993</v>
      </c>
      <c r="BX625" s="4"/>
      <c r="BY625" s="5">
        <v>40022</v>
      </c>
      <c r="BZ625" s="5">
        <v>40024</v>
      </c>
      <c r="CA625" s="4"/>
      <c r="CB625" s="4"/>
      <c r="CC625" s="4"/>
      <c r="CD625" s="4"/>
      <c r="CE625" s="4"/>
      <c r="CF625" s="4"/>
      <c r="CG625" s="4"/>
      <c r="CH625" s="4"/>
      <c r="CI625" s="5">
        <v>40025</v>
      </c>
      <c r="CJ625" s="5">
        <v>40024</v>
      </c>
      <c r="CK625" s="5">
        <v>40025</v>
      </c>
      <c r="CL625" s="4"/>
      <c r="CM625" s="4"/>
      <c r="CN625" s="4"/>
      <c r="CO625" s="4"/>
      <c r="CP625" s="4" t="s">
        <v>3686</v>
      </c>
      <c r="CQ625" s="4"/>
      <c r="CR625" s="5">
        <v>40024</v>
      </c>
      <c r="CS625" s="4"/>
      <c r="CT625" s="4"/>
      <c r="CU625" s="4"/>
      <c r="CV625" s="4"/>
      <c r="CW625" s="4"/>
      <c r="CX625" s="4"/>
      <c r="CY625" s="4"/>
      <c r="CZ625" s="4"/>
      <c r="DA625" s="4"/>
      <c r="DB625" s="4"/>
      <c r="DC625" s="4"/>
      <c r="DD625" s="4"/>
      <c r="DE625" s="4"/>
      <c r="DF625" s="4"/>
      <c r="DG625" s="4"/>
      <c r="DH625" s="4"/>
      <c r="DI625" s="4"/>
      <c r="DJ625" s="4" t="b">
        <v>0</v>
      </c>
      <c r="DK625" s="4"/>
      <c r="DL625" s="4">
        <v>2167287</v>
      </c>
      <c r="DM625" s="4">
        <v>5566623</v>
      </c>
      <c r="DN625" s="4" t="s">
        <v>3687</v>
      </c>
      <c r="DO625" s="4"/>
      <c r="DP625" s="4"/>
      <c r="DQ625" s="4" t="s">
        <v>148</v>
      </c>
      <c r="DR625" s="4"/>
      <c r="DS625" s="4"/>
      <c r="DT625" s="5">
        <v>42150</v>
      </c>
      <c r="DU625" s="4"/>
      <c r="DV625" s="4"/>
      <c r="DW625" s="4"/>
      <c r="DX625" s="4"/>
      <c r="DY625" s="5">
        <v>39966</v>
      </c>
      <c r="DZ625" s="5">
        <v>39966</v>
      </c>
      <c r="EA625" s="4"/>
      <c r="EB625" s="4"/>
      <c r="EC625" s="4"/>
      <c r="ED625" s="4"/>
      <c r="EE625" s="4"/>
      <c r="EF625" s="4"/>
      <c r="EG625" s="4"/>
      <c r="EH625" s="4"/>
      <c r="EI625" s="5">
        <v>39863</v>
      </c>
    </row>
    <row r="626" spans="1:139" hidden="1" x14ac:dyDescent="0.2">
      <c r="A626" t="str">
        <f>VLOOKUP(B626,Sheet1!$A$1:$B$18,2,FALSE)</f>
        <v>South Island</v>
      </c>
      <c r="B626" t="str">
        <f>LEFT(D626,3)</f>
        <v>OTG</v>
      </c>
      <c r="C626" s="2">
        <v>1210</v>
      </c>
      <c r="D626" s="3" t="str">
        <f>HYPERLINK("https://sitebase.nzcomms.co.nz/spm/spmnominalview/OTG-070-003/","OTG-070-003")</f>
        <v>OTG-070-003</v>
      </c>
      <c r="E626" s="4" t="s">
        <v>3688</v>
      </c>
      <c r="F626" s="3" t="str">
        <f>HYPERLINK("https://sitebase.nzcomms.co.nz/spm/spmcandidateview/OTG-070-003-A/","OTG-070-003-A")</f>
        <v>OTG-070-003-A</v>
      </c>
      <c r="G626" s="4" t="s">
        <v>3689</v>
      </c>
      <c r="H626" s="4" t="s">
        <v>3682</v>
      </c>
      <c r="I626" s="4"/>
      <c r="J626" s="4" t="s">
        <v>139</v>
      </c>
      <c r="K626" s="4" t="s">
        <v>141</v>
      </c>
      <c r="L626" s="4" t="s">
        <v>150</v>
      </c>
      <c r="M626" s="4" t="s">
        <v>296</v>
      </c>
      <c r="N626" s="4" t="s">
        <v>291</v>
      </c>
      <c r="O626" s="4" t="s">
        <v>144</v>
      </c>
      <c r="P626" s="4"/>
      <c r="Q626" s="4"/>
      <c r="R626" s="4">
        <v>15</v>
      </c>
      <c r="S626" s="4">
        <v>15</v>
      </c>
      <c r="T626" s="4"/>
      <c r="U626" s="4">
        <v>-44.92703616</v>
      </c>
      <c r="V626" s="4">
        <v>168.73693607000001</v>
      </c>
      <c r="W626" s="4"/>
      <c r="X626" s="4"/>
      <c r="Y626" s="4"/>
      <c r="Z626" s="4"/>
      <c r="AA626" s="4" t="s">
        <v>171</v>
      </c>
      <c r="AB626" s="3" t="str">
        <f>HYPERLINK("https://sitebase.nzcomms.co.nz/spm/spmcandidateview/OTG-070-001-A/","OTG-070-001-A")</f>
        <v>OTG-070-001-A</v>
      </c>
      <c r="AC626" s="4"/>
      <c r="AD626" s="4"/>
      <c r="AE626" s="4"/>
      <c r="AF626" s="4"/>
      <c r="AG626" s="4"/>
      <c r="AH626" s="4"/>
      <c r="AI626" s="5">
        <v>39855</v>
      </c>
      <c r="AJ626" s="5">
        <v>39855</v>
      </c>
      <c r="AK626" s="4"/>
      <c r="AL626" s="4"/>
      <c r="AM626" s="4"/>
      <c r="AN626" s="5">
        <v>39881</v>
      </c>
      <c r="AO626" s="4">
        <v>5</v>
      </c>
      <c r="AP626" s="5">
        <v>40011</v>
      </c>
      <c r="AQ626" s="5">
        <v>40674</v>
      </c>
      <c r="AR626" s="4"/>
      <c r="AS626" s="4"/>
      <c r="AT626" s="5">
        <v>39940</v>
      </c>
      <c r="AU626" s="5">
        <v>39933</v>
      </c>
      <c r="AV626" s="4">
        <v>2</v>
      </c>
      <c r="AW626" s="5">
        <v>40144</v>
      </c>
      <c r="AX626" s="4"/>
      <c r="AY626" s="4"/>
      <c r="AZ626" s="5">
        <v>39881</v>
      </c>
      <c r="BA626" s="4"/>
      <c r="BB626" s="5">
        <v>40144</v>
      </c>
      <c r="BC626" s="4"/>
      <c r="BD626" s="4"/>
      <c r="BE626" s="5">
        <v>40144</v>
      </c>
      <c r="BF626" s="5">
        <v>40142</v>
      </c>
      <c r="BG626" s="5">
        <v>39936</v>
      </c>
      <c r="BH626" s="5">
        <v>39855</v>
      </c>
      <c r="BI626" s="4"/>
      <c r="BJ626" s="5">
        <v>39932</v>
      </c>
      <c r="BK626" s="4">
        <v>4</v>
      </c>
      <c r="BL626" s="4">
        <v>4</v>
      </c>
      <c r="BM626" s="5">
        <v>40137</v>
      </c>
      <c r="BN626" s="5">
        <v>40148</v>
      </c>
      <c r="BO626" s="5">
        <v>40002</v>
      </c>
      <c r="BP626" s="4"/>
      <c r="BQ626" s="4"/>
      <c r="BR626" s="4"/>
      <c r="BS626" s="4"/>
      <c r="BT626" s="5">
        <v>40147</v>
      </c>
      <c r="BU626" s="5">
        <v>40149</v>
      </c>
      <c r="BV626" s="5">
        <v>40205</v>
      </c>
      <c r="BW626" s="5">
        <v>40205</v>
      </c>
      <c r="BX626" s="4"/>
      <c r="BY626" s="5">
        <v>40212</v>
      </c>
      <c r="BZ626" s="5">
        <v>40209</v>
      </c>
      <c r="CA626" s="4"/>
      <c r="CB626" s="4"/>
      <c r="CC626" s="4"/>
      <c r="CD626" s="4"/>
      <c r="CE626" s="4"/>
      <c r="CF626" s="4"/>
      <c r="CG626" s="4"/>
      <c r="CH626" s="4"/>
      <c r="CI626" s="5">
        <v>40211</v>
      </c>
      <c r="CJ626" s="5">
        <v>40214</v>
      </c>
      <c r="CK626" s="5">
        <v>40211</v>
      </c>
      <c r="CL626" s="4"/>
      <c r="CM626" s="4"/>
      <c r="CN626" s="4"/>
      <c r="CO626" s="4"/>
      <c r="CP626" s="4" t="s">
        <v>3690</v>
      </c>
      <c r="CQ626" s="4"/>
      <c r="CR626" s="5">
        <v>40214</v>
      </c>
      <c r="CS626" s="4"/>
      <c r="CT626" s="4"/>
      <c r="CU626" s="4"/>
      <c r="CV626" s="4"/>
      <c r="CW626" s="5">
        <v>40023</v>
      </c>
      <c r="CX626" s="5">
        <v>40002</v>
      </c>
      <c r="CY626" s="4"/>
      <c r="CZ626" s="4"/>
      <c r="DA626" s="4"/>
      <c r="DB626" s="4"/>
      <c r="DC626" s="4"/>
      <c r="DD626" s="4"/>
      <c r="DE626" s="4"/>
      <c r="DF626" s="4"/>
      <c r="DG626" s="4"/>
      <c r="DH626" s="4"/>
      <c r="DI626" s="4"/>
      <c r="DJ626" s="4" t="b">
        <v>0</v>
      </c>
      <c r="DK626" s="4"/>
      <c r="DL626" s="4">
        <v>2173567</v>
      </c>
      <c r="DM626" s="4">
        <v>5578074</v>
      </c>
      <c r="DN626" s="4" t="s">
        <v>3691</v>
      </c>
      <c r="DO626" s="4"/>
      <c r="DP626" s="4"/>
      <c r="DQ626" s="4" t="s">
        <v>148</v>
      </c>
      <c r="DR626" s="4"/>
      <c r="DS626" s="4"/>
      <c r="DT626" s="4"/>
      <c r="DU626" s="4"/>
      <c r="DV626" s="4"/>
      <c r="DW626" s="4"/>
      <c r="DX626" s="4"/>
      <c r="DY626" s="5">
        <v>40147</v>
      </c>
      <c r="DZ626" s="5">
        <v>40149</v>
      </c>
      <c r="EA626" s="4"/>
      <c r="EB626" s="4"/>
      <c r="EC626" s="4"/>
      <c r="ED626" s="4"/>
      <c r="EE626" s="4"/>
      <c r="EF626" s="4"/>
      <c r="EG626" s="4"/>
      <c r="EH626" s="4"/>
      <c r="EI626" s="5">
        <v>39863</v>
      </c>
    </row>
    <row r="627" spans="1:139" hidden="1" x14ac:dyDescent="0.2">
      <c r="A627" t="str">
        <f>VLOOKUP(B627,Sheet1!$A$1:$B$18,2,FALSE)</f>
        <v>South Island</v>
      </c>
      <c r="B627" t="str">
        <f>LEFT(D627,3)</f>
        <v>STH</v>
      </c>
      <c r="C627" s="2">
        <v>1305</v>
      </c>
      <c r="D627" s="3" t="str">
        <f>HYPERLINK("https://sitebase.nzcomms.co.nz/spm/spmnominalview/STH-075-001/","STH-075-001")</f>
        <v>STH-075-001</v>
      </c>
      <c r="E627" s="4" t="s">
        <v>3919</v>
      </c>
      <c r="F627" s="3" t="str">
        <f>HYPERLINK("https://sitebase.nzcomms.co.nz/spm/spmcandidateview/STH-075-001-B/","STH-075-001-B")</f>
        <v>STH-075-001-B</v>
      </c>
      <c r="G627" s="4" t="s">
        <v>3920</v>
      </c>
      <c r="H627" s="4" t="s">
        <v>3921</v>
      </c>
      <c r="I627" s="4">
        <v>5</v>
      </c>
      <c r="J627" s="4" t="s">
        <v>1633</v>
      </c>
      <c r="K627" s="4" t="s">
        <v>141</v>
      </c>
      <c r="L627" s="4" t="s">
        <v>150</v>
      </c>
      <c r="M627" s="4" t="s">
        <v>190</v>
      </c>
      <c r="N627" s="4" t="s">
        <v>730</v>
      </c>
      <c r="O627" s="4" t="s">
        <v>144</v>
      </c>
      <c r="P627" s="4" t="s">
        <v>182</v>
      </c>
      <c r="Q627" s="4" t="s">
        <v>170</v>
      </c>
      <c r="R627" s="4">
        <v>26.1</v>
      </c>
      <c r="S627" s="4">
        <v>28</v>
      </c>
      <c r="T627" s="4">
        <v>1</v>
      </c>
      <c r="U627" s="4">
        <v>-46.386827920000002</v>
      </c>
      <c r="V627" s="4">
        <v>168.34936361000001</v>
      </c>
      <c r="W627" s="5">
        <v>40325</v>
      </c>
      <c r="X627" s="5">
        <v>40325</v>
      </c>
      <c r="Y627" s="5">
        <v>40333</v>
      </c>
      <c r="Z627" s="5">
        <v>40333</v>
      </c>
      <c r="AA627" s="4" t="s">
        <v>171</v>
      </c>
      <c r="AB627" s="3" t="str">
        <f>HYPERLINK("https://sitebase.nzcomms.co.nz/spm/spmcandidateview/STH-075-002-C/","STH-075-002-C")</f>
        <v>STH-075-002-C</v>
      </c>
      <c r="AC627" s="4" t="b">
        <v>0</v>
      </c>
      <c r="AD627" s="4" t="b">
        <v>0</v>
      </c>
      <c r="AE627" s="5">
        <v>40242</v>
      </c>
      <c r="AF627" s="5">
        <v>40242</v>
      </c>
      <c r="AG627" s="4" t="b">
        <v>1</v>
      </c>
      <c r="AH627" s="4"/>
      <c r="AI627" s="5">
        <v>40585</v>
      </c>
      <c r="AJ627" s="5">
        <v>40585</v>
      </c>
      <c r="AK627" s="5">
        <v>40592</v>
      </c>
      <c r="AL627" s="5">
        <v>40613</v>
      </c>
      <c r="AM627" s="5">
        <v>40652</v>
      </c>
      <c r="AN627" s="5">
        <v>40649</v>
      </c>
      <c r="AO627" s="4">
        <v>1</v>
      </c>
      <c r="AP627" s="5">
        <v>40652</v>
      </c>
      <c r="AQ627" s="5">
        <v>40649</v>
      </c>
      <c r="AR627" s="4"/>
      <c r="AS627" s="5">
        <v>40651</v>
      </c>
      <c r="AT627" s="5">
        <v>40690</v>
      </c>
      <c r="AU627" s="5">
        <v>40651</v>
      </c>
      <c r="AV627" s="4">
        <v>1</v>
      </c>
      <c r="AW627" s="4"/>
      <c r="AX627" s="5">
        <v>40877</v>
      </c>
      <c r="AY627" s="4" t="s">
        <v>172</v>
      </c>
      <c r="AZ627" s="5">
        <v>40659</v>
      </c>
      <c r="BA627" s="5">
        <v>40651</v>
      </c>
      <c r="BB627" s="5">
        <v>40701</v>
      </c>
      <c r="BC627" s="5">
        <v>40674</v>
      </c>
      <c r="BD627" s="4">
        <v>1</v>
      </c>
      <c r="BE627" s="4"/>
      <c r="BF627" s="5">
        <v>40674</v>
      </c>
      <c r="BG627" s="4"/>
      <c r="BH627" s="5">
        <v>40717</v>
      </c>
      <c r="BI627" s="5">
        <v>40781</v>
      </c>
      <c r="BJ627" s="5">
        <v>40780</v>
      </c>
      <c r="BK627" s="4">
        <v>1</v>
      </c>
      <c r="BL627" s="4"/>
      <c r="BM627" s="5">
        <v>40781</v>
      </c>
      <c r="BN627" s="5">
        <v>40780</v>
      </c>
      <c r="BO627" s="5">
        <v>40830</v>
      </c>
      <c r="BP627" s="4"/>
      <c r="BQ627" s="4"/>
      <c r="BR627" s="5">
        <v>40773</v>
      </c>
      <c r="BS627" s="4"/>
      <c r="BT627" s="5">
        <v>40793</v>
      </c>
      <c r="BU627" s="5">
        <v>40794</v>
      </c>
      <c r="BV627" s="5">
        <v>40843</v>
      </c>
      <c r="BW627" s="5">
        <v>40843</v>
      </c>
      <c r="BX627" s="5">
        <v>40821</v>
      </c>
      <c r="BY627" s="5">
        <v>40843</v>
      </c>
      <c r="BZ627" s="5">
        <v>40874</v>
      </c>
      <c r="CA627" s="4"/>
      <c r="CB627" s="4"/>
      <c r="CC627" s="4"/>
      <c r="CD627" s="5">
        <v>40731</v>
      </c>
      <c r="CE627" s="4"/>
      <c r="CF627" s="4"/>
      <c r="CG627" s="4"/>
      <c r="CH627" s="4"/>
      <c r="CI627" s="5">
        <v>40853</v>
      </c>
      <c r="CJ627" s="5">
        <v>40861</v>
      </c>
      <c r="CK627" s="5">
        <v>40861</v>
      </c>
      <c r="CL627" s="5">
        <v>40870</v>
      </c>
      <c r="CM627" s="5">
        <v>40886</v>
      </c>
      <c r="CN627" s="5">
        <v>40976</v>
      </c>
      <c r="CO627" s="5">
        <v>41089</v>
      </c>
      <c r="CP627" s="4" t="s">
        <v>3922</v>
      </c>
      <c r="CQ627" s="4"/>
      <c r="CR627" s="5">
        <v>40853</v>
      </c>
      <c r="CS627" s="5">
        <v>40760</v>
      </c>
      <c r="CT627" s="5">
        <v>40760</v>
      </c>
      <c r="CU627" s="5">
        <v>40809</v>
      </c>
      <c r="CV627" s="5">
        <v>40809</v>
      </c>
      <c r="CW627" s="5">
        <v>40830</v>
      </c>
      <c r="CX627" s="5">
        <v>40830</v>
      </c>
      <c r="CY627" s="5">
        <v>40814</v>
      </c>
      <c r="CZ627" s="5">
        <v>40814</v>
      </c>
      <c r="DA627" s="4"/>
      <c r="DB627" s="5">
        <v>40856</v>
      </c>
      <c r="DC627" s="4"/>
      <c r="DD627" s="4"/>
      <c r="DE627" s="4"/>
      <c r="DF627" s="4"/>
      <c r="DG627" s="4"/>
      <c r="DH627" s="4"/>
      <c r="DI627" s="5">
        <v>40814</v>
      </c>
      <c r="DJ627" s="4" t="b">
        <v>1</v>
      </c>
      <c r="DK627" s="4"/>
      <c r="DL627" s="4">
        <v>2152192</v>
      </c>
      <c r="DM627" s="4">
        <v>5414447</v>
      </c>
      <c r="DN627" s="4" t="s">
        <v>3923</v>
      </c>
      <c r="DO627" s="4"/>
      <c r="DP627" s="4" t="s">
        <v>3924</v>
      </c>
      <c r="DQ627" s="4" t="s">
        <v>148</v>
      </c>
      <c r="DR627" s="4"/>
      <c r="DS627" s="4"/>
      <c r="DT627" s="4"/>
      <c r="DU627" s="4"/>
      <c r="DV627" s="4"/>
      <c r="DW627" s="4"/>
      <c r="DX627" s="4"/>
      <c r="DY627" s="4"/>
      <c r="DZ627" s="4"/>
      <c r="EA627" s="4"/>
      <c r="EB627" s="4"/>
      <c r="EC627" s="4"/>
      <c r="ED627" s="4"/>
      <c r="EE627" s="4"/>
      <c r="EF627" s="4"/>
      <c r="EG627" s="5">
        <v>40879</v>
      </c>
      <c r="EH627" s="5">
        <v>40875</v>
      </c>
      <c r="EI627" s="4"/>
    </row>
    <row r="628" spans="1:139" hidden="1" x14ac:dyDescent="0.2">
      <c r="A628" t="str">
        <f>VLOOKUP(B628,Sheet1!$A$1:$B$18,2,FALSE)</f>
        <v>South Island</v>
      </c>
      <c r="B628" t="str">
        <f>LEFT(D628,3)</f>
        <v>STH</v>
      </c>
      <c r="C628" s="2">
        <v>1306</v>
      </c>
      <c r="D628" s="3" t="str">
        <f>HYPERLINK("https://sitebase.nzcomms.co.nz/spm/spmnominalview/STH-075-002/","STH-075-002")</f>
        <v>STH-075-002</v>
      </c>
      <c r="E628" s="4" t="s">
        <v>3925</v>
      </c>
      <c r="F628" s="3" t="str">
        <f>HYPERLINK("https://sitebase.nzcomms.co.nz/spm/spmcandidateview/STH-075-002-C/","STH-075-002-C")</f>
        <v>STH-075-002-C</v>
      </c>
      <c r="G628" s="4" t="s">
        <v>3926</v>
      </c>
      <c r="H628" s="4" t="s">
        <v>3921</v>
      </c>
      <c r="I628" s="4">
        <v>5</v>
      </c>
      <c r="J628" s="4" t="s">
        <v>1633</v>
      </c>
      <c r="K628" s="4" t="s">
        <v>141</v>
      </c>
      <c r="L628" s="4" t="s">
        <v>150</v>
      </c>
      <c r="M628" s="4" t="s">
        <v>190</v>
      </c>
      <c r="N628" s="4" t="s">
        <v>346</v>
      </c>
      <c r="O628" s="4" t="s">
        <v>144</v>
      </c>
      <c r="P628" s="4" t="s">
        <v>169</v>
      </c>
      <c r="Q628" s="4" t="s">
        <v>170</v>
      </c>
      <c r="R628" s="4">
        <v>35</v>
      </c>
      <c r="S628" s="4">
        <v>35.5</v>
      </c>
      <c r="T628" s="4"/>
      <c r="U628" s="4">
        <v>-46.414325789999999</v>
      </c>
      <c r="V628" s="4">
        <v>168.34511821999999</v>
      </c>
      <c r="W628" s="5">
        <v>40325</v>
      </c>
      <c r="X628" s="5">
        <v>41067</v>
      </c>
      <c r="Y628" s="5">
        <v>40333</v>
      </c>
      <c r="Z628" s="5">
        <v>40333</v>
      </c>
      <c r="AA628" s="4" t="s">
        <v>171</v>
      </c>
      <c r="AB628" s="3" t="str">
        <f>HYPERLINK("https://sitebase.nzcomms.co.nz/spm/spmcandidateview/STH-075-004-A/","STH-075-004-A")</f>
        <v>STH-075-004-A</v>
      </c>
      <c r="AC628" s="4" t="b">
        <v>0</v>
      </c>
      <c r="AD628" s="4" t="b">
        <v>0</v>
      </c>
      <c r="AE628" s="5">
        <v>40242</v>
      </c>
      <c r="AF628" s="5">
        <v>40242</v>
      </c>
      <c r="AG628" s="4" t="b">
        <v>0</v>
      </c>
      <c r="AH628" s="4"/>
      <c r="AI628" s="5">
        <v>40634</v>
      </c>
      <c r="AJ628" s="5">
        <v>40620</v>
      </c>
      <c r="AK628" s="5">
        <v>40625</v>
      </c>
      <c r="AL628" s="5">
        <v>40625</v>
      </c>
      <c r="AM628" s="5">
        <v>40669</v>
      </c>
      <c r="AN628" s="5">
        <v>40653</v>
      </c>
      <c r="AO628" s="4">
        <v>2</v>
      </c>
      <c r="AP628" s="5">
        <v>40669</v>
      </c>
      <c r="AQ628" s="5">
        <v>40821</v>
      </c>
      <c r="AR628" s="5">
        <v>40679</v>
      </c>
      <c r="AS628" s="5">
        <v>40679</v>
      </c>
      <c r="AT628" s="5">
        <v>40728</v>
      </c>
      <c r="AU628" s="5">
        <v>40725</v>
      </c>
      <c r="AV628" s="4">
        <v>1</v>
      </c>
      <c r="AW628" s="4"/>
      <c r="AX628" s="5">
        <v>40725</v>
      </c>
      <c r="AY628" s="4" t="s">
        <v>183</v>
      </c>
      <c r="AZ628" s="5">
        <v>40696</v>
      </c>
      <c r="BA628" s="5">
        <v>40690</v>
      </c>
      <c r="BB628" s="5">
        <v>40741</v>
      </c>
      <c r="BC628" s="5">
        <v>40717</v>
      </c>
      <c r="BD628" s="4">
        <v>1</v>
      </c>
      <c r="BE628" s="4"/>
      <c r="BF628" s="5">
        <v>40717</v>
      </c>
      <c r="BG628" s="4"/>
      <c r="BH628" s="4"/>
      <c r="BI628" s="5">
        <v>40794</v>
      </c>
      <c r="BJ628" s="5">
        <v>40798</v>
      </c>
      <c r="BK628" s="4">
        <v>1</v>
      </c>
      <c r="BL628" s="4"/>
      <c r="BM628" s="5">
        <v>40794</v>
      </c>
      <c r="BN628" s="5">
        <v>40798</v>
      </c>
      <c r="BO628" s="5">
        <v>40837</v>
      </c>
      <c r="BP628" s="4"/>
      <c r="BQ628" s="4"/>
      <c r="BR628" s="4"/>
      <c r="BS628" s="4"/>
      <c r="BT628" s="5">
        <v>40816</v>
      </c>
      <c r="BU628" s="5">
        <v>40819</v>
      </c>
      <c r="BV628" s="5">
        <v>40870</v>
      </c>
      <c r="BW628" s="5">
        <v>40870</v>
      </c>
      <c r="BX628" s="5">
        <v>40838</v>
      </c>
      <c r="BY628" s="5">
        <v>40849</v>
      </c>
      <c r="BZ628" s="5">
        <v>40852</v>
      </c>
      <c r="CA628" s="4"/>
      <c r="CB628" s="4"/>
      <c r="CC628" s="4"/>
      <c r="CD628" s="4"/>
      <c r="CE628" s="4"/>
      <c r="CF628" s="4"/>
      <c r="CG628" s="4"/>
      <c r="CH628" s="4"/>
      <c r="CI628" s="5">
        <v>40852</v>
      </c>
      <c r="CJ628" s="5">
        <v>40861</v>
      </c>
      <c r="CK628" s="5">
        <v>40861</v>
      </c>
      <c r="CL628" s="5">
        <v>40905</v>
      </c>
      <c r="CM628" s="5">
        <v>40889</v>
      </c>
      <c r="CN628" s="5">
        <v>41551</v>
      </c>
      <c r="CO628" s="5">
        <v>41614</v>
      </c>
      <c r="CP628" s="4" t="s">
        <v>3927</v>
      </c>
      <c r="CQ628" s="4"/>
      <c r="CR628" s="5">
        <v>40849</v>
      </c>
      <c r="CS628" s="5">
        <v>40767</v>
      </c>
      <c r="CT628" s="5">
        <v>40767</v>
      </c>
      <c r="CU628" s="5">
        <v>40809</v>
      </c>
      <c r="CV628" s="5">
        <v>40809</v>
      </c>
      <c r="CW628" s="5">
        <v>40837</v>
      </c>
      <c r="CX628" s="5">
        <v>40837</v>
      </c>
      <c r="CY628" s="5">
        <v>40844</v>
      </c>
      <c r="CZ628" s="5">
        <v>40844</v>
      </c>
      <c r="DA628" s="4"/>
      <c r="DB628" s="5">
        <v>40855</v>
      </c>
      <c r="DC628" s="4"/>
      <c r="DD628" s="4"/>
      <c r="DE628" s="4"/>
      <c r="DF628" s="4"/>
      <c r="DG628" s="4"/>
      <c r="DH628" s="4" t="s">
        <v>174</v>
      </c>
      <c r="DI628" s="5">
        <v>40838</v>
      </c>
      <c r="DJ628" s="4" t="b">
        <v>0</v>
      </c>
      <c r="DK628" s="4"/>
      <c r="DL628" s="4">
        <v>2152039</v>
      </c>
      <c r="DM628" s="4">
        <v>5411377</v>
      </c>
      <c r="DN628" s="4" t="s">
        <v>3928</v>
      </c>
      <c r="DO628" s="4"/>
      <c r="DP628" s="4" t="s">
        <v>3929</v>
      </c>
      <c r="DQ628" s="4" t="s">
        <v>148</v>
      </c>
      <c r="DR628" s="4"/>
      <c r="DS628" s="4"/>
      <c r="DT628" s="5">
        <v>42339</v>
      </c>
      <c r="DU628" s="4"/>
      <c r="DV628" s="4"/>
      <c r="DW628" s="4"/>
      <c r="DX628" s="4"/>
      <c r="DY628" s="4"/>
      <c r="DZ628" s="4"/>
      <c r="EA628" s="4"/>
      <c r="EB628" s="4"/>
      <c r="EC628" s="4"/>
      <c r="ED628" s="4"/>
      <c r="EE628" s="4"/>
      <c r="EF628" s="4"/>
      <c r="EG628" s="5">
        <v>40879</v>
      </c>
      <c r="EH628" s="5">
        <v>40876</v>
      </c>
      <c r="EI628" s="4"/>
    </row>
    <row r="629" spans="1:139" hidden="1" x14ac:dyDescent="0.2">
      <c r="A629" t="str">
        <f>VLOOKUP(B629,Sheet1!$A$1:$B$18,2,FALSE)</f>
        <v>South Island</v>
      </c>
      <c r="B629" t="str">
        <f>LEFT(D629,3)</f>
        <v>STH</v>
      </c>
      <c r="C629" s="2">
        <v>1308</v>
      </c>
      <c r="D629" s="3" t="str">
        <f>HYPERLINK("https://sitebase.nzcomms.co.nz/spm/spmnominalview/STH-075-004/","STH-075-004")</f>
        <v>STH-075-004</v>
      </c>
      <c r="E629" s="4" t="s">
        <v>3935</v>
      </c>
      <c r="F629" s="3" t="str">
        <f>HYPERLINK("https://sitebase.nzcomms.co.nz/spm/spmcandidateview/STH-075-004-A/","STH-075-004-A")</f>
        <v>STH-075-004-A</v>
      </c>
      <c r="G629" s="4" t="s">
        <v>3936</v>
      </c>
      <c r="H629" s="4" t="s">
        <v>3921</v>
      </c>
      <c r="I629" s="4">
        <v>5</v>
      </c>
      <c r="J629" s="4" t="s">
        <v>1633</v>
      </c>
      <c r="K629" s="4" t="s">
        <v>141</v>
      </c>
      <c r="L629" s="4" t="s">
        <v>142</v>
      </c>
      <c r="M629" s="4" t="s">
        <v>190</v>
      </c>
      <c r="N629" s="4" t="s">
        <v>142</v>
      </c>
      <c r="O629" s="4" t="s">
        <v>144</v>
      </c>
      <c r="P629" s="4" t="s">
        <v>182</v>
      </c>
      <c r="Q629" s="4" t="s">
        <v>142</v>
      </c>
      <c r="R629" s="4">
        <v>18.899999999999999</v>
      </c>
      <c r="S629" s="4">
        <v>20</v>
      </c>
      <c r="T629" s="4"/>
      <c r="U629" s="4">
        <v>-46.434941160000001</v>
      </c>
      <c r="V629" s="4">
        <v>168.36210464999999</v>
      </c>
      <c r="W629" s="5">
        <v>40325</v>
      </c>
      <c r="X629" s="5">
        <v>40325</v>
      </c>
      <c r="Y629" s="5">
        <v>40333</v>
      </c>
      <c r="Z629" s="5">
        <v>40333</v>
      </c>
      <c r="AA629" s="4" t="s">
        <v>171</v>
      </c>
      <c r="AB629" s="3" t="str">
        <f>HYPERLINK("https://sitebase.nzcomms.co.nz/spm/spmcandidateview/STH-075-008-B/","STH-075-008-B")</f>
        <v>STH-075-008-B</v>
      </c>
      <c r="AC629" s="4" t="b">
        <v>0</v>
      </c>
      <c r="AD629" s="4" t="b">
        <v>0</v>
      </c>
      <c r="AE629" s="5">
        <v>40242</v>
      </c>
      <c r="AF629" s="5">
        <v>40242</v>
      </c>
      <c r="AG629" s="4" t="b">
        <v>0</v>
      </c>
      <c r="AH629" s="4"/>
      <c r="AI629" s="5">
        <v>40585</v>
      </c>
      <c r="AJ629" s="5">
        <v>40585</v>
      </c>
      <c r="AK629" s="5">
        <v>40592</v>
      </c>
      <c r="AL629" s="5">
        <v>40613</v>
      </c>
      <c r="AM629" s="5">
        <v>40653</v>
      </c>
      <c r="AN629" s="5">
        <v>40653</v>
      </c>
      <c r="AO629" s="4">
        <v>3</v>
      </c>
      <c r="AP629" s="5">
        <v>40653</v>
      </c>
      <c r="AQ629" s="5">
        <v>40777</v>
      </c>
      <c r="AR629" s="5">
        <v>40701</v>
      </c>
      <c r="AS629" s="5">
        <v>40701</v>
      </c>
      <c r="AT629" s="5">
        <v>40760</v>
      </c>
      <c r="AU629" s="5">
        <v>40759</v>
      </c>
      <c r="AV629" s="4">
        <v>1</v>
      </c>
      <c r="AW629" s="4"/>
      <c r="AX629" s="5">
        <v>40759</v>
      </c>
      <c r="AY629" s="4" t="s">
        <v>183</v>
      </c>
      <c r="AZ629" s="5">
        <v>40669</v>
      </c>
      <c r="BA629" s="5">
        <v>40785</v>
      </c>
      <c r="BB629" s="5">
        <v>40813</v>
      </c>
      <c r="BC629" s="5">
        <v>40802</v>
      </c>
      <c r="BD629" s="4">
        <v>1</v>
      </c>
      <c r="BE629" s="5">
        <v>40813</v>
      </c>
      <c r="BF629" s="5">
        <v>40809</v>
      </c>
      <c r="BG629" s="4"/>
      <c r="BH629" s="4"/>
      <c r="BI629" s="5">
        <v>40780</v>
      </c>
      <c r="BJ629" s="5">
        <v>40781</v>
      </c>
      <c r="BK629" s="4">
        <v>3</v>
      </c>
      <c r="BL629" s="4"/>
      <c r="BM629" s="5">
        <v>40798</v>
      </c>
      <c r="BN629" s="5">
        <v>40821</v>
      </c>
      <c r="BO629" s="5">
        <v>40823</v>
      </c>
      <c r="BP629" s="4"/>
      <c r="BQ629" s="4"/>
      <c r="BR629" s="5">
        <v>40788</v>
      </c>
      <c r="BS629" s="4"/>
      <c r="BT629" s="5">
        <v>40830</v>
      </c>
      <c r="BU629" s="5">
        <v>40833</v>
      </c>
      <c r="BV629" s="5">
        <v>40839</v>
      </c>
      <c r="BW629" s="5">
        <v>40844</v>
      </c>
      <c r="BX629" s="5">
        <v>40838</v>
      </c>
      <c r="BY629" s="5">
        <v>40819</v>
      </c>
      <c r="BZ629" s="5">
        <v>40854</v>
      </c>
      <c r="CA629" s="4"/>
      <c r="CB629" s="4"/>
      <c r="CC629" s="4"/>
      <c r="CD629" s="5">
        <v>40741</v>
      </c>
      <c r="CE629" s="4"/>
      <c r="CF629" s="4"/>
      <c r="CG629" s="4"/>
      <c r="CH629" s="4"/>
      <c r="CI629" s="5">
        <v>40854</v>
      </c>
      <c r="CJ629" s="5">
        <v>40861</v>
      </c>
      <c r="CK629" s="5">
        <v>40861</v>
      </c>
      <c r="CL629" s="5">
        <v>40868</v>
      </c>
      <c r="CM629" s="5">
        <v>40889</v>
      </c>
      <c r="CN629" s="5">
        <v>40980</v>
      </c>
      <c r="CO629" s="5">
        <v>41046</v>
      </c>
      <c r="CP629" s="4" t="s">
        <v>3937</v>
      </c>
      <c r="CQ629" s="4" t="s">
        <v>230</v>
      </c>
      <c r="CR629" s="5">
        <v>40855</v>
      </c>
      <c r="CS629" s="5">
        <v>40760</v>
      </c>
      <c r="CT629" s="5">
        <v>40760</v>
      </c>
      <c r="CU629" s="5">
        <v>40809</v>
      </c>
      <c r="CV629" s="5">
        <v>40809</v>
      </c>
      <c r="CW629" s="5">
        <v>40791</v>
      </c>
      <c r="CX629" s="5">
        <v>40823</v>
      </c>
      <c r="CY629" s="5">
        <v>40844</v>
      </c>
      <c r="CZ629" s="5">
        <v>40844</v>
      </c>
      <c r="DA629" s="4"/>
      <c r="DB629" s="5">
        <v>40861</v>
      </c>
      <c r="DC629" s="4"/>
      <c r="DD629" s="4"/>
      <c r="DE629" s="4"/>
      <c r="DF629" s="4"/>
      <c r="DG629" s="4"/>
      <c r="DH629" s="4"/>
      <c r="DI629" s="5">
        <v>40837</v>
      </c>
      <c r="DJ629" s="4" t="b">
        <v>1</v>
      </c>
      <c r="DK629" s="4"/>
      <c r="DL629" s="4">
        <v>2153472</v>
      </c>
      <c r="DM629" s="4">
        <v>5409163</v>
      </c>
      <c r="DN629" s="4" t="s">
        <v>3938</v>
      </c>
      <c r="DO629" s="4"/>
      <c r="DP629" s="4" t="s">
        <v>3939</v>
      </c>
      <c r="DQ629" s="4" t="s">
        <v>148</v>
      </c>
      <c r="DR629" s="4"/>
      <c r="DS629" s="4"/>
      <c r="DT629" s="4"/>
      <c r="DU629" s="4"/>
      <c r="DV629" s="4"/>
      <c r="DW629" s="4"/>
      <c r="DX629" s="4"/>
      <c r="DY629" s="4"/>
      <c r="DZ629" s="4"/>
      <c r="EA629" s="4"/>
      <c r="EB629" s="4"/>
      <c r="EC629" s="4"/>
      <c r="ED629" s="4"/>
      <c r="EE629" s="4"/>
      <c r="EF629" s="4"/>
      <c r="EG629" s="5">
        <v>40879</v>
      </c>
      <c r="EH629" s="5">
        <v>40876</v>
      </c>
      <c r="EI629" s="4"/>
    </row>
    <row r="630" spans="1:139" hidden="1" x14ac:dyDescent="0.2">
      <c r="A630" t="str">
        <f>VLOOKUP(B630,Sheet1!$A$1:$B$18,2,FALSE)</f>
        <v>South Island</v>
      </c>
      <c r="B630" t="str">
        <f>LEFT(D630,3)</f>
        <v>STH</v>
      </c>
      <c r="C630" s="2">
        <v>1310</v>
      </c>
      <c r="D630" s="3" t="str">
        <f>HYPERLINK("https://sitebase.nzcomms.co.nz/spm/spmnominalview/STH-075-006/","STH-075-006")</f>
        <v>STH-075-006</v>
      </c>
      <c r="E630" s="4" t="s">
        <v>3944</v>
      </c>
      <c r="F630" s="3" t="str">
        <f>HYPERLINK("https://sitebase.nzcomms.co.nz/spm/spmcandidateview/STH-075-006-B/","STH-075-006-B")</f>
        <v>STH-075-006-B</v>
      </c>
      <c r="G630" s="4" t="s">
        <v>3945</v>
      </c>
      <c r="H630" s="4" t="s">
        <v>3921</v>
      </c>
      <c r="I630" s="4">
        <v>5</v>
      </c>
      <c r="J630" s="4" t="s">
        <v>1633</v>
      </c>
      <c r="K630" s="4" t="s">
        <v>141</v>
      </c>
      <c r="L630" s="4" t="s">
        <v>189</v>
      </c>
      <c r="M630" s="4" t="s">
        <v>190</v>
      </c>
      <c r="N630" s="4" t="s">
        <v>1158</v>
      </c>
      <c r="O630" s="4" t="s">
        <v>144</v>
      </c>
      <c r="P630" s="4" t="s">
        <v>182</v>
      </c>
      <c r="Q630" s="4" t="s">
        <v>192</v>
      </c>
      <c r="R630" s="4">
        <v>14.4</v>
      </c>
      <c r="S630" s="4">
        <v>15.5</v>
      </c>
      <c r="T630" s="4"/>
      <c r="U630" s="4">
        <v>-46.4372854</v>
      </c>
      <c r="V630" s="4">
        <v>168.29322250000001</v>
      </c>
      <c r="W630" s="5">
        <v>40325</v>
      </c>
      <c r="X630" s="5">
        <v>40325</v>
      </c>
      <c r="Y630" s="5">
        <v>40333</v>
      </c>
      <c r="Z630" s="5">
        <v>40333</v>
      </c>
      <c r="AA630" s="4" t="s">
        <v>171</v>
      </c>
      <c r="AB630" s="3" t="str">
        <f>HYPERLINK("https://sitebase.nzcomms.co.nz/spm/spmcandidateview/STH-075-004-A/","STH-075-004-A")</f>
        <v>STH-075-004-A</v>
      </c>
      <c r="AC630" s="4" t="b">
        <v>0</v>
      </c>
      <c r="AD630" s="4" t="b">
        <v>0</v>
      </c>
      <c r="AE630" s="5">
        <v>40242</v>
      </c>
      <c r="AF630" s="5">
        <v>40242</v>
      </c>
      <c r="AG630" s="4" t="b">
        <v>0</v>
      </c>
      <c r="AH630" s="4" t="s">
        <v>3313</v>
      </c>
      <c r="AI630" s="5">
        <v>40634</v>
      </c>
      <c r="AJ630" s="5">
        <v>40620</v>
      </c>
      <c r="AK630" s="5">
        <v>40641</v>
      </c>
      <c r="AL630" s="5">
        <v>40623</v>
      </c>
      <c r="AM630" s="5">
        <v>40652</v>
      </c>
      <c r="AN630" s="5">
        <v>40648</v>
      </c>
      <c r="AO630" s="4">
        <v>2</v>
      </c>
      <c r="AP630" s="5">
        <v>40652</v>
      </c>
      <c r="AQ630" s="5">
        <v>40665</v>
      </c>
      <c r="AR630" s="5">
        <v>40679</v>
      </c>
      <c r="AS630" s="5">
        <v>40679</v>
      </c>
      <c r="AT630" s="5">
        <v>40718</v>
      </c>
      <c r="AU630" s="5">
        <v>40760</v>
      </c>
      <c r="AV630" s="4">
        <v>1</v>
      </c>
      <c r="AW630" s="4"/>
      <c r="AX630" s="5">
        <v>40760</v>
      </c>
      <c r="AY630" s="4" t="s">
        <v>183</v>
      </c>
      <c r="AZ630" s="5">
        <v>40673</v>
      </c>
      <c r="BA630" s="5">
        <v>40669</v>
      </c>
      <c r="BB630" s="5">
        <v>40704</v>
      </c>
      <c r="BC630" s="5">
        <v>40697</v>
      </c>
      <c r="BD630" s="4">
        <v>2</v>
      </c>
      <c r="BE630" s="4"/>
      <c r="BF630" s="5">
        <v>40917</v>
      </c>
      <c r="BG630" s="4"/>
      <c r="BH630" s="4"/>
      <c r="BI630" s="5">
        <v>40757</v>
      </c>
      <c r="BJ630" s="5">
        <v>40757</v>
      </c>
      <c r="BK630" s="4">
        <v>1</v>
      </c>
      <c r="BL630" s="4"/>
      <c r="BM630" s="5">
        <v>40757</v>
      </c>
      <c r="BN630" s="5">
        <v>40757</v>
      </c>
      <c r="BO630" s="5">
        <v>40812</v>
      </c>
      <c r="BP630" s="4"/>
      <c r="BQ630" s="4"/>
      <c r="BR630" s="5">
        <v>40773</v>
      </c>
      <c r="BS630" s="4"/>
      <c r="BT630" s="5">
        <v>40805</v>
      </c>
      <c r="BU630" s="5">
        <v>40794</v>
      </c>
      <c r="BV630" s="5">
        <v>40819</v>
      </c>
      <c r="BW630" s="5">
        <v>40813</v>
      </c>
      <c r="BX630" s="5">
        <v>40832</v>
      </c>
      <c r="BY630" s="5">
        <v>40847</v>
      </c>
      <c r="BZ630" s="5">
        <v>40854</v>
      </c>
      <c r="CA630" s="4"/>
      <c r="CB630" s="4"/>
      <c r="CC630" s="4"/>
      <c r="CD630" s="4"/>
      <c r="CE630" s="4"/>
      <c r="CF630" s="4"/>
      <c r="CG630" s="4"/>
      <c r="CH630" s="4"/>
      <c r="CI630" s="5">
        <v>40856</v>
      </c>
      <c r="CJ630" s="5">
        <v>40861</v>
      </c>
      <c r="CK630" s="5">
        <v>40861</v>
      </c>
      <c r="CL630" s="5">
        <v>40881</v>
      </c>
      <c r="CM630" s="5">
        <v>40886</v>
      </c>
      <c r="CN630" s="5">
        <v>40976</v>
      </c>
      <c r="CO630" s="5">
        <v>41046</v>
      </c>
      <c r="CP630" s="4" t="s">
        <v>3937</v>
      </c>
      <c r="CQ630" s="4"/>
      <c r="CR630" s="5">
        <v>40858</v>
      </c>
      <c r="CS630" s="5">
        <v>40757</v>
      </c>
      <c r="CT630" s="5">
        <v>40757</v>
      </c>
      <c r="CU630" s="5">
        <v>40812</v>
      </c>
      <c r="CV630" s="5">
        <v>40812</v>
      </c>
      <c r="CW630" s="5">
        <v>40794</v>
      </c>
      <c r="CX630" s="5">
        <v>40812</v>
      </c>
      <c r="CY630" s="5">
        <v>40823</v>
      </c>
      <c r="CZ630" s="5">
        <v>40820</v>
      </c>
      <c r="DA630" s="4"/>
      <c r="DB630" s="5">
        <v>40863</v>
      </c>
      <c r="DC630" s="4"/>
      <c r="DD630" s="4"/>
      <c r="DE630" s="4"/>
      <c r="DF630" s="4"/>
      <c r="DG630" s="4"/>
      <c r="DH630" s="4"/>
      <c r="DI630" s="5">
        <v>40829</v>
      </c>
      <c r="DJ630" s="4" t="b">
        <v>1</v>
      </c>
      <c r="DK630" s="4"/>
      <c r="DL630" s="4">
        <v>2148202</v>
      </c>
      <c r="DM630" s="4">
        <v>5408602</v>
      </c>
      <c r="DN630" s="4" t="s">
        <v>3946</v>
      </c>
      <c r="DO630" s="4"/>
      <c r="DP630" s="4" t="s">
        <v>3947</v>
      </c>
      <c r="DQ630" s="4" t="s">
        <v>148</v>
      </c>
      <c r="DR630" s="4"/>
      <c r="DS630" s="4"/>
      <c r="DT630" s="4"/>
      <c r="DU630" s="4"/>
      <c r="DV630" s="4"/>
      <c r="DW630" s="4"/>
      <c r="DX630" s="4"/>
      <c r="DY630" s="4"/>
      <c r="DZ630" s="4"/>
      <c r="EA630" s="4"/>
      <c r="EB630" s="4"/>
      <c r="EC630" s="4"/>
      <c r="ED630" s="4"/>
      <c r="EE630" s="4"/>
      <c r="EF630" s="4"/>
      <c r="EG630" s="5">
        <v>40879</v>
      </c>
      <c r="EH630" s="5">
        <v>40875</v>
      </c>
      <c r="EI630" s="4"/>
    </row>
    <row r="631" spans="1:139" hidden="1" x14ac:dyDescent="0.2">
      <c r="A631" t="str">
        <f>VLOOKUP(B631,Sheet1!$A$1:$B$18,2,FALSE)</f>
        <v>South Island</v>
      </c>
      <c r="B631" t="str">
        <f>LEFT(D631,3)</f>
        <v>STH</v>
      </c>
      <c r="C631" s="2">
        <v>1312</v>
      </c>
      <c r="D631" s="3" t="str">
        <f>HYPERLINK("https://sitebase.nzcomms.co.nz/spm/spmnominalview/STH-075-008/","STH-075-008")</f>
        <v>STH-075-008</v>
      </c>
      <c r="E631" s="4" t="s">
        <v>3952</v>
      </c>
      <c r="F631" s="3" t="str">
        <f>HYPERLINK("https://sitebase.nzcomms.co.nz/spm/spmcandidateview/STH-075-008-B/","STH-075-008-B")</f>
        <v>STH-075-008-B</v>
      </c>
      <c r="G631" s="4" t="s">
        <v>3953</v>
      </c>
      <c r="H631" s="4" t="s">
        <v>3921</v>
      </c>
      <c r="I631" s="4">
        <v>5</v>
      </c>
      <c r="J631" s="4" t="s">
        <v>1633</v>
      </c>
      <c r="K631" s="4" t="s">
        <v>141</v>
      </c>
      <c r="L631" s="4" t="s">
        <v>150</v>
      </c>
      <c r="M631" s="4" t="s">
        <v>190</v>
      </c>
      <c r="N631" s="4" t="s">
        <v>730</v>
      </c>
      <c r="O631" s="4" t="s">
        <v>144</v>
      </c>
      <c r="P631" s="4" t="s">
        <v>182</v>
      </c>
      <c r="Q631" s="4" t="s">
        <v>192</v>
      </c>
      <c r="R631" s="4"/>
      <c r="S631" s="4">
        <v>28</v>
      </c>
      <c r="T631" s="4"/>
      <c r="U631" s="4">
        <v>-46.413964460000003</v>
      </c>
      <c r="V631" s="4">
        <v>168.37899565999999</v>
      </c>
      <c r="W631" s="5">
        <v>40325</v>
      </c>
      <c r="X631" s="5">
        <v>40325</v>
      </c>
      <c r="Y631" s="5">
        <v>40333</v>
      </c>
      <c r="Z631" s="5">
        <v>40333</v>
      </c>
      <c r="AA631" s="4" t="s">
        <v>171</v>
      </c>
      <c r="AB631" s="3" t="str">
        <f>HYPERLINK("https://sitebase.nzcomms.co.nz/spm/spmcandidateview/STH-075-009-A/","STH-075-009-A")</f>
        <v>STH-075-009-A</v>
      </c>
      <c r="AC631" s="4" t="b">
        <v>0</v>
      </c>
      <c r="AD631" s="4" t="b">
        <v>0</v>
      </c>
      <c r="AE631" s="5">
        <v>40242</v>
      </c>
      <c r="AF631" s="5">
        <v>40242</v>
      </c>
      <c r="AG631" s="4" t="b">
        <v>0</v>
      </c>
      <c r="AH631" s="4"/>
      <c r="AI631" s="5">
        <v>40585</v>
      </c>
      <c r="AJ631" s="5">
        <v>40585</v>
      </c>
      <c r="AK631" s="5">
        <v>40592</v>
      </c>
      <c r="AL631" s="5">
        <v>40613</v>
      </c>
      <c r="AM631" s="5">
        <v>40661</v>
      </c>
      <c r="AN631" s="5">
        <v>40660</v>
      </c>
      <c r="AO631" s="4">
        <v>1</v>
      </c>
      <c r="AP631" s="5">
        <v>40661</v>
      </c>
      <c r="AQ631" s="5">
        <v>40660</v>
      </c>
      <c r="AR631" s="5">
        <v>40690</v>
      </c>
      <c r="AS631" s="5">
        <v>40694</v>
      </c>
      <c r="AT631" s="5">
        <v>40715</v>
      </c>
      <c r="AU631" s="5">
        <v>40739</v>
      </c>
      <c r="AV631" s="4">
        <v>1</v>
      </c>
      <c r="AW631" s="4"/>
      <c r="AX631" s="5">
        <v>40764</v>
      </c>
      <c r="AY631" s="4" t="s">
        <v>172</v>
      </c>
      <c r="AZ631" s="5">
        <v>40690</v>
      </c>
      <c r="BA631" s="5">
        <v>40686</v>
      </c>
      <c r="BB631" s="5">
        <v>40711</v>
      </c>
      <c r="BC631" s="5">
        <v>40715</v>
      </c>
      <c r="BD631" s="4">
        <v>1</v>
      </c>
      <c r="BE631" s="4"/>
      <c r="BF631" s="5">
        <v>40715</v>
      </c>
      <c r="BG631" s="4"/>
      <c r="BH631" s="4"/>
      <c r="BI631" s="5">
        <v>40780</v>
      </c>
      <c r="BJ631" s="5">
        <v>40784</v>
      </c>
      <c r="BK631" s="4">
        <v>1</v>
      </c>
      <c r="BL631" s="4"/>
      <c r="BM631" s="5">
        <v>40780</v>
      </c>
      <c r="BN631" s="5">
        <v>40784</v>
      </c>
      <c r="BO631" s="5">
        <v>40837</v>
      </c>
      <c r="BP631" s="4"/>
      <c r="BQ631" s="4"/>
      <c r="BR631" s="4"/>
      <c r="BS631" s="4"/>
      <c r="BT631" s="5">
        <v>40822</v>
      </c>
      <c r="BU631" s="5">
        <v>40822</v>
      </c>
      <c r="BV631" s="5">
        <v>40846</v>
      </c>
      <c r="BW631" s="5">
        <v>40863</v>
      </c>
      <c r="BX631" s="5">
        <v>40844</v>
      </c>
      <c r="BY631" s="5">
        <v>40820</v>
      </c>
      <c r="BZ631" s="5">
        <v>40854</v>
      </c>
      <c r="CA631" s="4"/>
      <c r="CB631" s="4"/>
      <c r="CC631" s="4"/>
      <c r="CD631" s="5">
        <v>40781</v>
      </c>
      <c r="CE631" s="4"/>
      <c r="CF631" s="4"/>
      <c r="CG631" s="4"/>
      <c r="CH631" s="4"/>
      <c r="CI631" s="5">
        <v>40856</v>
      </c>
      <c r="CJ631" s="5">
        <v>40861</v>
      </c>
      <c r="CK631" s="5">
        <v>40861</v>
      </c>
      <c r="CL631" s="5">
        <v>40896</v>
      </c>
      <c r="CM631" s="5">
        <v>40886</v>
      </c>
      <c r="CN631" s="5">
        <v>40976</v>
      </c>
      <c r="CO631" s="5">
        <v>41046</v>
      </c>
      <c r="CP631" s="4"/>
      <c r="CQ631" s="4"/>
      <c r="CR631" s="5">
        <v>40857</v>
      </c>
      <c r="CS631" s="5">
        <v>40760</v>
      </c>
      <c r="CT631" s="5">
        <v>40760</v>
      </c>
      <c r="CU631" s="5">
        <v>40809</v>
      </c>
      <c r="CV631" s="5">
        <v>40809</v>
      </c>
      <c r="CW631" s="5">
        <v>40837</v>
      </c>
      <c r="CX631" s="5">
        <v>40837</v>
      </c>
      <c r="CY631" s="5">
        <v>40845</v>
      </c>
      <c r="CZ631" s="5">
        <v>40844</v>
      </c>
      <c r="DA631" s="4"/>
      <c r="DB631" s="5">
        <v>40864</v>
      </c>
      <c r="DC631" s="4"/>
      <c r="DD631" s="4"/>
      <c r="DE631" s="4"/>
      <c r="DF631" s="4"/>
      <c r="DG631" s="4"/>
      <c r="DH631" s="4"/>
      <c r="DI631" s="5">
        <v>40844</v>
      </c>
      <c r="DJ631" s="4" t="b">
        <v>0</v>
      </c>
      <c r="DK631" s="4"/>
      <c r="DL631" s="4">
        <v>2154637</v>
      </c>
      <c r="DM631" s="4">
        <v>5411564</v>
      </c>
      <c r="DN631" s="4" t="s">
        <v>3954</v>
      </c>
      <c r="DO631" s="4"/>
      <c r="DP631" s="4"/>
      <c r="DQ631" s="4" t="s">
        <v>148</v>
      </c>
      <c r="DR631" s="4"/>
      <c r="DS631" s="4"/>
      <c r="DT631" s="4"/>
      <c r="DU631" s="4"/>
      <c r="DV631" s="4"/>
      <c r="DW631" s="4"/>
      <c r="DX631" s="4"/>
      <c r="DY631" s="4"/>
      <c r="DZ631" s="4"/>
      <c r="EA631" s="4"/>
      <c r="EB631" s="4"/>
      <c r="EC631" s="4"/>
      <c r="ED631" s="4"/>
      <c r="EE631" s="4"/>
      <c r="EF631" s="4"/>
      <c r="EG631" s="5">
        <v>40879</v>
      </c>
      <c r="EH631" s="5">
        <v>40875</v>
      </c>
      <c r="EI631" s="4"/>
    </row>
    <row r="632" spans="1:139" hidden="1" x14ac:dyDescent="0.2">
      <c r="A632" t="str">
        <f>VLOOKUP(B632,Sheet1!$A$1:$B$18,2,FALSE)</f>
        <v>South Island</v>
      </c>
      <c r="B632" t="str">
        <f>LEFT(D632,3)</f>
        <v>STH</v>
      </c>
      <c r="C632" s="2">
        <v>1316</v>
      </c>
      <c r="D632" s="3" t="str">
        <f>HYPERLINK("https://sitebase.nzcomms.co.nz/spm/spmnominalview/STH-075-012/","STH-075-012")</f>
        <v>STH-075-012</v>
      </c>
      <c r="E632" s="4" t="s">
        <v>3962</v>
      </c>
      <c r="F632" s="3" t="str">
        <f>HYPERLINK("https://sitebase.nzcomms.co.nz/spm/spmcandidateview/STH-075-012-B/","STH-075-012-B")</f>
        <v>STH-075-012-B</v>
      </c>
      <c r="G632" s="4" t="s">
        <v>3963</v>
      </c>
      <c r="H632" s="4" t="s">
        <v>3921</v>
      </c>
      <c r="I632" s="4">
        <v>5</v>
      </c>
      <c r="J632" s="4" t="s">
        <v>1633</v>
      </c>
      <c r="K632" s="4" t="s">
        <v>141</v>
      </c>
      <c r="L632" s="4" t="s">
        <v>189</v>
      </c>
      <c r="M632" s="4" t="s">
        <v>190</v>
      </c>
      <c r="N632" s="4" t="s">
        <v>1158</v>
      </c>
      <c r="O632" s="4" t="s">
        <v>144</v>
      </c>
      <c r="P632" s="4" t="s">
        <v>182</v>
      </c>
      <c r="Q632" s="4" t="s">
        <v>192</v>
      </c>
      <c r="R632" s="4">
        <v>14.4</v>
      </c>
      <c r="S632" s="4">
        <v>15.5</v>
      </c>
      <c r="T632" s="4"/>
      <c r="U632" s="4">
        <v>-46.403277330000002</v>
      </c>
      <c r="V632" s="4">
        <v>168.36397348</v>
      </c>
      <c r="W632" s="5">
        <v>40325</v>
      </c>
      <c r="X632" s="5">
        <v>40325</v>
      </c>
      <c r="Y632" s="5">
        <v>40333</v>
      </c>
      <c r="Z632" s="5">
        <v>40333</v>
      </c>
      <c r="AA632" s="4" t="s">
        <v>171</v>
      </c>
      <c r="AB632" s="3" t="str">
        <f>HYPERLINK("https://sitebase.nzcomms.co.nz/spm/spmcandidateview/STH-075-009-A/","STH-075-009-A")</f>
        <v>STH-075-009-A</v>
      </c>
      <c r="AC632" s="4" t="b">
        <v>0</v>
      </c>
      <c r="AD632" s="4" t="b">
        <v>0</v>
      </c>
      <c r="AE632" s="5">
        <v>40242</v>
      </c>
      <c r="AF632" s="5">
        <v>40242</v>
      </c>
      <c r="AG632" s="4" t="b">
        <v>0</v>
      </c>
      <c r="AH632" s="4"/>
      <c r="AI632" s="5">
        <v>40634</v>
      </c>
      <c r="AJ632" s="5">
        <v>40620</v>
      </c>
      <c r="AK632" s="5">
        <v>40623</v>
      </c>
      <c r="AL632" s="5">
        <v>40623</v>
      </c>
      <c r="AM632" s="5">
        <v>40652</v>
      </c>
      <c r="AN632" s="5">
        <v>40653</v>
      </c>
      <c r="AO632" s="4">
        <v>1</v>
      </c>
      <c r="AP632" s="5">
        <v>40652</v>
      </c>
      <c r="AQ632" s="5">
        <v>40653</v>
      </c>
      <c r="AR632" s="4"/>
      <c r="AS632" s="5">
        <v>40693</v>
      </c>
      <c r="AT632" s="5">
        <v>40690</v>
      </c>
      <c r="AU632" s="5">
        <v>40760</v>
      </c>
      <c r="AV632" s="4">
        <v>1</v>
      </c>
      <c r="AW632" s="4"/>
      <c r="AX632" s="5">
        <v>40760</v>
      </c>
      <c r="AY632" s="4" t="s">
        <v>193</v>
      </c>
      <c r="AZ632" s="5">
        <v>40674</v>
      </c>
      <c r="BA632" s="5">
        <v>40672</v>
      </c>
      <c r="BB632" s="5">
        <v>40714</v>
      </c>
      <c r="BC632" s="5">
        <v>40681</v>
      </c>
      <c r="BD632" s="4">
        <v>1</v>
      </c>
      <c r="BE632" s="4"/>
      <c r="BF632" s="5">
        <v>40681</v>
      </c>
      <c r="BG632" s="4"/>
      <c r="BH632" s="4"/>
      <c r="BI632" s="5">
        <v>40757</v>
      </c>
      <c r="BJ632" s="5">
        <v>40757</v>
      </c>
      <c r="BK632" s="4">
        <v>1</v>
      </c>
      <c r="BL632" s="4"/>
      <c r="BM632" s="5">
        <v>40757</v>
      </c>
      <c r="BN632" s="5">
        <v>40757</v>
      </c>
      <c r="BO632" s="5">
        <v>40794</v>
      </c>
      <c r="BP632" s="4"/>
      <c r="BQ632" s="4"/>
      <c r="BR632" s="5">
        <v>40773</v>
      </c>
      <c r="BS632" s="4"/>
      <c r="BT632" s="5">
        <v>40807</v>
      </c>
      <c r="BU632" s="5">
        <v>40808</v>
      </c>
      <c r="BV632" s="5">
        <v>40821</v>
      </c>
      <c r="BW632" s="5">
        <v>40820</v>
      </c>
      <c r="BX632" s="5">
        <v>40819</v>
      </c>
      <c r="BY632" s="5">
        <v>40847</v>
      </c>
      <c r="BZ632" s="5">
        <v>40855</v>
      </c>
      <c r="CA632" s="4"/>
      <c r="CB632" s="4"/>
      <c r="CC632" s="4"/>
      <c r="CD632" s="5">
        <v>40711</v>
      </c>
      <c r="CE632" s="4"/>
      <c r="CF632" s="4"/>
      <c r="CG632" s="4"/>
      <c r="CH632" s="4"/>
      <c r="CI632" s="5">
        <v>40858</v>
      </c>
      <c r="CJ632" s="5">
        <v>40861</v>
      </c>
      <c r="CK632" s="5">
        <v>40861</v>
      </c>
      <c r="CL632" s="5">
        <v>40896</v>
      </c>
      <c r="CM632" s="5">
        <v>40886</v>
      </c>
      <c r="CN632" s="5">
        <v>40976</v>
      </c>
      <c r="CO632" s="5">
        <v>41089</v>
      </c>
      <c r="CP632" s="4" t="s">
        <v>3964</v>
      </c>
      <c r="CQ632" s="4"/>
      <c r="CR632" s="5">
        <v>40858</v>
      </c>
      <c r="CS632" s="5">
        <v>40729</v>
      </c>
      <c r="CT632" s="5">
        <v>40729</v>
      </c>
      <c r="CU632" s="5">
        <v>40809</v>
      </c>
      <c r="CV632" s="5">
        <v>40793</v>
      </c>
      <c r="CW632" s="5">
        <v>40794</v>
      </c>
      <c r="CX632" s="5">
        <v>40794</v>
      </c>
      <c r="CY632" s="5">
        <v>40791</v>
      </c>
      <c r="CZ632" s="5">
        <v>40822</v>
      </c>
      <c r="DA632" s="4"/>
      <c r="DB632" s="5">
        <v>40863</v>
      </c>
      <c r="DC632" s="4"/>
      <c r="DD632" s="4"/>
      <c r="DE632" s="4"/>
      <c r="DF632" s="4"/>
      <c r="DG632" s="4"/>
      <c r="DH632" s="4"/>
      <c r="DI632" s="5">
        <v>40820</v>
      </c>
      <c r="DJ632" s="4" t="b">
        <v>1</v>
      </c>
      <c r="DK632" s="4"/>
      <c r="DL632" s="4">
        <v>2153417</v>
      </c>
      <c r="DM632" s="4">
        <v>5412685</v>
      </c>
      <c r="DN632" s="4" t="s">
        <v>3965</v>
      </c>
      <c r="DO632" s="4"/>
      <c r="DP632" s="4" t="s">
        <v>3966</v>
      </c>
      <c r="DQ632" s="4" t="s">
        <v>148</v>
      </c>
      <c r="DR632" s="4"/>
      <c r="DS632" s="4"/>
      <c r="DT632" s="4"/>
      <c r="DU632" s="4"/>
      <c r="DV632" s="4"/>
      <c r="DW632" s="4"/>
      <c r="DX632" s="4"/>
      <c r="DY632" s="4"/>
      <c r="DZ632" s="4"/>
      <c r="EA632" s="4"/>
      <c r="EB632" s="4"/>
      <c r="EC632" s="4"/>
      <c r="ED632" s="4"/>
      <c r="EE632" s="4"/>
      <c r="EF632" s="4"/>
      <c r="EG632" s="5">
        <v>40879</v>
      </c>
      <c r="EH632" s="5">
        <v>40875</v>
      </c>
      <c r="EI632" s="4"/>
    </row>
    <row r="633" spans="1:139" hidden="1" x14ac:dyDescent="0.2">
      <c r="A633" t="str">
        <f>VLOOKUP(B633,Sheet1!$A$1:$B$18,2,FALSE)</f>
        <v>South Island</v>
      </c>
      <c r="B633" t="str">
        <f>LEFT(D633,3)</f>
        <v>OTG</v>
      </c>
      <c r="C633" s="2">
        <v>1223</v>
      </c>
      <c r="D633" s="3" t="str">
        <f>HYPERLINK("https://sitebase.nzcomms.co.nz/spm/spmnominalview/OTG-071-001/","OTG-071-001")</f>
        <v>OTG-071-001</v>
      </c>
      <c r="E633" s="4" t="s">
        <v>3725</v>
      </c>
      <c r="F633" s="3" t="str">
        <f>HYPERLINK("https://sitebase.nzcomms.co.nz/spm/spmcandidateview/OTG-071-001-C/","OTG-071-001-C")</f>
        <v>OTG-071-001-C</v>
      </c>
      <c r="G633" s="4" t="s">
        <v>3726</v>
      </c>
      <c r="H633" s="4" t="s">
        <v>3727</v>
      </c>
      <c r="I633" s="4">
        <v>4</v>
      </c>
      <c r="J633" s="4" t="s">
        <v>1633</v>
      </c>
      <c r="K633" s="4" t="s">
        <v>141</v>
      </c>
      <c r="L633" s="4" t="s">
        <v>150</v>
      </c>
      <c r="M633" s="4" t="s">
        <v>190</v>
      </c>
      <c r="N633" s="4" t="s">
        <v>167</v>
      </c>
      <c r="O633" s="4"/>
      <c r="P633" s="4" t="s">
        <v>182</v>
      </c>
      <c r="Q633" s="4" t="s">
        <v>170</v>
      </c>
      <c r="R633" s="4">
        <v>16</v>
      </c>
      <c r="S633" s="4">
        <v>16</v>
      </c>
      <c r="T633" s="4">
        <v>1</v>
      </c>
      <c r="U633" s="4">
        <v>-45.942158480000003</v>
      </c>
      <c r="V633" s="4">
        <v>170.22602988</v>
      </c>
      <c r="W633" s="5">
        <v>40325</v>
      </c>
      <c r="X633" s="4"/>
      <c r="Y633" s="5">
        <v>40296</v>
      </c>
      <c r="Z633" s="5">
        <v>40296</v>
      </c>
      <c r="AA633" s="4" t="s">
        <v>171</v>
      </c>
      <c r="AB633" s="3" t="str">
        <f>HYPERLINK("https://sitebase.nzcomms.co.nz/spm/spmcandidateview/OTG-071-004-D/","OTG-071-004-D")</f>
        <v>OTG-071-004-D</v>
      </c>
      <c r="AC633" s="4" t="b">
        <v>0</v>
      </c>
      <c r="AD633" s="4" t="b">
        <v>0</v>
      </c>
      <c r="AE633" s="5">
        <v>40164</v>
      </c>
      <c r="AF633" s="5">
        <v>40164</v>
      </c>
      <c r="AG633" s="4" t="b">
        <v>0</v>
      </c>
      <c r="AH633" s="4" t="s">
        <v>3728</v>
      </c>
      <c r="AI633" s="5">
        <v>40634</v>
      </c>
      <c r="AJ633" s="5">
        <v>40634</v>
      </c>
      <c r="AK633" s="5">
        <v>40641</v>
      </c>
      <c r="AL633" s="5">
        <v>40640</v>
      </c>
      <c r="AM633" s="5">
        <v>40683</v>
      </c>
      <c r="AN633" s="5">
        <v>40682</v>
      </c>
      <c r="AO633" s="4">
        <v>2</v>
      </c>
      <c r="AP633" s="5">
        <v>40683</v>
      </c>
      <c r="AQ633" s="5">
        <v>40695</v>
      </c>
      <c r="AR633" s="4"/>
      <c r="AS633" s="5">
        <v>40708</v>
      </c>
      <c r="AT633" s="5">
        <v>40732</v>
      </c>
      <c r="AU633" s="5">
        <v>40725</v>
      </c>
      <c r="AV633" s="4">
        <v>2</v>
      </c>
      <c r="AW633" s="4"/>
      <c r="AX633" s="5">
        <v>40877</v>
      </c>
      <c r="AY633" s="4" t="s">
        <v>172</v>
      </c>
      <c r="AZ633" s="5">
        <v>40690</v>
      </c>
      <c r="BA633" s="5">
        <v>40690</v>
      </c>
      <c r="BB633" s="5">
        <v>40739</v>
      </c>
      <c r="BC633" s="5">
        <v>40725</v>
      </c>
      <c r="BD633" s="4">
        <v>2</v>
      </c>
      <c r="BE633" s="4"/>
      <c r="BF633" s="5">
        <v>40725</v>
      </c>
      <c r="BG633" s="4"/>
      <c r="BH633" s="5">
        <v>40746</v>
      </c>
      <c r="BI633" s="5">
        <v>40812</v>
      </c>
      <c r="BJ633" s="5">
        <v>40813</v>
      </c>
      <c r="BK633" s="4">
        <v>1</v>
      </c>
      <c r="BL633" s="4"/>
      <c r="BM633" s="5">
        <v>40812</v>
      </c>
      <c r="BN633" s="5">
        <v>40813</v>
      </c>
      <c r="BO633" s="5">
        <v>40854</v>
      </c>
      <c r="BP633" s="4"/>
      <c r="BQ633" s="4"/>
      <c r="BR633" s="5">
        <v>-287862</v>
      </c>
      <c r="BS633" s="4"/>
      <c r="BT633" s="5">
        <v>40833</v>
      </c>
      <c r="BU633" s="5">
        <v>40833</v>
      </c>
      <c r="BV633" s="5">
        <v>40865</v>
      </c>
      <c r="BW633" s="5">
        <v>40863</v>
      </c>
      <c r="BX633" s="5">
        <v>40861</v>
      </c>
      <c r="BY633" s="5">
        <v>40868</v>
      </c>
      <c r="BZ633" s="5">
        <v>40866</v>
      </c>
      <c r="CA633" s="4"/>
      <c r="CB633" s="4"/>
      <c r="CC633" s="4"/>
      <c r="CD633" s="4"/>
      <c r="CE633" s="4"/>
      <c r="CF633" s="4"/>
      <c r="CG633" s="4"/>
      <c r="CH633" s="4"/>
      <c r="CI633" s="5">
        <v>40869</v>
      </c>
      <c r="CJ633" s="5">
        <v>40877</v>
      </c>
      <c r="CK633" s="5">
        <v>40877</v>
      </c>
      <c r="CL633" s="5">
        <v>40904</v>
      </c>
      <c r="CM633" s="5">
        <v>40897</v>
      </c>
      <c r="CN633" s="5">
        <v>40987</v>
      </c>
      <c r="CO633" s="5">
        <v>41085</v>
      </c>
      <c r="CP633" s="4" t="s">
        <v>3729</v>
      </c>
      <c r="CQ633" s="4"/>
      <c r="CR633" s="5">
        <v>40869</v>
      </c>
      <c r="CS633" s="5">
        <v>40745</v>
      </c>
      <c r="CT633" s="5">
        <v>40745</v>
      </c>
      <c r="CU633" s="5">
        <v>40820</v>
      </c>
      <c r="CV633" s="5">
        <v>40836</v>
      </c>
      <c r="CW633" s="5">
        <v>40854</v>
      </c>
      <c r="CX633" s="5">
        <v>40854</v>
      </c>
      <c r="CY633" s="5">
        <v>40869</v>
      </c>
      <c r="CZ633" s="5">
        <v>40869</v>
      </c>
      <c r="DA633" s="4"/>
      <c r="DB633" s="5">
        <v>40871</v>
      </c>
      <c r="DC633" s="4"/>
      <c r="DD633" s="4"/>
      <c r="DE633" s="4"/>
      <c r="DF633" s="4"/>
      <c r="DG633" s="4"/>
      <c r="DH633" s="4"/>
      <c r="DI633" s="5">
        <v>40860</v>
      </c>
      <c r="DJ633" s="4" t="b">
        <v>1</v>
      </c>
      <c r="DK633" s="4"/>
      <c r="DL633" s="4">
        <v>2294763</v>
      </c>
      <c r="DM633" s="4">
        <v>5470319</v>
      </c>
      <c r="DN633" s="4" t="s">
        <v>3730</v>
      </c>
      <c r="DO633" s="4"/>
      <c r="DP633" s="4" t="s">
        <v>3731</v>
      </c>
      <c r="DQ633" s="4" t="s">
        <v>148</v>
      </c>
      <c r="DR633" s="4"/>
      <c r="DS633" s="4"/>
      <c r="DT633" s="4"/>
      <c r="DU633" s="4"/>
      <c r="DV633" s="4"/>
      <c r="DW633" s="4"/>
      <c r="DX633" s="4"/>
      <c r="DY633" s="4"/>
      <c r="DZ633" s="4"/>
      <c r="EA633" s="4"/>
      <c r="EB633" s="4"/>
      <c r="EC633" s="4"/>
      <c r="ED633" s="4"/>
      <c r="EE633" s="4"/>
      <c r="EF633" s="4"/>
      <c r="EG633" s="5">
        <v>40889</v>
      </c>
      <c r="EH633" s="5">
        <v>40889</v>
      </c>
      <c r="EI633" s="4"/>
    </row>
    <row r="634" spans="1:139" hidden="1" x14ac:dyDescent="0.2">
      <c r="A634" t="str">
        <f>VLOOKUP(B634,Sheet1!$A$1:$B$18,2,FALSE)</f>
        <v>South Island</v>
      </c>
      <c r="B634" t="str">
        <f>LEFT(D634,3)</f>
        <v>OTG</v>
      </c>
      <c r="C634" s="2">
        <v>1224</v>
      </c>
      <c r="D634" s="3" t="str">
        <f>HYPERLINK("https://sitebase.nzcomms.co.nz/spm/spmnominalview/OTG-071-002/","OTG-071-002")</f>
        <v>OTG-071-002</v>
      </c>
      <c r="E634" s="4" t="s">
        <v>3732</v>
      </c>
      <c r="F634" s="3" t="str">
        <f>HYPERLINK("https://sitebase.nzcomms.co.nz/spm/spmcandidateview/OTG-071-002-E/","OTG-071-002-E")</f>
        <v>OTG-071-002-E</v>
      </c>
      <c r="G634" s="4" t="s">
        <v>3733</v>
      </c>
      <c r="H634" s="4" t="s">
        <v>3727</v>
      </c>
      <c r="I634" s="4">
        <v>4</v>
      </c>
      <c r="J634" s="4" t="s">
        <v>1633</v>
      </c>
      <c r="K634" s="4" t="s">
        <v>141</v>
      </c>
      <c r="L634" s="4" t="s">
        <v>150</v>
      </c>
      <c r="M634" s="4" t="s">
        <v>190</v>
      </c>
      <c r="N634" s="4" t="s">
        <v>291</v>
      </c>
      <c r="O634" s="4"/>
      <c r="P634" s="4" t="s">
        <v>182</v>
      </c>
      <c r="Q634" s="4" t="s">
        <v>170</v>
      </c>
      <c r="R634" s="4"/>
      <c r="S634" s="4">
        <v>16</v>
      </c>
      <c r="T634" s="4">
        <v>1</v>
      </c>
      <c r="U634" s="4">
        <v>-45.909574910000003</v>
      </c>
      <c r="V634" s="4">
        <v>170.43275059000001</v>
      </c>
      <c r="W634" s="5">
        <v>40325</v>
      </c>
      <c r="X634" s="4"/>
      <c r="Y634" s="5">
        <v>40296</v>
      </c>
      <c r="Z634" s="5">
        <v>40296</v>
      </c>
      <c r="AA634" s="4" t="s">
        <v>171</v>
      </c>
      <c r="AB634" s="3" t="str">
        <f>HYPERLINK("https://sitebase.nzcomms.co.nz/spm/spmcandidateview/OTG-071-022-A/","OTG-071-022-A")</f>
        <v>OTG-071-022-A</v>
      </c>
      <c r="AC634" s="4" t="b">
        <v>0</v>
      </c>
      <c r="AD634" s="4" t="b">
        <v>0</v>
      </c>
      <c r="AE634" s="5">
        <v>40164</v>
      </c>
      <c r="AF634" s="5">
        <v>40164</v>
      </c>
      <c r="AG634" s="4" t="b">
        <v>0</v>
      </c>
      <c r="AH634" s="4"/>
      <c r="AI634" s="5">
        <v>40676</v>
      </c>
      <c r="AJ634" s="5">
        <v>40676</v>
      </c>
      <c r="AK634" s="5">
        <v>40683</v>
      </c>
      <c r="AL634" s="5">
        <v>40682</v>
      </c>
      <c r="AM634" s="5">
        <v>40703</v>
      </c>
      <c r="AN634" s="5">
        <v>40704</v>
      </c>
      <c r="AO634" s="4">
        <v>2</v>
      </c>
      <c r="AP634" s="5">
        <v>40703</v>
      </c>
      <c r="AQ634" s="5">
        <v>40718</v>
      </c>
      <c r="AR634" s="4"/>
      <c r="AS634" s="5">
        <v>40743</v>
      </c>
      <c r="AT634" s="5">
        <v>40774</v>
      </c>
      <c r="AU634" s="5">
        <v>40765</v>
      </c>
      <c r="AV634" s="4">
        <v>2</v>
      </c>
      <c r="AW634" s="4"/>
      <c r="AX634" s="5">
        <v>40765</v>
      </c>
      <c r="AY634" s="4" t="s">
        <v>172</v>
      </c>
      <c r="AZ634" s="5">
        <v>40718</v>
      </c>
      <c r="BA634" s="5">
        <v>40718</v>
      </c>
      <c r="BB634" s="5">
        <v>40753</v>
      </c>
      <c r="BC634" s="5">
        <v>40746</v>
      </c>
      <c r="BD634" s="4">
        <v>2</v>
      </c>
      <c r="BE634" s="4"/>
      <c r="BF634" s="5">
        <v>40746</v>
      </c>
      <c r="BG634" s="4"/>
      <c r="BH634" s="4"/>
      <c r="BI634" s="5">
        <v>40792</v>
      </c>
      <c r="BJ634" s="5">
        <v>40792</v>
      </c>
      <c r="BK634" s="4">
        <v>1</v>
      </c>
      <c r="BL634" s="4"/>
      <c r="BM634" s="5">
        <v>40792</v>
      </c>
      <c r="BN634" s="5">
        <v>40792</v>
      </c>
      <c r="BO634" s="5">
        <v>40816</v>
      </c>
      <c r="BP634" s="4"/>
      <c r="BQ634" s="4"/>
      <c r="BR634" s="5">
        <v>40784</v>
      </c>
      <c r="BS634" s="4"/>
      <c r="BT634" s="5">
        <v>40851</v>
      </c>
      <c r="BU634" s="5">
        <v>40808</v>
      </c>
      <c r="BV634" s="5">
        <v>40844</v>
      </c>
      <c r="BW634" s="5">
        <v>40852</v>
      </c>
      <c r="BX634" s="5">
        <v>40827</v>
      </c>
      <c r="BY634" s="5">
        <v>40842</v>
      </c>
      <c r="BZ634" s="5">
        <v>40842</v>
      </c>
      <c r="CA634" s="4"/>
      <c r="CB634" s="4"/>
      <c r="CC634" s="4"/>
      <c r="CD634" s="4"/>
      <c r="CE634" s="4"/>
      <c r="CF634" s="4"/>
      <c r="CG634" s="4"/>
      <c r="CH634" s="4"/>
      <c r="CI634" s="5">
        <v>40843</v>
      </c>
      <c r="CJ634" s="5">
        <v>40877</v>
      </c>
      <c r="CK634" s="5">
        <v>40877</v>
      </c>
      <c r="CL634" s="5">
        <v>40870</v>
      </c>
      <c r="CM634" s="5">
        <v>40872</v>
      </c>
      <c r="CN634" s="5">
        <v>40962</v>
      </c>
      <c r="CO634" s="5">
        <v>41121</v>
      </c>
      <c r="CP634" s="4" t="s">
        <v>3734</v>
      </c>
      <c r="CQ634" s="4"/>
      <c r="CR634" s="5">
        <v>40844</v>
      </c>
      <c r="CS634" s="5">
        <v>40737</v>
      </c>
      <c r="CT634" s="5">
        <v>40737</v>
      </c>
      <c r="CU634" s="5">
        <v>40811</v>
      </c>
      <c r="CV634" s="5">
        <v>40823</v>
      </c>
      <c r="CW634" s="5">
        <v>40820</v>
      </c>
      <c r="CX634" s="5">
        <v>40816</v>
      </c>
      <c r="CY634" s="5">
        <v>40842</v>
      </c>
      <c r="CZ634" s="5">
        <v>40843</v>
      </c>
      <c r="DA634" s="4"/>
      <c r="DB634" s="5">
        <v>40848</v>
      </c>
      <c r="DC634" s="4"/>
      <c r="DD634" s="4"/>
      <c r="DE634" s="4"/>
      <c r="DF634" s="4"/>
      <c r="DG634" s="4"/>
      <c r="DH634" s="4"/>
      <c r="DI634" s="5">
        <v>40827</v>
      </c>
      <c r="DJ634" s="4" t="b">
        <v>1</v>
      </c>
      <c r="DK634" s="4"/>
      <c r="DL634" s="4">
        <v>2310675</v>
      </c>
      <c r="DM634" s="4">
        <v>5474451</v>
      </c>
      <c r="DN634" s="4" t="s">
        <v>3735</v>
      </c>
      <c r="DO634" s="4"/>
      <c r="DP634" s="4"/>
      <c r="DQ634" s="4" t="s">
        <v>148</v>
      </c>
      <c r="DR634" s="4"/>
      <c r="DS634" s="4"/>
      <c r="DT634" s="4"/>
      <c r="DU634" s="4"/>
      <c r="DV634" s="4"/>
      <c r="DW634" s="4"/>
      <c r="DX634" s="4"/>
      <c r="DY634" s="4"/>
      <c r="DZ634" s="4"/>
      <c r="EA634" s="4"/>
      <c r="EB634" s="4"/>
      <c r="EC634" s="4"/>
      <c r="ED634" s="4"/>
      <c r="EE634" s="4"/>
      <c r="EF634" s="4"/>
      <c r="EG634" s="5">
        <v>40862</v>
      </c>
      <c r="EH634" s="5">
        <v>40861</v>
      </c>
      <c r="EI634" s="5">
        <v>40682</v>
      </c>
    </row>
    <row r="635" spans="1:139" hidden="1" x14ac:dyDescent="0.2">
      <c r="A635" t="str">
        <f>VLOOKUP(B635,Sheet1!$A$1:$B$18,2,FALSE)</f>
        <v>South Island</v>
      </c>
      <c r="B635" t="str">
        <f>LEFT(D635,3)</f>
        <v>OTG</v>
      </c>
      <c r="C635" s="2">
        <v>1226</v>
      </c>
      <c r="D635" s="3" t="str">
        <f>HYPERLINK("https://sitebase.nzcomms.co.nz/spm/spmnominalview/OTG-071-004/","OTG-071-004")</f>
        <v>OTG-071-004</v>
      </c>
      <c r="E635" s="4" t="s">
        <v>3738</v>
      </c>
      <c r="F635" s="3" t="str">
        <f>HYPERLINK("https://sitebase.nzcomms.co.nz/spm/spmcandidateview/OTG-071-004-D/","OTG-071-004-D")</f>
        <v>OTG-071-004-D</v>
      </c>
      <c r="G635" s="4" t="s">
        <v>3739</v>
      </c>
      <c r="H635" s="4" t="s">
        <v>3727</v>
      </c>
      <c r="I635" s="4">
        <v>4</v>
      </c>
      <c r="J635" s="4" t="s">
        <v>1633</v>
      </c>
      <c r="K635" s="4" t="s">
        <v>141</v>
      </c>
      <c r="L635" s="4" t="s">
        <v>150</v>
      </c>
      <c r="M635" s="4" t="s">
        <v>190</v>
      </c>
      <c r="N635" s="4" t="s">
        <v>291</v>
      </c>
      <c r="O635" s="4" t="s">
        <v>144</v>
      </c>
      <c r="P635" s="4" t="s">
        <v>182</v>
      </c>
      <c r="Q635" s="4" t="s">
        <v>192</v>
      </c>
      <c r="R635" s="4">
        <v>12</v>
      </c>
      <c r="S635" s="4">
        <v>12.5</v>
      </c>
      <c r="T635" s="4">
        <v>1</v>
      </c>
      <c r="U635" s="4">
        <v>-45.874532770000002</v>
      </c>
      <c r="V635" s="4">
        <v>170.34874146999999</v>
      </c>
      <c r="W635" s="5">
        <v>40325</v>
      </c>
      <c r="X635" s="4"/>
      <c r="Y635" s="5">
        <v>40296</v>
      </c>
      <c r="Z635" s="5">
        <v>40296</v>
      </c>
      <c r="AA635" s="4" t="s">
        <v>171</v>
      </c>
      <c r="AB635" s="3" t="str">
        <f>HYPERLINK("https://sitebase.nzcomms.co.nz/spm/spmcandidateview/OTG-071-005-A/","OTG-071-005-A")</f>
        <v>OTG-071-005-A</v>
      </c>
      <c r="AC635" s="4" t="b">
        <v>0</v>
      </c>
      <c r="AD635" s="4" t="b">
        <v>0</v>
      </c>
      <c r="AE635" s="5">
        <v>40164</v>
      </c>
      <c r="AF635" s="5">
        <v>40164</v>
      </c>
      <c r="AG635" s="4" t="b">
        <v>0</v>
      </c>
      <c r="AH635" s="4" t="s">
        <v>2921</v>
      </c>
      <c r="AI635" s="5">
        <v>40611</v>
      </c>
      <c r="AJ635" s="5">
        <v>40611</v>
      </c>
      <c r="AK635" s="5">
        <v>40652</v>
      </c>
      <c r="AL635" s="5">
        <v>40647</v>
      </c>
      <c r="AM635" s="5">
        <v>40674</v>
      </c>
      <c r="AN635" s="5">
        <v>40667</v>
      </c>
      <c r="AO635" s="4">
        <v>1</v>
      </c>
      <c r="AP635" s="5">
        <v>40674</v>
      </c>
      <c r="AQ635" s="5">
        <v>40667</v>
      </c>
      <c r="AR635" s="4"/>
      <c r="AS635" s="5">
        <v>40668</v>
      </c>
      <c r="AT635" s="5">
        <v>40690</v>
      </c>
      <c r="AU635" s="5">
        <v>40690</v>
      </c>
      <c r="AV635" s="4">
        <v>1</v>
      </c>
      <c r="AW635" s="4"/>
      <c r="AX635" s="5">
        <v>40690</v>
      </c>
      <c r="AY635" s="4" t="s">
        <v>172</v>
      </c>
      <c r="AZ635" s="5">
        <v>40674</v>
      </c>
      <c r="BA635" s="5">
        <v>40669</v>
      </c>
      <c r="BB635" s="5">
        <v>40709</v>
      </c>
      <c r="BC635" s="5">
        <v>40683</v>
      </c>
      <c r="BD635" s="4">
        <v>1</v>
      </c>
      <c r="BE635" s="4"/>
      <c r="BF635" s="5">
        <v>40683</v>
      </c>
      <c r="BG635" s="4"/>
      <c r="BH635" s="5">
        <v>40746</v>
      </c>
      <c r="BI635" s="5">
        <v>40812</v>
      </c>
      <c r="BJ635" s="5">
        <v>40813</v>
      </c>
      <c r="BK635" s="4">
        <v>1</v>
      </c>
      <c r="BL635" s="4"/>
      <c r="BM635" s="5">
        <v>40812</v>
      </c>
      <c r="BN635" s="5">
        <v>40813</v>
      </c>
      <c r="BO635" s="5">
        <v>40823</v>
      </c>
      <c r="BP635" s="4"/>
      <c r="BQ635" s="4"/>
      <c r="BR635" s="5">
        <v>40794</v>
      </c>
      <c r="BS635" s="4"/>
      <c r="BT635" s="5">
        <v>40819</v>
      </c>
      <c r="BU635" s="5">
        <v>40819</v>
      </c>
      <c r="BV635" s="5">
        <v>40857</v>
      </c>
      <c r="BW635" s="5">
        <v>40863</v>
      </c>
      <c r="BX635" s="5">
        <v>40847</v>
      </c>
      <c r="BY635" s="5">
        <v>40869</v>
      </c>
      <c r="BZ635" s="5">
        <v>40866</v>
      </c>
      <c r="CA635" s="4"/>
      <c r="CB635" s="4"/>
      <c r="CC635" s="4"/>
      <c r="CD635" s="4"/>
      <c r="CE635" s="4"/>
      <c r="CF635" s="4"/>
      <c r="CG635" s="4"/>
      <c r="CH635" s="4"/>
      <c r="CI635" s="5">
        <v>40870</v>
      </c>
      <c r="CJ635" s="5">
        <v>40877</v>
      </c>
      <c r="CK635" s="5">
        <v>40877</v>
      </c>
      <c r="CL635" s="5">
        <v>40904</v>
      </c>
      <c r="CM635" s="5">
        <v>40890</v>
      </c>
      <c r="CN635" s="5">
        <v>40980</v>
      </c>
      <c r="CO635" s="5">
        <v>41088</v>
      </c>
      <c r="CP635" s="4" t="s">
        <v>3740</v>
      </c>
      <c r="CQ635" s="4"/>
      <c r="CR635" s="5">
        <v>40871</v>
      </c>
      <c r="CS635" s="5">
        <v>40737</v>
      </c>
      <c r="CT635" s="5">
        <v>40737</v>
      </c>
      <c r="CU635" s="5">
        <v>40820</v>
      </c>
      <c r="CV635" s="5">
        <v>40820</v>
      </c>
      <c r="CW635" s="5">
        <v>40823</v>
      </c>
      <c r="CX635" s="5">
        <v>40823</v>
      </c>
      <c r="CY635" s="5">
        <v>40849</v>
      </c>
      <c r="CZ635" s="5">
        <v>40849</v>
      </c>
      <c r="DA635" s="4"/>
      <c r="DB635" s="5">
        <v>40872</v>
      </c>
      <c r="DC635" s="4"/>
      <c r="DD635" s="4"/>
      <c r="DE635" s="4"/>
      <c r="DF635" s="4"/>
      <c r="DG635" s="4"/>
      <c r="DH635" s="4"/>
      <c r="DI635" s="5">
        <v>40845</v>
      </c>
      <c r="DJ635" s="4" t="b">
        <v>1</v>
      </c>
      <c r="DK635" s="4"/>
      <c r="DL635" s="4">
        <v>2304036</v>
      </c>
      <c r="DM635" s="4">
        <v>5478141</v>
      </c>
      <c r="DN635" s="4" t="s">
        <v>3741</v>
      </c>
      <c r="DO635" s="4"/>
      <c r="DP635" s="4" t="s">
        <v>3742</v>
      </c>
      <c r="DQ635" s="4" t="s">
        <v>148</v>
      </c>
      <c r="DR635" s="4"/>
      <c r="DS635" s="4"/>
      <c r="DT635" s="4"/>
      <c r="DU635" s="4"/>
      <c r="DV635" s="4"/>
      <c r="DW635" s="4"/>
      <c r="DX635" s="4"/>
      <c r="DY635" s="4"/>
      <c r="DZ635" s="4"/>
      <c r="EA635" s="4"/>
      <c r="EB635" s="4"/>
      <c r="EC635" s="4"/>
      <c r="ED635" s="4"/>
      <c r="EE635" s="4"/>
      <c r="EF635" s="4"/>
      <c r="EG635" s="5">
        <v>40882</v>
      </c>
      <c r="EH635" s="5">
        <v>40877</v>
      </c>
      <c r="EI635" s="4"/>
    </row>
    <row r="636" spans="1:139" hidden="1" x14ac:dyDescent="0.2">
      <c r="A636" t="str">
        <f>VLOOKUP(B636,Sheet1!$A$1:$B$18,2,FALSE)</f>
        <v>South Island</v>
      </c>
      <c r="B636" t="str">
        <f>LEFT(D636,3)</f>
        <v>OTG</v>
      </c>
      <c r="C636" s="2">
        <v>1230</v>
      </c>
      <c r="D636" s="3" t="str">
        <f>HYPERLINK("https://sitebase.nzcomms.co.nz/spm/spmnominalview/OTG-071-008/","OTG-071-008")</f>
        <v>OTG-071-008</v>
      </c>
      <c r="E636" s="4" t="s">
        <v>3758</v>
      </c>
      <c r="F636" s="3" t="str">
        <f>HYPERLINK("https://sitebase.nzcomms.co.nz/spm/spmcandidateview/OTG-071-008-A/","OTG-071-008-A")</f>
        <v>OTG-071-008-A</v>
      </c>
      <c r="G636" s="4" t="s">
        <v>3759</v>
      </c>
      <c r="H636" s="4" t="s">
        <v>3727</v>
      </c>
      <c r="I636" s="4">
        <v>4</v>
      </c>
      <c r="J636" s="4" t="s">
        <v>1633</v>
      </c>
      <c r="K636" s="4" t="s">
        <v>141</v>
      </c>
      <c r="L636" s="4" t="s">
        <v>142</v>
      </c>
      <c r="M636" s="4" t="s">
        <v>190</v>
      </c>
      <c r="N636" s="4" t="s">
        <v>142</v>
      </c>
      <c r="O636" s="4" t="s">
        <v>144</v>
      </c>
      <c r="P636" s="4" t="s">
        <v>182</v>
      </c>
      <c r="Q636" s="4" t="s">
        <v>142</v>
      </c>
      <c r="R636" s="4">
        <v>16</v>
      </c>
      <c r="S636" s="4">
        <v>17.399999999999999</v>
      </c>
      <c r="T636" s="4">
        <v>1</v>
      </c>
      <c r="U636" s="4">
        <v>-45.883448020000003</v>
      </c>
      <c r="V636" s="4">
        <v>170.59571743999999</v>
      </c>
      <c r="W636" s="5">
        <v>40325</v>
      </c>
      <c r="X636" s="4"/>
      <c r="Y636" s="5">
        <v>40296</v>
      </c>
      <c r="Z636" s="5">
        <v>40296</v>
      </c>
      <c r="AA636" s="4" t="s">
        <v>171</v>
      </c>
      <c r="AB636" s="3" t="str">
        <f>HYPERLINK("https://sitebase.nzcomms.co.nz/spm/spmcandidateview/OTG-071-010-A/","OTG-071-010-A")</f>
        <v>OTG-071-010-A</v>
      </c>
      <c r="AC636" s="4" t="b">
        <v>0</v>
      </c>
      <c r="AD636" s="4" t="b">
        <v>0</v>
      </c>
      <c r="AE636" s="5">
        <v>40164</v>
      </c>
      <c r="AF636" s="5">
        <v>40164</v>
      </c>
      <c r="AG636" s="4" t="b">
        <v>0</v>
      </c>
      <c r="AH636" s="4"/>
      <c r="AI636" s="5">
        <v>40634</v>
      </c>
      <c r="AJ636" s="5">
        <v>40634</v>
      </c>
      <c r="AK636" s="5">
        <v>40641</v>
      </c>
      <c r="AL636" s="5">
        <v>40640</v>
      </c>
      <c r="AM636" s="5">
        <v>40669</v>
      </c>
      <c r="AN636" s="5">
        <v>40669</v>
      </c>
      <c r="AO636" s="4">
        <v>1</v>
      </c>
      <c r="AP636" s="5">
        <v>40669</v>
      </c>
      <c r="AQ636" s="5">
        <v>40669</v>
      </c>
      <c r="AR636" s="4"/>
      <c r="AS636" s="5">
        <v>40695</v>
      </c>
      <c r="AT636" s="5">
        <v>40786</v>
      </c>
      <c r="AU636" s="5">
        <v>40785</v>
      </c>
      <c r="AV636" s="4">
        <v>1</v>
      </c>
      <c r="AW636" s="4"/>
      <c r="AX636" s="5">
        <v>40794</v>
      </c>
      <c r="AY636" s="4" t="s">
        <v>172</v>
      </c>
      <c r="AZ636" s="5">
        <v>40736</v>
      </c>
      <c r="BA636" s="5">
        <v>40736</v>
      </c>
      <c r="BB636" s="5">
        <v>40764</v>
      </c>
      <c r="BC636" s="5">
        <v>40746</v>
      </c>
      <c r="BD636" s="4">
        <v>1</v>
      </c>
      <c r="BE636" s="4"/>
      <c r="BF636" s="5">
        <v>40746</v>
      </c>
      <c r="BG636" s="4"/>
      <c r="BH636" s="5">
        <v>40746</v>
      </c>
      <c r="BI636" s="5">
        <v>40798</v>
      </c>
      <c r="BJ636" s="5">
        <v>40800</v>
      </c>
      <c r="BK636" s="4">
        <v>2</v>
      </c>
      <c r="BL636" s="4"/>
      <c r="BM636" s="5">
        <v>40798</v>
      </c>
      <c r="BN636" s="5">
        <v>40830</v>
      </c>
      <c r="BO636" s="5">
        <v>40836</v>
      </c>
      <c r="BP636" s="4"/>
      <c r="BQ636" s="4"/>
      <c r="BR636" s="5">
        <v>40808</v>
      </c>
      <c r="BS636" s="4"/>
      <c r="BT636" s="5">
        <v>40848</v>
      </c>
      <c r="BU636" s="5">
        <v>40849</v>
      </c>
      <c r="BV636" s="5">
        <v>40873</v>
      </c>
      <c r="BW636" s="5">
        <v>40879</v>
      </c>
      <c r="BX636" s="5">
        <v>40868</v>
      </c>
      <c r="BY636" s="5">
        <v>40872</v>
      </c>
      <c r="BZ636" s="5">
        <v>40872</v>
      </c>
      <c r="CA636" s="4"/>
      <c r="CB636" s="4"/>
      <c r="CC636" s="4"/>
      <c r="CD636" s="4"/>
      <c r="CE636" s="4"/>
      <c r="CF636" s="4"/>
      <c r="CG636" s="4"/>
      <c r="CH636" s="4"/>
      <c r="CI636" s="5">
        <v>40873</v>
      </c>
      <c r="CJ636" s="5">
        <v>40877</v>
      </c>
      <c r="CK636" s="5">
        <v>40877</v>
      </c>
      <c r="CL636" s="5">
        <v>40893</v>
      </c>
      <c r="CM636" s="5">
        <v>40897</v>
      </c>
      <c r="CN636" s="5">
        <v>40987</v>
      </c>
      <c r="CO636" s="5">
        <v>41089</v>
      </c>
      <c r="CP636" s="4" t="s">
        <v>3760</v>
      </c>
      <c r="CQ636" s="4" t="s">
        <v>230</v>
      </c>
      <c r="CR636" s="5">
        <v>40873</v>
      </c>
      <c r="CS636" s="5">
        <v>40738</v>
      </c>
      <c r="CT636" s="5">
        <v>40738</v>
      </c>
      <c r="CU636" s="5">
        <v>40820</v>
      </c>
      <c r="CV636" s="5">
        <v>40820</v>
      </c>
      <c r="CW636" s="5">
        <v>40829</v>
      </c>
      <c r="CX636" s="5">
        <v>40836</v>
      </c>
      <c r="CY636" s="5">
        <v>40870</v>
      </c>
      <c r="CZ636" s="5">
        <v>40870</v>
      </c>
      <c r="DA636" s="4"/>
      <c r="DB636" s="5">
        <v>40877</v>
      </c>
      <c r="DC636" s="4"/>
      <c r="DD636" s="4"/>
      <c r="DE636" s="4"/>
      <c r="DF636" s="4"/>
      <c r="DG636" s="4"/>
      <c r="DH636" s="4"/>
      <c r="DI636" s="5">
        <v>40868</v>
      </c>
      <c r="DJ636" s="4" t="b">
        <v>1</v>
      </c>
      <c r="DK636" s="4"/>
      <c r="DL636" s="4">
        <v>2323232</v>
      </c>
      <c r="DM636" s="4">
        <v>5477729</v>
      </c>
      <c r="DN636" s="4" t="s">
        <v>3761</v>
      </c>
      <c r="DO636" s="4"/>
      <c r="DP636" s="4" t="s">
        <v>3762</v>
      </c>
      <c r="DQ636" s="4" t="s">
        <v>148</v>
      </c>
      <c r="DR636" s="4"/>
      <c r="DS636" s="4"/>
      <c r="DT636" s="4"/>
      <c r="DU636" s="4"/>
      <c r="DV636" s="4"/>
      <c r="DW636" s="4"/>
      <c r="DX636" s="4"/>
      <c r="DY636" s="4"/>
      <c r="DZ636" s="4"/>
      <c r="EA636" s="4"/>
      <c r="EB636" s="4"/>
      <c r="EC636" s="4"/>
      <c r="ED636" s="4"/>
      <c r="EE636" s="4"/>
      <c r="EF636" s="4"/>
      <c r="EG636" s="5">
        <v>40883</v>
      </c>
      <c r="EH636" s="5">
        <v>40883</v>
      </c>
      <c r="EI636" s="4"/>
    </row>
    <row r="637" spans="1:139" hidden="1" x14ac:dyDescent="0.2">
      <c r="A637" t="str">
        <f>VLOOKUP(B637,Sheet1!$A$1:$B$18,2,FALSE)</f>
        <v>South Island</v>
      </c>
      <c r="B637" t="str">
        <f>LEFT(D637,3)</f>
        <v>OTG</v>
      </c>
      <c r="C637" s="2">
        <v>1231</v>
      </c>
      <c r="D637" s="3" t="str">
        <f>HYPERLINK("https://sitebase.nzcomms.co.nz/spm/spmnominalview/OTG-071-009/","OTG-071-009")</f>
        <v>OTG-071-009</v>
      </c>
      <c r="E637" s="4" t="s">
        <v>3763</v>
      </c>
      <c r="F637" s="3" t="str">
        <f>HYPERLINK("https://sitebase.nzcomms.co.nz/spm/spmcandidateview/OTG-071-009-C/","OTG-071-009-C")</f>
        <v>OTG-071-009-C</v>
      </c>
      <c r="G637" s="4" t="s">
        <v>1719</v>
      </c>
      <c r="H637" s="4" t="s">
        <v>3727</v>
      </c>
      <c r="I637" s="4">
        <v>4</v>
      </c>
      <c r="J637" s="4" t="s">
        <v>1633</v>
      </c>
      <c r="K637" s="4" t="s">
        <v>141</v>
      </c>
      <c r="L637" s="4" t="s">
        <v>181</v>
      </c>
      <c r="M637" s="4" t="s">
        <v>190</v>
      </c>
      <c r="N637" s="4" t="s">
        <v>181</v>
      </c>
      <c r="O637" s="4"/>
      <c r="P637" s="4" t="s">
        <v>182</v>
      </c>
      <c r="Q637" s="4" t="s">
        <v>192</v>
      </c>
      <c r="R637" s="4">
        <v>35</v>
      </c>
      <c r="S637" s="4">
        <v>38</v>
      </c>
      <c r="T637" s="4">
        <v>1</v>
      </c>
      <c r="U637" s="4">
        <v>-45.872712669999999</v>
      </c>
      <c r="V637" s="4">
        <v>170.50451297000001</v>
      </c>
      <c r="W637" s="5">
        <v>40325</v>
      </c>
      <c r="X637" s="4"/>
      <c r="Y637" s="5">
        <v>40296</v>
      </c>
      <c r="Z637" s="5">
        <v>40296</v>
      </c>
      <c r="AA637" s="4" t="s">
        <v>171</v>
      </c>
      <c r="AB637" s="3" t="str">
        <f>HYPERLINK("https://sitebase.nzcomms.co.nz/spm/spmcandidateview/OTG-071-043-G/","OTG-071-043-G")</f>
        <v>OTG-071-043-G</v>
      </c>
      <c r="AC637" s="4" t="b">
        <v>0</v>
      </c>
      <c r="AD637" s="4" t="b">
        <v>0</v>
      </c>
      <c r="AE637" s="5">
        <v>40164</v>
      </c>
      <c r="AF637" s="5">
        <v>40164</v>
      </c>
      <c r="AG637" s="4" t="b">
        <v>0</v>
      </c>
      <c r="AH637" s="4"/>
      <c r="AI637" s="5">
        <v>40612</v>
      </c>
      <c r="AJ637" s="5">
        <v>40613</v>
      </c>
      <c r="AK637" s="5">
        <v>40620</v>
      </c>
      <c r="AL637" s="5">
        <v>40620</v>
      </c>
      <c r="AM637" s="5">
        <v>40697</v>
      </c>
      <c r="AN637" s="5">
        <v>40695</v>
      </c>
      <c r="AO637" s="4">
        <v>1</v>
      </c>
      <c r="AP637" s="5">
        <v>40697</v>
      </c>
      <c r="AQ637" s="5">
        <v>40695</v>
      </c>
      <c r="AR637" s="5">
        <v>40728</v>
      </c>
      <c r="AS637" s="5">
        <v>40728</v>
      </c>
      <c r="AT637" s="5">
        <v>40826</v>
      </c>
      <c r="AU637" s="5">
        <v>40822</v>
      </c>
      <c r="AV637" s="4">
        <v>1</v>
      </c>
      <c r="AW637" s="4"/>
      <c r="AX637" s="5">
        <v>40830</v>
      </c>
      <c r="AY637" s="4" t="s">
        <v>183</v>
      </c>
      <c r="AZ637" s="5">
        <v>40718</v>
      </c>
      <c r="BA637" s="5">
        <v>40718</v>
      </c>
      <c r="BB637" s="5">
        <v>40756</v>
      </c>
      <c r="BC637" s="5">
        <v>40752</v>
      </c>
      <c r="BD637" s="4">
        <v>1</v>
      </c>
      <c r="BE637" s="4"/>
      <c r="BF637" s="5">
        <v>40752</v>
      </c>
      <c r="BG637" s="4"/>
      <c r="BH637" s="5">
        <v>40770</v>
      </c>
      <c r="BI637" s="5">
        <v>40806</v>
      </c>
      <c r="BJ637" s="5">
        <v>40837</v>
      </c>
      <c r="BK637" s="4">
        <v>1</v>
      </c>
      <c r="BL637" s="4"/>
      <c r="BM637" s="5">
        <v>40813</v>
      </c>
      <c r="BN637" s="5">
        <v>40837</v>
      </c>
      <c r="BO637" s="5">
        <v>40848</v>
      </c>
      <c r="BP637" s="4"/>
      <c r="BQ637" s="4"/>
      <c r="BR637" s="5">
        <v>-287862</v>
      </c>
      <c r="BS637" s="4"/>
      <c r="BT637" s="5">
        <v>40844</v>
      </c>
      <c r="BU637" s="5">
        <v>40843</v>
      </c>
      <c r="BV637" s="5">
        <v>40861</v>
      </c>
      <c r="BW637" s="5">
        <v>40863</v>
      </c>
      <c r="BX637" s="5">
        <v>40852</v>
      </c>
      <c r="BY637" s="5">
        <v>40870</v>
      </c>
      <c r="BZ637" s="5">
        <v>40870</v>
      </c>
      <c r="CA637" s="4"/>
      <c r="CB637" s="4"/>
      <c r="CC637" s="4"/>
      <c r="CD637" s="4"/>
      <c r="CE637" s="4"/>
      <c r="CF637" s="4"/>
      <c r="CG637" s="4"/>
      <c r="CH637" s="4"/>
      <c r="CI637" s="5">
        <v>40874</v>
      </c>
      <c r="CJ637" s="5">
        <v>40877</v>
      </c>
      <c r="CK637" s="5">
        <v>40877</v>
      </c>
      <c r="CL637" s="5">
        <v>40929</v>
      </c>
      <c r="CM637" s="5">
        <v>40897</v>
      </c>
      <c r="CN637" s="5">
        <v>40987</v>
      </c>
      <c r="CO637" s="5">
        <v>41372</v>
      </c>
      <c r="CP637" s="4" t="s">
        <v>3764</v>
      </c>
      <c r="CQ637" s="4"/>
      <c r="CR637" s="5">
        <v>40873</v>
      </c>
      <c r="CS637" s="5">
        <v>40805</v>
      </c>
      <c r="CT637" s="5">
        <v>40805</v>
      </c>
      <c r="CU637" s="5">
        <v>40854</v>
      </c>
      <c r="CV637" s="5">
        <v>40848</v>
      </c>
      <c r="CW637" s="5">
        <v>40826</v>
      </c>
      <c r="CX637" s="5">
        <v>40848</v>
      </c>
      <c r="CY637" s="5">
        <v>40869</v>
      </c>
      <c r="CZ637" s="5">
        <v>40869</v>
      </c>
      <c r="DA637" s="4"/>
      <c r="DB637" s="5">
        <v>40884</v>
      </c>
      <c r="DC637" s="4"/>
      <c r="DD637" s="4"/>
      <c r="DE637" s="4"/>
      <c r="DF637" s="4"/>
      <c r="DG637" s="4"/>
      <c r="DH637" s="4"/>
      <c r="DI637" s="5">
        <v>40852</v>
      </c>
      <c r="DJ637" s="4" t="b">
        <v>1</v>
      </c>
      <c r="DK637" s="4"/>
      <c r="DL637" s="4">
        <v>2316119</v>
      </c>
      <c r="DM637" s="4">
        <v>5478715</v>
      </c>
      <c r="DN637" s="4" t="s">
        <v>3765</v>
      </c>
      <c r="DO637" s="4"/>
      <c r="DP637" s="4" t="s">
        <v>3766</v>
      </c>
      <c r="DQ637" s="4" t="s">
        <v>148</v>
      </c>
      <c r="DR637" s="4"/>
      <c r="DS637" s="4"/>
      <c r="DT637" s="5">
        <v>42096</v>
      </c>
      <c r="DU637" s="4"/>
      <c r="DV637" s="4"/>
      <c r="DW637" s="4"/>
      <c r="DX637" s="4"/>
      <c r="DY637" s="4"/>
      <c r="DZ637" s="4"/>
      <c r="EA637" s="4"/>
      <c r="EB637" s="4"/>
      <c r="EC637" s="4"/>
      <c r="ED637" s="4"/>
      <c r="EE637" s="4"/>
      <c r="EF637" s="4"/>
      <c r="EG637" s="5">
        <v>40884</v>
      </c>
      <c r="EH637" s="5">
        <v>40885</v>
      </c>
      <c r="EI637" s="5">
        <v>40620</v>
      </c>
    </row>
    <row r="638" spans="1:139" hidden="1" x14ac:dyDescent="0.2">
      <c r="A638" t="str">
        <f>VLOOKUP(B638,Sheet1!$A$1:$B$18,2,FALSE)</f>
        <v>South Island</v>
      </c>
      <c r="B638" t="str">
        <f>LEFT(D638,3)</f>
        <v>OTG</v>
      </c>
      <c r="C638" s="2">
        <v>1232</v>
      </c>
      <c r="D638" s="3" t="str">
        <f>HYPERLINK("https://sitebase.nzcomms.co.nz/spm/spmnominalview/OTG-071-010/","OTG-071-010")</f>
        <v>OTG-071-010</v>
      </c>
      <c r="E638" s="4" t="s">
        <v>3767</v>
      </c>
      <c r="F638" s="3" t="str">
        <f>HYPERLINK("https://sitebase.nzcomms.co.nz/spm/spmcandidateview/OTG-071-010-A/","OTG-071-010-A")</f>
        <v>OTG-071-010-A</v>
      </c>
      <c r="G638" s="4" t="s">
        <v>3768</v>
      </c>
      <c r="H638" s="4" t="s">
        <v>3727</v>
      </c>
      <c r="I638" s="4">
        <v>4</v>
      </c>
      <c r="J638" s="4" t="s">
        <v>1633</v>
      </c>
      <c r="K638" s="4" t="s">
        <v>141</v>
      </c>
      <c r="L638" s="4" t="s">
        <v>181</v>
      </c>
      <c r="M638" s="4" t="s">
        <v>166</v>
      </c>
      <c r="N638" s="4" t="s">
        <v>181</v>
      </c>
      <c r="O638" s="4"/>
      <c r="P638" s="4" t="s">
        <v>169</v>
      </c>
      <c r="Q638" s="4" t="s">
        <v>142</v>
      </c>
      <c r="R638" s="4">
        <v>50</v>
      </c>
      <c r="S638" s="4">
        <v>50</v>
      </c>
      <c r="T638" s="4">
        <v>1</v>
      </c>
      <c r="U638" s="4">
        <v>-45.878256610000001</v>
      </c>
      <c r="V638" s="4">
        <v>170.50148035999999</v>
      </c>
      <c r="W638" s="5">
        <v>40325</v>
      </c>
      <c r="X638" s="4"/>
      <c r="Y638" s="5">
        <v>40296</v>
      </c>
      <c r="Z638" s="5">
        <v>40296</v>
      </c>
      <c r="AA638" s="4"/>
      <c r="AB638" s="4"/>
      <c r="AC638" s="4" t="b">
        <v>0</v>
      </c>
      <c r="AD638" s="4" t="b">
        <v>0</v>
      </c>
      <c r="AE638" s="5">
        <v>40164</v>
      </c>
      <c r="AF638" s="5">
        <v>40164</v>
      </c>
      <c r="AG638" s="4" t="b">
        <v>0</v>
      </c>
      <c r="AH638" s="4"/>
      <c r="AI638" s="5">
        <v>40612</v>
      </c>
      <c r="AJ638" s="5">
        <v>40613</v>
      </c>
      <c r="AK638" s="5">
        <v>40619</v>
      </c>
      <c r="AL638" s="5">
        <v>40620</v>
      </c>
      <c r="AM638" s="5">
        <v>40697</v>
      </c>
      <c r="AN638" s="5">
        <v>40695</v>
      </c>
      <c r="AO638" s="4">
        <v>2</v>
      </c>
      <c r="AP638" s="5">
        <v>40703</v>
      </c>
      <c r="AQ638" s="5">
        <v>40704</v>
      </c>
      <c r="AR638" s="4"/>
      <c r="AS638" s="5">
        <v>40702</v>
      </c>
      <c r="AT638" s="5">
        <v>40785</v>
      </c>
      <c r="AU638" s="5">
        <v>40786</v>
      </c>
      <c r="AV638" s="4">
        <v>2</v>
      </c>
      <c r="AW638" s="5">
        <v>40925</v>
      </c>
      <c r="AX638" s="5">
        <v>40952</v>
      </c>
      <c r="AY638" s="4" t="s">
        <v>183</v>
      </c>
      <c r="AZ638" s="5">
        <v>40711</v>
      </c>
      <c r="BA638" s="5">
        <v>40711</v>
      </c>
      <c r="BB638" s="5">
        <v>40748</v>
      </c>
      <c r="BC638" s="5">
        <v>40746</v>
      </c>
      <c r="BD638" s="4">
        <v>2</v>
      </c>
      <c r="BE638" s="4"/>
      <c r="BF638" s="5">
        <v>40746</v>
      </c>
      <c r="BG638" s="4"/>
      <c r="BH638" s="5">
        <v>40746</v>
      </c>
      <c r="BI638" s="5">
        <v>40830</v>
      </c>
      <c r="BJ638" s="5">
        <v>40812</v>
      </c>
      <c r="BK638" s="4">
        <v>1</v>
      </c>
      <c r="BL638" s="4"/>
      <c r="BM638" s="5">
        <v>40813</v>
      </c>
      <c r="BN638" s="5">
        <v>40812</v>
      </c>
      <c r="BO638" s="5">
        <v>40795</v>
      </c>
      <c r="BP638" s="4"/>
      <c r="BQ638" s="4"/>
      <c r="BR638" s="5">
        <v>-287862</v>
      </c>
      <c r="BS638" s="4"/>
      <c r="BT638" s="5">
        <v>40782</v>
      </c>
      <c r="BU638" s="5">
        <v>40794</v>
      </c>
      <c r="BV638" s="5">
        <v>40831</v>
      </c>
      <c r="BW638" s="5">
        <v>40834</v>
      </c>
      <c r="BX638" s="5">
        <v>40834</v>
      </c>
      <c r="BY638" s="5">
        <v>40843</v>
      </c>
      <c r="BZ638" s="5">
        <v>40844</v>
      </c>
      <c r="CA638" s="4"/>
      <c r="CB638" s="4"/>
      <c r="CC638" s="4"/>
      <c r="CD638" s="4"/>
      <c r="CE638" s="4"/>
      <c r="CF638" s="4"/>
      <c r="CG638" s="4"/>
      <c r="CH638" s="4"/>
      <c r="CI638" s="5">
        <v>40852</v>
      </c>
      <c r="CJ638" s="5">
        <v>40877</v>
      </c>
      <c r="CK638" s="5">
        <v>40877</v>
      </c>
      <c r="CL638" s="5">
        <v>40877</v>
      </c>
      <c r="CM638" s="5">
        <v>40872</v>
      </c>
      <c r="CN638" s="5">
        <v>41387</v>
      </c>
      <c r="CO638" s="5">
        <v>41386</v>
      </c>
      <c r="CP638" s="4" t="s">
        <v>3769</v>
      </c>
      <c r="CQ638" s="4" t="s">
        <v>3770</v>
      </c>
      <c r="CR638" s="5">
        <v>40850</v>
      </c>
      <c r="CS638" s="5">
        <v>40738</v>
      </c>
      <c r="CT638" s="5">
        <v>40738</v>
      </c>
      <c r="CU638" s="5">
        <v>40820</v>
      </c>
      <c r="CV638" s="5">
        <v>40834</v>
      </c>
      <c r="CW638" s="5">
        <v>40795</v>
      </c>
      <c r="CX638" s="5">
        <v>40795</v>
      </c>
      <c r="CY638" s="5">
        <v>40843</v>
      </c>
      <c r="CZ638" s="5">
        <v>40843</v>
      </c>
      <c r="DA638" s="4"/>
      <c r="DB638" s="5">
        <v>40856</v>
      </c>
      <c r="DC638" s="4"/>
      <c r="DD638" s="4"/>
      <c r="DE638" s="4"/>
      <c r="DF638" s="4"/>
      <c r="DG638" s="4"/>
      <c r="DH638" s="4"/>
      <c r="DI638" s="5">
        <v>40833</v>
      </c>
      <c r="DJ638" s="4" t="b">
        <v>1</v>
      </c>
      <c r="DK638" s="4"/>
      <c r="DL638" s="4">
        <v>2315902</v>
      </c>
      <c r="DM638" s="4">
        <v>5478092</v>
      </c>
      <c r="DN638" s="4" t="s">
        <v>3771</v>
      </c>
      <c r="DO638" s="4"/>
      <c r="DP638" s="4" t="s">
        <v>3772</v>
      </c>
      <c r="DQ638" s="4" t="s">
        <v>148</v>
      </c>
      <c r="DR638" s="4"/>
      <c r="DS638" s="4"/>
      <c r="DT638" s="5">
        <v>42096</v>
      </c>
      <c r="DU638" s="4"/>
      <c r="DV638" s="4"/>
      <c r="DW638" s="4"/>
      <c r="DX638" s="4"/>
      <c r="DY638" s="4"/>
      <c r="DZ638" s="4"/>
      <c r="EA638" s="4"/>
      <c r="EB638" s="4"/>
      <c r="EC638" s="4"/>
      <c r="ED638" s="4"/>
      <c r="EE638" s="4"/>
      <c r="EF638" s="4"/>
      <c r="EG638" s="5">
        <v>40864</v>
      </c>
      <c r="EH638" s="5">
        <v>40863</v>
      </c>
      <c r="EI638" s="5">
        <v>40620</v>
      </c>
    </row>
    <row r="639" spans="1:139" hidden="1" x14ac:dyDescent="0.2">
      <c r="A639" t="str">
        <f>VLOOKUP(B639,Sheet1!$A$1:$B$18,2,FALSE)</f>
        <v>South Island</v>
      </c>
      <c r="B639" t="str">
        <f>LEFT(D639,3)</f>
        <v>OTG</v>
      </c>
      <c r="C639" s="2">
        <v>1236</v>
      </c>
      <c r="D639" s="3" t="str">
        <f>HYPERLINK("https://sitebase.nzcomms.co.nz/spm/spmnominalview/OTG-071-014/","OTG-071-014")</f>
        <v>OTG-071-014</v>
      </c>
      <c r="E639" s="4" t="s">
        <v>3782</v>
      </c>
      <c r="F639" s="3" t="str">
        <f>HYPERLINK("https://sitebase.nzcomms.co.nz/spm/spmcandidateview/OTG-071-014-B/","OTG-071-014-B")</f>
        <v>OTG-071-014-B</v>
      </c>
      <c r="G639" s="4" t="s">
        <v>3783</v>
      </c>
      <c r="H639" s="4" t="s">
        <v>3727</v>
      </c>
      <c r="I639" s="4">
        <v>4</v>
      </c>
      <c r="J639" s="4" t="s">
        <v>1633</v>
      </c>
      <c r="K639" s="4" t="s">
        <v>141</v>
      </c>
      <c r="L639" s="4" t="s">
        <v>150</v>
      </c>
      <c r="M639" s="4" t="s">
        <v>190</v>
      </c>
      <c r="N639" s="4" t="s">
        <v>291</v>
      </c>
      <c r="O639" s="4"/>
      <c r="P639" s="4" t="s">
        <v>182</v>
      </c>
      <c r="Q639" s="4" t="s">
        <v>170</v>
      </c>
      <c r="R639" s="4">
        <v>16</v>
      </c>
      <c r="S639" s="4">
        <v>16</v>
      </c>
      <c r="T639" s="4">
        <v>1</v>
      </c>
      <c r="U639" s="4">
        <v>-45.812488539999997</v>
      </c>
      <c r="V639" s="4">
        <v>170.61664408999999</v>
      </c>
      <c r="W639" s="5">
        <v>40325</v>
      </c>
      <c r="X639" s="4"/>
      <c r="Y639" s="5">
        <v>40296</v>
      </c>
      <c r="Z639" s="5">
        <v>40296</v>
      </c>
      <c r="AA639" s="4" t="s">
        <v>171</v>
      </c>
      <c r="AB639" s="3" t="str">
        <f>HYPERLINK("https://sitebase.nzcomms.co.nz/spm/spmcandidateview/OTG-071-008-A/","OTG-071-008-A")</f>
        <v>OTG-071-008-A</v>
      </c>
      <c r="AC639" s="4" t="b">
        <v>0</v>
      </c>
      <c r="AD639" s="4" t="b">
        <v>0</v>
      </c>
      <c r="AE639" s="5">
        <v>40164</v>
      </c>
      <c r="AF639" s="5">
        <v>40164</v>
      </c>
      <c r="AG639" s="4" t="b">
        <v>0</v>
      </c>
      <c r="AH639" s="4"/>
      <c r="AI639" s="5">
        <v>40634</v>
      </c>
      <c r="AJ639" s="5">
        <v>40634</v>
      </c>
      <c r="AK639" s="5">
        <v>40654</v>
      </c>
      <c r="AL639" s="5">
        <v>40659</v>
      </c>
      <c r="AM639" s="5">
        <v>40683</v>
      </c>
      <c r="AN639" s="5">
        <v>40682</v>
      </c>
      <c r="AO639" s="4">
        <v>2</v>
      </c>
      <c r="AP639" s="5">
        <v>40683</v>
      </c>
      <c r="AQ639" s="5">
        <v>41540</v>
      </c>
      <c r="AR639" s="4"/>
      <c r="AS639" s="5">
        <v>40702</v>
      </c>
      <c r="AT639" s="5">
        <v>40735</v>
      </c>
      <c r="AU639" s="5">
        <v>40736</v>
      </c>
      <c r="AV639" s="4">
        <v>1</v>
      </c>
      <c r="AW639" s="4"/>
      <c r="AX639" s="5">
        <v>40736</v>
      </c>
      <c r="AY639" s="4" t="s">
        <v>183</v>
      </c>
      <c r="AZ639" s="5">
        <v>40697</v>
      </c>
      <c r="BA639" s="5">
        <v>40690</v>
      </c>
      <c r="BB639" s="5">
        <v>40732</v>
      </c>
      <c r="BC639" s="5">
        <v>40708</v>
      </c>
      <c r="BD639" s="4">
        <v>1</v>
      </c>
      <c r="BE639" s="4"/>
      <c r="BF639" s="5">
        <v>40708</v>
      </c>
      <c r="BG639" s="4"/>
      <c r="BH639" s="5">
        <v>40746</v>
      </c>
      <c r="BI639" s="5">
        <v>40830</v>
      </c>
      <c r="BJ639" s="5">
        <v>40822</v>
      </c>
      <c r="BK639" s="4">
        <v>1</v>
      </c>
      <c r="BL639" s="4"/>
      <c r="BM639" s="5">
        <v>40805</v>
      </c>
      <c r="BN639" s="5">
        <v>40822</v>
      </c>
      <c r="BO639" s="5">
        <v>40839</v>
      </c>
      <c r="BP639" s="4"/>
      <c r="BQ639" s="4"/>
      <c r="BR639" s="5">
        <v>40794</v>
      </c>
      <c r="BS639" s="4"/>
      <c r="BT639" s="5">
        <v>40819</v>
      </c>
      <c r="BU639" s="5">
        <v>40820</v>
      </c>
      <c r="BV639" s="5">
        <v>40858</v>
      </c>
      <c r="BW639" s="5">
        <v>40856</v>
      </c>
      <c r="BX639" s="5">
        <v>40839</v>
      </c>
      <c r="BY639" s="5">
        <v>40869</v>
      </c>
      <c r="BZ639" s="5">
        <v>40870</v>
      </c>
      <c r="CA639" s="4"/>
      <c r="CB639" s="4"/>
      <c r="CC639" s="4"/>
      <c r="CD639" s="4"/>
      <c r="CE639" s="4"/>
      <c r="CF639" s="4"/>
      <c r="CG639" s="4"/>
      <c r="CH639" s="4"/>
      <c r="CI639" s="5">
        <v>40871</v>
      </c>
      <c r="CJ639" s="5">
        <v>40877</v>
      </c>
      <c r="CK639" s="5">
        <v>40877</v>
      </c>
      <c r="CL639" s="5">
        <v>40893</v>
      </c>
      <c r="CM639" s="5">
        <v>40892</v>
      </c>
      <c r="CN639" s="5">
        <v>40982</v>
      </c>
      <c r="CO639" s="5">
        <v>41121</v>
      </c>
      <c r="CP639" s="4" t="s">
        <v>3760</v>
      </c>
      <c r="CQ639" s="4"/>
      <c r="CR639" s="5">
        <v>40871</v>
      </c>
      <c r="CS639" s="5">
        <v>40823</v>
      </c>
      <c r="CT639" s="5">
        <v>40823</v>
      </c>
      <c r="CU639" s="5">
        <v>40820</v>
      </c>
      <c r="CV639" s="5">
        <v>40820</v>
      </c>
      <c r="CW639" s="5">
        <v>40833</v>
      </c>
      <c r="CX639" s="5">
        <v>40839</v>
      </c>
      <c r="CY639" s="5">
        <v>40861</v>
      </c>
      <c r="CZ639" s="5">
        <v>40863</v>
      </c>
      <c r="DA639" s="4"/>
      <c r="DB639" s="5">
        <v>40877</v>
      </c>
      <c r="DC639" s="4"/>
      <c r="DD639" s="4"/>
      <c r="DE639" s="4"/>
      <c r="DF639" s="4"/>
      <c r="DG639" s="4"/>
      <c r="DH639" s="4"/>
      <c r="DI639" s="5">
        <v>40838</v>
      </c>
      <c r="DJ639" s="4" t="b">
        <v>1</v>
      </c>
      <c r="DK639" s="4"/>
      <c r="DL639" s="4">
        <v>2324632</v>
      </c>
      <c r="DM639" s="4">
        <v>5485660</v>
      </c>
      <c r="DN639" s="4" t="s">
        <v>3784</v>
      </c>
      <c r="DO639" s="4"/>
      <c r="DP639" s="4" t="s">
        <v>3785</v>
      </c>
      <c r="DQ639" s="4" t="s">
        <v>148</v>
      </c>
      <c r="DR639" s="4"/>
      <c r="DS639" s="4"/>
      <c r="DT639" s="4"/>
      <c r="DU639" s="4"/>
      <c r="DV639" s="4"/>
      <c r="DW639" s="4"/>
      <c r="DX639" s="4"/>
      <c r="DY639" s="4"/>
      <c r="DZ639" s="4"/>
      <c r="EA639" s="4"/>
      <c r="EB639" s="4"/>
      <c r="EC639" s="4"/>
      <c r="ED639" s="4"/>
      <c r="EE639" s="4"/>
      <c r="EF639" s="4"/>
      <c r="EG639" s="5">
        <v>40882</v>
      </c>
      <c r="EH639" s="5">
        <v>40879</v>
      </c>
      <c r="EI639" s="4"/>
    </row>
    <row r="640" spans="1:139" hidden="1" x14ac:dyDescent="0.2">
      <c r="A640" t="str">
        <f>VLOOKUP(B640,Sheet1!$A$1:$B$18,2,FALSE)</f>
        <v>South Island</v>
      </c>
      <c r="B640" t="str">
        <f>LEFT(D640,3)</f>
        <v>OTG</v>
      </c>
      <c r="C640" s="2">
        <v>1237</v>
      </c>
      <c r="D640" s="3" t="str">
        <f>HYPERLINK("https://sitebase.nzcomms.co.nz/spm/spmnominalview/OTG-071-015/","OTG-071-015")</f>
        <v>OTG-071-015</v>
      </c>
      <c r="E640" s="4" t="s">
        <v>3786</v>
      </c>
      <c r="F640" s="3" t="str">
        <f>HYPERLINK("https://sitebase.nzcomms.co.nz/spm/spmcandidateview/OTG-071-015-A/","OTG-071-015-A")</f>
        <v>OTG-071-015-A</v>
      </c>
      <c r="G640" s="4" t="s">
        <v>2225</v>
      </c>
      <c r="H640" s="4" t="s">
        <v>3727</v>
      </c>
      <c r="I640" s="4">
        <v>4</v>
      </c>
      <c r="J640" s="4" t="s">
        <v>1633</v>
      </c>
      <c r="K640" s="4" t="s">
        <v>141</v>
      </c>
      <c r="L640" s="4" t="s">
        <v>142</v>
      </c>
      <c r="M640" s="4" t="s">
        <v>166</v>
      </c>
      <c r="N640" s="4" t="s">
        <v>142</v>
      </c>
      <c r="O640" s="4"/>
      <c r="P640" s="4" t="s">
        <v>182</v>
      </c>
      <c r="Q640" s="4" t="s">
        <v>142</v>
      </c>
      <c r="R640" s="4">
        <v>15</v>
      </c>
      <c r="S640" s="4">
        <v>70</v>
      </c>
      <c r="T640" s="4">
        <v>1</v>
      </c>
      <c r="U640" s="4">
        <v>-45.813240749999999</v>
      </c>
      <c r="V640" s="4">
        <v>170.55522191</v>
      </c>
      <c r="W640" s="5">
        <v>40325</v>
      </c>
      <c r="X640" s="4"/>
      <c r="Y640" s="5">
        <v>40296</v>
      </c>
      <c r="Z640" s="5">
        <v>40296</v>
      </c>
      <c r="AA640" s="4" t="s">
        <v>171</v>
      </c>
      <c r="AB640" s="3" t="str">
        <f>HYPERLINK("https://sitebase.nzcomms.co.nz/spm/spmcandidateview/OTG-071-043-G/","OTG-071-043-G")</f>
        <v>OTG-071-043-G</v>
      </c>
      <c r="AC640" s="4" t="b">
        <v>0</v>
      </c>
      <c r="AD640" s="4" t="b">
        <v>0</v>
      </c>
      <c r="AE640" s="5">
        <v>40164</v>
      </c>
      <c r="AF640" s="5">
        <v>40164</v>
      </c>
      <c r="AG640" s="4" t="b">
        <v>0</v>
      </c>
      <c r="AH640" s="4"/>
      <c r="AI640" s="5">
        <v>40634</v>
      </c>
      <c r="AJ640" s="5">
        <v>40634</v>
      </c>
      <c r="AK640" s="5">
        <v>40683</v>
      </c>
      <c r="AL640" s="5">
        <v>40682</v>
      </c>
      <c r="AM640" s="5">
        <v>40816</v>
      </c>
      <c r="AN640" s="5">
        <v>40814</v>
      </c>
      <c r="AO640" s="4">
        <v>1</v>
      </c>
      <c r="AP640" s="5">
        <v>40816</v>
      </c>
      <c r="AQ640" s="5">
        <v>40814</v>
      </c>
      <c r="AR640" s="5">
        <v>40739</v>
      </c>
      <c r="AS640" s="5">
        <v>40739</v>
      </c>
      <c r="AT640" s="5">
        <v>40842</v>
      </c>
      <c r="AU640" s="5">
        <v>40813</v>
      </c>
      <c r="AV640" s="4"/>
      <c r="AW640" s="4"/>
      <c r="AX640" s="5">
        <v>40949</v>
      </c>
      <c r="AY640" s="4" t="s">
        <v>1901</v>
      </c>
      <c r="AZ640" s="5">
        <v>40816</v>
      </c>
      <c r="BA640" s="5">
        <v>40839</v>
      </c>
      <c r="BB640" s="5">
        <v>40816</v>
      </c>
      <c r="BC640" s="5">
        <v>40809</v>
      </c>
      <c r="BD640" s="4">
        <v>1</v>
      </c>
      <c r="BE640" s="4"/>
      <c r="BF640" s="5">
        <v>40839</v>
      </c>
      <c r="BG640" s="4"/>
      <c r="BH640" s="4"/>
      <c r="BI640" s="5">
        <v>40836</v>
      </c>
      <c r="BJ640" s="5">
        <v>40897</v>
      </c>
      <c r="BK640" s="4">
        <v>1</v>
      </c>
      <c r="BL640" s="4"/>
      <c r="BM640" s="5">
        <v>40836</v>
      </c>
      <c r="BN640" s="5">
        <v>40897</v>
      </c>
      <c r="BO640" s="5">
        <v>40836</v>
      </c>
      <c r="BP640" s="4"/>
      <c r="BQ640" s="4"/>
      <c r="BR640" s="5">
        <v>-287862</v>
      </c>
      <c r="BS640" s="4"/>
      <c r="BT640" s="5">
        <v>40841</v>
      </c>
      <c r="BU640" s="5">
        <v>40836</v>
      </c>
      <c r="BV640" s="5">
        <v>40845</v>
      </c>
      <c r="BW640" s="5">
        <v>40856</v>
      </c>
      <c r="BX640" s="5">
        <v>40836</v>
      </c>
      <c r="BY640" s="5">
        <v>40855</v>
      </c>
      <c r="BZ640" s="5">
        <v>40856</v>
      </c>
      <c r="CA640" s="4"/>
      <c r="CB640" s="4"/>
      <c r="CC640" s="4"/>
      <c r="CD640" s="4"/>
      <c r="CE640" s="4"/>
      <c r="CF640" s="4"/>
      <c r="CG640" s="4"/>
      <c r="CH640" s="4"/>
      <c r="CI640" s="5">
        <v>40862</v>
      </c>
      <c r="CJ640" s="5">
        <v>40877</v>
      </c>
      <c r="CK640" s="5">
        <v>40877</v>
      </c>
      <c r="CL640" s="5">
        <v>40897</v>
      </c>
      <c r="CM640" s="5">
        <v>40897</v>
      </c>
      <c r="CN640" s="5">
        <v>40987</v>
      </c>
      <c r="CO640" s="5">
        <v>41121</v>
      </c>
      <c r="CP640" s="4" t="s">
        <v>3760</v>
      </c>
      <c r="CQ640" s="4" t="s">
        <v>1657</v>
      </c>
      <c r="CR640" s="5">
        <v>40862</v>
      </c>
      <c r="CS640" s="5">
        <v>40836</v>
      </c>
      <c r="CT640" s="5">
        <v>40836</v>
      </c>
      <c r="CU640" s="5">
        <v>40820</v>
      </c>
      <c r="CV640" s="5">
        <v>40836</v>
      </c>
      <c r="CW640" s="5">
        <v>40836</v>
      </c>
      <c r="CX640" s="5">
        <v>40836</v>
      </c>
      <c r="CY640" s="5">
        <v>40845</v>
      </c>
      <c r="CZ640" s="5">
        <v>40842</v>
      </c>
      <c r="DA640" s="4"/>
      <c r="DB640" s="5">
        <v>40869</v>
      </c>
      <c r="DC640" s="4"/>
      <c r="DD640" s="4"/>
      <c r="DE640" s="4"/>
      <c r="DF640" s="4"/>
      <c r="DG640" s="4"/>
      <c r="DH640" s="4"/>
      <c r="DI640" s="5">
        <v>40844</v>
      </c>
      <c r="DJ640" s="4" t="b">
        <v>1</v>
      </c>
      <c r="DK640" s="4"/>
      <c r="DL640" s="4">
        <v>2319862</v>
      </c>
      <c r="DM640" s="4">
        <v>5485439</v>
      </c>
      <c r="DN640" s="4" t="s">
        <v>3787</v>
      </c>
      <c r="DO640" s="4"/>
      <c r="DP640" s="4" t="s">
        <v>3788</v>
      </c>
      <c r="DQ640" s="4" t="s">
        <v>148</v>
      </c>
      <c r="DR640" s="4"/>
      <c r="DS640" s="4"/>
      <c r="DT640" s="4"/>
      <c r="DU640" s="4"/>
      <c r="DV640" s="4"/>
      <c r="DW640" s="4"/>
      <c r="DX640" s="4"/>
      <c r="DY640" s="4"/>
      <c r="DZ640" s="4"/>
      <c r="EA640" s="4"/>
      <c r="EB640" s="4"/>
      <c r="EC640" s="4"/>
      <c r="ED640" s="4"/>
      <c r="EE640" s="4"/>
      <c r="EF640" s="4"/>
      <c r="EG640" s="5">
        <v>40883</v>
      </c>
      <c r="EH640" s="5">
        <v>40883</v>
      </c>
      <c r="EI640" s="4"/>
    </row>
    <row r="641" spans="1:139" hidden="1" x14ac:dyDescent="0.2">
      <c r="A641" t="str">
        <f>VLOOKUP(B641,Sheet1!$A$1:$B$18,2,FALSE)</f>
        <v>South Island</v>
      </c>
      <c r="B641" t="str">
        <f>LEFT(D641,3)</f>
        <v>OTG</v>
      </c>
      <c r="C641" s="2">
        <v>1241</v>
      </c>
      <c r="D641" s="3" t="str">
        <f>HYPERLINK("https://sitebase.nzcomms.co.nz/spm/spmnominalview/OTG-071-019/","OTG-071-019")</f>
        <v>OTG-071-019</v>
      </c>
      <c r="E641" s="4" t="s">
        <v>3797</v>
      </c>
      <c r="F641" s="3" t="str">
        <f>HYPERLINK("https://sitebase.nzcomms.co.nz/spm/spmcandidateview/OTG-071-019-G/","OTG-071-019-G")</f>
        <v>OTG-071-019-G</v>
      </c>
      <c r="G641" s="4" t="s">
        <v>3798</v>
      </c>
      <c r="H641" s="4" t="s">
        <v>3727</v>
      </c>
      <c r="I641" s="4">
        <v>4</v>
      </c>
      <c r="J641" s="4" t="s">
        <v>1633</v>
      </c>
      <c r="K641" s="4" t="s">
        <v>141</v>
      </c>
      <c r="L641" s="4" t="s">
        <v>150</v>
      </c>
      <c r="M641" s="4" t="s">
        <v>190</v>
      </c>
      <c r="N641" s="4" t="s">
        <v>269</v>
      </c>
      <c r="O641" s="4" t="s">
        <v>356</v>
      </c>
      <c r="P641" s="4" t="s">
        <v>182</v>
      </c>
      <c r="Q641" s="4" t="s">
        <v>192</v>
      </c>
      <c r="R641" s="4">
        <v>15.5</v>
      </c>
      <c r="S641" s="4">
        <v>16</v>
      </c>
      <c r="T641" s="4">
        <v>1</v>
      </c>
      <c r="U641" s="4">
        <v>-45.892987499999997</v>
      </c>
      <c r="V641" s="4">
        <v>170.44751561999999</v>
      </c>
      <c r="W641" s="5">
        <v>40325</v>
      </c>
      <c r="X641" s="4"/>
      <c r="Y641" s="5">
        <v>40296</v>
      </c>
      <c r="Z641" s="5">
        <v>40296</v>
      </c>
      <c r="AA641" s="4" t="s">
        <v>171</v>
      </c>
      <c r="AB641" s="3" t="str">
        <f>HYPERLINK("https://sitebase.nzcomms.co.nz/spm/spmcandidateview/OTG-071-002-E/","OTG-071-002-E")</f>
        <v>OTG-071-002-E</v>
      </c>
      <c r="AC641" s="4" t="b">
        <v>0</v>
      </c>
      <c r="AD641" s="4" t="b">
        <v>0</v>
      </c>
      <c r="AE641" s="5">
        <v>40164</v>
      </c>
      <c r="AF641" s="5">
        <v>40164</v>
      </c>
      <c r="AG641" s="4" t="b">
        <v>0</v>
      </c>
      <c r="AH641" s="4"/>
      <c r="AI641" s="5">
        <v>40725</v>
      </c>
      <c r="AJ641" s="5">
        <v>40725</v>
      </c>
      <c r="AK641" s="5">
        <v>40728</v>
      </c>
      <c r="AL641" s="5">
        <v>40728</v>
      </c>
      <c r="AM641" s="5">
        <v>40737</v>
      </c>
      <c r="AN641" s="5">
        <v>40738</v>
      </c>
      <c r="AO641" s="4">
        <v>1</v>
      </c>
      <c r="AP641" s="5">
        <v>40737</v>
      </c>
      <c r="AQ641" s="5">
        <v>40738</v>
      </c>
      <c r="AR641" s="4"/>
      <c r="AS641" s="5">
        <v>40736</v>
      </c>
      <c r="AT641" s="5">
        <v>40759</v>
      </c>
      <c r="AU641" s="5">
        <v>40753</v>
      </c>
      <c r="AV641" s="4">
        <v>1</v>
      </c>
      <c r="AW641" s="4"/>
      <c r="AX641" s="5">
        <v>40753</v>
      </c>
      <c r="AY641" s="4" t="s">
        <v>172</v>
      </c>
      <c r="AZ641" s="5">
        <v>40739</v>
      </c>
      <c r="BA641" s="5">
        <v>40739</v>
      </c>
      <c r="BB641" s="5">
        <v>40773</v>
      </c>
      <c r="BC641" s="5">
        <v>40766</v>
      </c>
      <c r="BD641" s="4">
        <v>1</v>
      </c>
      <c r="BE641" s="4"/>
      <c r="BF641" s="5">
        <v>40766</v>
      </c>
      <c r="BG641" s="4"/>
      <c r="BH641" s="4"/>
      <c r="BI641" s="5">
        <v>40791</v>
      </c>
      <c r="BJ641" s="5">
        <v>40793</v>
      </c>
      <c r="BK641" s="4">
        <v>1</v>
      </c>
      <c r="BL641" s="4"/>
      <c r="BM641" s="5">
        <v>40791</v>
      </c>
      <c r="BN641" s="5">
        <v>40793</v>
      </c>
      <c r="BO641" s="5">
        <v>40837</v>
      </c>
      <c r="BP641" s="4"/>
      <c r="BQ641" s="4"/>
      <c r="BR641" s="5">
        <v>40780</v>
      </c>
      <c r="BS641" s="4"/>
      <c r="BT641" s="5">
        <v>40801</v>
      </c>
      <c r="BU641" s="5">
        <v>40801</v>
      </c>
      <c r="BV641" s="5">
        <v>40843</v>
      </c>
      <c r="BW641" s="5">
        <v>40838</v>
      </c>
      <c r="BX641" s="5">
        <v>40834</v>
      </c>
      <c r="BY641" s="5">
        <v>40843</v>
      </c>
      <c r="BZ641" s="5">
        <v>40843</v>
      </c>
      <c r="CA641" s="4"/>
      <c r="CB641" s="4"/>
      <c r="CC641" s="4"/>
      <c r="CD641" s="4"/>
      <c r="CE641" s="4"/>
      <c r="CF641" s="4"/>
      <c r="CG641" s="4"/>
      <c r="CH641" s="4"/>
      <c r="CI641" s="5">
        <v>40844</v>
      </c>
      <c r="CJ641" s="5">
        <v>40877</v>
      </c>
      <c r="CK641" s="5">
        <v>40877</v>
      </c>
      <c r="CL641" s="5">
        <v>40870</v>
      </c>
      <c r="CM641" s="5">
        <v>40872</v>
      </c>
      <c r="CN641" s="5">
        <v>40962</v>
      </c>
      <c r="CO641" s="5">
        <v>41089</v>
      </c>
      <c r="CP641" s="4" t="s">
        <v>3799</v>
      </c>
      <c r="CQ641" s="4"/>
      <c r="CR641" s="5">
        <v>40844</v>
      </c>
      <c r="CS641" s="5">
        <v>40781</v>
      </c>
      <c r="CT641" s="5">
        <v>40781</v>
      </c>
      <c r="CU641" s="5">
        <v>40830</v>
      </c>
      <c r="CV641" s="5">
        <v>40823</v>
      </c>
      <c r="CW641" s="5">
        <v>40837</v>
      </c>
      <c r="CX641" s="5">
        <v>40837</v>
      </c>
      <c r="CY641" s="5">
        <v>40830</v>
      </c>
      <c r="CZ641" s="5">
        <v>40834</v>
      </c>
      <c r="DA641" s="4"/>
      <c r="DB641" s="5">
        <v>40849</v>
      </c>
      <c r="DC641" s="4"/>
      <c r="DD641" s="4"/>
      <c r="DE641" s="4"/>
      <c r="DF641" s="4"/>
      <c r="DG641" s="4"/>
      <c r="DH641" s="4"/>
      <c r="DI641" s="5">
        <v>40828</v>
      </c>
      <c r="DJ641" s="4" t="b">
        <v>1</v>
      </c>
      <c r="DK641" s="4"/>
      <c r="DL641" s="4">
        <v>2311764</v>
      </c>
      <c r="DM641" s="4">
        <v>5476329</v>
      </c>
      <c r="DN641" s="4" t="s">
        <v>3800</v>
      </c>
      <c r="DO641" s="4"/>
      <c r="DP641" s="4" t="s">
        <v>3801</v>
      </c>
      <c r="DQ641" s="4" t="s">
        <v>148</v>
      </c>
      <c r="DR641" s="4"/>
      <c r="DS641" s="4"/>
      <c r="DT641" s="4"/>
      <c r="DU641" s="4"/>
      <c r="DV641" s="4"/>
      <c r="DW641" s="4"/>
      <c r="DX641" s="4"/>
      <c r="DY641" s="4"/>
      <c r="DZ641" s="4"/>
      <c r="EA641" s="4"/>
      <c r="EB641" s="4"/>
      <c r="EC641" s="4"/>
      <c r="ED641" s="4"/>
      <c r="EE641" s="4"/>
      <c r="EF641" s="4"/>
      <c r="EG641" s="5">
        <v>40862</v>
      </c>
      <c r="EH641" s="5">
        <v>40861</v>
      </c>
      <c r="EI641" s="4"/>
    </row>
    <row r="642" spans="1:139" hidden="1" x14ac:dyDescent="0.2">
      <c r="A642" t="str">
        <f>VLOOKUP(B642,Sheet1!$A$1:$B$18,2,FALSE)</f>
        <v>South Island</v>
      </c>
      <c r="B642" t="str">
        <f>LEFT(D642,3)</f>
        <v>OTG</v>
      </c>
      <c r="C642" s="2">
        <v>1243</v>
      </c>
      <c r="D642" s="3" t="str">
        <f>HYPERLINK("https://sitebase.nzcomms.co.nz/spm/spmnominalview/OTG-071-021/","OTG-071-021")</f>
        <v>OTG-071-021</v>
      </c>
      <c r="E642" s="4" t="s">
        <v>3805</v>
      </c>
      <c r="F642" s="3" t="str">
        <f>HYPERLINK("https://sitebase.nzcomms.co.nz/spm/spmcandidateview/OTG-071-021-C/","OTG-071-021-C")</f>
        <v>OTG-071-021-C</v>
      </c>
      <c r="G642" s="4" t="s">
        <v>3190</v>
      </c>
      <c r="H642" s="4" t="s">
        <v>3727</v>
      </c>
      <c r="I642" s="4">
        <v>4</v>
      </c>
      <c r="J642" s="4" t="s">
        <v>1633</v>
      </c>
      <c r="K642" s="4" t="s">
        <v>141</v>
      </c>
      <c r="L642" s="4" t="s">
        <v>142</v>
      </c>
      <c r="M642" s="4" t="s">
        <v>190</v>
      </c>
      <c r="N642" s="4" t="s">
        <v>364</v>
      </c>
      <c r="O642" s="4"/>
      <c r="P642" s="4" t="s">
        <v>182</v>
      </c>
      <c r="Q642" s="4" t="s">
        <v>142</v>
      </c>
      <c r="R642" s="4">
        <v>12</v>
      </c>
      <c r="S642" s="4">
        <v>12</v>
      </c>
      <c r="T642" s="4">
        <v>1</v>
      </c>
      <c r="U642" s="4">
        <v>-45.876258069999999</v>
      </c>
      <c r="V642" s="4">
        <v>170.45990727</v>
      </c>
      <c r="W642" s="5">
        <v>40325</v>
      </c>
      <c r="X642" s="4"/>
      <c r="Y642" s="5">
        <v>40296</v>
      </c>
      <c r="Z642" s="5">
        <v>40296</v>
      </c>
      <c r="AA642" s="4" t="s">
        <v>171</v>
      </c>
      <c r="AB642" s="3" t="str">
        <f>HYPERLINK("https://sitebase.nzcomms.co.nz/spm/spmcandidateview/OTG-071-002-E/","OTG-071-002-E")</f>
        <v>OTG-071-002-E</v>
      </c>
      <c r="AC642" s="4" t="b">
        <v>0</v>
      </c>
      <c r="AD642" s="4" t="b">
        <v>0</v>
      </c>
      <c r="AE642" s="5">
        <v>40164</v>
      </c>
      <c r="AF642" s="5">
        <v>40164</v>
      </c>
      <c r="AG642" s="4" t="b">
        <v>0</v>
      </c>
      <c r="AH642" s="4"/>
      <c r="AI642" s="5">
        <v>40634</v>
      </c>
      <c r="AJ642" s="5">
        <v>40613</v>
      </c>
      <c r="AK642" s="5">
        <v>40641</v>
      </c>
      <c r="AL642" s="5">
        <v>40619</v>
      </c>
      <c r="AM642" s="5">
        <v>40654</v>
      </c>
      <c r="AN642" s="5">
        <v>40653</v>
      </c>
      <c r="AO642" s="4">
        <v>2</v>
      </c>
      <c r="AP642" s="5">
        <v>40680</v>
      </c>
      <c r="AQ642" s="5">
        <v>40679</v>
      </c>
      <c r="AR642" s="4"/>
      <c r="AS642" s="5">
        <v>40738</v>
      </c>
      <c r="AT642" s="5">
        <v>40786</v>
      </c>
      <c r="AU642" s="5">
        <v>40785</v>
      </c>
      <c r="AV642" s="4">
        <v>2</v>
      </c>
      <c r="AW642" s="4"/>
      <c r="AX642" s="5">
        <v>40794</v>
      </c>
      <c r="AY642" s="4" t="s">
        <v>172</v>
      </c>
      <c r="AZ642" s="5">
        <v>40654</v>
      </c>
      <c r="BA642" s="5">
        <v>40660</v>
      </c>
      <c r="BB642" s="5">
        <v>40696</v>
      </c>
      <c r="BC642" s="5">
        <v>40683</v>
      </c>
      <c r="BD642" s="4">
        <v>1</v>
      </c>
      <c r="BE642" s="4"/>
      <c r="BF642" s="5">
        <v>40683</v>
      </c>
      <c r="BG642" s="4"/>
      <c r="BH642" s="5">
        <v>40746</v>
      </c>
      <c r="BI642" s="5">
        <v>40813</v>
      </c>
      <c r="BJ642" s="5">
        <v>40805</v>
      </c>
      <c r="BK642" s="4">
        <v>1</v>
      </c>
      <c r="BL642" s="4"/>
      <c r="BM642" s="5">
        <v>40813</v>
      </c>
      <c r="BN642" s="5">
        <v>40805</v>
      </c>
      <c r="BO642" s="5">
        <v>40845</v>
      </c>
      <c r="BP642" s="4"/>
      <c r="BQ642" s="4"/>
      <c r="BR642" s="5">
        <v>40809</v>
      </c>
      <c r="BS642" s="4"/>
      <c r="BT642" s="5">
        <v>40830</v>
      </c>
      <c r="BU642" s="5">
        <v>40832</v>
      </c>
      <c r="BV642" s="5">
        <v>40854</v>
      </c>
      <c r="BW642" s="5">
        <v>40857</v>
      </c>
      <c r="BX642" s="5">
        <v>40859</v>
      </c>
      <c r="BY642" s="5">
        <v>40865</v>
      </c>
      <c r="BZ642" s="5">
        <v>40864</v>
      </c>
      <c r="CA642" s="4"/>
      <c r="CB642" s="4"/>
      <c r="CC642" s="4"/>
      <c r="CD642" s="4"/>
      <c r="CE642" s="4"/>
      <c r="CF642" s="4"/>
      <c r="CG642" s="4"/>
      <c r="CH642" s="4"/>
      <c r="CI642" s="5">
        <v>40868</v>
      </c>
      <c r="CJ642" s="5">
        <v>40877</v>
      </c>
      <c r="CK642" s="5">
        <v>40877</v>
      </c>
      <c r="CL642" s="5">
        <v>40870</v>
      </c>
      <c r="CM642" s="5">
        <v>40892</v>
      </c>
      <c r="CN642" s="5">
        <v>40982</v>
      </c>
      <c r="CO642" s="5">
        <v>41103</v>
      </c>
      <c r="CP642" s="4" t="s">
        <v>3806</v>
      </c>
      <c r="CQ642" s="4" t="s">
        <v>230</v>
      </c>
      <c r="CR642" s="5">
        <v>40868</v>
      </c>
      <c r="CS642" s="5">
        <v>40738</v>
      </c>
      <c r="CT642" s="5">
        <v>40738</v>
      </c>
      <c r="CU642" s="5">
        <v>40820</v>
      </c>
      <c r="CV642" s="5">
        <v>40841</v>
      </c>
      <c r="CW642" s="5">
        <v>40845</v>
      </c>
      <c r="CX642" s="5">
        <v>40845</v>
      </c>
      <c r="CY642" s="5">
        <v>40864</v>
      </c>
      <c r="CZ642" s="5">
        <v>40864</v>
      </c>
      <c r="DA642" s="4"/>
      <c r="DB642" s="5">
        <v>40869</v>
      </c>
      <c r="DC642" s="4"/>
      <c r="DD642" s="4"/>
      <c r="DE642" s="4"/>
      <c r="DF642" s="4"/>
      <c r="DG642" s="4"/>
      <c r="DH642" s="4"/>
      <c r="DI642" s="5">
        <v>40859</v>
      </c>
      <c r="DJ642" s="4" t="b">
        <v>1</v>
      </c>
      <c r="DK642" s="4"/>
      <c r="DL642" s="4">
        <v>2312669</v>
      </c>
      <c r="DM642" s="4">
        <v>5478217</v>
      </c>
      <c r="DN642" s="4" t="s">
        <v>3807</v>
      </c>
      <c r="DO642" s="4"/>
      <c r="DP642" s="4"/>
      <c r="DQ642" s="4" t="s">
        <v>148</v>
      </c>
      <c r="DR642" s="4"/>
      <c r="DS642" s="4"/>
      <c r="DT642" s="4"/>
      <c r="DU642" s="4"/>
      <c r="DV642" s="4"/>
      <c r="DW642" s="4"/>
      <c r="DX642" s="4"/>
      <c r="DY642" s="4"/>
      <c r="DZ642" s="4"/>
      <c r="EA642" s="4"/>
      <c r="EB642" s="4"/>
      <c r="EC642" s="4"/>
      <c r="ED642" s="4"/>
      <c r="EE642" s="4"/>
      <c r="EF642" s="4"/>
      <c r="EG642" s="5">
        <v>40879</v>
      </c>
      <c r="EH642" s="5">
        <v>40879</v>
      </c>
      <c r="EI642" s="4"/>
    </row>
    <row r="643" spans="1:139" hidden="1" x14ac:dyDescent="0.2">
      <c r="A643" t="str">
        <f>VLOOKUP(B643,Sheet1!$A$1:$B$18,2,FALSE)</f>
        <v>South Island</v>
      </c>
      <c r="B643" t="str">
        <f>LEFT(D643,3)</f>
        <v>OTG</v>
      </c>
      <c r="C643" s="2">
        <v>1244</v>
      </c>
      <c r="D643" s="3" t="str">
        <f>HYPERLINK("https://sitebase.nzcomms.co.nz/spm/spmnominalview/OTG-071-022/","OTG-071-022")</f>
        <v>OTG-071-022</v>
      </c>
      <c r="E643" s="4" t="s">
        <v>3808</v>
      </c>
      <c r="F643" s="3" t="str">
        <f>HYPERLINK("https://sitebase.nzcomms.co.nz/spm/spmcandidateview/OTG-071-022-A/","OTG-071-022-A")</f>
        <v>OTG-071-022-A</v>
      </c>
      <c r="G643" s="4" t="s">
        <v>3809</v>
      </c>
      <c r="H643" s="4" t="s">
        <v>3727</v>
      </c>
      <c r="I643" s="4">
        <v>4</v>
      </c>
      <c r="J643" s="4" t="s">
        <v>1633</v>
      </c>
      <c r="K643" s="4" t="s">
        <v>141</v>
      </c>
      <c r="L643" s="4" t="s">
        <v>150</v>
      </c>
      <c r="M643" s="4" t="s">
        <v>190</v>
      </c>
      <c r="N643" s="4" t="s">
        <v>291</v>
      </c>
      <c r="O643" s="4"/>
      <c r="P643" s="4" t="s">
        <v>182</v>
      </c>
      <c r="Q643" s="4" t="s">
        <v>192</v>
      </c>
      <c r="R643" s="4">
        <v>12</v>
      </c>
      <c r="S643" s="4">
        <v>16</v>
      </c>
      <c r="T643" s="4">
        <v>1</v>
      </c>
      <c r="U643" s="4">
        <v>-45.866002289999997</v>
      </c>
      <c r="V643" s="4">
        <v>170.43057936</v>
      </c>
      <c r="W643" s="5">
        <v>40325</v>
      </c>
      <c r="X643" s="4"/>
      <c r="Y643" s="5">
        <v>40296</v>
      </c>
      <c r="Z643" s="5">
        <v>40296</v>
      </c>
      <c r="AA643" s="4" t="s">
        <v>145</v>
      </c>
      <c r="AB643" s="3" t="str">
        <f>HYPERLINK("https://sitebase.nzcomms.co.nz/spm/spmcandidateview/OTG-071-010-A/","OTG-071-010-A")</f>
        <v>OTG-071-010-A</v>
      </c>
      <c r="AC643" s="4" t="b">
        <v>0</v>
      </c>
      <c r="AD643" s="4" t="b">
        <v>0</v>
      </c>
      <c r="AE643" s="5">
        <v>40164</v>
      </c>
      <c r="AF643" s="5">
        <v>40164</v>
      </c>
      <c r="AG643" s="4" t="b">
        <v>0</v>
      </c>
      <c r="AH643" s="4"/>
      <c r="AI643" s="5">
        <v>40643</v>
      </c>
      <c r="AJ643" s="5">
        <v>40613</v>
      </c>
      <c r="AK643" s="5">
        <v>40650</v>
      </c>
      <c r="AL643" s="5">
        <v>40619</v>
      </c>
      <c r="AM643" s="5">
        <v>40669</v>
      </c>
      <c r="AN643" s="5">
        <v>40669</v>
      </c>
      <c r="AO643" s="4">
        <v>2</v>
      </c>
      <c r="AP643" s="5">
        <v>40669</v>
      </c>
      <c r="AQ643" s="5">
        <v>40731</v>
      </c>
      <c r="AR643" s="4"/>
      <c r="AS643" s="5">
        <v>40695</v>
      </c>
      <c r="AT643" s="5">
        <v>40721</v>
      </c>
      <c r="AU643" s="5">
        <v>40718</v>
      </c>
      <c r="AV643" s="4">
        <v>1</v>
      </c>
      <c r="AW643" s="4"/>
      <c r="AX643" s="5">
        <v>40729</v>
      </c>
      <c r="AY643" s="4" t="s">
        <v>183</v>
      </c>
      <c r="AZ643" s="5">
        <v>40725</v>
      </c>
      <c r="BA643" s="5">
        <v>40724</v>
      </c>
      <c r="BB643" s="5">
        <v>40756</v>
      </c>
      <c r="BC643" s="5">
        <v>40757</v>
      </c>
      <c r="BD643" s="4">
        <v>2</v>
      </c>
      <c r="BE643" s="4"/>
      <c r="BF643" s="5">
        <v>40757</v>
      </c>
      <c r="BG643" s="4"/>
      <c r="BH643" s="4"/>
      <c r="BI643" s="5">
        <v>40791</v>
      </c>
      <c r="BJ643" s="5">
        <v>40805</v>
      </c>
      <c r="BK643" s="4">
        <v>1</v>
      </c>
      <c r="BL643" s="4"/>
      <c r="BM643" s="5">
        <v>40791</v>
      </c>
      <c r="BN643" s="5">
        <v>40805</v>
      </c>
      <c r="BO643" s="5">
        <v>40816</v>
      </c>
      <c r="BP643" s="4"/>
      <c r="BQ643" s="4"/>
      <c r="BR643" s="5">
        <v>40774</v>
      </c>
      <c r="BS643" s="4"/>
      <c r="BT643" s="5">
        <v>40793</v>
      </c>
      <c r="BU643" s="5">
        <v>40794</v>
      </c>
      <c r="BV643" s="5">
        <v>40844</v>
      </c>
      <c r="BW643" s="5">
        <v>40846</v>
      </c>
      <c r="BX643" s="5">
        <v>40828</v>
      </c>
      <c r="BY643" s="5">
        <v>40835</v>
      </c>
      <c r="BZ643" s="5">
        <v>40833</v>
      </c>
      <c r="CA643" s="4"/>
      <c r="CB643" s="4"/>
      <c r="CC643" s="4"/>
      <c r="CD643" s="4"/>
      <c r="CE643" s="4"/>
      <c r="CF643" s="4"/>
      <c r="CG643" s="4"/>
      <c r="CH643" s="4"/>
      <c r="CI643" s="5">
        <v>40836</v>
      </c>
      <c r="CJ643" s="5">
        <v>40877</v>
      </c>
      <c r="CK643" s="5">
        <v>40877</v>
      </c>
      <c r="CL643" s="5">
        <v>40870</v>
      </c>
      <c r="CM643" s="5">
        <v>40872</v>
      </c>
      <c r="CN643" s="5">
        <v>41409</v>
      </c>
      <c r="CO643" s="5">
        <v>41408</v>
      </c>
      <c r="CP643" s="4" t="s">
        <v>3810</v>
      </c>
      <c r="CQ643" s="4"/>
      <c r="CR643" s="5">
        <v>40837</v>
      </c>
      <c r="CS643" s="5">
        <v>40781</v>
      </c>
      <c r="CT643" s="5">
        <v>40781</v>
      </c>
      <c r="CU643" s="5">
        <v>40820</v>
      </c>
      <c r="CV643" s="5">
        <v>40823</v>
      </c>
      <c r="CW643" s="5">
        <v>40816</v>
      </c>
      <c r="CX643" s="5">
        <v>40816</v>
      </c>
      <c r="CY643" s="5">
        <v>40828</v>
      </c>
      <c r="CZ643" s="5">
        <v>40830</v>
      </c>
      <c r="DA643" s="4"/>
      <c r="DB643" s="5">
        <v>40843</v>
      </c>
      <c r="DC643" s="4"/>
      <c r="DD643" s="4"/>
      <c r="DE643" s="4"/>
      <c r="DF643" s="4"/>
      <c r="DG643" s="4"/>
      <c r="DH643" s="4" t="s">
        <v>174</v>
      </c>
      <c r="DI643" s="5">
        <v>40827</v>
      </c>
      <c r="DJ643" s="4" t="b">
        <v>1</v>
      </c>
      <c r="DK643" s="4"/>
      <c r="DL643" s="4">
        <v>2310358</v>
      </c>
      <c r="DM643" s="4">
        <v>5479287</v>
      </c>
      <c r="DN643" s="4" t="s">
        <v>3811</v>
      </c>
      <c r="DO643" s="4"/>
      <c r="DP643" s="4" t="s">
        <v>3812</v>
      </c>
      <c r="DQ643" s="4" t="s">
        <v>148</v>
      </c>
      <c r="DR643" s="4"/>
      <c r="DS643" s="4"/>
      <c r="DT643" s="4"/>
      <c r="DU643" s="4"/>
      <c r="DV643" s="4"/>
      <c r="DW643" s="4"/>
      <c r="DX643" s="4"/>
      <c r="DY643" s="4"/>
      <c r="DZ643" s="4"/>
      <c r="EA643" s="4"/>
      <c r="EB643" s="4"/>
      <c r="EC643" s="4"/>
      <c r="ED643" s="4"/>
      <c r="EE643" s="4"/>
      <c r="EF643" s="4"/>
      <c r="EG643" s="5">
        <v>40862</v>
      </c>
      <c r="EH643" s="5">
        <v>40861</v>
      </c>
      <c r="EI643" s="4"/>
    </row>
    <row r="644" spans="1:139" hidden="1" x14ac:dyDescent="0.2">
      <c r="A644" t="str">
        <f>VLOOKUP(B644,Sheet1!$A$1:$B$18,2,FALSE)</f>
        <v>South Island</v>
      </c>
      <c r="B644" t="str">
        <f>LEFT(D644,3)</f>
        <v>OTG</v>
      </c>
      <c r="C644" s="2">
        <v>1245</v>
      </c>
      <c r="D644" s="3" t="str">
        <f>HYPERLINK("https://sitebase.nzcomms.co.nz/spm/spmnominalview/OTG-071-023/","OTG-071-023")</f>
        <v>OTG-071-023</v>
      </c>
      <c r="E644" s="4" t="s">
        <v>3813</v>
      </c>
      <c r="F644" s="3" t="str">
        <f>HYPERLINK("https://sitebase.nzcomms.co.nz/spm/spmcandidateview/OTG-071-023-A/","OTG-071-023-A")</f>
        <v>OTG-071-023-A</v>
      </c>
      <c r="G644" s="4" t="s">
        <v>3814</v>
      </c>
      <c r="H644" s="4" t="s">
        <v>3727</v>
      </c>
      <c r="I644" s="4">
        <v>4</v>
      </c>
      <c r="J644" s="4" t="s">
        <v>1633</v>
      </c>
      <c r="K644" s="4" t="s">
        <v>141</v>
      </c>
      <c r="L644" s="4" t="s">
        <v>189</v>
      </c>
      <c r="M644" s="4" t="s">
        <v>190</v>
      </c>
      <c r="N644" s="4" t="s">
        <v>274</v>
      </c>
      <c r="O644" s="4" t="s">
        <v>356</v>
      </c>
      <c r="P644" s="4" t="s">
        <v>182</v>
      </c>
      <c r="Q644" s="4" t="s">
        <v>192</v>
      </c>
      <c r="R644" s="4">
        <v>12.09</v>
      </c>
      <c r="S644" s="4">
        <v>12.59</v>
      </c>
      <c r="T644" s="4">
        <v>1</v>
      </c>
      <c r="U644" s="4">
        <v>-45.908299909999997</v>
      </c>
      <c r="V644" s="4">
        <v>170.46974474000001</v>
      </c>
      <c r="W644" s="5">
        <v>40325</v>
      </c>
      <c r="X644" s="4"/>
      <c r="Y644" s="5">
        <v>40296</v>
      </c>
      <c r="Z644" s="5">
        <v>40296</v>
      </c>
      <c r="AA644" s="4" t="s">
        <v>171</v>
      </c>
      <c r="AB644" s="3" t="str">
        <f>HYPERLINK("https://sitebase.nzcomms.co.nz/spm/spmcandidateview/OTG-071-021-C/","OTG-071-021-C")</f>
        <v>OTG-071-021-C</v>
      </c>
      <c r="AC644" s="4" t="b">
        <v>0</v>
      </c>
      <c r="AD644" s="4" t="b">
        <v>0</v>
      </c>
      <c r="AE644" s="5">
        <v>40164</v>
      </c>
      <c r="AF644" s="5">
        <v>40164</v>
      </c>
      <c r="AG644" s="4" t="b">
        <v>0</v>
      </c>
      <c r="AH644" s="4"/>
      <c r="AI644" s="5">
        <v>40612</v>
      </c>
      <c r="AJ644" s="5">
        <v>40612</v>
      </c>
      <c r="AK644" s="5">
        <v>40619</v>
      </c>
      <c r="AL644" s="5">
        <v>40619</v>
      </c>
      <c r="AM644" s="5">
        <v>40654</v>
      </c>
      <c r="AN644" s="5">
        <v>40653</v>
      </c>
      <c r="AO644" s="4">
        <v>4</v>
      </c>
      <c r="AP644" s="5">
        <v>40681</v>
      </c>
      <c r="AQ644" s="5">
        <v>40688</v>
      </c>
      <c r="AR644" s="4"/>
      <c r="AS644" s="5">
        <v>40695</v>
      </c>
      <c r="AT644" s="5">
        <v>40855</v>
      </c>
      <c r="AU644" s="5">
        <v>40847</v>
      </c>
      <c r="AV644" s="4">
        <v>3</v>
      </c>
      <c r="AW644" s="4"/>
      <c r="AX644" s="5">
        <v>40988</v>
      </c>
      <c r="AY644" s="4" t="s">
        <v>193</v>
      </c>
      <c r="AZ644" s="5">
        <v>40784</v>
      </c>
      <c r="BA644" s="5">
        <v>40665</v>
      </c>
      <c r="BB644" s="5">
        <v>40700</v>
      </c>
      <c r="BC644" s="5">
        <v>40688</v>
      </c>
      <c r="BD644" s="4">
        <v>3</v>
      </c>
      <c r="BE644" s="4"/>
      <c r="BF644" s="5">
        <v>40688</v>
      </c>
      <c r="BG644" s="4"/>
      <c r="BH644" s="5">
        <v>40770</v>
      </c>
      <c r="BI644" s="5">
        <v>40826</v>
      </c>
      <c r="BJ644" s="5">
        <v>40823</v>
      </c>
      <c r="BK644" s="4">
        <v>1</v>
      </c>
      <c r="BL644" s="4"/>
      <c r="BM644" s="5">
        <v>40813</v>
      </c>
      <c r="BN644" s="5">
        <v>40823</v>
      </c>
      <c r="BO644" s="5">
        <v>40816</v>
      </c>
      <c r="BP644" s="4"/>
      <c r="BQ644" s="4"/>
      <c r="BR644" s="5">
        <v>40802</v>
      </c>
      <c r="BS644" s="4"/>
      <c r="BT644" s="5">
        <v>40830</v>
      </c>
      <c r="BU644" s="5">
        <v>40833</v>
      </c>
      <c r="BV644" s="5">
        <v>40849</v>
      </c>
      <c r="BW644" s="5">
        <v>40848</v>
      </c>
      <c r="BX644" s="5">
        <v>40847</v>
      </c>
      <c r="BY644" s="5">
        <v>40864</v>
      </c>
      <c r="BZ644" s="5">
        <v>40864</v>
      </c>
      <c r="CA644" s="4"/>
      <c r="CB644" s="4"/>
      <c r="CC644" s="4"/>
      <c r="CD644" s="4"/>
      <c r="CE644" s="4"/>
      <c r="CF644" s="4"/>
      <c r="CG644" s="4"/>
      <c r="CH644" s="4"/>
      <c r="CI644" s="5">
        <v>40865</v>
      </c>
      <c r="CJ644" s="5">
        <v>40877</v>
      </c>
      <c r="CK644" s="5">
        <v>40877</v>
      </c>
      <c r="CL644" s="5">
        <v>40898</v>
      </c>
      <c r="CM644" s="5">
        <v>40897</v>
      </c>
      <c r="CN644" s="5">
        <v>40987</v>
      </c>
      <c r="CO644" s="5">
        <v>41089</v>
      </c>
      <c r="CP644" s="4" t="s">
        <v>3815</v>
      </c>
      <c r="CQ644" s="4"/>
      <c r="CR644" s="5">
        <v>40865</v>
      </c>
      <c r="CS644" s="5">
        <v>40784</v>
      </c>
      <c r="CT644" s="5">
        <v>40784</v>
      </c>
      <c r="CU644" s="5">
        <v>40852</v>
      </c>
      <c r="CV644" s="5">
        <v>40848</v>
      </c>
      <c r="CW644" s="5">
        <v>40823</v>
      </c>
      <c r="CX644" s="5">
        <v>40816</v>
      </c>
      <c r="CY644" s="5">
        <v>40864</v>
      </c>
      <c r="CZ644" s="5">
        <v>40864</v>
      </c>
      <c r="DA644" s="4"/>
      <c r="DB644" s="5">
        <v>40868</v>
      </c>
      <c r="DC644" s="4"/>
      <c r="DD644" s="4"/>
      <c r="DE644" s="4"/>
      <c r="DF644" s="4"/>
      <c r="DG644" s="4"/>
      <c r="DH644" s="4"/>
      <c r="DI644" s="5">
        <v>40847</v>
      </c>
      <c r="DJ644" s="4" t="b">
        <v>1</v>
      </c>
      <c r="DK644" s="4"/>
      <c r="DL644" s="4">
        <v>2313540</v>
      </c>
      <c r="DM644" s="4">
        <v>5474680</v>
      </c>
      <c r="DN644" s="4" t="s">
        <v>3816</v>
      </c>
      <c r="DO644" s="4"/>
      <c r="DP644" s="4" t="s">
        <v>3817</v>
      </c>
      <c r="DQ644" s="4" t="s">
        <v>148</v>
      </c>
      <c r="DR644" s="4"/>
      <c r="DS644" s="4"/>
      <c r="DT644" s="4"/>
      <c r="DU644" s="4"/>
      <c r="DV644" s="4"/>
      <c r="DW644" s="4"/>
      <c r="DX644" s="4"/>
      <c r="DY644" s="4"/>
      <c r="DZ644" s="4"/>
      <c r="EA644" s="4"/>
      <c r="EB644" s="4"/>
      <c r="EC644" s="4"/>
      <c r="ED644" s="4"/>
      <c r="EE644" s="4"/>
      <c r="EF644" s="4"/>
      <c r="EG644" s="5">
        <v>40884</v>
      </c>
      <c r="EH644" s="5">
        <v>40883</v>
      </c>
      <c r="EI644" s="4"/>
    </row>
    <row r="645" spans="1:139" hidden="1" x14ac:dyDescent="0.2">
      <c r="A645" t="str">
        <f>VLOOKUP(B645,Sheet1!$A$1:$B$18,2,FALSE)</f>
        <v>South Island</v>
      </c>
      <c r="B645" t="str">
        <f>LEFT(D645,3)</f>
        <v>OTG</v>
      </c>
      <c r="C645" s="2">
        <v>1251</v>
      </c>
      <c r="D645" s="3" t="str">
        <f>HYPERLINK("https://sitebase.nzcomms.co.nz/spm/spmnominalview/OTG-071-029/","OTG-071-029")</f>
        <v>OTG-071-029</v>
      </c>
      <c r="E645" s="4" t="s">
        <v>3830</v>
      </c>
      <c r="F645" s="3" t="str">
        <f>HYPERLINK("https://sitebase.nzcomms.co.nz/spm/spmcandidateview/OTG-071-029-B/","OTG-071-029-B")</f>
        <v>OTG-071-029-B</v>
      </c>
      <c r="G645" s="4" t="s">
        <v>3831</v>
      </c>
      <c r="H645" s="4" t="s">
        <v>3727</v>
      </c>
      <c r="I645" s="4">
        <v>4</v>
      </c>
      <c r="J645" s="4" t="s">
        <v>1633</v>
      </c>
      <c r="K645" s="4" t="s">
        <v>141</v>
      </c>
      <c r="L645" s="4" t="s">
        <v>150</v>
      </c>
      <c r="M645" s="4" t="s">
        <v>190</v>
      </c>
      <c r="N645" s="4" t="s">
        <v>269</v>
      </c>
      <c r="O645" s="4" t="s">
        <v>3832</v>
      </c>
      <c r="P645" s="4" t="s">
        <v>182</v>
      </c>
      <c r="Q645" s="4" t="s">
        <v>170</v>
      </c>
      <c r="R645" s="4"/>
      <c r="S645" s="4">
        <v>15.3</v>
      </c>
      <c r="T645" s="4">
        <v>1</v>
      </c>
      <c r="U645" s="4">
        <v>-45.922611840000002</v>
      </c>
      <c r="V645" s="4">
        <v>170.19993921</v>
      </c>
      <c r="W645" s="4"/>
      <c r="X645" s="4"/>
      <c r="Y645" s="4"/>
      <c r="Z645" s="4"/>
      <c r="AA645" s="4" t="s">
        <v>217</v>
      </c>
      <c r="AB645" s="4" t="s">
        <v>3833</v>
      </c>
      <c r="AC645" s="4" t="b">
        <v>0</v>
      </c>
      <c r="AD645" s="4" t="b">
        <v>0</v>
      </c>
      <c r="AE645" s="4"/>
      <c r="AF645" s="4"/>
      <c r="AG645" s="4" t="b">
        <v>0</v>
      </c>
      <c r="AH645" s="4"/>
      <c r="AI645" s="5">
        <v>40634</v>
      </c>
      <c r="AJ645" s="5">
        <v>40634</v>
      </c>
      <c r="AK645" s="5">
        <v>40652</v>
      </c>
      <c r="AL645" s="5">
        <v>40653</v>
      </c>
      <c r="AM645" s="5">
        <v>40693</v>
      </c>
      <c r="AN645" s="5">
        <v>40690</v>
      </c>
      <c r="AO645" s="4">
        <v>1</v>
      </c>
      <c r="AP645" s="5">
        <v>40693</v>
      </c>
      <c r="AQ645" s="5">
        <v>40690</v>
      </c>
      <c r="AR645" s="4"/>
      <c r="AS645" s="5">
        <v>40739</v>
      </c>
      <c r="AT645" s="5">
        <v>40798</v>
      </c>
      <c r="AU645" s="5">
        <v>40806</v>
      </c>
      <c r="AV645" s="4">
        <v>1</v>
      </c>
      <c r="AW645" s="4"/>
      <c r="AX645" s="5">
        <v>40806</v>
      </c>
      <c r="AY645" s="4" t="s">
        <v>172</v>
      </c>
      <c r="AZ645" s="5">
        <v>40697</v>
      </c>
      <c r="BA645" s="5">
        <v>40697</v>
      </c>
      <c r="BB645" s="5">
        <v>40732</v>
      </c>
      <c r="BC645" s="5">
        <v>40711</v>
      </c>
      <c r="BD645" s="4">
        <v>1</v>
      </c>
      <c r="BE645" s="4"/>
      <c r="BF645" s="5">
        <v>40711</v>
      </c>
      <c r="BG645" s="4"/>
      <c r="BH645" s="5">
        <v>40746</v>
      </c>
      <c r="BI645" s="5">
        <v>40819</v>
      </c>
      <c r="BJ645" s="5">
        <v>40808</v>
      </c>
      <c r="BK645" s="4">
        <v>1</v>
      </c>
      <c r="BL645" s="4"/>
      <c r="BM645" s="5">
        <v>40813</v>
      </c>
      <c r="BN645" s="5">
        <v>40808</v>
      </c>
      <c r="BO645" s="5">
        <v>40864</v>
      </c>
      <c r="BP645" s="4"/>
      <c r="BQ645" s="4"/>
      <c r="BR645" s="5">
        <v>-287862</v>
      </c>
      <c r="BS645" s="4"/>
      <c r="BT645" s="5">
        <v>40823</v>
      </c>
      <c r="BU645" s="5">
        <v>40820</v>
      </c>
      <c r="BV645" s="5">
        <v>40867</v>
      </c>
      <c r="BW645" s="5">
        <v>40867</v>
      </c>
      <c r="BX645" s="5">
        <v>40850</v>
      </c>
      <c r="BY645" s="5">
        <v>40866</v>
      </c>
      <c r="BZ645" s="5">
        <v>40866</v>
      </c>
      <c r="CA645" s="4"/>
      <c r="CB645" s="4"/>
      <c r="CC645" s="4"/>
      <c r="CD645" s="4"/>
      <c r="CE645" s="4"/>
      <c r="CF645" s="4"/>
      <c r="CG645" s="4"/>
      <c r="CH645" s="4"/>
      <c r="CI645" s="5">
        <v>40869</v>
      </c>
      <c r="CJ645" s="5">
        <v>40877</v>
      </c>
      <c r="CK645" s="5">
        <v>40877</v>
      </c>
      <c r="CL645" s="5">
        <v>40870</v>
      </c>
      <c r="CM645" s="5">
        <v>40896</v>
      </c>
      <c r="CN645" s="5">
        <v>40987</v>
      </c>
      <c r="CO645" s="5">
        <v>41121</v>
      </c>
      <c r="CP645" s="4" t="s">
        <v>3760</v>
      </c>
      <c r="CQ645" s="4"/>
      <c r="CR645" s="5">
        <v>40875</v>
      </c>
      <c r="CS645" s="5">
        <v>40736</v>
      </c>
      <c r="CT645" s="5">
        <v>40736</v>
      </c>
      <c r="CU645" s="5">
        <v>40820</v>
      </c>
      <c r="CV645" s="5">
        <v>40820</v>
      </c>
      <c r="CW645" s="5">
        <v>40864</v>
      </c>
      <c r="CX645" s="5">
        <v>40864</v>
      </c>
      <c r="CY645" s="5">
        <v>40861</v>
      </c>
      <c r="CZ645" s="5">
        <v>40861</v>
      </c>
      <c r="DA645" s="4"/>
      <c r="DB645" s="5">
        <v>40877</v>
      </c>
      <c r="DC645" s="4"/>
      <c r="DD645" s="4"/>
      <c r="DE645" s="4"/>
      <c r="DF645" s="4"/>
      <c r="DG645" s="4"/>
      <c r="DH645" s="4"/>
      <c r="DI645" s="5">
        <v>40841</v>
      </c>
      <c r="DJ645" s="4" t="b">
        <v>1</v>
      </c>
      <c r="DK645" s="4"/>
      <c r="DL645" s="4">
        <v>2292668</v>
      </c>
      <c r="DM645" s="4">
        <v>5472423</v>
      </c>
      <c r="DN645" s="4" t="s">
        <v>3834</v>
      </c>
      <c r="DO645" s="4"/>
      <c r="DP645" s="4" t="s">
        <v>3835</v>
      </c>
      <c r="DQ645" s="4" t="s">
        <v>148</v>
      </c>
      <c r="DR645" s="4"/>
      <c r="DS645" s="4"/>
      <c r="DT645" s="4"/>
      <c r="DU645" s="4"/>
      <c r="DV645" s="4"/>
      <c r="DW645" s="4"/>
      <c r="DX645" s="4"/>
      <c r="DY645" s="4"/>
      <c r="DZ645" s="4"/>
      <c r="EA645" s="4"/>
      <c r="EB645" s="4"/>
      <c r="EC645" s="4"/>
      <c r="ED645" s="4"/>
      <c r="EE645" s="4"/>
      <c r="EF645" s="4"/>
      <c r="EG645" s="5">
        <v>40883</v>
      </c>
      <c r="EH645" s="5">
        <v>40879</v>
      </c>
      <c r="EI645" s="5">
        <v>40653</v>
      </c>
    </row>
    <row r="646" spans="1:139" hidden="1" x14ac:dyDescent="0.2">
      <c r="A646" t="str">
        <f>VLOOKUP(B646,Sheet1!$A$1:$B$18,2,FALSE)</f>
        <v>South Island</v>
      </c>
      <c r="B646" t="str">
        <f>LEFT(D646,3)</f>
        <v>OTG</v>
      </c>
      <c r="C646" s="2">
        <v>1265</v>
      </c>
      <c r="D646" s="3" t="str">
        <f>HYPERLINK("https://sitebase.nzcomms.co.nz/spm/spmnominalview/OTG-071-043/","OTG-071-043")</f>
        <v>OTG-071-043</v>
      </c>
      <c r="E646" s="4" t="s">
        <v>3840</v>
      </c>
      <c r="F646" s="3" t="str">
        <f>HYPERLINK("https://sitebase.nzcomms.co.nz/spm/spmcandidateview/OTG-071-043-G/","OTG-071-043-G")</f>
        <v>OTG-071-043-G</v>
      </c>
      <c r="G646" s="4" t="s">
        <v>3841</v>
      </c>
      <c r="H646" s="4" t="s">
        <v>3727</v>
      </c>
      <c r="I646" s="4">
        <v>4</v>
      </c>
      <c r="J646" s="4" t="s">
        <v>1633</v>
      </c>
      <c r="K646" s="4" t="s">
        <v>141</v>
      </c>
      <c r="L646" s="4" t="s">
        <v>150</v>
      </c>
      <c r="M646" s="4" t="s">
        <v>190</v>
      </c>
      <c r="N646" s="4" t="s">
        <v>3750</v>
      </c>
      <c r="O646" s="4" t="s">
        <v>144</v>
      </c>
      <c r="P646" s="4" t="s">
        <v>182</v>
      </c>
      <c r="Q646" s="4" t="s">
        <v>192</v>
      </c>
      <c r="R646" s="4">
        <v>24.45</v>
      </c>
      <c r="S646" s="4">
        <v>25</v>
      </c>
      <c r="T646" s="4">
        <v>1</v>
      </c>
      <c r="U646" s="4">
        <v>-45.87113128</v>
      </c>
      <c r="V646" s="4">
        <v>170.5167816</v>
      </c>
      <c r="W646" s="4"/>
      <c r="X646" s="4"/>
      <c r="Y646" s="4"/>
      <c r="Z646" s="4"/>
      <c r="AA646" s="4" t="s">
        <v>171</v>
      </c>
      <c r="AB646" s="3" t="str">
        <f>HYPERLINK("https://sitebase.nzcomms.co.nz/spm/spmcandidateview/OTG-071-010-A/","OTG-071-010-A")</f>
        <v>OTG-071-010-A</v>
      </c>
      <c r="AC646" s="4" t="b">
        <v>0</v>
      </c>
      <c r="AD646" s="4" t="b">
        <v>0</v>
      </c>
      <c r="AE646" s="4"/>
      <c r="AF646" s="4"/>
      <c r="AG646" s="4" t="b">
        <v>0</v>
      </c>
      <c r="AH646" s="4"/>
      <c r="AI646" s="5">
        <v>40745</v>
      </c>
      <c r="AJ646" s="5">
        <v>40745</v>
      </c>
      <c r="AK646" s="5">
        <v>40750</v>
      </c>
      <c r="AL646" s="5">
        <v>40750</v>
      </c>
      <c r="AM646" s="5">
        <v>40757</v>
      </c>
      <c r="AN646" s="5">
        <v>40758</v>
      </c>
      <c r="AO646" s="4">
        <v>2</v>
      </c>
      <c r="AP646" s="5">
        <v>40757</v>
      </c>
      <c r="AQ646" s="5">
        <v>41960</v>
      </c>
      <c r="AR646" s="5">
        <v>40826</v>
      </c>
      <c r="AS646" s="5">
        <v>40823</v>
      </c>
      <c r="AT646" s="5">
        <v>40826</v>
      </c>
      <c r="AU646" s="5">
        <v>40823</v>
      </c>
      <c r="AV646" s="4"/>
      <c r="AW646" s="4"/>
      <c r="AX646" s="5">
        <v>40834</v>
      </c>
      <c r="AY646" s="4" t="s">
        <v>172</v>
      </c>
      <c r="AZ646" s="5">
        <v>40765</v>
      </c>
      <c r="BA646" s="5">
        <v>40765</v>
      </c>
      <c r="BB646" s="5">
        <v>40833</v>
      </c>
      <c r="BC646" s="5">
        <v>40829</v>
      </c>
      <c r="BD646" s="4">
        <v>1</v>
      </c>
      <c r="BE646" s="4"/>
      <c r="BF646" s="5">
        <v>40829</v>
      </c>
      <c r="BG646" s="4"/>
      <c r="BH646" s="4"/>
      <c r="BI646" s="5">
        <v>40835</v>
      </c>
      <c r="BJ646" s="5">
        <v>40834</v>
      </c>
      <c r="BK646" s="4">
        <v>1</v>
      </c>
      <c r="BL646" s="4"/>
      <c r="BM646" s="5">
        <v>40835</v>
      </c>
      <c r="BN646" s="5">
        <v>40834</v>
      </c>
      <c r="BO646" s="5">
        <v>40856</v>
      </c>
      <c r="BP646" s="4"/>
      <c r="BQ646" s="4"/>
      <c r="BR646" s="5">
        <v>40830</v>
      </c>
      <c r="BS646" s="4"/>
      <c r="BT646" s="5">
        <v>40844</v>
      </c>
      <c r="BU646" s="5">
        <v>40843</v>
      </c>
      <c r="BV646" s="5">
        <v>40891</v>
      </c>
      <c r="BW646" s="5">
        <v>40931</v>
      </c>
      <c r="BX646" s="5">
        <v>40886</v>
      </c>
      <c r="BY646" s="5">
        <v>40889</v>
      </c>
      <c r="BZ646" s="5">
        <v>40891</v>
      </c>
      <c r="CA646" s="4"/>
      <c r="CB646" s="4"/>
      <c r="CC646" s="4"/>
      <c r="CD646" s="4"/>
      <c r="CE646" s="4"/>
      <c r="CF646" s="4"/>
      <c r="CG646" s="4"/>
      <c r="CH646" s="4"/>
      <c r="CI646" s="5">
        <v>40891</v>
      </c>
      <c r="CJ646" s="5">
        <v>40891</v>
      </c>
      <c r="CK646" s="5">
        <v>40891</v>
      </c>
      <c r="CL646" s="5">
        <v>40929</v>
      </c>
      <c r="CM646" s="5">
        <v>40962</v>
      </c>
      <c r="CN646" s="5">
        <v>41422</v>
      </c>
      <c r="CO646" s="5">
        <v>41418</v>
      </c>
      <c r="CP646" s="4" t="s">
        <v>3760</v>
      </c>
      <c r="CQ646" s="4"/>
      <c r="CR646" s="5">
        <v>40889</v>
      </c>
      <c r="CS646" s="5">
        <v>40801</v>
      </c>
      <c r="CT646" s="5">
        <v>40801</v>
      </c>
      <c r="CU646" s="5">
        <v>40852</v>
      </c>
      <c r="CV646" s="5">
        <v>40864</v>
      </c>
      <c r="CW646" s="5">
        <v>40853</v>
      </c>
      <c r="CX646" s="5">
        <v>40856</v>
      </c>
      <c r="CY646" s="5">
        <v>40889</v>
      </c>
      <c r="CZ646" s="5">
        <v>40890</v>
      </c>
      <c r="DA646" s="4"/>
      <c r="DB646" s="5">
        <v>40949</v>
      </c>
      <c r="DC646" s="4"/>
      <c r="DD646" s="4"/>
      <c r="DE646" s="4"/>
      <c r="DF646" s="4"/>
      <c r="DG646" s="4"/>
      <c r="DH646" s="4" t="s">
        <v>174</v>
      </c>
      <c r="DI646" s="5">
        <v>40857</v>
      </c>
      <c r="DJ646" s="4" t="b">
        <v>1</v>
      </c>
      <c r="DK646" s="4"/>
      <c r="DL646" s="4">
        <v>2317066</v>
      </c>
      <c r="DM646" s="4">
        <v>5478919</v>
      </c>
      <c r="DN646" s="4" t="s">
        <v>3842</v>
      </c>
      <c r="DO646" s="4"/>
      <c r="DP646" s="4" t="s">
        <v>3843</v>
      </c>
      <c r="DQ646" s="4" t="s">
        <v>148</v>
      </c>
      <c r="DR646" s="4"/>
      <c r="DS646" s="4"/>
      <c r="DT646" s="5">
        <v>42096</v>
      </c>
      <c r="DU646" s="4"/>
      <c r="DV646" s="4"/>
      <c r="DW646" s="4"/>
      <c r="DX646" s="4"/>
      <c r="DY646" s="4"/>
      <c r="DZ646" s="4"/>
      <c r="EA646" s="4"/>
      <c r="EB646" s="4"/>
      <c r="EC646" s="4"/>
      <c r="ED646" s="4"/>
      <c r="EE646" s="4"/>
      <c r="EF646" s="4"/>
      <c r="EG646" s="5">
        <v>40935</v>
      </c>
      <c r="EH646" s="5">
        <v>40949</v>
      </c>
      <c r="EI646" s="4"/>
    </row>
    <row r="647" spans="1:139" hidden="1" x14ac:dyDescent="0.2">
      <c r="A647" t="str">
        <f>VLOOKUP(B647,Sheet1!$A$1:$B$18,2,FALSE)</f>
        <v>South Island</v>
      </c>
      <c r="B647" t="str">
        <f>LEFT(D647,3)</f>
        <v>OTG</v>
      </c>
      <c r="C647" s="2">
        <v>1235</v>
      </c>
      <c r="D647" s="3" t="str">
        <f>HYPERLINK("https://sitebase.nzcomms.co.nz/spm/spmnominalview/OTG-071-013/","OTG-071-013")</f>
        <v>OTG-071-013</v>
      </c>
      <c r="E647" s="4" t="s">
        <v>2408</v>
      </c>
      <c r="F647" s="3" t="str">
        <f>HYPERLINK("https://sitebase.nzcomms.co.nz/spm/spmcandidateview/OTG-071-013-H/","OTG-071-013-H")</f>
        <v>OTG-071-013-H</v>
      </c>
      <c r="G647" s="4" t="s">
        <v>3780</v>
      </c>
      <c r="H647" s="4" t="s">
        <v>3727</v>
      </c>
      <c r="I647" s="4">
        <v>4</v>
      </c>
      <c r="J647" s="4" t="s">
        <v>1633</v>
      </c>
      <c r="K647" s="4" t="s">
        <v>141</v>
      </c>
      <c r="L647" s="4" t="s">
        <v>189</v>
      </c>
      <c r="M647" s="4" t="s">
        <v>190</v>
      </c>
      <c r="N647" s="4" t="s">
        <v>274</v>
      </c>
      <c r="O647" s="4"/>
      <c r="P647" s="4" t="s">
        <v>182</v>
      </c>
      <c r="Q647" s="4" t="s">
        <v>192</v>
      </c>
      <c r="R647" s="4"/>
      <c r="S647" s="4">
        <v>13.4</v>
      </c>
      <c r="T647" s="4">
        <v>1</v>
      </c>
      <c r="U647" s="4">
        <v>-45.867234940000003</v>
      </c>
      <c r="V647" s="4">
        <v>170.51073721</v>
      </c>
      <c r="W647" s="5">
        <v>40325</v>
      </c>
      <c r="X647" s="4"/>
      <c r="Y647" s="5">
        <v>40296</v>
      </c>
      <c r="Z647" s="5">
        <v>40296</v>
      </c>
      <c r="AA647" s="4" t="s">
        <v>171</v>
      </c>
      <c r="AB647" s="3" t="str">
        <f>HYPERLINK("https://sitebase.nzcomms.co.nz/spm/spmcandidateview/OTG-071-043-G/","OTG-071-043-G")</f>
        <v>OTG-071-043-G</v>
      </c>
      <c r="AC647" s="4" t="b">
        <v>0</v>
      </c>
      <c r="AD647" s="4" t="b">
        <v>0</v>
      </c>
      <c r="AE647" s="5">
        <v>40164</v>
      </c>
      <c r="AF647" s="5">
        <v>40164</v>
      </c>
      <c r="AG647" s="4" t="b">
        <v>0</v>
      </c>
      <c r="AH647" s="4"/>
      <c r="AI647" s="5">
        <v>40704</v>
      </c>
      <c r="AJ647" s="5">
        <v>40704</v>
      </c>
      <c r="AK647" s="5">
        <v>40710</v>
      </c>
      <c r="AL647" s="5">
        <v>40710</v>
      </c>
      <c r="AM647" s="5">
        <v>40753</v>
      </c>
      <c r="AN647" s="5">
        <v>40756</v>
      </c>
      <c r="AO647" s="4">
        <v>4</v>
      </c>
      <c r="AP647" s="5">
        <v>40753</v>
      </c>
      <c r="AQ647" s="5">
        <v>42052</v>
      </c>
      <c r="AR647" s="4"/>
      <c r="AS647" s="5">
        <v>40765</v>
      </c>
      <c r="AT647" s="5">
        <v>40786</v>
      </c>
      <c r="AU647" s="5">
        <v>40781</v>
      </c>
      <c r="AV647" s="4">
        <v>1</v>
      </c>
      <c r="AW647" s="4"/>
      <c r="AX647" s="5">
        <v>40781</v>
      </c>
      <c r="AY647" s="4" t="s">
        <v>193</v>
      </c>
      <c r="AZ647" s="5">
        <v>40770</v>
      </c>
      <c r="BA647" s="5">
        <v>40767</v>
      </c>
      <c r="BB647" s="5">
        <v>40809</v>
      </c>
      <c r="BC647" s="5">
        <v>40807</v>
      </c>
      <c r="BD647" s="4">
        <v>1</v>
      </c>
      <c r="BE647" s="4"/>
      <c r="BF647" s="5">
        <v>40807</v>
      </c>
      <c r="BG647" s="4"/>
      <c r="BH647" s="4"/>
      <c r="BI647" s="5">
        <v>40835</v>
      </c>
      <c r="BJ647" s="5">
        <v>40858</v>
      </c>
      <c r="BK647" s="4">
        <v>1</v>
      </c>
      <c r="BL647" s="4"/>
      <c r="BM647" s="5">
        <v>40835</v>
      </c>
      <c r="BN647" s="5">
        <v>40858</v>
      </c>
      <c r="BO647" s="5">
        <v>40848</v>
      </c>
      <c r="BP647" s="4"/>
      <c r="BQ647" s="4"/>
      <c r="BR647" s="5">
        <v>40864</v>
      </c>
      <c r="BS647" s="4"/>
      <c r="BT647" s="5">
        <v>40878</v>
      </c>
      <c r="BU647" s="5">
        <v>40879</v>
      </c>
      <c r="BV647" s="5">
        <v>40897</v>
      </c>
      <c r="BW647" s="5">
        <v>40928</v>
      </c>
      <c r="BX647" s="5">
        <v>40895</v>
      </c>
      <c r="BY647" s="5">
        <v>40897</v>
      </c>
      <c r="BZ647" s="5">
        <v>40917</v>
      </c>
      <c r="CA647" s="4"/>
      <c r="CB647" s="4"/>
      <c r="CC647" s="4"/>
      <c r="CD647" s="4"/>
      <c r="CE647" s="4"/>
      <c r="CF647" s="4"/>
      <c r="CG647" s="4"/>
      <c r="CH647" s="4"/>
      <c r="CI647" s="5">
        <v>40919</v>
      </c>
      <c r="CJ647" s="5">
        <v>40892</v>
      </c>
      <c r="CK647" s="5">
        <v>40925</v>
      </c>
      <c r="CL647" s="5">
        <v>40935</v>
      </c>
      <c r="CM647" s="5">
        <v>40947</v>
      </c>
      <c r="CN647" s="5">
        <v>41037</v>
      </c>
      <c r="CO647" s="5">
        <v>41121</v>
      </c>
      <c r="CP647" s="4" t="s">
        <v>3760</v>
      </c>
      <c r="CQ647" s="4"/>
      <c r="CR647" s="5">
        <v>40897</v>
      </c>
      <c r="CS647" s="5">
        <v>40805</v>
      </c>
      <c r="CT647" s="5">
        <v>40805</v>
      </c>
      <c r="CU647" s="5">
        <v>40876</v>
      </c>
      <c r="CV647" s="5">
        <v>40864</v>
      </c>
      <c r="CW647" s="5">
        <v>40848</v>
      </c>
      <c r="CX647" s="5">
        <v>40848</v>
      </c>
      <c r="CY647" s="5">
        <v>40897</v>
      </c>
      <c r="CZ647" s="5">
        <v>40917</v>
      </c>
      <c r="DA647" s="4"/>
      <c r="DB647" s="5">
        <v>40932</v>
      </c>
      <c r="DC647" s="4"/>
      <c r="DD647" s="4"/>
      <c r="DE647" s="4"/>
      <c r="DF647" s="4"/>
      <c r="DG647" s="4"/>
      <c r="DH647" s="4"/>
      <c r="DI647" s="5">
        <v>40894</v>
      </c>
      <c r="DJ647" s="4" t="b">
        <v>1</v>
      </c>
      <c r="DK647" s="4"/>
      <c r="DL647" s="4">
        <v>2316584</v>
      </c>
      <c r="DM647" s="4">
        <v>5479338</v>
      </c>
      <c r="DN647" s="4" t="s">
        <v>3781</v>
      </c>
      <c r="DO647" s="4"/>
      <c r="DP647" s="4"/>
      <c r="DQ647" s="4" t="s">
        <v>148</v>
      </c>
      <c r="DR647" s="4"/>
      <c r="DS647" s="4"/>
      <c r="DT647" s="5">
        <v>42096</v>
      </c>
      <c r="DU647" s="4"/>
      <c r="DV647" s="4"/>
      <c r="DW647" s="4"/>
      <c r="DX647" s="4"/>
      <c r="DY647" s="4"/>
      <c r="DZ647" s="4"/>
      <c r="EA647" s="4"/>
      <c r="EB647" s="4"/>
      <c r="EC647" s="4"/>
      <c r="ED647" s="4"/>
      <c r="EE647" s="4"/>
      <c r="EF647" s="4"/>
      <c r="EG647" s="5">
        <v>40932</v>
      </c>
      <c r="EH647" s="5">
        <v>40932</v>
      </c>
      <c r="EI647" s="4"/>
    </row>
    <row r="648" spans="1:139" hidden="1" x14ac:dyDescent="0.2">
      <c r="A648" t="str">
        <f>VLOOKUP(B648,Sheet1!$A$1:$B$18,2,FALSE)</f>
        <v>South Island</v>
      </c>
      <c r="B648" t="str">
        <f>LEFT(D648,3)</f>
        <v>OTG</v>
      </c>
      <c r="C648" s="2">
        <v>1239</v>
      </c>
      <c r="D648" s="3" t="str">
        <f>HYPERLINK("https://sitebase.nzcomms.co.nz/spm/spmnominalview/OTG-071-017/","OTG-071-017")</f>
        <v>OTG-071-017</v>
      </c>
      <c r="E648" s="4" t="s">
        <v>3791</v>
      </c>
      <c r="F648" s="3" t="str">
        <f>HYPERLINK("https://sitebase.nzcomms.co.nz/spm/spmcandidateview/OTG-071-017-A/","OTG-071-017-A")</f>
        <v>OTG-071-017-A</v>
      </c>
      <c r="G648" s="4" t="s">
        <v>3792</v>
      </c>
      <c r="H648" s="4" t="s">
        <v>3727</v>
      </c>
      <c r="I648" s="4">
        <v>4</v>
      </c>
      <c r="J648" s="4" t="s">
        <v>1633</v>
      </c>
      <c r="K648" s="4" t="s">
        <v>141</v>
      </c>
      <c r="L648" s="4" t="s">
        <v>142</v>
      </c>
      <c r="M648" s="4" t="s">
        <v>190</v>
      </c>
      <c r="N648" s="4" t="s">
        <v>364</v>
      </c>
      <c r="O648" s="4" t="s">
        <v>144</v>
      </c>
      <c r="P648" s="4" t="s">
        <v>182</v>
      </c>
      <c r="Q648" s="4" t="s">
        <v>142</v>
      </c>
      <c r="R648" s="4">
        <v>18.100000000000001</v>
      </c>
      <c r="S648" s="4">
        <v>18.600000000000001</v>
      </c>
      <c r="T648" s="4">
        <v>1</v>
      </c>
      <c r="U648" s="4">
        <v>-45.826415279999999</v>
      </c>
      <c r="V648" s="4">
        <v>170.52140663</v>
      </c>
      <c r="W648" s="5">
        <v>40325</v>
      </c>
      <c r="X648" s="4"/>
      <c r="Y648" s="5">
        <v>40296</v>
      </c>
      <c r="Z648" s="5">
        <v>40296</v>
      </c>
      <c r="AA648" s="4" t="s">
        <v>171</v>
      </c>
      <c r="AB648" s="3" t="str">
        <f>HYPERLINK("https://sitebase.nzcomms.co.nz/spm/spmcandidateview/OTG-071-026-B/","OTG-071-026-B")</f>
        <v>OTG-071-026-B</v>
      </c>
      <c r="AC648" s="4" t="b">
        <v>0</v>
      </c>
      <c r="AD648" s="4" t="b">
        <v>0</v>
      </c>
      <c r="AE648" s="5">
        <v>40164</v>
      </c>
      <c r="AF648" s="5">
        <v>40164</v>
      </c>
      <c r="AG648" s="4" t="b">
        <v>0</v>
      </c>
      <c r="AH648" s="4"/>
      <c r="AI648" s="5">
        <v>40611</v>
      </c>
      <c r="AJ648" s="5">
        <v>40612</v>
      </c>
      <c r="AK648" s="5">
        <v>40646</v>
      </c>
      <c r="AL648" s="5">
        <v>40646</v>
      </c>
      <c r="AM648" s="5">
        <v>40669</v>
      </c>
      <c r="AN648" s="5">
        <v>40667</v>
      </c>
      <c r="AO648" s="4">
        <v>1</v>
      </c>
      <c r="AP648" s="5">
        <v>40669</v>
      </c>
      <c r="AQ648" s="5">
        <v>40667</v>
      </c>
      <c r="AR648" s="4"/>
      <c r="AS648" s="5">
        <v>40737</v>
      </c>
      <c r="AT648" s="5">
        <v>40767</v>
      </c>
      <c r="AU648" s="5">
        <v>40766</v>
      </c>
      <c r="AV648" s="4">
        <v>1</v>
      </c>
      <c r="AW648" s="4"/>
      <c r="AX648" s="5">
        <v>40794</v>
      </c>
      <c r="AY648" s="4" t="s">
        <v>183</v>
      </c>
      <c r="AZ648" s="5">
        <v>40707</v>
      </c>
      <c r="BA648" s="5">
        <v>40669</v>
      </c>
      <c r="BB648" s="5">
        <v>40718</v>
      </c>
      <c r="BC648" s="5">
        <v>40708</v>
      </c>
      <c r="BD648" s="4">
        <v>1</v>
      </c>
      <c r="BE648" s="4"/>
      <c r="BF648" s="5">
        <v>40708</v>
      </c>
      <c r="BG648" s="4"/>
      <c r="BH648" s="4"/>
      <c r="BI648" s="5">
        <v>40798</v>
      </c>
      <c r="BJ648" s="5">
        <v>40800</v>
      </c>
      <c r="BK648" s="4">
        <v>2</v>
      </c>
      <c r="BL648" s="4"/>
      <c r="BM648" s="5">
        <v>40798</v>
      </c>
      <c r="BN648" s="5">
        <v>40854</v>
      </c>
      <c r="BO648" s="5">
        <v>40841</v>
      </c>
      <c r="BP648" s="4"/>
      <c r="BQ648" s="4"/>
      <c r="BR648" s="5">
        <v>40780</v>
      </c>
      <c r="BS648" s="4"/>
      <c r="BT648" s="5">
        <v>40862</v>
      </c>
      <c r="BU648" s="5">
        <v>40862</v>
      </c>
      <c r="BV648" s="5">
        <v>40879</v>
      </c>
      <c r="BW648" s="5">
        <v>40882</v>
      </c>
      <c r="BX648" s="5">
        <v>40875</v>
      </c>
      <c r="BY648" s="5">
        <v>40894</v>
      </c>
      <c r="BZ648" s="5">
        <v>40887</v>
      </c>
      <c r="CA648" s="4"/>
      <c r="CB648" s="4"/>
      <c r="CC648" s="4"/>
      <c r="CD648" s="4"/>
      <c r="CE648" s="4"/>
      <c r="CF648" s="4"/>
      <c r="CG648" s="4"/>
      <c r="CH648" s="4"/>
      <c r="CI648" s="5">
        <v>40892</v>
      </c>
      <c r="CJ648" s="5">
        <v>40892</v>
      </c>
      <c r="CK648" s="5">
        <v>40892</v>
      </c>
      <c r="CL648" s="5">
        <v>40912</v>
      </c>
      <c r="CM648" s="5">
        <v>40928</v>
      </c>
      <c r="CN648" s="5">
        <v>41018</v>
      </c>
      <c r="CO648" s="5">
        <v>41121</v>
      </c>
      <c r="CP648" s="4" t="s">
        <v>3760</v>
      </c>
      <c r="CQ648" s="4" t="s">
        <v>230</v>
      </c>
      <c r="CR648" s="5">
        <v>40894</v>
      </c>
      <c r="CS648" s="5">
        <v>40772</v>
      </c>
      <c r="CT648" s="5">
        <v>40772</v>
      </c>
      <c r="CU648" s="5">
        <v>40820</v>
      </c>
      <c r="CV648" s="5">
        <v>40820</v>
      </c>
      <c r="CW648" s="5">
        <v>40836</v>
      </c>
      <c r="CX648" s="5">
        <v>40841</v>
      </c>
      <c r="CY648" s="5">
        <v>40883</v>
      </c>
      <c r="CZ648" s="5">
        <v>40886</v>
      </c>
      <c r="DA648" s="4"/>
      <c r="DB648" s="5">
        <v>40917</v>
      </c>
      <c r="DC648" s="4"/>
      <c r="DD648" s="4"/>
      <c r="DE648" s="4"/>
      <c r="DF648" s="4"/>
      <c r="DG648" s="4"/>
      <c r="DH648" s="4"/>
      <c r="DI648" s="5">
        <v>40875</v>
      </c>
      <c r="DJ648" s="4" t="b">
        <v>1</v>
      </c>
      <c r="DK648" s="4"/>
      <c r="DL648" s="4">
        <v>2317278</v>
      </c>
      <c r="DM648" s="4">
        <v>5483898</v>
      </c>
      <c r="DN648" s="4" t="s">
        <v>3793</v>
      </c>
      <c r="DO648" s="4"/>
      <c r="DP648" s="4" t="s">
        <v>3794</v>
      </c>
      <c r="DQ648" s="4" t="s">
        <v>148</v>
      </c>
      <c r="DR648" s="4"/>
      <c r="DS648" s="4"/>
      <c r="DT648" s="4"/>
      <c r="DU648" s="4"/>
      <c r="DV648" s="4"/>
      <c r="DW648" s="4"/>
      <c r="DX648" s="4"/>
      <c r="DY648" s="4"/>
      <c r="DZ648" s="4"/>
      <c r="EA648" s="4"/>
      <c r="EB648" s="4"/>
      <c r="EC648" s="4"/>
      <c r="ED648" s="4"/>
      <c r="EE648" s="4"/>
      <c r="EF648" s="4"/>
      <c r="EG648" s="5">
        <v>40921</v>
      </c>
      <c r="EH648" s="5">
        <v>40917</v>
      </c>
      <c r="EI648" s="4"/>
    </row>
    <row r="649" spans="1:139" hidden="1" x14ac:dyDescent="0.2">
      <c r="A649" t="str">
        <f>VLOOKUP(B649,Sheet1!$A$1:$B$18,2,FALSE)</f>
        <v>South Island</v>
      </c>
      <c r="B649" t="str">
        <f>LEFT(D649,3)</f>
        <v>OTG</v>
      </c>
      <c r="C649" s="2">
        <v>1242</v>
      </c>
      <c r="D649" s="3" t="str">
        <f>HYPERLINK("https://sitebase.nzcomms.co.nz/spm/spmnominalview/OTG-071-020/","OTG-071-020")</f>
        <v>OTG-071-020</v>
      </c>
      <c r="E649" s="4" t="s">
        <v>3802</v>
      </c>
      <c r="F649" s="3" t="str">
        <f>HYPERLINK("https://sitebase.nzcomms.co.nz/spm/spmcandidateview/OTG-071-020-E/","OTG-071-020-E")</f>
        <v>OTG-071-020-E</v>
      </c>
      <c r="G649" s="4" t="s">
        <v>3803</v>
      </c>
      <c r="H649" s="4" t="s">
        <v>3727</v>
      </c>
      <c r="I649" s="4">
        <v>4</v>
      </c>
      <c r="J649" s="4" t="s">
        <v>1633</v>
      </c>
      <c r="K649" s="4" t="s">
        <v>141</v>
      </c>
      <c r="L649" s="4" t="s">
        <v>189</v>
      </c>
      <c r="M649" s="4" t="s">
        <v>190</v>
      </c>
      <c r="N649" s="4" t="s">
        <v>274</v>
      </c>
      <c r="O649" s="4"/>
      <c r="P649" s="4" t="s">
        <v>182</v>
      </c>
      <c r="Q649" s="4" t="s">
        <v>192</v>
      </c>
      <c r="R649" s="4">
        <v>12</v>
      </c>
      <c r="S649" s="4">
        <v>12</v>
      </c>
      <c r="T649" s="4"/>
      <c r="U649" s="4">
        <v>-45.866770639999999</v>
      </c>
      <c r="V649" s="4">
        <v>170.49062067</v>
      </c>
      <c r="W649" s="5">
        <v>40325</v>
      </c>
      <c r="X649" s="4"/>
      <c r="Y649" s="5">
        <v>40296</v>
      </c>
      <c r="Z649" s="5">
        <v>40296</v>
      </c>
      <c r="AA649" s="4" t="s">
        <v>171</v>
      </c>
      <c r="AB649" s="3" t="str">
        <f>HYPERLINK("https://sitebase.nzcomms.co.nz/spm/spmcandidateview/OTG-071-043-G/","OTG-071-043-G")</f>
        <v>OTG-071-043-G</v>
      </c>
      <c r="AC649" s="4" t="b">
        <v>0</v>
      </c>
      <c r="AD649" s="4" t="b">
        <v>0</v>
      </c>
      <c r="AE649" s="5">
        <v>40164</v>
      </c>
      <c r="AF649" s="5">
        <v>40164</v>
      </c>
      <c r="AG649" s="4" t="b">
        <v>0</v>
      </c>
      <c r="AH649" s="4"/>
      <c r="AI649" s="5">
        <v>40745</v>
      </c>
      <c r="AJ649" s="5">
        <v>40745</v>
      </c>
      <c r="AK649" s="5">
        <v>40749</v>
      </c>
      <c r="AL649" s="5">
        <v>40749</v>
      </c>
      <c r="AM649" s="5">
        <v>40766</v>
      </c>
      <c r="AN649" s="5">
        <v>40770</v>
      </c>
      <c r="AO649" s="4">
        <v>1</v>
      </c>
      <c r="AP649" s="5">
        <v>40766</v>
      </c>
      <c r="AQ649" s="5">
        <v>40770</v>
      </c>
      <c r="AR649" s="4"/>
      <c r="AS649" s="5">
        <v>40757</v>
      </c>
      <c r="AT649" s="5">
        <v>40798</v>
      </c>
      <c r="AU649" s="5">
        <v>40798</v>
      </c>
      <c r="AV649" s="4">
        <v>1</v>
      </c>
      <c r="AW649" s="4"/>
      <c r="AX649" s="5">
        <v>40802</v>
      </c>
      <c r="AY649" s="4" t="s">
        <v>172</v>
      </c>
      <c r="AZ649" s="5">
        <v>40773</v>
      </c>
      <c r="BA649" s="5">
        <v>40773</v>
      </c>
      <c r="BB649" s="5">
        <v>40808</v>
      </c>
      <c r="BC649" s="5">
        <v>40794</v>
      </c>
      <c r="BD649" s="4">
        <v>1</v>
      </c>
      <c r="BE649" s="4"/>
      <c r="BF649" s="5">
        <v>40794</v>
      </c>
      <c r="BG649" s="4"/>
      <c r="BH649" s="4"/>
      <c r="BI649" s="5">
        <v>40813</v>
      </c>
      <c r="BJ649" s="5">
        <v>40816</v>
      </c>
      <c r="BK649" s="4">
        <v>1</v>
      </c>
      <c r="BL649" s="4"/>
      <c r="BM649" s="5">
        <v>40813</v>
      </c>
      <c r="BN649" s="5">
        <v>40816</v>
      </c>
      <c r="BO649" s="5">
        <v>40815</v>
      </c>
      <c r="BP649" s="4"/>
      <c r="BQ649" s="4"/>
      <c r="BR649" s="5">
        <v>40809</v>
      </c>
      <c r="BS649" s="4"/>
      <c r="BT649" s="5">
        <v>40875</v>
      </c>
      <c r="BU649" s="5">
        <v>40877</v>
      </c>
      <c r="BV649" s="5">
        <v>40882</v>
      </c>
      <c r="BW649" s="5">
        <v>40887</v>
      </c>
      <c r="BX649" s="5">
        <v>40882</v>
      </c>
      <c r="BY649" s="5">
        <v>40882</v>
      </c>
      <c r="BZ649" s="5">
        <v>40887</v>
      </c>
      <c r="CA649" s="4"/>
      <c r="CB649" s="4"/>
      <c r="CC649" s="4"/>
      <c r="CD649" s="4"/>
      <c r="CE649" s="4"/>
      <c r="CF649" s="4"/>
      <c r="CG649" s="4"/>
      <c r="CH649" s="4"/>
      <c r="CI649" s="5">
        <v>40891</v>
      </c>
      <c r="CJ649" s="5">
        <v>40892</v>
      </c>
      <c r="CK649" s="5">
        <v>40891</v>
      </c>
      <c r="CL649" s="5">
        <v>40901</v>
      </c>
      <c r="CM649" s="5">
        <v>40989</v>
      </c>
      <c r="CN649" s="5">
        <v>41079</v>
      </c>
      <c r="CO649" s="5">
        <v>41121</v>
      </c>
      <c r="CP649" s="4" t="s">
        <v>3760</v>
      </c>
      <c r="CQ649" s="4"/>
      <c r="CR649" s="5">
        <v>40892</v>
      </c>
      <c r="CS649" s="5">
        <v>40800</v>
      </c>
      <c r="CT649" s="5">
        <v>40800</v>
      </c>
      <c r="CU649" s="5">
        <v>40804</v>
      </c>
      <c r="CV649" s="5">
        <v>40856</v>
      </c>
      <c r="CW649" s="5">
        <v>40815</v>
      </c>
      <c r="CX649" s="5">
        <v>40815</v>
      </c>
      <c r="CY649" s="5">
        <v>40882</v>
      </c>
      <c r="CZ649" s="5">
        <v>40887</v>
      </c>
      <c r="DA649" s="4"/>
      <c r="DB649" s="5">
        <v>40989</v>
      </c>
      <c r="DC649" s="4"/>
      <c r="DD649" s="4"/>
      <c r="DE649" s="4"/>
      <c r="DF649" s="4"/>
      <c r="DG649" s="4"/>
      <c r="DH649" s="4"/>
      <c r="DI649" s="5">
        <v>40879</v>
      </c>
      <c r="DJ649" s="4" t="b">
        <v>1</v>
      </c>
      <c r="DK649" s="4"/>
      <c r="DL649" s="4">
        <v>2315021</v>
      </c>
      <c r="DM649" s="4">
        <v>5479343</v>
      </c>
      <c r="DN649" s="4" t="s">
        <v>3804</v>
      </c>
      <c r="DO649" s="4"/>
      <c r="DP649" s="4"/>
      <c r="DQ649" s="4" t="s">
        <v>148</v>
      </c>
      <c r="DR649" s="4"/>
      <c r="DS649" s="4"/>
      <c r="DT649" s="4"/>
      <c r="DU649" s="4"/>
      <c r="DV649" s="4"/>
      <c r="DW649" s="4"/>
      <c r="DX649" s="4"/>
      <c r="DY649" s="4"/>
      <c r="DZ649" s="4"/>
      <c r="EA649" s="4"/>
      <c r="EB649" s="4"/>
      <c r="EC649" s="4"/>
      <c r="ED649" s="4"/>
      <c r="EE649" s="4"/>
      <c r="EF649" s="4"/>
      <c r="EG649" s="5">
        <v>40990</v>
      </c>
      <c r="EH649" s="5">
        <v>40976</v>
      </c>
      <c r="EI649" s="5">
        <v>40749</v>
      </c>
    </row>
    <row r="650" spans="1:139" hidden="1" x14ac:dyDescent="0.2">
      <c r="A650" t="str">
        <f>VLOOKUP(B650,Sheet1!$A$1:$B$18,2,FALSE)</f>
        <v>South Island</v>
      </c>
      <c r="B650" t="str">
        <f>LEFT(D650,3)</f>
        <v>OTG</v>
      </c>
      <c r="C650" s="2">
        <v>1247</v>
      </c>
      <c r="D650" s="3" t="str">
        <f>HYPERLINK("https://sitebase.nzcomms.co.nz/spm/spmnominalview/OTG-071-025/","OTG-071-025")</f>
        <v>OTG-071-025</v>
      </c>
      <c r="E650" s="4" t="s">
        <v>3823</v>
      </c>
      <c r="F650" s="3" t="str">
        <f>HYPERLINK("https://sitebase.nzcomms.co.nz/spm/spmcandidateview/OTG-071-025-B/","OTG-071-025-B")</f>
        <v>OTG-071-025-B</v>
      </c>
      <c r="G650" s="4" t="s">
        <v>3824</v>
      </c>
      <c r="H650" s="4" t="s">
        <v>3727</v>
      </c>
      <c r="I650" s="4">
        <v>4</v>
      </c>
      <c r="J650" s="4" t="s">
        <v>1633</v>
      </c>
      <c r="K650" s="4" t="s">
        <v>141</v>
      </c>
      <c r="L650" s="4" t="s">
        <v>189</v>
      </c>
      <c r="M650" s="4" t="s">
        <v>190</v>
      </c>
      <c r="N650" s="4" t="s">
        <v>1158</v>
      </c>
      <c r="O650" s="4"/>
      <c r="P650" s="4" t="s">
        <v>182</v>
      </c>
      <c r="Q650" s="4" t="s">
        <v>192</v>
      </c>
      <c r="R650" s="4">
        <v>11</v>
      </c>
      <c r="S650" s="4">
        <v>13.4</v>
      </c>
      <c r="T650" s="4">
        <v>1</v>
      </c>
      <c r="U650" s="4">
        <v>-45.881316640000001</v>
      </c>
      <c r="V650" s="4">
        <v>170.47997107</v>
      </c>
      <c r="W650" s="5">
        <v>40325</v>
      </c>
      <c r="X650" s="4"/>
      <c r="Y650" s="5">
        <v>40296</v>
      </c>
      <c r="Z650" s="5">
        <v>40296</v>
      </c>
      <c r="AA650" s="4" t="s">
        <v>171</v>
      </c>
      <c r="AB650" s="3" t="str">
        <f>HYPERLINK("https://sitebase.nzcomms.co.nz/spm/spmcandidateview/OTG-071-043-G/","OTG-071-043-G")</f>
        <v>OTG-071-043-G</v>
      </c>
      <c r="AC650" s="4" t="b">
        <v>0</v>
      </c>
      <c r="AD650" s="4" t="b">
        <v>0</v>
      </c>
      <c r="AE650" s="5">
        <v>40164</v>
      </c>
      <c r="AF650" s="5">
        <v>40164</v>
      </c>
      <c r="AG650" s="4" t="b">
        <v>0</v>
      </c>
      <c r="AH650" s="4"/>
      <c r="AI650" s="5">
        <v>40648</v>
      </c>
      <c r="AJ650" s="5">
        <v>40648</v>
      </c>
      <c r="AK650" s="5">
        <v>40659</v>
      </c>
      <c r="AL650" s="5">
        <v>40660</v>
      </c>
      <c r="AM650" s="5">
        <v>40688</v>
      </c>
      <c r="AN650" s="5">
        <v>40688</v>
      </c>
      <c r="AO650" s="4">
        <v>1</v>
      </c>
      <c r="AP650" s="5">
        <v>40688</v>
      </c>
      <c r="AQ650" s="5">
        <v>40688</v>
      </c>
      <c r="AR650" s="4"/>
      <c r="AS650" s="5">
        <v>40695</v>
      </c>
      <c r="AT650" s="5">
        <v>40857</v>
      </c>
      <c r="AU650" s="5">
        <v>40847</v>
      </c>
      <c r="AV650" s="4">
        <v>1</v>
      </c>
      <c r="AW650" s="4"/>
      <c r="AX650" s="5">
        <v>40988</v>
      </c>
      <c r="AY650" s="4" t="s">
        <v>193</v>
      </c>
      <c r="AZ650" s="5">
        <v>40690</v>
      </c>
      <c r="BA650" s="5">
        <v>40689</v>
      </c>
      <c r="BB650" s="5">
        <v>40725</v>
      </c>
      <c r="BC650" s="5">
        <v>40710</v>
      </c>
      <c r="BD650" s="4">
        <v>1</v>
      </c>
      <c r="BE650" s="4"/>
      <c r="BF650" s="5">
        <v>40710</v>
      </c>
      <c r="BG650" s="4"/>
      <c r="BH650" s="5">
        <v>40770</v>
      </c>
      <c r="BI650" s="5">
        <v>40819</v>
      </c>
      <c r="BJ650" s="5">
        <v>40816</v>
      </c>
      <c r="BK650" s="4">
        <v>1</v>
      </c>
      <c r="BL650" s="4"/>
      <c r="BM650" s="5">
        <v>40813</v>
      </c>
      <c r="BN650" s="5">
        <v>40816</v>
      </c>
      <c r="BO650" s="5">
        <v>40816</v>
      </c>
      <c r="BP650" s="4"/>
      <c r="BQ650" s="4"/>
      <c r="BR650" s="5">
        <v>40820</v>
      </c>
      <c r="BS650" s="4"/>
      <c r="BT650" s="5">
        <v>40850</v>
      </c>
      <c r="BU650" s="5">
        <v>40850</v>
      </c>
      <c r="BV650" s="5">
        <v>40877</v>
      </c>
      <c r="BW650" s="5">
        <v>40879</v>
      </c>
      <c r="BX650" s="5">
        <v>40875</v>
      </c>
      <c r="BY650" s="5">
        <v>40892</v>
      </c>
      <c r="BZ650" s="5">
        <v>40887</v>
      </c>
      <c r="CA650" s="4"/>
      <c r="CB650" s="4"/>
      <c r="CC650" s="4"/>
      <c r="CD650" s="4"/>
      <c r="CE650" s="4"/>
      <c r="CF650" s="4"/>
      <c r="CG650" s="4"/>
      <c r="CH650" s="4"/>
      <c r="CI650" s="5">
        <v>40891</v>
      </c>
      <c r="CJ650" s="5">
        <v>40892</v>
      </c>
      <c r="CK650" s="5">
        <v>40891</v>
      </c>
      <c r="CL650" s="5">
        <v>40929</v>
      </c>
      <c r="CM650" s="5">
        <v>40928</v>
      </c>
      <c r="CN650" s="5">
        <v>41018</v>
      </c>
      <c r="CO650" s="5">
        <v>41121</v>
      </c>
      <c r="CP650" s="4" t="s">
        <v>3825</v>
      </c>
      <c r="CQ650" s="4"/>
      <c r="CR650" s="5">
        <v>40894</v>
      </c>
      <c r="CS650" s="5">
        <v>40786</v>
      </c>
      <c r="CT650" s="5">
        <v>40786</v>
      </c>
      <c r="CU650" s="5">
        <v>40862</v>
      </c>
      <c r="CV650" s="5">
        <v>40862</v>
      </c>
      <c r="CW650" s="5">
        <v>40823</v>
      </c>
      <c r="CX650" s="5">
        <v>40816</v>
      </c>
      <c r="CY650" s="5">
        <v>40879</v>
      </c>
      <c r="CZ650" s="5">
        <v>40882</v>
      </c>
      <c r="DA650" s="4"/>
      <c r="DB650" s="5">
        <v>40917</v>
      </c>
      <c r="DC650" s="4"/>
      <c r="DD650" s="4"/>
      <c r="DE650" s="4"/>
      <c r="DF650" s="4"/>
      <c r="DG650" s="4"/>
      <c r="DH650" s="4"/>
      <c r="DI650" s="5">
        <v>40875</v>
      </c>
      <c r="DJ650" s="4" t="b">
        <v>1</v>
      </c>
      <c r="DK650" s="4"/>
      <c r="DL650" s="4">
        <v>2314243</v>
      </c>
      <c r="DM650" s="4">
        <v>5477702</v>
      </c>
      <c r="DN650" s="4" t="s">
        <v>3826</v>
      </c>
      <c r="DO650" s="4"/>
      <c r="DP650" s="4"/>
      <c r="DQ650" s="4" t="s">
        <v>148</v>
      </c>
      <c r="DR650" s="4"/>
      <c r="DS650" s="4"/>
      <c r="DT650" s="4"/>
      <c r="DU650" s="4"/>
      <c r="DV650" s="4"/>
      <c r="DW650" s="4"/>
      <c r="DX650" s="4"/>
      <c r="DY650" s="4"/>
      <c r="DZ650" s="4"/>
      <c r="EA650" s="4"/>
      <c r="EB650" s="4"/>
      <c r="EC650" s="4"/>
      <c r="ED650" s="4"/>
      <c r="EE650" s="4"/>
      <c r="EF650" s="4"/>
      <c r="EG650" s="5">
        <v>40900</v>
      </c>
      <c r="EH650" s="5">
        <v>40917</v>
      </c>
      <c r="EI650" s="5">
        <v>40660</v>
      </c>
    </row>
    <row r="651" spans="1:139" hidden="1" x14ac:dyDescent="0.2">
      <c r="A651" t="str">
        <f>VLOOKUP(B651,Sheet1!$A$1:$B$18,2,FALSE)</f>
        <v>South Island</v>
      </c>
      <c r="B651" t="str">
        <f>LEFT(D651,3)</f>
        <v>OTG</v>
      </c>
      <c r="C651" s="2">
        <v>1248</v>
      </c>
      <c r="D651" s="3" t="str">
        <f>HYPERLINK("https://sitebase.nzcomms.co.nz/spm/spmnominalview/OTG-071-026/","OTG-071-026")</f>
        <v>OTG-071-026</v>
      </c>
      <c r="E651" s="4" t="s">
        <v>3827</v>
      </c>
      <c r="F651" s="3" t="str">
        <f>HYPERLINK("https://sitebase.nzcomms.co.nz/spm/spmcandidateview/OTG-071-026-B/","OTG-071-026-B")</f>
        <v>OTG-071-026-B</v>
      </c>
      <c r="G651" s="4" t="s">
        <v>3828</v>
      </c>
      <c r="H651" s="4" t="s">
        <v>3727</v>
      </c>
      <c r="I651" s="4">
        <v>4</v>
      </c>
      <c r="J651" s="4" t="s">
        <v>1633</v>
      </c>
      <c r="K651" s="4" t="s">
        <v>141</v>
      </c>
      <c r="L651" s="4" t="s">
        <v>150</v>
      </c>
      <c r="M651" s="4" t="s">
        <v>190</v>
      </c>
      <c r="N651" s="4" t="s">
        <v>246</v>
      </c>
      <c r="O651" s="4" t="s">
        <v>144</v>
      </c>
      <c r="P651" s="4" t="s">
        <v>182</v>
      </c>
      <c r="Q651" s="4" t="s">
        <v>170</v>
      </c>
      <c r="R651" s="4"/>
      <c r="S651" s="4">
        <v>12</v>
      </c>
      <c r="T651" s="4">
        <v>1</v>
      </c>
      <c r="U651" s="4">
        <v>-45.855585959999999</v>
      </c>
      <c r="V651" s="4">
        <v>170.47574650999999</v>
      </c>
      <c r="W651" s="5">
        <v>40325</v>
      </c>
      <c r="X651" s="4"/>
      <c r="Y651" s="5">
        <v>40296</v>
      </c>
      <c r="Z651" s="5">
        <v>40296</v>
      </c>
      <c r="AA651" s="4" t="s">
        <v>171</v>
      </c>
      <c r="AB651" s="3" t="str">
        <f>HYPERLINK("https://sitebase.nzcomms.co.nz/spm/spmcandidateview/OTG-071-020-E/","OTG-071-020-E")</f>
        <v>OTG-071-020-E</v>
      </c>
      <c r="AC651" s="4" t="b">
        <v>0</v>
      </c>
      <c r="AD651" s="4" t="b">
        <v>0</v>
      </c>
      <c r="AE651" s="5">
        <v>40164</v>
      </c>
      <c r="AF651" s="5">
        <v>40164</v>
      </c>
      <c r="AG651" s="4" t="b">
        <v>0</v>
      </c>
      <c r="AH651" s="4"/>
      <c r="AI651" s="5">
        <v>40696</v>
      </c>
      <c r="AJ651" s="5">
        <v>40696</v>
      </c>
      <c r="AK651" s="5">
        <v>40703</v>
      </c>
      <c r="AL651" s="5">
        <v>40703</v>
      </c>
      <c r="AM651" s="5">
        <v>40722</v>
      </c>
      <c r="AN651" s="5">
        <v>40722</v>
      </c>
      <c r="AO651" s="4">
        <v>1</v>
      </c>
      <c r="AP651" s="5">
        <v>40722</v>
      </c>
      <c r="AQ651" s="5">
        <v>40722</v>
      </c>
      <c r="AR651" s="4"/>
      <c r="AS651" s="5">
        <v>40751</v>
      </c>
      <c r="AT651" s="5">
        <v>40798</v>
      </c>
      <c r="AU651" s="5">
        <v>40799</v>
      </c>
      <c r="AV651" s="4">
        <v>1</v>
      </c>
      <c r="AW651" s="4"/>
      <c r="AX651" s="5">
        <v>40799</v>
      </c>
      <c r="AY651" s="4" t="s">
        <v>172</v>
      </c>
      <c r="AZ651" s="5">
        <v>40778</v>
      </c>
      <c r="BA651" s="5">
        <v>40765</v>
      </c>
      <c r="BB651" s="5">
        <v>40803</v>
      </c>
      <c r="BC651" s="5">
        <v>40794</v>
      </c>
      <c r="BD651" s="4">
        <v>1</v>
      </c>
      <c r="BE651" s="4"/>
      <c r="BF651" s="5">
        <v>40794</v>
      </c>
      <c r="BG651" s="4"/>
      <c r="BH651" s="5">
        <v>40770</v>
      </c>
      <c r="BI651" s="5">
        <v>40826</v>
      </c>
      <c r="BJ651" s="5">
        <v>40827</v>
      </c>
      <c r="BK651" s="4">
        <v>1</v>
      </c>
      <c r="BL651" s="4"/>
      <c r="BM651" s="5">
        <v>40813</v>
      </c>
      <c r="BN651" s="5">
        <v>40827</v>
      </c>
      <c r="BO651" s="5">
        <v>40855</v>
      </c>
      <c r="BP651" s="4"/>
      <c r="BQ651" s="4"/>
      <c r="BR651" s="5">
        <v>40823</v>
      </c>
      <c r="BS651" s="4"/>
      <c r="BT651" s="5">
        <v>40851</v>
      </c>
      <c r="BU651" s="5">
        <v>40851</v>
      </c>
      <c r="BV651" s="5">
        <v>40867</v>
      </c>
      <c r="BW651" s="5">
        <v>40866</v>
      </c>
      <c r="BX651" s="5">
        <v>40866</v>
      </c>
      <c r="BY651" s="5">
        <v>40891</v>
      </c>
      <c r="BZ651" s="5">
        <v>40887</v>
      </c>
      <c r="CA651" s="4"/>
      <c r="CB651" s="4"/>
      <c r="CC651" s="4"/>
      <c r="CD651" s="4"/>
      <c r="CE651" s="4"/>
      <c r="CF651" s="4"/>
      <c r="CG651" s="4"/>
      <c r="CH651" s="4"/>
      <c r="CI651" s="5">
        <v>40892</v>
      </c>
      <c r="CJ651" s="5">
        <v>40892</v>
      </c>
      <c r="CK651" s="5">
        <v>40892</v>
      </c>
      <c r="CL651" s="5">
        <v>40929</v>
      </c>
      <c r="CM651" s="5">
        <v>40928</v>
      </c>
      <c r="CN651" s="5">
        <v>41018</v>
      </c>
      <c r="CO651" s="5">
        <v>41089</v>
      </c>
      <c r="CP651" s="4" t="s">
        <v>3760</v>
      </c>
      <c r="CQ651" s="4"/>
      <c r="CR651" s="5">
        <v>40892</v>
      </c>
      <c r="CS651" s="5">
        <v>40802</v>
      </c>
      <c r="CT651" s="5">
        <v>40802</v>
      </c>
      <c r="CU651" s="5">
        <v>40852</v>
      </c>
      <c r="CV651" s="5">
        <v>40852</v>
      </c>
      <c r="CW651" s="5">
        <v>40854</v>
      </c>
      <c r="CX651" s="5">
        <v>40855</v>
      </c>
      <c r="CY651" s="5">
        <v>40872</v>
      </c>
      <c r="CZ651" s="5">
        <v>40882</v>
      </c>
      <c r="DA651" s="4"/>
      <c r="DB651" s="5">
        <v>40917</v>
      </c>
      <c r="DC651" s="4"/>
      <c r="DD651" s="4"/>
      <c r="DE651" s="4"/>
      <c r="DF651" s="4"/>
      <c r="DG651" s="4"/>
      <c r="DH651" s="4"/>
      <c r="DI651" s="5">
        <v>40866</v>
      </c>
      <c r="DJ651" s="4" t="b">
        <v>1</v>
      </c>
      <c r="DK651" s="4"/>
      <c r="DL651" s="4">
        <v>2313829</v>
      </c>
      <c r="DM651" s="4">
        <v>5480551</v>
      </c>
      <c r="DN651" s="4" t="s">
        <v>3829</v>
      </c>
      <c r="DO651" s="4"/>
      <c r="DP651" s="4"/>
      <c r="DQ651" s="4" t="s">
        <v>148</v>
      </c>
      <c r="DR651" s="4"/>
      <c r="DS651" s="4"/>
      <c r="DT651" s="4"/>
      <c r="DU651" s="4"/>
      <c r="DV651" s="4"/>
      <c r="DW651" s="4"/>
      <c r="DX651" s="4"/>
      <c r="DY651" s="4"/>
      <c r="DZ651" s="4"/>
      <c r="EA651" s="4"/>
      <c r="EB651" s="4"/>
      <c r="EC651" s="4"/>
      <c r="ED651" s="4"/>
      <c r="EE651" s="4"/>
      <c r="EF651" s="4"/>
      <c r="EG651" s="5">
        <v>40900</v>
      </c>
      <c r="EH651" s="5">
        <v>40917</v>
      </c>
      <c r="EI651" s="4"/>
    </row>
    <row r="652" spans="1:139" hidden="1" x14ac:dyDescent="0.2">
      <c r="A652" t="str">
        <f>VLOOKUP(B652,Sheet1!$A$1:$B$18,2,FALSE)</f>
        <v>South Island</v>
      </c>
      <c r="B652" t="str">
        <f>LEFT(D652,3)</f>
        <v>MBN</v>
      </c>
      <c r="C652" s="2">
        <v>989</v>
      </c>
      <c r="D652" s="3" t="str">
        <f>HYPERLINK("https://sitebase.nzcomms.co.nz/spm/spmnominalview/MBN-051-008/","MBN-051-008")</f>
        <v>MBN-051-008</v>
      </c>
      <c r="E652" s="4" t="s">
        <v>3060</v>
      </c>
      <c r="F652" s="3" t="str">
        <f>HYPERLINK("https://sitebase.nzcomms.co.nz/spm/spmcandidateview/MBN-051-008-A/","MBN-051-008-A")</f>
        <v>MBN-051-008-A</v>
      </c>
      <c r="G652" s="4" t="s">
        <v>3061</v>
      </c>
      <c r="H652" s="4" t="s">
        <v>3047</v>
      </c>
      <c r="I652" s="4">
        <v>7</v>
      </c>
      <c r="J652" s="4" t="s">
        <v>1633</v>
      </c>
      <c r="K652" s="4" t="s">
        <v>141</v>
      </c>
      <c r="L652" s="4" t="s">
        <v>142</v>
      </c>
      <c r="M652" s="4" t="s">
        <v>190</v>
      </c>
      <c r="N652" s="4" t="s">
        <v>142</v>
      </c>
      <c r="O652" s="4"/>
      <c r="P652" s="4" t="s">
        <v>169</v>
      </c>
      <c r="Q652" s="4" t="s">
        <v>142</v>
      </c>
      <c r="R652" s="4">
        <v>19</v>
      </c>
      <c r="S652" s="4">
        <v>25</v>
      </c>
      <c r="T652" s="4">
        <v>2</v>
      </c>
      <c r="U652" s="4">
        <v>-41.247700510000001</v>
      </c>
      <c r="V652" s="4">
        <v>173.09049002</v>
      </c>
      <c r="W652" s="4"/>
      <c r="X652" s="5">
        <v>40453</v>
      </c>
      <c r="Y652" s="5">
        <v>40338</v>
      </c>
      <c r="Z652" s="4"/>
      <c r="AA652" s="4" t="s">
        <v>152</v>
      </c>
      <c r="AB652" s="3" t="str">
        <f>HYPERLINK("https://sitebase.nzcomms.co.nz/spm/spmcandidateview/MBN-052-003-B/","MBN-052-003-B")</f>
        <v>MBN-052-003-B</v>
      </c>
      <c r="AC652" s="4" t="b">
        <v>0</v>
      </c>
      <c r="AD652" s="4" t="b">
        <v>0</v>
      </c>
      <c r="AE652" s="5">
        <v>40344</v>
      </c>
      <c r="AF652" s="5">
        <v>40344</v>
      </c>
      <c r="AG652" s="4" t="b">
        <v>0</v>
      </c>
      <c r="AH652" s="4"/>
      <c r="AI652" s="5">
        <v>40613</v>
      </c>
      <c r="AJ652" s="5">
        <v>40793</v>
      </c>
      <c r="AK652" s="5">
        <v>40620</v>
      </c>
      <c r="AL652" s="5">
        <v>40795</v>
      </c>
      <c r="AM652" s="4"/>
      <c r="AN652" s="5">
        <v>40791</v>
      </c>
      <c r="AO652" s="4">
        <v>2</v>
      </c>
      <c r="AP652" s="5">
        <v>40816</v>
      </c>
      <c r="AQ652" s="5">
        <v>40816</v>
      </c>
      <c r="AR652" s="5">
        <v>40819</v>
      </c>
      <c r="AS652" s="5">
        <v>40812</v>
      </c>
      <c r="AT652" s="5">
        <v>40872</v>
      </c>
      <c r="AU652" s="5">
        <v>40844</v>
      </c>
      <c r="AV652" s="4"/>
      <c r="AW652" s="5">
        <v>40962</v>
      </c>
      <c r="AX652" s="4"/>
      <c r="AY652" s="4" t="s">
        <v>172</v>
      </c>
      <c r="AZ652" s="5">
        <v>40837</v>
      </c>
      <c r="BA652" s="5">
        <v>40829</v>
      </c>
      <c r="BB652" s="5">
        <v>40872</v>
      </c>
      <c r="BC652" s="5">
        <v>40833</v>
      </c>
      <c r="BD652" s="4">
        <v>1</v>
      </c>
      <c r="BE652" s="4"/>
      <c r="BF652" s="5">
        <v>40833</v>
      </c>
      <c r="BG652" s="4"/>
      <c r="BH652" s="4"/>
      <c r="BI652" s="5">
        <v>40862</v>
      </c>
      <c r="BJ652" s="5">
        <v>40865</v>
      </c>
      <c r="BK652" s="4">
        <v>1</v>
      </c>
      <c r="BL652" s="4"/>
      <c r="BM652" s="5">
        <v>40858</v>
      </c>
      <c r="BN652" s="5">
        <v>40865</v>
      </c>
      <c r="BO652" s="5">
        <v>40897</v>
      </c>
      <c r="BP652" s="4"/>
      <c r="BQ652" s="4"/>
      <c r="BR652" s="4"/>
      <c r="BS652" s="4"/>
      <c r="BT652" s="5">
        <v>40884</v>
      </c>
      <c r="BU652" s="5">
        <v>40884</v>
      </c>
      <c r="BV652" s="5">
        <v>40942</v>
      </c>
      <c r="BW652" s="5">
        <v>40941</v>
      </c>
      <c r="BX652" s="5">
        <v>40889</v>
      </c>
      <c r="BY652" s="5">
        <v>40898</v>
      </c>
      <c r="BZ652" s="5">
        <v>40900</v>
      </c>
      <c r="CA652" s="4"/>
      <c r="CB652" s="4"/>
      <c r="CC652" s="4"/>
      <c r="CD652" s="4"/>
      <c r="CE652" s="4"/>
      <c r="CF652" s="4"/>
      <c r="CG652" s="4"/>
      <c r="CH652" s="4"/>
      <c r="CI652" s="5">
        <v>40900</v>
      </c>
      <c r="CJ652" s="5">
        <v>40898</v>
      </c>
      <c r="CK652" s="5">
        <v>40900</v>
      </c>
      <c r="CL652" s="5">
        <v>40983</v>
      </c>
      <c r="CM652" s="5">
        <v>40983</v>
      </c>
      <c r="CN652" s="5">
        <v>41442</v>
      </c>
      <c r="CO652" s="5">
        <v>41436</v>
      </c>
      <c r="CP652" s="4"/>
      <c r="CQ652" s="4" t="s">
        <v>205</v>
      </c>
      <c r="CR652" s="5">
        <v>40898</v>
      </c>
      <c r="CS652" s="5">
        <v>40889</v>
      </c>
      <c r="CT652" s="5">
        <v>40889</v>
      </c>
      <c r="CU652" s="5">
        <v>40889</v>
      </c>
      <c r="CV652" s="5">
        <v>40889</v>
      </c>
      <c r="CW652" s="5">
        <v>40894</v>
      </c>
      <c r="CX652" s="5">
        <v>40897</v>
      </c>
      <c r="CY652" s="5">
        <v>40893</v>
      </c>
      <c r="CZ652" s="5">
        <v>40921</v>
      </c>
      <c r="DA652" s="5">
        <v>40939</v>
      </c>
      <c r="DB652" s="5">
        <v>40917</v>
      </c>
      <c r="DC652" s="4"/>
      <c r="DD652" s="4"/>
      <c r="DE652" s="4"/>
      <c r="DF652" s="4"/>
      <c r="DG652" s="4"/>
      <c r="DH652" s="4" t="s">
        <v>174</v>
      </c>
      <c r="DI652" s="5">
        <v>40874</v>
      </c>
      <c r="DJ652" s="4" t="b">
        <v>0</v>
      </c>
      <c r="DK652" s="4"/>
      <c r="DL652" s="4">
        <v>2517571</v>
      </c>
      <c r="DM652" s="4">
        <v>5995445</v>
      </c>
      <c r="DN652" s="4" t="s">
        <v>3062</v>
      </c>
      <c r="DO652" s="4"/>
      <c r="DP652" s="4" t="s">
        <v>3063</v>
      </c>
      <c r="DQ652" s="4" t="s">
        <v>148</v>
      </c>
      <c r="DR652" s="4"/>
      <c r="DS652" s="4"/>
      <c r="DT652" s="4"/>
      <c r="DU652" s="4"/>
      <c r="DV652" s="4"/>
      <c r="DW652" s="4"/>
      <c r="DX652" s="4"/>
      <c r="DY652" s="4"/>
      <c r="DZ652" s="4"/>
      <c r="EA652" s="4"/>
      <c r="EB652" s="4"/>
      <c r="EC652" s="4"/>
      <c r="ED652" s="4"/>
      <c r="EE652" s="4"/>
      <c r="EF652" s="4"/>
      <c r="EG652" s="5">
        <v>40959</v>
      </c>
      <c r="EH652" s="5">
        <v>40970</v>
      </c>
      <c r="EI652" s="4"/>
    </row>
    <row r="653" spans="1:139" hidden="1" x14ac:dyDescent="0.2">
      <c r="A653" t="str">
        <f>VLOOKUP(B653,Sheet1!$A$1:$B$18,2,FALSE)</f>
        <v>South Island</v>
      </c>
      <c r="B653" t="str">
        <f>LEFT(D653,3)</f>
        <v>STH</v>
      </c>
      <c r="C653" s="2">
        <v>1313</v>
      </c>
      <c r="D653" s="3" t="str">
        <f>HYPERLINK("https://sitebase.nzcomms.co.nz/spm/spmnominalview/STH-075-009/","STH-075-009")</f>
        <v>STH-075-009</v>
      </c>
      <c r="E653" s="4" t="s">
        <v>3955</v>
      </c>
      <c r="F653" s="3" t="str">
        <f>HYPERLINK("https://sitebase.nzcomms.co.nz/spm/spmcandidateview/STH-075-009-A/","STH-075-009-A")</f>
        <v>STH-075-009-A</v>
      </c>
      <c r="G653" s="4" t="s">
        <v>3956</v>
      </c>
      <c r="H653" s="4" t="s">
        <v>3921</v>
      </c>
      <c r="I653" s="4">
        <v>5</v>
      </c>
      <c r="J653" s="4" t="s">
        <v>1633</v>
      </c>
      <c r="K653" s="4" t="s">
        <v>141</v>
      </c>
      <c r="L653" s="4" t="s">
        <v>142</v>
      </c>
      <c r="M653" s="4" t="s">
        <v>190</v>
      </c>
      <c r="N653" s="4" t="s">
        <v>364</v>
      </c>
      <c r="O653" s="4" t="s">
        <v>144</v>
      </c>
      <c r="P653" s="4" t="s">
        <v>182</v>
      </c>
      <c r="Q653" s="4" t="s">
        <v>142</v>
      </c>
      <c r="R653" s="4">
        <v>21.2</v>
      </c>
      <c r="S653" s="4">
        <v>24</v>
      </c>
      <c r="T653" s="4"/>
      <c r="U653" s="4">
        <v>-46.394434709999999</v>
      </c>
      <c r="V653" s="4">
        <v>168.38887994999999</v>
      </c>
      <c r="W653" s="5">
        <v>40325</v>
      </c>
      <c r="X653" s="5">
        <v>40325</v>
      </c>
      <c r="Y653" s="5">
        <v>40333</v>
      </c>
      <c r="Z653" s="5">
        <v>40333</v>
      </c>
      <c r="AA653" s="4" t="s">
        <v>171</v>
      </c>
      <c r="AB653" s="3" t="str">
        <f>HYPERLINK("https://sitebase.nzcomms.co.nz/spm/spmcandidateview/STH-075-001-B/","STH-075-001-B")</f>
        <v>STH-075-001-B</v>
      </c>
      <c r="AC653" s="4" t="b">
        <v>0</v>
      </c>
      <c r="AD653" s="4" t="b">
        <v>0</v>
      </c>
      <c r="AE653" s="5">
        <v>40242</v>
      </c>
      <c r="AF653" s="5">
        <v>40242</v>
      </c>
      <c r="AG653" s="4" t="b">
        <v>0</v>
      </c>
      <c r="AH653" s="4" t="s">
        <v>3313</v>
      </c>
      <c r="AI653" s="5">
        <v>40620</v>
      </c>
      <c r="AJ653" s="5">
        <v>40620</v>
      </c>
      <c r="AK653" s="5">
        <v>40627</v>
      </c>
      <c r="AL653" s="5">
        <v>40623</v>
      </c>
      <c r="AM653" s="5">
        <v>40662</v>
      </c>
      <c r="AN653" s="5">
        <v>40662</v>
      </c>
      <c r="AO653" s="4">
        <v>1</v>
      </c>
      <c r="AP653" s="5">
        <v>40662</v>
      </c>
      <c r="AQ653" s="5">
        <v>40662</v>
      </c>
      <c r="AR653" s="5">
        <v>40711</v>
      </c>
      <c r="AS653" s="5">
        <v>40709</v>
      </c>
      <c r="AT653" s="5">
        <v>40855</v>
      </c>
      <c r="AU653" s="5">
        <v>40848</v>
      </c>
      <c r="AV653" s="4">
        <v>1</v>
      </c>
      <c r="AW653" s="4"/>
      <c r="AX653" s="5">
        <v>40898</v>
      </c>
      <c r="AY653" s="4" t="s">
        <v>183</v>
      </c>
      <c r="AZ653" s="5">
        <v>40708</v>
      </c>
      <c r="BA653" s="5">
        <v>40714</v>
      </c>
      <c r="BB653" s="5">
        <v>40743</v>
      </c>
      <c r="BC653" s="5">
        <v>40730</v>
      </c>
      <c r="BD653" s="4">
        <v>1</v>
      </c>
      <c r="BE653" s="4"/>
      <c r="BF653" s="5">
        <v>40730</v>
      </c>
      <c r="BG653" s="4"/>
      <c r="BH653" s="5">
        <v>40746</v>
      </c>
      <c r="BI653" s="5">
        <v>40794</v>
      </c>
      <c r="BJ653" s="5">
        <v>40799</v>
      </c>
      <c r="BK653" s="4">
        <v>2</v>
      </c>
      <c r="BL653" s="4"/>
      <c r="BM653" s="5">
        <v>40794</v>
      </c>
      <c r="BN653" s="5">
        <v>40855</v>
      </c>
      <c r="BO653" s="5">
        <v>40848</v>
      </c>
      <c r="BP653" s="4"/>
      <c r="BQ653" s="4"/>
      <c r="BR653" s="4"/>
      <c r="BS653" s="4"/>
      <c r="BT653" s="5">
        <v>40875</v>
      </c>
      <c r="BU653" s="5">
        <v>40875</v>
      </c>
      <c r="BV653" s="5">
        <v>40893</v>
      </c>
      <c r="BW653" s="5">
        <v>40892</v>
      </c>
      <c r="BX653" s="5">
        <v>40885</v>
      </c>
      <c r="BY653" s="5">
        <v>40886</v>
      </c>
      <c r="BZ653" s="5">
        <v>40886</v>
      </c>
      <c r="CA653" s="4"/>
      <c r="CB653" s="4"/>
      <c r="CC653" s="4"/>
      <c r="CD653" s="5">
        <v>40731</v>
      </c>
      <c r="CE653" s="4"/>
      <c r="CF653" s="4"/>
      <c r="CG653" s="4"/>
      <c r="CH653" s="4"/>
      <c r="CI653" s="5">
        <v>40886</v>
      </c>
      <c r="CJ653" s="5">
        <v>40899</v>
      </c>
      <c r="CK653" s="5">
        <v>40897</v>
      </c>
      <c r="CL653" s="5">
        <v>40927</v>
      </c>
      <c r="CM653" s="5">
        <v>40927</v>
      </c>
      <c r="CN653" s="5">
        <v>41414</v>
      </c>
      <c r="CO653" s="5">
        <v>41411</v>
      </c>
      <c r="CP653" s="4" t="s">
        <v>3957</v>
      </c>
      <c r="CQ653" s="4" t="s">
        <v>230</v>
      </c>
      <c r="CR653" s="5">
        <v>40886</v>
      </c>
      <c r="CS653" s="5">
        <v>40764</v>
      </c>
      <c r="CT653" s="5">
        <v>40764</v>
      </c>
      <c r="CU653" s="5">
        <v>40820</v>
      </c>
      <c r="CV653" s="5">
        <v>40848</v>
      </c>
      <c r="CW653" s="5">
        <v>40828</v>
      </c>
      <c r="CX653" s="5">
        <v>40848</v>
      </c>
      <c r="CY653" s="5">
        <v>40885</v>
      </c>
      <c r="CZ653" s="5">
        <v>40885</v>
      </c>
      <c r="DA653" s="4"/>
      <c r="DB653" s="5">
        <v>40892</v>
      </c>
      <c r="DC653" s="4"/>
      <c r="DD653" s="4"/>
      <c r="DE653" s="4"/>
      <c r="DF653" s="4"/>
      <c r="DG653" s="4"/>
      <c r="DH653" s="4" t="s">
        <v>174</v>
      </c>
      <c r="DI653" s="5">
        <v>40883</v>
      </c>
      <c r="DJ653" s="4" t="b">
        <v>0</v>
      </c>
      <c r="DK653" s="4"/>
      <c r="DL653" s="4">
        <v>2155274</v>
      </c>
      <c r="DM653" s="4">
        <v>5413774</v>
      </c>
      <c r="DN653" s="4" t="s">
        <v>3958</v>
      </c>
      <c r="DO653" s="4"/>
      <c r="DP653" s="4" t="s">
        <v>3959</v>
      </c>
      <c r="DQ653" s="4" t="s">
        <v>148</v>
      </c>
      <c r="DR653" s="4"/>
      <c r="DS653" s="4"/>
      <c r="DT653" s="4"/>
      <c r="DU653" s="4"/>
      <c r="DV653" s="4"/>
      <c r="DW653" s="4"/>
      <c r="DX653" s="4"/>
      <c r="DY653" s="4"/>
      <c r="DZ653" s="4"/>
      <c r="EA653" s="4"/>
      <c r="EB653" s="4"/>
      <c r="EC653" s="4"/>
      <c r="ED653" s="4"/>
      <c r="EE653" s="4"/>
      <c r="EF653" s="4"/>
      <c r="EG653" s="5">
        <v>40899</v>
      </c>
      <c r="EH653" s="5">
        <v>40917</v>
      </c>
      <c r="EI653" s="4"/>
    </row>
    <row r="654" spans="1:139" hidden="1" x14ac:dyDescent="0.2">
      <c r="A654" t="str">
        <f>VLOOKUP(B654,Sheet1!$A$1:$B$18,2,FALSE)</f>
        <v>South Island</v>
      </c>
      <c r="B654" t="str">
        <f>LEFT(D654,3)</f>
        <v>OTG</v>
      </c>
      <c r="C654" s="2">
        <v>1233</v>
      </c>
      <c r="D654" s="3" t="str">
        <f>HYPERLINK("https://sitebase.nzcomms.co.nz/spm/spmnominalview/OTG-071-011/","OTG-071-011")</f>
        <v>OTG-071-011</v>
      </c>
      <c r="E654" s="4" t="s">
        <v>3773</v>
      </c>
      <c r="F654" s="3" t="str">
        <f>HYPERLINK("https://sitebase.nzcomms.co.nz/spm/spmcandidateview/OTG-071-011-E/","OTG-071-011-E")</f>
        <v>OTG-071-011-E</v>
      </c>
      <c r="G654" s="4" t="s">
        <v>3774</v>
      </c>
      <c r="H654" s="4" t="s">
        <v>3727</v>
      </c>
      <c r="I654" s="4">
        <v>4</v>
      </c>
      <c r="J654" s="4" t="s">
        <v>1633</v>
      </c>
      <c r="K654" s="4" t="s">
        <v>141</v>
      </c>
      <c r="L654" s="4" t="s">
        <v>150</v>
      </c>
      <c r="M654" s="4" t="s">
        <v>190</v>
      </c>
      <c r="N654" s="4" t="s">
        <v>3750</v>
      </c>
      <c r="O654" s="4"/>
      <c r="P654" s="4" t="s">
        <v>182</v>
      </c>
      <c r="Q654" s="4" t="s">
        <v>192</v>
      </c>
      <c r="R654" s="4">
        <v>20</v>
      </c>
      <c r="S654" s="4">
        <v>25</v>
      </c>
      <c r="T654" s="4">
        <v>1</v>
      </c>
      <c r="U654" s="4">
        <v>-45.89552905</v>
      </c>
      <c r="V654" s="4">
        <v>170.49248044999999</v>
      </c>
      <c r="W654" s="5">
        <v>40325</v>
      </c>
      <c r="X654" s="4"/>
      <c r="Y654" s="5">
        <v>40296</v>
      </c>
      <c r="Z654" s="5">
        <v>40296</v>
      </c>
      <c r="AA654" s="4" t="s">
        <v>171</v>
      </c>
      <c r="AB654" s="3" t="str">
        <f>HYPERLINK("https://sitebase.nzcomms.co.nz/spm/spmcandidateview/OTG-071-007-A/","OTG-071-007-A")</f>
        <v>OTG-071-007-A</v>
      </c>
      <c r="AC654" s="4" t="b">
        <v>0</v>
      </c>
      <c r="AD654" s="4" t="b">
        <v>0</v>
      </c>
      <c r="AE654" s="5">
        <v>40164</v>
      </c>
      <c r="AF654" s="5">
        <v>40164</v>
      </c>
      <c r="AG654" s="4" t="b">
        <v>0</v>
      </c>
      <c r="AH654" s="4"/>
      <c r="AI654" s="5">
        <v>40648</v>
      </c>
      <c r="AJ654" s="5">
        <v>40634</v>
      </c>
      <c r="AK654" s="5">
        <v>40659</v>
      </c>
      <c r="AL654" s="5">
        <v>40659</v>
      </c>
      <c r="AM654" s="5">
        <v>40680</v>
      </c>
      <c r="AN654" s="5">
        <v>40681</v>
      </c>
      <c r="AO654" s="4">
        <v>2</v>
      </c>
      <c r="AP654" s="5">
        <v>40823</v>
      </c>
      <c r="AQ654" s="5">
        <v>41960</v>
      </c>
      <c r="AR654" s="4"/>
      <c r="AS654" s="5">
        <v>40688</v>
      </c>
      <c r="AT654" s="5">
        <v>40722</v>
      </c>
      <c r="AU654" s="5">
        <v>40718</v>
      </c>
      <c r="AV654" s="4">
        <v>1</v>
      </c>
      <c r="AW654" s="4"/>
      <c r="AX654" s="5">
        <v>40725</v>
      </c>
      <c r="AY654" s="4" t="s">
        <v>172</v>
      </c>
      <c r="AZ654" s="5">
        <v>40690</v>
      </c>
      <c r="BA654" s="5">
        <v>40686</v>
      </c>
      <c r="BB654" s="5">
        <v>40711</v>
      </c>
      <c r="BC654" s="5">
        <v>40715</v>
      </c>
      <c r="BD654" s="4">
        <v>1</v>
      </c>
      <c r="BE654" s="4"/>
      <c r="BF654" s="5">
        <v>40715</v>
      </c>
      <c r="BG654" s="4"/>
      <c r="BH654" s="5">
        <v>40746</v>
      </c>
      <c r="BI654" s="5">
        <v>40798</v>
      </c>
      <c r="BJ654" s="5">
        <v>40816</v>
      </c>
      <c r="BK654" s="4">
        <v>1</v>
      </c>
      <c r="BL654" s="4"/>
      <c r="BM654" s="5">
        <v>40798</v>
      </c>
      <c r="BN654" s="5">
        <v>40816</v>
      </c>
      <c r="BO654" s="5">
        <v>40889</v>
      </c>
      <c r="BP654" s="4"/>
      <c r="BQ654" s="4"/>
      <c r="BR654" s="5">
        <v>40781</v>
      </c>
      <c r="BS654" s="4"/>
      <c r="BT654" s="5">
        <v>40826</v>
      </c>
      <c r="BU654" s="5">
        <v>40834</v>
      </c>
      <c r="BV654" s="5">
        <v>40893</v>
      </c>
      <c r="BW654" s="5">
        <v>40896</v>
      </c>
      <c r="BX654" s="5">
        <v>40857</v>
      </c>
      <c r="BY654" s="5">
        <v>40885</v>
      </c>
      <c r="BZ654" s="5">
        <v>40896</v>
      </c>
      <c r="CA654" s="4"/>
      <c r="CB654" s="4"/>
      <c r="CC654" s="4"/>
      <c r="CD654" s="4"/>
      <c r="CE654" s="4"/>
      <c r="CF654" s="4"/>
      <c r="CG654" s="4"/>
      <c r="CH654" s="4"/>
      <c r="CI654" s="5">
        <v>40896</v>
      </c>
      <c r="CJ654" s="5">
        <v>40920</v>
      </c>
      <c r="CK654" s="5">
        <v>40898</v>
      </c>
      <c r="CL654" s="5">
        <v>40870</v>
      </c>
      <c r="CM654" s="5">
        <v>40939</v>
      </c>
      <c r="CN654" s="5">
        <v>41029</v>
      </c>
      <c r="CO654" s="5">
        <v>41372</v>
      </c>
      <c r="CP654" s="4" t="s">
        <v>3775</v>
      </c>
      <c r="CQ654" s="4"/>
      <c r="CR654" s="5">
        <v>40924</v>
      </c>
      <c r="CS654" s="5">
        <v>40736</v>
      </c>
      <c r="CT654" s="5">
        <v>40736</v>
      </c>
      <c r="CU654" s="5">
        <v>40820</v>
      </c>
      <c r="CV654" s="5">
        <v>40837</v>
      </c>
      <c r="CW654" s="5">
        <v>40889</v>
      </c>
      <c r="CX654" s="5">
        <v>40889</v>
      </c>
      <c r="CY654" s="5">
        <v>40862</v>
      </c>
      <c r="CZ654" s="5">
        <v>40861</v>
      </c>
      <c r="DA654" s="4"/>
      <c r="DB654" s="5">
        <v>40931</v>
      </c>
      <c r="DC654" s="4"/>
      <c r="DD654" s="4"/>
      <c r="DE654" s="4"/>
      <c r="DF654" s="4"/>
      <c r="DG654" s="4"/>
      <c r="DH654" s="4"/>
      <c r="DI654" s="5">
        <v>40851</v>
      </c>
      <c r="DJ654" s="4" t="b">
        <v>1</v>
      </c>
      <c r="DK654" s="4"/>
      <c r="DL654" s="4">
        <v>2315261</v>
      </c>
      <c r="DM654" s="4">
        <v>5476152</v>
      </c>
      <c r="DN654" s="4" t="s">
        <v>3776</v>
      </c>
      <c r="DO654" s="4"/>
      <c r="DP654" s="4" t="s">
        <v>3777</v>
      </c>
      <c r="DQ654" s="4" t="s">
        <v>148</v>
      </c>
      <c r="DR654" s="4"/>
      <c r="DS654" s="4"/>
      <c r="DT654" s="5">
        <v>42096</v>
      </c>
      <c r="DU654" s="4"/>
      <c r="DV654" s="4"/>
      <c r="DW654" s="4"/>
      <c r="DX654" s="4"/>
      <c r="DY654" s="4"/>
      <c r="DZ654" s="4"/>
      <c r="EA654" s="4"/>
      <c r="EB654" s="4"/>
      <c r="EC654" s="4"/>
      <c r="ED654" s="4"/>
      <c r="EE654" s="4"/>
      <c r="EF654" s="4"/>
      <c r="EG654" s="5">
        <v>40934</v>
      </c>
      <c r="EH654" s="5">
        <v>40931</v>
      </c>
      <c r="EI654" s="4"/>
    </row>
    <row r="655" spans="1:139" hidden="1" x14ac:dyDescent="0.2">
      <c r="A655" t="str">
        <f>VLOOKUP(B655,Sheet1!$A$1:$B$18,2,FALSE)</f>
        <v>South Island</v>
      </c>
      <c r="B655" t="str">
        <f>LEFT(D655,3)</f>
        <v>OTG</v>
      </c>
      <c r="C655" s="2">
        <v>1264</v>
      </c>
      <c r="D655" s="3" t="str">
        <f>HYPERLINK("https://sitebase.nzcomms.co.nz/spm/spmnominalview/OTG-071-042/","OTG-071-042")</f>
        <v>OTG-071-042</v>
      </c>
      <c r="E655" s="4" t="s">
        <v>3837</v>
      </c>
      <c r="F655" s="3" t="str">
        <f>HYPERLINK("https://sitebase.nzcomms.co.nz/spm/spmcandidateview/OTG-071-042-F/","OTG-071-042-F")</f>
        <v>OTG-071-042-F</v>
      </c>
      <c r="G655" s="4" t="s">
        <v>3838</v>
      </c>
      <c r="H655" s="4" t="s">
        <v>3727</v>
      </c>
      <c r="I655" s="4">
        <v>4</v>
      </c>
      <c r="J655" s="4" t="s">
        <v>1633</v>
      </c>
      <c r="K655" s="4" t="s">
        <v>141</v>
      </c>
      <c r="L655" s="4" t="s">
        <v>189</v>
      </c>
      <c r="M655" s="4" t="s">
        <v>190</v>
      </c>
      <c r="N655" s="4" t="s">
        <v>1158</v>
      </c>
      <c r="O655" s="4" t="s">
        <v>3832</v>
      </c>
      <c r="P655" s="4" t="s">
        <v>182</v>
      </c>
      <c r="Q655" s="4" t="s">
        <v>192</v>
      </c>
      <c r="R655" s="4">
        <v>13</v>
      </c>
      <c r="S655" s="4">
        <v>13.8</v>
      </c>
      <c r="T655" s="4">
        <v>1</v>
      </c>
      <c r="U655" s="4">
        <v>-45.856337949999997</v>
      </c>
      <c r="V655" s="4">
        <v>170.51518067999999</v>
      </c>
      <c r="W655" s="5">
        <v>40325</v>
      </c>
      <c r="X655" s="4"/>
      <c r="Y655" s="5">
        <v>40296</v>
      </c>
      <c r="Z655" s="5">
        <v>40296</v>
      </c>
      <c r="AA655" s="4" t="s">
        <v>171</v>
      </c>
      <c r="AB655" s="3" t="str">
        <f>HYPERLINK("https://sitebase.nzcomms.co.nz/spm/spmcandidateview/OTG-071-009-C/","OTG-071-009-C")</f>
        <v>OTG-071-009-C</v>
      </c>
      <c r="AC655" s="4" t="b">
        <v>0</v>
      </c>
      <c r="AD655" s="4" t="b">
        <v>0</v>
      </c>
      <c r="AE655" s="5">
        <v>40164</v>
      </c>
      <c r="AF655" s="5">
        <v>40164</v>
      </c>
      <c r="AG655" s="4" t="b">
        <v>0</v>
      </c>
      <c r="AH655" s="4"/>
      <c r="AI655" s="5">
        <v>40676</v>
      </c>
      <c r="AJ655" s="5">
        <v>40676</v>
      </c>
      <c r="AK655" s="5">
        <v>40681</v>
      </c>
      <c r="AL655" s="5">
        <v>40680</v>
      </c>
      <c r="AM655" s="5">
        <v>40704</v>
      </c>
      <c r="AN655" s="5">
        <v>40704</v>
      </c>
      <c r="AO655" s="4">
        <v>4</v>
      </c>
      <c r="AP655" s="5">
        <v>40704</v>
      </c>
      <c r="AQ655" s="5">
        <v>41961</v>
      </c>
      <c r="AR655" s="4"/>
      <c r="AS655" s="5">
        <v>40765</v>
      </c>
      <c r="AT655" s="5">
        <v>40793</v>
      </c>
      <c r="AU655" s="5">
        <v>40793</v>
      </c>
      <c r="AV655" s="4">
        <v>3</v>
      </c>
      <c r="AW655" s="4"/>
      <c r="AX655" s="5">
        <v>40793</v>
      </c>
      <c r="AY655" s="4" t="s">
        <v>172</v>
      </c>
      <c r="AZ655" s="5">
        <v>40765</v>
      </c>
      <c r="BA655" s="5">
        <v>40767</v>
      </c>
      <c r="BB655" s="5">
        <v>40809</v>
      </c>
      <c r="BC655" s="5">
        <v>40807</v>
      </c>
      <c r="BD655" s="4">
        <v>3</v>
      </c>
      <c r="BE655" s="4"/>
      <c r="BF655" s="5">
        <v>40807</v>
      </c>
      <c r="BG655" s="4"/>
      <c r="BH655" s="4"/>
      <c r="BI655" s="5">
        <v>40865</v>
      </c>
      <c r="BJ655" s="5">
        <v>40871</v>
      </c>
      <c r="BK655" s="4">
        <v>1</v>
      </c>
      <c r="BL655" s="4"/>
      <c r="BM655" s="5">
        <v>40865</v>
      </c>
      <c r="BN655" s="5">
        <v>40871</v>
      </c>
      <c r="BO655" s="5">
        <v>40863</v>
      </c>
      <c r="BP655" s="4"/>
      <c r="BQ655" s="4"/>
      <c r="BR655" s="5">
        <v>40836</v>
      </c>
      <c r="BS655" s="4"/>
      <c r="BT655" s="5">
        <v>40886</v>
      </c>
      <c r="BU655" s="5">
        <v>40889</v>
      </c>
      <c r="BV655" s="5">
        <v>40895</v>
      </c>
      <c r="BW655" s="5">
        <v>40925</v>
      </c>
      <c r="BX655" s="5">
        <v>40895</v>
      </c>
      <c r="BY655" s="5">
        <v>40898</v>
      </c>
      <c r="BZ655" s="5">
        <v>40917</v>
      </c>
      <c r="CA655" s="4"/>
      <c r="CB655" s="4"/>
      <c r="CC655" s="4"/>
      <c r="CD655" s="4"/>
      <c r="CE655" s="4"/>
      <c r="CF655" s="4"/>
      <c r="CG655" s="4"/>
      <c r="CH655" s="4"/>
      <c r="CI655" s="5">
        <v>40917</v>
      </c>
      <c r="CJ655" s="5">
        <v>40935</v>
      </c>
      <c r="CK655" s="5">
        <v>40925</v>
      </c>
      <c r="CL655" s="5">
        <v>40935</v>
      </c>
      <c r="CM655" s="5">
        <v>40947</v>
      </c>
      <c r="CN655" s="5">
        <v>41523</v>
      </c>
      <c r="CO655" s="5">
        <v>41520</v>
      </c>
      <c r="CP655" s="4" t="s">
        <v>3760</v>
      </c>
      <c r="CQ655" s="4"/>
      <c r="CR655" s="5">
        <v>40898</v>
      </c>
      <c r="CS655" s="5">
        <v>40800</v>
      </c>
      <c r="CT655" s="5">
        <v>40800</v>
      </c>
      <c r="CU655" s="5">
        <v>40882</v>
      </c>
      <c r="CV655" s="5">
        <v>40855</v>
      </c>
      <c r="CW655" s="5">
        <v>40876</v>
      </c>
      <c r="CX655" s="5">
        <v>40863</v>
      </c>
      <c r="CY655" s="5">
        <v>40897</v>
      </c>
      <c r="CZ655" s="5">
        <v>40912</v>
      </c>
      <c r="DA655" s="4"/>
      <c r="DB655" s="5">
        <v>40932</v>
      </c>
      <c r="DC655" s="4"/>
      <c r="DD655" s="4"/>
      <c r="DE655" s="4"/>
      <c r="DF655" s="4"/>
      <c r="DG655" s="4"/>
      <c r="DH655" s="4" t="s">
        <v>174</v>
      </c>
      <c r="DI655" s="5">
        <v>40896</v>
      </c>
      <c r="DJ655" s="4" t="b">
        <v>1</v>
      </c>
      <c r="DK655" s="4"/>
      <c r="DL655" s="4">
        <v>2316893</v>
      </c>
      <c r="DM655" s="4">
        <v>5480559</v>
      </c>
      <c r="DN655" s="4" t="s">
        <v>3839</v>
      </c>
      <c r="DO655" s="4"/>
      <c r="DP655" s="4"/>
      <c r="DQ655" s="4" t="s">
        <v>148</v>
      </c>
      <c r="DR655" s="4"/>
      <c r="DS655" s="4"/>
      <c r="DT655" s="4"/>
      <c r="DU655" s="4"/>
      <c r="DV655" s="4"/>
      <c r="DW655" s="4"/>
      <c r="DX655" s="4"/>
      <c r="DY655" s="4"/>
      <c r="DZ655" s="4"/>
      <c r="EA655" s="4"/>
      <c r="EB655" s="4"/>
      <c r="EC655" s="4"/>
      <c r="ED655" s="4"/>
      <c r="EE655" s="4"/>
      <c r="EF655" s="4"/>
      <c r="EG655" s="5">
        <v>40932</v>
      </c>
      <c r="EH655" s="5">
        <v>40932</v>
      </c>
      <c r="EI655" s="5">
        <v>40680</v>
      </c>
    </row>
    <row r="656" spans="1:139" hidden="1" x14ac:dyDescent="0.2">
      <c r="A656" t="str">
        <f>VLOOKUP(B656,Sheet1!$A$1:$B$18,2,FALSE)</f>
        <v>South Island</v>
      </c>
      <c r="B656" t="str">
        <f>LEFT(D656,3)</f>
        <v>CAN</v>
      </c>
      <c r="C656" s="2">
        <v>678</v>
      </c>
      <c r="D656" s="3" t="str">
        <f>HYPERLINK("https://sitebase.nzcomms.co.nz/spm/spmnominalview/CAN-063-004/","CAN-063-004")</f>
        <v>CAN-063-004</v>
      </c>
      <c r="E656" s="4" t="s">
        <v>2205</v>
      </c>
      <c r="F656" s="3" t="str">
        <f>HYPERLINK("https://sitebase.nzcomms.co.nz/spm/spmcandidateview/CAN-063-004-A/","CAN-063-004-A")</f>
        <v>CAN-063-004-A</v>
      </c>
      <c r="G656" s="4" t="s">
        <v>2206</v>
      </c>
      <c r="H656" s="4" t="s">
        <v>2195</v>
      </c>
      <c r="I656" s="4">
        <v>5</v>
      </c>
      <c r="J656" s="4" t="s">
        <v>1633</v>
      </c>
      <c r="K656" s="4" t="s">
        <v>141</v>
      </c>
      <c r="L656" s="4" t="s">
        <v>142</v>
      </c>
      <c r="M656" s="4" t="s">
        <v>190</v>
      </c>
      <c r="N656" s="4" t="s">
        <v>1986</v>
      </c>
      <c r="O656" s="4"/>
      <c r="P656" s="4" t="s">
        <v>182</v>
      </c>
      <c r="Q656" s="4" t="s">
        <v>142</v>
      </c>
      <c r="R656" s="4"/>
      <c r="S656" s="4">
        <v>35</v>
      </c>
      <c r="T656" s="4"/>
      <c r="U656" s="4">
        <v>-43.905752640000003</v>
      </c>
      <c r="V656" s="4">
        <v>171.74070291000001</v>
      </c>
      <c r="W656" s="4"/>
      <c r="X656" s="4"/>
      <c r="Y656" s="4"/>
      <c r="Z656" s="4"/>
      <c r="AA656" s="4"/>
      <c r="AB656" s="4"/>
      <c r="AC656" s="4" t="b">
        <v>0</v>
      </c>
      <c r="AD656" s="4" t="b">
        <v>0</v>
      </c>
      <c r="AE656" s="4"/>
      <c r="AF656" s="4"/>
      <c r="AG656" s="4" t="b">
        <v>0</v>
      </c>
      <c r="AH656" s="4"/>
      <c r="AI656" s="4"/>
      <c r="AJ656" s="5">
        <v>40682</v>
      </c>
      <c r="AK656" s="5">
        <v>40732</v>
      </c>
      <c r="AL656" s="5">
        <v>40732</v>
      </c>
      <c r="AM656" s="5">
        <v>40753</v>
      </c>
      <c r="AN656" s="5">
        <v>40757</v>
      </c>
      <c r="AO656" s="4">
        <v>2</v>
      </c>
      <c r="AP656" s="5">
        <v>40786</v>
      </c>
      <c r="AQ656" s="5">
        <v>40794</v>
      </c>
      <c r="AR656" s="5">
        <v>40798</v>
      </c>
      <c r="AS656" s="5">
        <v>40798</v>
      </c>
      <c r="AT656" s="5">
        <v>40861</v>
      </c>
      <c r="AU656" s="5">
        <v>40863</v>
      </c>
      <c r="AV656" s="4">
        <v>2</v>
      </c>
      <c r="AW656" s="5">
        <v>40876</v>
      </c>
      <c r="AX656" s="5">
        <v>40885</v>
      </c>
      <c r="AY656" s="4" t="s">
        <v>183</v>
      </c>
      <c r="AZ656" s="5">
        <v>40795</v>
      </c>
      <c r="BA656" s="5">
        <v>40794</v>
      </c>
      <c r="BB656" s="5">
        <v>40830</v>
      </c>
      <c r="BC656" s="5">
        <v>40814</v>
      </c>
      <c r="BD656" s="4">
        <v>2</v>
      </c>
      <c r="BE656" s="4"/>
      <c r="BF656" s="5">
        <v>40816</v>
      </c>
      <c r="BG656" s="4"/>
      <c r="BH656" s="4"/>
      <c r="BI656" s="5">
        <v>40872</v>
      </c>
      <c r="BJ656" s="5">
        <v>40882</v>
      </c>
      <c r="BK656" s="4">
        <v>1</v>
      </c>
      <c r="BL656" s="4"/>
      <c r="BM656" s="5">
        <v>40872</v>
      </c>
      <c r="BN656" s="5">
        <v>40882</v>
      </c>
      <c r="BO656" s="5">
        <v>40917</v>
      </c>
      <c r="BP656" s="4"/>
      <c r="BQ656" s="4"/>
      <c r="BR656" s="4"/>
      <c r="BS656" s="4"/>
      <c r="BT656" s="5">
        <v>40917</v>
      </c>
      <c r="BU656" s="5">
        <v>40896</v>
      </c>
      <c r="BV656" s="5">
        <v>40928</v>
      </c>
      <c r="BW656" s="5">
        <v>40931</v>
      </c>
      <c r="BX656" s="5">
        <v>40895</v>
      </c>
      <c r="BY656" s="5">
        <v>40928</v>
      </c>
      <c r="BZ656" s="5">
        <v>40935</v>
      </c>
      <c r="CA656" s="4"/>
      <c r="CB656" s="4"/>
      <c r="CC656" s="4"/>
      <c r="CD656" s="4"/>
      <c r="CE656" s="4"/>
      <c r="CF656" s="4"/>
      <c r="CG656" s="4"/>
      <c r="CH656" s="4"/>
      <c r="CI656" s="5">
        <v>40931</v>
      </c>
      <c r="CJ656" s="5">
        <v>40939</v>
      </c>
      <c r="CK656" s="5">
        <v>40939</v>
      </c>
      <c r="CL656" s="5">
        <v>40970</v>
      </c>
      <c r="CM656" s="5">
        <v>40969</v>
      </c>
      <c r="CN656" s="5">
        <v>41059</v>
      </c>
      <c r="CO656" s="5">
        <v>41193</v>
      </c>
      <c r="CP656" s="4" t="s">
        <v>2207</v>
      </c>
      <c r="CQ656" s="4" t="s">
        <v>230</v>
      </c>
      <c r="CR656" s="5">
        <v>40928</v>
      </c>
      <c r="CS656" s="5">
        <v>40800</v>
      </c>
      <c r="CT656" s="5">
        <v>40800</v>
      </c>
      <c r="CU656" s="5">
        <v>40886</v>
      </c>
      <c r="CV656" s="5">
        <v>40891</v>
      </c>
      <c r="CW656" s="5">
        <v>40899</v>
      </c>
      <c r="CX656" s="5">
        <v>40917</v>
      </c>
      <c r="CY656" s="5">
        <v>40919</v>
      </c>
      <c r="CZ656" s="5">
        <v>40917</v>
      </c>
      <c r="DA656" s="4"/>
      <c r="DB656" s="5">
        <v>40955</v>
      </c>
      <c r="DC656" s="4"/>
      <c r="DD656" s="4"/>
      <c r="DE656" s="4"/>
      <c r="DF656" s="4"/>
      <c r="DG656" s="4"/>
      <c r="DH656" s="4"/>
      <c r="DI656" s="5">
        <v>40918</v>
      </c>
      <c r="DJ656" s="4" t="b">
        <v>0</v>
      </c>
      <c r="DK656" s="4"/>
      <c r="DL656" s="4">
        <v>2408850</v>
      </c>
      <c r="DM656" s="4">
        <v>5699431</v>
      </c>
      <c r="DN656" s="4" t="s">
        <v>2208</v>
      </c>
      <c r="DO656" s="4"/>
      <c r="DP656" s="4"/>
      <c r="DQ656" s="4" t="s">
        <v>148</v>
      </c>
      <c r="DR656" s="4"/>
      <c r="DS656" s="4"/>
      <c r="DT656" s="5">
        <v>42082</v>
      </c>
      <c r="DU656" s="4"/>
      <c r="DV656" s="4"/>
      <c r="DW656" s="4"/>
      <c r="DX656" s="4"/>
      <c r="DY656" s="4"/>
      <c r="DZ656" s="4"/>
      <c r="EA656" s="4"/>
      <c r="EB656" s="4"/>
      <c r="EC656" s="4"/>
      <c r="ED656" s="4"/>
      <c r="EE656" s="4"/>
      <c r="EF656" s="4"/>
      <c r="EG656" s="5">
        <v>40954</v>
      </c>
      <c r="EH656" s="5">
        <v>40955</v>
      </c>
      <c r="EI656" s="5">
        <v>40732</v>
      </c>
    </row>
    <row r="657" spans="1:139" hidden="1" x14ac:dyDescent="0.2">
      <c r="A657" t="str">
        <f>VLOOKUP(B657,Sheet1!$A$1:$B$18,2,FALSE)</f>
        <v>South Island</v>
      </c>
      <c r="B657" t="str">
        <f>LEFT(D657,3)</f>
        <v>CAN</v>
      </c>
      <c r="C657" s="2">
        <v>681</v>
      </c>
      <c r="D657" s="3" t="str">
        <f>HYPERLINK("https://sitebase.nzcomms.co.nz/spm/spmnominalview/CAN-063-007/","CAN-063-007")</f>
        <v>CAN-063-007</v>
      </c>
      <c r="E657" s="4" t="s">
        <v>2220</v>
      </c>
      <c r="F657" s="3" t="str">
        <f>HYPERLINK("https://sitebase.nzcomms.co.nz/spm/spmcandidateview/CAN-063-007-E/","CAN-063-007-E")</f>
        <v>CAN-063-007-E</v>
      </c>
      <c r="G657" s="4" t="s">
        <v>2221</v>
      </c>
      <c r="H657" s="4" t="s">
        <v>2195</v>
      </c>
      <c r="I657" s="4">
        <v>5</v>
      </c>
      <c r="J657" s="4" t="s">
        <v>1633</v>
      </c>
      <c r="K657" s="4" t="s">
        <v>141</v>
      </c>
      <c r="L657" s="4" t="s">
        <v>150</v>
      </c>
      <c r="M657" s="4" t="s">
        <v>190</v>
      </c>
      <c r="N657" s="4" t="s">
        <v>346</v>
      </c>
      <c r="O657" s="4"/>
      <c r="P657" s="4" t="s">
        <v>182</v>
      </c>
      <c r="Q657" s="4" t="s">
        <v>192</v>
      </c>
      <c r="R657" s="4">
        <v>35</v>
      </c>
      <c r="S657" s="4">
        <v>35</v>
      </c>
      <c r="T657" s="4"/>
      <c r="U657" s="4">
        <v>-43.889282590000001</v>
      </c>
      <c r="V657" s="4">
        <v>171.77451465999999</v>
      </c>
      <c r="W657" s="4"/>
      <c r="X657" s="4"/>
      <c r="Y657" s="4"/>
      <c r="Z657" s="4"/>
      <c r="AA657" s="4" t="s">
        <v>145</v>
      </c>
      <c r="AB657" s="3" t="str">
        <f>HYPERLINK("https://sitebase.nzcomms.co.nz/spm/spmcandidateview/CAN-063-004-A/","CAN-063-004-A")</f>
        <v>CAN-063-004-A</v>
      </c>
      <c r="AC657" s="4" t="b">
        <v>0</v>
      </c>
      <c r="AD657" s="4" t="b">
        <v>0</v>
      </c>
      <c r="AE657" s="4"/>
      <c r="AF657" s="4"/>
      <c r="AG657" s="4" t="b">
        <v>0</v>
      </c>
      <c r="AH657" s="4"/>
      <c r="AI657" s="5">
        <v>40702</v>
      </c>
      <c r="AJ657" s="5">
        <v>40702</v>
      </c>
      <c r="AK657" s="5">
        <v>40722</v>
      </c>
      <c r="AL657" s="5">
        <v>40722</v>
      </c>
      <c r="AM657" s="5">
        <v>40737</v>
      </c>
      <c r="AN657" s="5">
        <v>40737</v>
      </c>
      <c r="AO657" s="4">
        <v>1</v>
      </c>
      <c r="AP657" s="5">
        <v>40737</v>
      </c>
      <c r="AQ657" s="5">
        <v>40737</v>
      </c>
      <c r="AR657" s="4"/>
      <c r="AS657" s="5">
        <v>40738</v>
      </c>
      <c r="AT657" s="5">
        <v>40765</v>
      </c>
      <c r="AU657" s="5">
        <v>40771</v>
      </c>
      <c r="AV657" s="4">
        <v>1</v>
      </c>
      <c r="AW657" s="4"/>
      <c r="AX657" s="5">
        <v>40785</v>
      </c>
      <c r="AY657" s="4" t="s">
        <v>183</v>
      </c>
      <c r="AZ657" s="5">
        <v>40739</v>
      </c>
      <c r="BA657" s="5">
        <v>40739</v>
      </c>
      <c r="BB657" s="5">
        <v>40773</v>
      </c>
      <c r="BC657" s="5">
        <v>40767</v>
      </c>
      <c r="BD657" s="4">
        <v>1</v>
      </c>
      <c r="BE657" s="4"/>
      <c r="BF657" s="5">
        <v>40767</v>
      </c>
      <c r="BG657" s="4"/>
      <c r="BH657" s="4"/>
      <c r="BI657" s="5">
        <v>40886</v>
      </c>
      <c r="BJ657" s="5">
        <v>40865</v>
      </c>
      <c r="BK657" s="4">
        <v>2</v>
      </c>
      <c r="BL657" s="4"/>
      <c r="BM657" s="5">
        <v>40886</v>
      </c>
      <c r="BN657" s="5">
        <v>40870</v>
      </c>
      <c r="BO657" s="5">
        <v>40889</v>
      </c>
      <c r="BP657" s="4"/>
      <c r="BQ657" s="4"/>
      <c r="BR657" s="5">
        <v>40893</v>
      </c>
      <c r="BS657" s="4"/>
      <c r="BT657" s="5">
        <v>40876</v>
      </c>
      <c r="BU657" s="5">
        <v>40876</v>
      </c>
      <c r="BV657" s="5">
        <v>40939</v>
      </c>
      <c r="BW657" s="5">
        <v>40940</v>
      </c>
      <c r="BX657" s="5">
        <v>40890</v>
      </c>
      <c r="BY657" s="5">
        <v>40922</v>
      </c>
      <c r="BZ657" s="5">
        <v>40928</v>
      </c>
      <c r="CA657" s="4"/>
      <c r="CB657" s="4"/>
      <c r="CC657" s="4"/>
      <c r="CD657" s="4"/>
      <c r="CE657" s="4"/>
      <c r="CF657" s="4"/>
      <c r="CG657" s="4"/>
      <c r="CH657" s="4"/>
      <c r="CI657" s="5">
        <v>40934</v>
      </c>
      <c r="CJ657" s="5">
        <v>40939</v>
      </c>
      <c r="CK657" s="5">
        <v>40939</v>
      </c>
      <c r="CL657" s="5">
        <v>40959</v>
      </c>
      <c r="CM657" s="5">
        <v>40968</v>
      </c>
      <c r="CN657" s="5">
        <v>41058</v>
      </c>
      <c r="CO657" s="5">
        <v>41372</v>
      </c>
      <c r="CP657" s="4" t="s">
        <v>2222</v>
      </c>
      <c r="CQ657" s="4"/>
      <c r="CR657" s="5">
        <v>40931</v>
      </c>
      <c r="CS657" s="5">
        <v>40800</v>
      </c>
      <c r="CT657" s="5">
        <v>40800</v>
      </c>
      <c r="CU657" s="5">
        <v>40889</v>
      </c>
      <c r="CV657" s="5">
        <v>40884</v>
      </c>
      <c r="CW657" s="5">
        <v>40889</v>
      </c>
      <c r="CX657" s="5">
        <v>40889</v>
      </c>
      <c r="CY657" s="5">
        <v>40892</v>
      </c>
      <c r="CZ657" s="5">
        <v>40890</v>
      </c>
      <c r="DA657" s="4"/>
      <c r="DB657" s="5">
        <v>40955</v>
      </c>
      <c r="DC657" s="4"/>
      <c r="DD657" s="4"/>
      <c r="DE657" s="4"/>
      <c r="DF657" s="4"/>
      <c r="DG657" s="4"/>
      <c r="DH657" s="4"/>
      <c r="DI657" s="5">
        <v>40892</v>
      </c>
      <c r="DJ657" s="4" t="b">
        <v>1</v>
      </c>
      <c r="DK657" s="4"/>
      <c r="DL657" s="4">
        <v>2411539</v>
      </c>
      <c r="DM657" s="4">
        <v>5701301</v>
      </c>
      <c r="DN657" s="4" t="s">
        <v>2223</v>
      </c>
      <c r="DO657" s="4"/>
      <c r="DP657" s="4"/>
      <c r="DQ657" s="4" t="s">
        <v>148</v>
      </c>
      <c r="DR657" s="4"/>
      <c r="DS657" s="4"/>
      <c r="DT657" s="5">
        <v>42081</v>
      </c>
      <c r="DU657" s="4"/>
      <c r="DV657" s="4"/>
      <c r="DW657" s="4"/>
      <c r="DX657" s="4"/>
      <c r="DY657" s="4"/>
      <c r="DZ657" s="4"/>
      <c r="EA657" s="4"/>
      <c r="EB657" s="4"/>
      <c r="EC657" s="4"/>
      <c r="ED657" s="4"/>
      <c r="EE657" s="4"/>
      <c r="EF657" s="4"/>
      <c r="EG657" s="5">
        <v>40954</v>
      </c>
      <c r="EH657" s="5">
        <v>40955</v>
      </c>
      <c r="EI657" s="4"/>
    </row>
    <row r="658" spans="1:139" hidden="1" x14ac:dyDescent="0.2">
      <c r="A658" t="str">
        <f>VLOOKUP(B658,Sheet1!$A$1:$B$18,2,FALSE)</f>
        <v>South Island</v>
      </c>
      <c r="B658" t="str">
        <f>LEFT(D658,3)</f>
        <v>STH</v>
      </c>
      <c r="C658" s="2">
        <v>1309</v>
      </c>
      <c r="D658" s="3" t="str">
        <f>HYPERLINK("https://sitebase.nzcomms.co.nz/spm/spmnominalview/STH-075-005/","STH-075-005")</f>
        <v>STH-075-005</v>
      </c>
      <c r="E658" s="4" t="s">
        <v>3940</v>
      </c>
      <c r="F658" s="3" t="str">
        <f>HYPERLINK("https://sitebase.nzcomms.co.nz/spm/spmcandidateview/STH-075-005-H/","STH-075-005-H")</f>
        <v>STH-075-005-H</v>
      </c>
      <c r="G658" s="4" t="s">
        <v>3941</v>
      </c>
      <c r="H658" s="4" t="s">
        <v>3921</v>
      </c>
      <c r="I658" s="4">
        <v>5</v>
      </c>
      <c r="J658" s="4" t="s">
        <v>1633</v>
      </c>
      <c r="K658" s="4" t="s">
        <v>141</v>
      </c>
      <c r="L658" s="4" t="s">
        <v>189</v>
      </c>
      <c r="M658" s="4" t="s">
        <v>190</v>
      </c>
      <c r="N658" s="4" t="s">
        <v>274</v>
      </c>
      <c r="O658" s="4"/>
      <c r="P658" s="4" t="s">
        <v>182</v>
      </c>
      <c r="Q658" s="4" t="s">
        <v>192</v>
      </c>
      <c r="R658" s="4"/>
      <c r="S658" s="4">
        <v>13</v>
      </c>
      <c r="T658" s="4"/>
      <c r="U658" s="4">
        <v>-46.422692089999998</v>
      </c>
      <c r="V658" s="4">
        <v>168.36941182999999</v>
      </c>
      <c r="W658" s="5">
        <v>40325</v>
      </c>
      <c r="X658" s="5">
        <v>40325</v>
      </c>
      <c r="Y658" s="5">
        <v>40333</v>
      </c>
      <c r="Z658" s="5">
        <v>40333</v>
      </c>
      <c r="AA658" s="4" t="s">
        <v>171</v>
      </c>
      <c r="AB658" s="3" t="str">
        <f>HYPERLINK("https://sitebase.nzcomms.co.nz/spm/spmcandidateview/STH-075-008-B/","STH-075-008-B")</f>
        <v>STH-075-008-B</v>
      </c>
      <c r="AC658" s="4" t="b">
        <v>0</v>
      </c>
      <c r="AD658" s="4" t="b">
        <v>0</v>
      </c>
      <c r="AE658" s="5">
        <v>40242</v>
      </c>
      <c r="AF658" s="5">
        <v>40242</v>
      </c>
      <c r="AG658" s="4" t="b">
        <v>0</v>
      </c>
      <c r="AH658" s="4" t="s">
        <v>3942</v>
      </c>
      <c r="AI658" s="5">
        <v>40752</v>
      </c>
      <c r="AJ658" s="5">
        <v>40752</v>
      </c>
      <c r="AK658" s="5">
        <v>40773</v>
      </c>
      <c r="AL658" s="5">
        <v>40773</v>
      </c>
      <c r="AM658" s="5">
        <v>40781</v>
      </c>
      <c r="AN658" s="5">
        <v>40781</v>
      </c>
      <c r="AO658" s="4">
        <v>3</v>
      </c>
      <c r="AP658" s="5">
        <v>40781</v>
      </c>
      <c r="AQ658" s="5">
        <v>40892</v>
      </c>
      <c r="AR658" s="4"/>
      <c r="AS658" s="5">
        <v>40784</v>
      </c>
      <c r="AT658" s="5">
        <v>40876</v>
      </c>
      <c r="AU658" s="5">
        <v>40886</v>
      </c>
      <c r="AV658" s="4"/>
      <c r="AW658" s="5">
        <v>40876</v>
      </c>
      <c r="AX658" s="5">
        <v>40886</v>
      </c>
      <c r="AY658" s="4" t="s">
        <v>198</v>
      </c>
      <c r="AZ658" s="5">
        <v>40786</v>
      </c>
      <c r="BA658" s="5">
        <v>40787</v>
      </c>
      <c r="BB658" s="5">
        <v>40821</v>
      </c>
      <c r="BC658" s="5">
        <v>40816</v>
      </c>
      <c r="BD658" s="4">
        <v>2</v>
      </c>
      <c r="BE658" s="5">
        <v>40821</v>
      </c>
      <c r="BF658" s="5">
        <v>40821</v>
      </c>
      <c r="BG658" s="4"/>
      <c r="BH658" s="4"/>
      <c r="BI658" s="5">
        <v>40849</v>
      </c>
      <c r="BJ658" s="5">
        <v>40861</v>
      </c>
      <c r="BK658" s="4">
        <v>1</v>
      </c>
      <c r="BL658" s="4"/>
      <c r="BM658" s="5">
        <v>40864</v>
      </c>
      <c r="BN658" s="5">
        <v>40861</v>
      </c>
      <c r="BO658" s="5">
        <v>40863</v>
      </c>
      <c r="BP658" s="4"/>
      <c r="BQ658" s="4"/>
      <c r="BR658" s="5">
        <v>40864</v>
      </c>
      <c r="BS658" s="4"/>
      <c r="BT658" s="5">
        <v>40884</v>
      </c>
      <c r="BU658" s="5">
        <v>40884</v>
      </c>
      <c r="BV658" s="5">
        <v>40928</v>
      </c>
      <c r="BW658" s="5">
        <v>40927</v>
      </c>
      <c r="BX658" s="5">
        <v>40919</v>
      </c>
      <c r="BY658" s="5">
        <v>40928</v>
      </c>
      <c r="BZ658" s="5">
        <v>40927</v>
      </c>
      <c r="CA658" s="4"/>
      <c r="CB658" s="4"/>
      <c r="CC658" s="4"/>
      <c r="CD658" s="5">
        <v>40781</v>
      </c>
      <c r="CE658" s="4"/>
      <c r="CF658" s="4"/>
      <c r="CG658" s="4"/>
      <c r="CH658" s="4"/>
      <c r="CI658" s="5">
        <v>40929</v>
      </c>
      <c r="CJ658" s="5">
        <v>40939</v>
      </c>
      <c r="CK658" s="5">
        <v>40933</v>
      </c>
      <c r="CL658" s="5">
        <v>40953</v>
      </c>
      <c r="CM658" s="5">
        <v>40966</v>
      </c>
      <c r="CN658" s="5">
        <v>41394</v>
      </c>
      <c r="CO658" s="5">
        <v>41386</v>
      </c>
      <c r="CP658" s="4" t="s">
        <v>3937</v>
      </c>
      <c r="CQ658" s="4"/>
      <c r="CR658" s="5">
        <v>40928</v>
      </c>
      <c r="CS658" s="5">
        <v>40819</v>
      </c>
      <c r="CT658" s="5">
        <v>40819</v>
      </c>
      <c r="CU658" s="5">
        <v>40871</v>
      </c>
      <c r="CV658" s="5">
        <v>40871</v>
      </c>
      <c r="CW658" s="5">
        <v>40862</v>
      </c>
      <c r="CX658" s="5">
        <v>40863</v>
      </c>
      <c r="CY658" s="5">
        <v>40893</v>
      </c>
      <c r="CZ658" s="5">
        <v>40924</v>
      </c>
      <c r="DA658" s="4"/>
      <c r="DB658" s="5">
        <v>40952</v>
      </c>
      <c r="DC658" s="4"/>
      <c r="DD658" s="4"/>
      <c r="DE658" s="4"/>
      <c r="DF658" s="4"/>
      <c r="DG658" s="4"/>
      <c r="DH658" s="4"/>
      <c r="DI658" s="5">
        <v>40921</v>
      </c>
      <c r="DJ658" s="4" t="b">
        <v>1</v>
      </c>
      <c r="DK658" s="4"/>
      <c r="DL658" s="4">
        <v>2153956</v>
      </c>
      <c r="DM658" s="4">
        <v>5410554</v>
      </c>
      <c r="DN658" s="4" t="s">
        <v>3943</v>
      </c>
      <c r="DO658" s="4"/>
      <c r="DP658" s="4"/>
      <c r="DQ658" s="4" t="s">
        <v>148</v>
      </c>
      <c r="DR658" s="4"/>
      <c r="DS658" s="4"/>
      <c r="DT658" s="4"/>
      <c r="DU658" s="4"/>
      <c r="DV658" s="4"/>
      <c r="DW658" s="4"/>
      <c r="DX658" s="4"/>
      <c r="DY658" s="4"/>
      <c r="DZ658" s="4"/>
      <c r="EA658" s="4"/>
      <c r="EB658" s="4"/>
      <c r="EC658" s="4"/>
      <c r="ED658" s="4"/>
      <c r="EE658" s="4"/>
      <c r="EF658" s="4"/>
      <c r="EG658" s="5">
        <v>40949</v>
      </c>
      <c r="EH658" s="5">
        <v>40952</v>
      </c>
      <c r="EI658" s="5">
        <v>40773</v>
      </c>
    </row>
    <row r="659" spans="1:139" hidden="1" x14ac:dyDescent="0.2">
      <c r="A659" t="str">
        <f>VLOOKUP(B659,Sheet1!$A$1:$B$18,2,FALSE)</f>
        <v>South Island</v>
      </c>
      <c r="B659" t="str">
        <f>LEFT(D659,3)</f>
        <v>CAN</v>
      </c>
      <c r="C659" s="2">
        <v>675</v>
      </c>
      <c r="D659" s="3" t="str">
        <f>HYPERLINK("https://sitebase.nzcomms.co.nz/spm/spmnominalview/CAN-063-001/","CAN-063-001")</f>
        <v>CAN-063-001</v>
      </c>
      <c r="E659" s="4" t="s">
        <v>2193</v>
      </c>
      <c r="F659" s="3" t="str">
        <f>HYPERLINK("https://sitebase.nzcomms.co.nz/spm/spmcandidateview/CAN-063-001-A/","CAN-063-001-A")</f>
        <v>CAN-063-001-A</v>
      </c>
      <c r="G659" s="4" t="s">
        <v>2194</v>
      </c>
      <c r="H659" s="4" t="s">
        <v>2195</v>
      </c>
      <c r="I659" s="4">
        <v>5</v>
      </c>
      <c r="J659" s="4" t="s">
        <v>1633</v>
      </c>
      <c r="K659" s="4" t="s">
        <v>141</v>
      </c>
      <c r="L659" s="4" t="s">
        <v>150</v>
      </c>
      <c r="M659" s="4" t="s">
        <v>190</v>
      </c>
      <c r="N659" s="4" t="s">
        <v>167</v>
      </c>
      <c r="O659" s="4" t="s">
        <v>144</v>
      </c>
      <c r="P659" s="4" t="s">
        <v>182</v>
      </c>
      <c r="Q659" s="4" t="s">
        <v>170</v>
      </c>
      <c r="R659" s="4">
        <v>18</v>
      </c>
      <c r="S659" s="4">
        <v>20</v>
      </c>
      <c r="T659" s="4"/>
      <c r="U659" s="4">
        <v>-43.594373849999997</v>
      </c>
      <c r="V659" s="4">
        <v>171.49126529</v>
      </c>
      <c r="W659" s="4"/>
      <c r="X659" s="4"/>
      <c r="Y659" s="4"/>
      <c r="Z659" s="4"/>
      <c r="AA659" s="4" t="s">
        <v>171</v>
      </c>
      <c r="AB659" s="3" t="str">
        <f>HYPERLINK("https://sitebase.nzcomms.co.nz/spm/spmcandidateview/CAN-063-004-A/","CAN-063-004-A")</f>
        <v>CAN-063-004-A</v>
      </c>
      <c r="AC659" s="4" t="b">
        <v>0</v>
      </c>
      <c r="AD659" s="4" t="b">
        <v>0</v>
      </c>
      <c r="AE659" s="4"/>
      <c r="AF659" s="4"/>
      <c r="AG659" s="4" t="b">
        <v>0</v>
      </c>
      <c r="AH659" s="4"/>
      <c r="AI659" s="5">
        <v>40641</v>
      </c>
      <c r="AJ659" s="5">
        <v>40641</v>
      </c>
      <c r="AK659" s="5">
        <v>40648</v>
      </c>
      <c r="AL659" s="5">
        <v>40645</v>
      </c>
      <c r="AM659" s="5">
        <v>40679</v>
      </c>
      <c r="AN659" s="5">
        <v>40679</v>
      </c>
      <c r="AO659" s="4">
        <v>2</v>
      </c>
      <c r="AP659" s="5">
        <v>40679</v>
      </c>
      <c r="AQ659" s="5">
        <v>41326</v>
      </c>
      <c r="AR659" s="5">
        <v>40701</v>
      </c>
      <c r="AS659" s="5">
        <v>40680</v>
      </c>
      <c r="AT659" s="5">
        <v>40767</v>
      </c>
      <c r="AU659" s="5">
        <v>40771</v>
      </c>
      <c r="AV659" s="4">
        <v>1</v>
      </c>
      <c r="AW659" s="4"/>
      <c r="AX659" s="5">
        <v>40771</v>
      </c>
      <c r="AY659" s="4" t="s">
        <v>172</v>
      </c>
      <c r="AZ659" s="5">
        <v>40694</v>
      </c>
      <c r="BA659" s="5">
        <v>40690</v>
      </c>
      <c r="BB659" s="5">
        <v>40729</v>
      </c>
      <c r="BC659" s="5">
        <v>40715</v>
      </c>
      <c r="BD659" s="4">
        <v>1</v>
      </c>
      <c r="BE659" s="4"/>
      <c r="BF659" s="5">
        <v>40715</v>
      </c>
      <c r="BG659" s="4"/>
      <c r="BH659" s="4"/>
      <c r="BI659" s="5">
        <v>40896</v>
      </c>
      <c r="BJ659" s="5">
        <v>40898</v>
      </c>
      <c r="BK659" s="4">
        <v>1</v>
      </c>
      <c r="BL659" s="4"/>
      <c r="BM659" s="5">
        <v>40896</v>
      </c>
      <c r="BN659" s="5">
        <v>40898</v>
      </c>
      <c r="BO659" s="5">
        <v>40897</v>
      </c>
      <c r="BP659" s="4"/>
      <c r="BQ659" s="4"/>
      <c r="BR659" s="4"/>
      <c r="BS659" s="4"/>
      <c r="BT659" s="5">
        <v>40918</v>
      </c>
      <c r="BU659" s="5">
        <v>40918</v>
      </c>
      <c r="BV659" s="5">
        <v>40949</v>
      </c>
      <c r="BW659" s="5">
        <v>40952</v>
      </c>
      <c r="BX659" s="5">
        <v>40934</v>
      </c>
      <c r="BY659" s="5">
        <v>40950</v>
      </c>
      <c r="BZ659" s="5">
        <v>40952</v>
      </c>
      <c r="CA659" s="4"/>
      <c r="CB659" s="4"/>
      <c r="CC659" s="4"/>
      <c r="CD659" s="4"/>
      <c r="CE659" s="4"/>
      <c r="CF659" s="4"/>
      <c r="CG659" s="4"/>
      <c r="CH659" s="4"/>
      <c r="CI659" s="5">
        <v>40953</v>
      </c>
      <c r="CJ659" s="5">
        <v>40967</v>
      </c>
      <c r="CK659" s="5">
        <v>40966</v>
      </c>
      <c r="CL659" s="5">
        <v>40968</v>
      </c>
      <c r="CM659" s="5">
        <v>40998</v>
      </c>
      <c r="CN659" s="5">
        <v>41437</v>
      </c>
      <c r="CO659" s="5">
        <v>41442</v>
      </c>
      <c r="CP659" s="4" t="s">
        <v>2196</v>
      </c>
      <c r="CQ659" s="4"/>
      <c r="CR659" s="5">
        <v>40953</v>
      </c>
      <c r="CS659" s="5">
        <v>40800</v>
      </c>
      <c r="CT659" s="5">
        <v>40800</v>
      </c>
      <c r="CU659" s="5">
        <v>40886</v>
      </c>
      <c r="CV659" s="5">
        <v>40891</v>
      </c>
      <c r="CW659" s="5">
        <v>40898</v>
      </c>
      <c r="CX659" s="5">
        <v>40897</v>
      </c>
      <c r="CY659" s="5">
        <v>40935</v>
      </c>
      <c r="CZ659" s="5">
        <v>40940</v>
      </c>
      <c r="DA659" s="4"/>
      <c r="DB659" s="5">
        <v>40984</v>
      </c>
      <c r="DC659" s="4"/>
      <c r="DD659" s="4"/>
      <c r="DE659" s="4"/>
      <c r="DF659" s="4"/>
      <c r="DG659" s="4"/>
      <c r="DH659" s="4" t="s">
        <v>174</v>
      </c>
      <c r="DI659" s="5">
        <v>40934</v>
      </c>
      <c r="DJ659" s="4" t="b">
        <v>0</v>
      </c>
      <c r="DK659" s="4"/>
      <c r="DL659" s="4">
        <v>2388191</v>
      </c>
      <c r="DM659" s="4">
        <v>5733688</v>
      </c>
      <c r="DN659" s="4" t="s">
        <v>2197</v>
      </c>
      <c r="DO659" s="4"/>
      <c r="DP659" s="4" t="s">
        <v>2198</v>
      </c>
      <c r="DQ659" s="4" t="s">
        <v>148</v>
      </c>
      <c r="DR659" s="4"/>
      <c r="DS659" s="4"/>
      <c r="DT659" s="4"/>
      <c r="DU659" s="4"/>
      <c r="DV659" s="4"/>
      <c r="DW659" s="4"/>
      <c r="DX659" s="4"/>
      <c r="DY659" s="4"/>
      <c r="DZ659" s="4"/>
      <c r="EA659" s="4"/>
      <c r="EB659" s="4"/>
      <c r="EC659" s="4"/>
      <c r="ED659" s="4"/>
      <c r="EE659" s="4"/>
      <c r="EF659" s="4"/>
      <c r="EG659" s="5">
        <v>40982</v>
      </c>
      <c r="EH659" s="5">
        <v>40984</v>
      </c>
      <c r="EI659" s="4"/>
    </row>
    <row r="660" spans="1:139" hidden="1" x14ac:dyDescent="0.2">
      <c r="A660" t="str">
        <f>VLOOKUP(B660,Sheet1!$A$1:$B$18,2,FALSE)</f>
        <v>South Island</v>
      </c>
      <c r="B660" t="str">
        <f>LEFT(D660,3)</f>
        <v>CAN</v>
      </c>
      <c r="C660" s="2">
        <v>679</v>
      </c>
      <c r="D660" s="3" t="str">
        <f>HYPERLINK("https://sitebase.nzcomms.co.nz/spm/spmnominalview/CAN-063-005/","CAN-063-005")</f>
        <v>CAN-063-005</v>
      </c>
      <c r="E660" s="4" t="s">
        <v>2209</v>
      </c>
      <c r="F660" s="3" t="str">
        <f>HYPERLINK("https://sitebase.nzcomms.co.nz/spm/spmcandidateview/CAN-063-005-A/","CAN-063-005-A")</f>
        <v>CAN-063-005-A</v>
      </c>
      <c r="G660" s="4" t="s">
        <v>2210</v>
      </c>
      <c r="H660" s="4" t="s">
        <v>2195</v>
      </c>
      <c r="I660" s="4">
        <v>5</v>
      </c>
      <c r="J660" s="4" t="s">
        <v>1633</v>
      </c>
      <c r="K660" s="4" t="s">
        <v>141</v>
      </c>
      <c r="L660" s="4" t="s">
        <v>142</v>
      </c>
      <c r="M660" s="4" t="s">
        <v>190</v>
      </c>
      <c r="N660" s="4" t="s">
        <v>142</v>
      </c>
      <c r="O660" s="4" t="s">
        <v>144</v>
      </c>
      <c r="P660" s="4" t="s">
        <v>182</v>
      </c>
      <c r="Q660" s="4" t="s">
        <v>142</v>
      </c>
      <c r="R660" s="4">
        <v>28.4</v>
      </c>
      <c r="S660" s="4">
        <v>40</v>
      </c>
      <c r="T660" s="4"/>
      <c r="U660" s="4">
        <v>-44.006359060000001</v>
      </c>
      <c r="V660" s="4">
        <v>171.57188937999999</v>
      </c>
      <c r="W660" s="4"/>
      <c r="X660" s="4"/>
      <c r="Y660" s="4"/>
      <c r="Z660" s="4"/>
      <c r="AA660" s="4" t="s">
        <v>171</v>
      </c>
      <c r="AB660" s="3" t="str">
        <f>HYPERLINK("https://sitebase.nzcomms.co.nz/spm/spmcandidateview/CAN-063-004-A/","CAN-063-004-A")</f>
        <v>CAN-063-004-A</v>
      </c>
      <c r="AC660" s="4" t="b">
        <v>0</v>
      </c>
      <c r="AD660" s="4" t="b">
        <v>0</v>
      </c>
      <c r="AE660" s="4"/>
      <c r="AF660" s="4"/>
      <c r="AG660" s="4" t="b">
        <v>0</v>
      </c>
      <c r="AH660" s="4"/>
      <c r="AI660" s="5">
        <v>40592</v>
      </c>
      <c r="AJ660" s="5">
        <v>40592</v>
      </c>
      <c r="AK660" s="5">
        <v>40599</v>
      </c>
      <c r="AL660" s="5">
        <v>40613</v>
      </c>
      <c r="AM660" s="5">
        <v>40660</v>
      </c>
      <c r="AN660" s="5">
        <v>40654</v>
      </c>
      <c r="AO660" s="4">
        <v>1</v>
      </c>
      <c r="AP660" s="5">
        <v>40711</v>
      </c>
      <c r="AQ660" s="5">
        <v>40654</v>
      </c>
      <c r="AR660" s="5">
        <v>40709</v>
      </c>
      <c r="AS660" s="5">
        <v>40714</v>
      </c>
      <c r="AT660" s="5">
        <v>40767</v>
      </c>
      <c r="AU660" s="5">
        <v>40760</v>
      </c>
      <c r="AV660" s="4">
        <v>1</v>
      </c>
      <c r="AW660" s="4"/>
      <c r="AX660" s="5">
        <v>40787</v>
      </c>
      <c r="AY660" s="4" t="s">
        <v>183</v>
      </c>
      <c r="AZ660" s="5">
        <v>40674</v>
      </c>
      <c r="BA660" s="5">
        <v>40672</v>
      </c>
      <c r="BB660" s="5">
        <v>40710</v>
      </c>
      <c r="BC660" s="5">
        <v>40697</v>
      </c>
      <c r="BD660" s="4">
        <v>1</v>
      </c>
      <c r="BE660" s="4"/>
      <c r="BF660" s="5">
        <v>40723</v>
      </c>
      <c r="BG660" s="4"/>
      <c r="BH660" s="4"/>
      <c r="BI660" s="5">
        <v>40872</v>
      </c>
      <c r="BJ660" s="5">
        <v>40890</v>
      </c>
      <c r="BK660" s="4">
        <v>1</v>
      </c>
      <c r="BL660" s="4"/>
      <c r="BM660" s="5">
        <v>40872</v>
      </c>
      <c r="BN660" s="5">
        <v>40890</v>
      </c>
      <c r="BO660" s="5">
        <v>40919</v>
      </c>
      <c r="BP660" s="4"/>
      <c r="BQ660" s="4"/>
      <c r="BR660" s="4"/>
      <c r="BS660" s="4"/>
      <c r="BT660" s="5">
        <v>40919</v>
      </c>
      <c r="BU660" s="5">
        <v>40918</v>
      </c>
      <c r="BV660" s="5">
        <v>40938</v>
      </c>
      <c r="BW660" s="5">
        <v>40938</v>
      </c>
      <c r="BX660" s="5">
        <v>40918</v>
      </c>
      <c r="BY660" s="5">
        <v>40949</v>
      </c>
      <c r="BZ660" s="5">
        <v>40949</v>
      </c>
      <c r="CA660" s="4"/>
      <c r="CB660" s="4"/>
      <c r="CC660" s="4"/>
      <c r="CD660" s="4"/>
      <c r="CE660" s="4"/>
      <c r="CF660" s="4"/>
      <c r="CG660" s="4"/>
      <c r="CH660" s="4"/>
      <c r="CI660" s="5">
        <v>40949</v>
      </c>
      <c r="CJ660" s="5">
        <v>40967</v>
      </c>
      <c r="CK660" s="5">
        <v>40953</v>
      </c>
      <c r="CL660" s="5">
        <v>40980</v>
      </c>
      <c r="CM660" s="5">
        <v>40991</v>
      </c>
      <c r="CN660" s="5">
        <v>41394</v>
      </c>
      <c r="CO660" s="5">
        <v>41387</v>
      </c>
      <c r="CP660" s="4" t="s">
        <v>2211</v>
      </c>
      <c r="CQ660" s="4" t="s">
        <v>230</v>
      </c>
      <c r="CR660" s="5">
        <v>40952</v>
      </c>
      <c r="CS660" s="5">
        <v>40800</v>
      </c>
      <c r="CT660" s="5">
        <v>40800</v>
      </c>
      <c r="CU660" s="5">
        <v>40896</v>
      </c>
      <c r="CV660" s="5">
        <v>40891</v>
      </c>
      <c r="CW660" s="5">
        <v>40928</v>
      </c>
      <c r="CX660" s="5">
        <v>40919</v>
      </c>
      <c r="CY660" s="5">
        <v>40939</v>
      </c>
      <c r="CZ660" s="5">
        <v>40939</v>
      </c>
      <c r="DA660" s="4"/>
      <c r="DB660" s="5">
        <v>40977</v>
      </c>
      <c r="DC660" s="4"/>
      <c r="DD660" s="4"/>
      <c r="DE660" s="4"/>
      <c r="DF660" s="4"/>
      <c r="DG660" s="4"/>
      <c r="DH660" s="4"/>
      <c r="DI660" s="5">
        <v>40920</v>
      </c>
      <c r="DJ660" s="4" t="b">
        <v>0</v>
      </c>
      <c r="DK660" s="4"/>
      <c r="DL660" s="4">
        <v>2395482</v>
      </c>
      <c r="DM660" s="4">
        <v>5688037</v>
      </c>
      <c r="DN660" s="4" t="s">
        <v>2212</v>
      </c>
      <c r="DO660" s="4"/>
      <c r="DP660" s="4" t="s">
        <v>2213</v>
      </c>
      <c r="DQ660" s="4" t="s">
        <v>148</v>
      </c>
      <c r="DR660" s="4"/>
      <c r="DS660" s="4"/>
      <c r="DT660" s="4"/>
      <c r="DU660" s="4"/>
      <c r="DV660" s="4"/>
      <c r="DW660" s="4"/>
      <c r="DX660" s="4"/>
      <c r="DY660" s="4"/>
      <c r="DZ660" s="4"/>
      <c r="EA660" s="4"/>
      <c r="EB660" s="4"/>
      <c r="EC660" s="4"/>
      <c r="ED660" s="4"/>
      <c r="EE660" s="4"/>
      <c r="EF660" s="4"/>
      <c r="EG660" s="5">
        <v>40983</v>
      </c>
      <c r="EH660" s="5">
        <v>40977</v>
      </c>
      <c r="EI660" s="4"/>
    </row>
    <row r="661" spans="1:139" hidden="1" x14ac:dyDescent="0.2">
      <c r="A661" t="str">
        <f>VLOOKUP(B661,Sheet1!$A$1:$B$18,2,FALSE)</f>
        <v>South Island</v>
      </c>
      <c r="B661" t="str">
        <f>LEFT(D661,3)</f>
        <v>CAN</v>
      </c>
      <c r="C661" s="2">
        <v>682</v>
      </c>
      <c r="D661" s="3" t="str">
        <f>HYPERLINK("https://sitebase.nzcomms.co.nz/spm/spmnominalview/CAN-063-009/","CAN-063-009")</f>
        <v>CAN-063-009</v>
      </c>
      <c r="E661" s="4" t="s">
        <v>2224</v>
      </c>
      <c r="F661" s="3" t="str">
        <f>HYPERLINK("https://sitebase.nzcomms.co.nz/spm/spmcandidateview/CAN-063-009-A/","CAN-063-009-A")</f>
        <v>CAN-063-009-A</v>
      </c>
      <c r="G661" s="4" t="s">
        <v>2225</v>
      </c>
      <c r="H661" s="4" t="s">
        <v>2195</v>
      </c>
      <c r="I661" s="4">
        <v>5</v>
      </c>
      <c r="J661" s="4" t="s">
        <v>1633</v>
      </c>
      <c r="K661" s="4" t="s">
        <v>141</v>
      </c>
      <c r="L661" s="4" t="s">
        <v>142</v>
      </c>
      <c r="M661" s="4" t="s">
        <v>190</v>
      </c>
      <c r="N661" s="4" t="s">
        <v>142</v>
      </c>
      <c r="O661" s="4"/>
      <c r="P661" s="4" t="s">
        <v>182</v>
      </c>
      <c r="Q661" s="4" t="s">
        <v>142</v>
      </c>
      <c r="R661" s="4"/>
      <c r="S661" s="4">
        <v>40</v>
      </c>
      <c r="T661" s="4"/>
      <c r="U661" s="4">
        <v>-43.747328330000002</v>
      </c>
      <c r="V661" s="4">
        <v>171.36027784000001</v>
      </c>
      <c r="W661" s="4"/>
      <c r="X661" s="4"/>
      <c r="Y661" s="4"/>
      <c r="Z661" s="4"/>
      <c r="AA661" s="4" t="s">
        <v>171</v>
      </c>
      <c r="AB661" s="3" t="str">
        <f>HYPERLINK("https://sitebase.nzcomms.co.nz/spm/spmcandidateview/CAN-063-001-A/","CAN-063-001-A")</f>
        <v>CAN-063-001-A</v>
      </c>
      <c r="AC661" s="4" t="b">
        <v>0</v>
      </c>
      <c r="AD661" s="4" t="b">
        <v>0</v>
      </c>
      <c r="AE661" s="4"/>
      <c r="AF661" s="4"/>
      <c r="AG661" s="4" t="b">
        <v>0</v>
      </c>
      <c r="AH661" s="4"/>
      <c r="AI661" s="5">
        <v>40634</v>
      </c>
      <c r="AJ661" s="5">
        <v>40627</v>
      </c>
      <c r="AK661" s="5">
        <v>40641</v>
      </c>
      <c r="AL661" s="5">
        <v>40634</v>
      </c>
      <c r="AM661" s="5">
        <v>40756</v>
      </c>
      <c r="AN661" s="5">
        <v>40760</v>
      </c>
      <c r="AO661" s="4">
        <v>2</v>
      </c>
      <c r="AP661" s="5">
        <v>40756</v>
      </c>
      <c r="AQ661" s="5">
        <v>40808</v>
      </c>
      <c r="AR661" s="5">
        <v>40746</v>
      </c>
      <c r="AS661" s="5">
        <v>40737</v>
      </c>
      <c r="AT661" s="5">
        <v>40877</v>
      </c>
      <c r="AU661" s="5">
        <v>40844</v>
      </c>
      <c r="AV661" s="4"/>
      <c r="AW661" s="4"/>
      <c r="AX661" s="5">
        <v>40989</v>
      </c>
      <c r="AY661" s="4" t="s">
        <v>1901</v>
      </c>
      <c r="AZ661" s="5">
        <v>40795</v>
      </c>
      <c r="BA661" s="5">
        <v>40791</v>
      </c>
      <c r="BB661" s="5">
        <v>40834</v>
      </c>
      <c r="BC661" s="5">
        <v>40833</v>
      </c>
      <c r="BD661" s="4">
        <v>1</v>
      </c>
      <c r="BE661" s="4"/>
      <c r="BF661" s="5">
        <v>40833</v>
      </c>
      <c r="BG661" s="4"/>
      <c r="BH661" s="4"/>
      <c r="BI661" s="4"/>
      <c r="BJ661" s="5">
        <v>40751</v>
      </c>
      <c r="BK661" s="4">
        <v>1</v>
      </c>
      <c r="BL661" s="4"/>
      <c r="BM661" s="4"/>
      <c r="BN661" s="5">
        <v>40751</v>
      </c>
      <c r="BO661" s="5">
        <v>40869</v>
      </c>
      <c r="BP661" s="4"/>
      <c r="BQ661" s="4"/>
      <c r="BR661" s="4"/>
      <c r="BS661" s="4"/>
      <c r="BT661" s="5">
        <v>40868</v>
      </c>
      <c r="BU661" s="5">
        <v>40869</v>
      </c>
      <c r="BV661" s="5">
        <v>40891</v>
      </c>
      <c r="BW661" s="5">
        <v>40877</v>
      </c>
      <c r="BX661" s="5">
        <v>40891</v>
      </c>
      <c r="BY661" s="5">
        <v>40952</v>
      </c>
      <c r="BZ661" s="5">
        <v>40952</v>
      </c>
      <c r="CA661" s="4"/>
      <c r="CB661" s="4"/>
      <c r="CC661" s="4"/>
      <c r="CD661" s="5">
        <v>40794</v>
      </c>
      <c r="CE661" s="4"/>
      <c r="CF661" s="4"/>
      <c r="CG661" s="4"/>
      <c r="CH661" s="4"/>
      <c r="CI661" s="5">
        <v>40954</v>
      </c>
      <c r="CJ661" s="5">
        <v>40967</v>
      </c>
      <c r="CK661" s="5">
        <v>40967</v>
      </c>
      <c r="CL661" s="5">
        <v>40983</v>
      </c>
      <c r="CM661" s="5">
        <v>40980</v>
      </c>
      <c r="CN661" s="5">
        <v>41073</v>
      </c>
      <c r="CO661" s="5">
        <v>41152</v>
      </c>
      <c r="CP661" s="4" t="s">
        <v>2226</v>
      </c>
      <c r="CQ661" s="4" t="s">
        <v>1657</v>
      </c>
      <c r="CR661" s="5">
        <v>40953</v>
      </c>
      <c r="CS661" s="5">
        <v>40800</v>
      </c>
      <c r="CT661" s="5">
        <v>40800</v>
      </c>
      <c r="CU661" s="5">
        <v>40882</v>
      </c>
      <c r="CV661" s="5">
        <v>40885</v>
      </c>
      <c r="CW661" s="5">
        <v>40869</v>
      </c>
      <c r="CX661" s="5">
        <v>40869</v>
      </c>
      <c r="CY661" s="5">
        <v>40892</v>
      </c>
      <c r="CZ661" s="5">
        <v>40893</v>
      </c>
      <c r="DA661" s="4"/>
      <c r="DB661" s="5">
        <v>40968</v>
      </c>
      <c r="DC661" s="4"/>
      <c r="DD661" s="4"/>
      <c r="DE661" s="4"/>
      <c r="DF661" s="4"/>
      <c r="DG661" s="4"/>
      <c r="DH661" s="4"/>
      <c r="DI661" s="5">
        <v>40891</v>
      </c>
      <c r="DJ661" s="4" t="b">
        <v>0</v>
      </c>
      <c r="DK661" s="4"/>
      <c r="DL661" s="4">
        <v>2377950</v>
      </c>
      <c r="DM661" s="4">
        <v>5716499</v>
      </c>
      <c r="DN661" s="4" t="s">
        <v>2227</v>
      </c>
      <c r="DO661" s="4"/>
      <c r="DP661" s="4" t="s">
        <v>2228</v>
      </c>
      <c r="DQ661" s="4" t="s">
        <v>148</v>
      </c>
      <c r="DR661" s="4"/>
      <c r="DS661" s="4"/>
      <c r="DT661" s="4"/>
      <c r="DU661" s="4"/>
      <c r="DV661" s="4"/>
      <c r="DW661" s="4"/>
      <c r="DX661" s="4"/>
      <c r="DY661" s="4"/>
      <c r="DZ661" s="4"/>
      <c r="EA661" s="4"/>
      <c r="EB661" s="4"/>
      <c r="EC661" s="4"/>
      <c r="ED661" s="4"/>
      <c r="EE661" s="4"/>
      <c r="EF661" s="4"/>
      <c r="EG661" s="5">
        <v>40967</v>
      </c>
      <c r="EH661" s="5">
        <v>40968</v>
      </c>
      <c r="EI661" s="4"/>
    </row>
    <row r="662" spans="1:139" hidden="1" x14ac:dyDescent="0.2">
      <c r="A662" t="str">
        <f>VLOOKUP(B662,Sheet1!$A$1:$B$18,2,FALSE)</f>
        <v>South Island</v>
      </c>
      <c r="B662" t="str">
        <f>LEFT(D662,3)</f>
        <v>STH</v>
      </c>
      <c r="C662" s="2">
        <v>1307</v>
      </c>
      <c r="D662" s="3" t="str">
        <f>HYPERLINK("https://sitebase.nzcomms.co.nz/spm/spmnominalview/STH-075-003/","STH-075-003")</f>
        <v>STH-075-003</v>
      </c>
      <c r="E662" s="4" t="s">
        <v>3930</v>
      </c>
      <c r="F662" s="3" t="str">
        <f>HYPERLINK("https://sitebase.nzcomms.co.nz/spm/spmcandidateview/STH-075-003-A/","STH-075-003-A")</f>
        <v>STH-075-003-A</v>
      </c>
      <c r="G662" s="4" t="s">
        <v>3931</v>
      </c>
      <c r="H662" s="4" t="s">
        <v>3921</v>
      </c>
      <c r="I662" s="4">
        <v>5</v>
      </c>
      <c r="J662" s="4" t="s">
        <v>1633</v>
      </c>
      <c r="K662" s="4" t="s">
        <v>141</v>
      </c>
      <c r="L662" s="4" t="s">
        <v>142</v>
      </c>
      <c r="M662" s="4" t="s">
        <v>190</v>
      </c>
      <c r="N662" s="4" t="s">
        <v>142</v>
      </c>
      <c r="O662" s="4" t="s">
        <v>144</v>
      </c>
      <c r="P662" s="4" t="s">
        <v>182</v>
      </c>
      <c r="Q662" s="4" t="s">
        <v>142</v>
      </c>
      <c r="R662" s="4">
        <v>20</v>
      </c>
      <c r="S662" s="4">
        <v>28.4</v>
      </c>
      <c r="T662" s="4"/>
      <c r="U662" s="4">
        <v>-46.397929210000001</v>
      </c>
      <c r="V662" s="4">
        <v>168.33924618</v>
      </c>
      <c r="W662" s="5">
        <v>40325</v>
      </c>
      <c r="X662" s="5">
        <v>40325</v>
      </c>
      <c r="Y662" s="5">
        <v>40333</v>
      </c>
      <c r="Z662" s="5">
        <v>40333</v>
      </c>
      <c r="AA662" s="4" t="s">
        <v>171</v>
      </c>
      <c r="AB662" s="3" t="str">
        <f>HYPERLINK("https://sitebase.nzcomms.co.nz/spm/spmcandidateview/STH-075-002-C/","STH-075-002-C")</f>
        <v>STH-075-002-C</v>
      </c>
      <c r="AC662" s="4" t="b">
        <v>0</v>
      </c>
      <c r="AD662" s="4" t="b">
        <v>0</v>
      </c>
      <c r="AE662" s="5">
        <v>40242</v>
      </c>
      <c r="AF662" s="5">
        <v>40242</v>
      </c>
      <c r="AG662" s="4" t="b">
        <v>0</v>
      </c>
      <c r="AH662" s="4" t="s">
        <v>3932</v>
      </c>
      <c r="AI662" s="5">
        <v>40751</v>
      </c>
      <c r="AJ662" s="5">
        <v>40751</v>
      </c>
      <c r="AK662" s="5">
        <v>40753</v>
      </c>
      <c r="AL662" s="5">
        <v>40753</v>
      </c>
      <c r="AM662" s="5">
        <v>40779</v>
      </c>
      <c r="AN662" s="5">
        <v>40779</v>
      </c>
      <c r="AO662" s="4">
        <v>1</v>
      </c>
      <c r="AP662" s="5">
        <v>40779</v>
      </c>
      <c r="AQ662" s="5">
        <v>40779</v>
      </c>
      <c r="AR662" s="5">
        <v>40830</v>
      </c>
      <c r="AS662" s="5">
        <v>40833</v>
      </c>
      <c r="AT662" s="5">
        <v>40823</v>
      </c>
      <c r="AU662" s="5">
        <v>40809</v>
      </c>
      <c r="AV662" s="4">
        <v>1</v>
      </c>
      <c r="AW662" s="4"/>
      <c r="AX662" s="5">
        <v>40826</v>
      </c>
      <c r="AY662" s="4" t="s">
        <v>183</v>
      </c>
      <c r="AZ662" s="5">
        <v>40795</v>
      </c>
      <c r="BA662" s="5">
        <v>40794</v>
      </c>
      <c r="BB662" s="5">
        <v>40828</v>
      </c>
      <c r="BC662" s="5">
        <v>40809</v>
      </c>
      <c r="BD662" s="4">
        <v>1</v>
      </c>
      <c r="BE662" s="4"/>
      <c r="BF662" s="5">
        <v>40816</v>
      </c>
      <c r="BG662" s="4"/>
      <c r="BH662" s="4"/>
      <c r="BI662" s="5">
        <v>40938</v>
      </c>
      <c r="BJ662" s="5">
        <v>40925</v>
      </c>
      <c r="BK662" s="4">
        <v>4</v>
      </c>
      <c r="BL662" s="4"/>
      <c r="BM662" s="5">
        <v>40938</v>
      </c>
      <c r="BN662" s="5">
        <v>40981</v>
      </c>
      <c r="BO662" s="5">
        <v>40948</v>
      </c>
      <c r="BP662" s="4"/>
      <c r="BQ662" s="4"/>
      <c r="BR662" s="4"/>
      <c r="BS662" s="4"/>
      <c r="BT662" s="5">
        <v>40948</v>
      </c>
      <c r="BU662" s="5">
        <v>40948</v>
      </c>
      <c r="BV662" s="5">
        <v>40953</v>
      </c>
      <c r="BW662" s="5">
        <v>40961</v>
      </c>
      <c r="BX662" s="5">
        <v>40948</v>
      </c>
      <c r="BY662" s="5">
        <v>40956</v>
      </c>
      <c r="BZ662" s="5">
        <v>40961</v>
      </c>
      <c r="CA662" s="4"/>
      <c r="CB662" s="4"/>
      <c r="CC662" s="4"/>
      <c r="CD662" s="4"/>
      <c r="CE662" s="4"/>
      <c r="CF662" s="4"/>
      <c r="CG662" s="4"/>
      <c r="CH662" s="4"/>
      <c r="CI662" s="5">
        <v>40961</v>
      </c>
      <c r="CJ662" s="5">
        <v>40967</v>
      </c>
      <c r="CK662" s="5">
        <v>40967</v>
      </c>
      <c r="CL662" s="5">
        <v>40961</v>
      </c>
      <c r="CM662" s="5">
        <v>40982</v>
      </c>
      <c r="CN662" s="5">
        <v>41401</v>
      </c>
      <c r="CO662" s="5">
        <v>41395</v>
      </c>
      <c r="CP662" s="4" t="s">
        <v>3933</v>
      </c>
      <c r="CQ662" s="4" t="s">
        <v>230</v>
      </c>
      <c r="CR662" s="5">
        <v>40956</v>
      </c>
      <c r="CS662" s="5">
        <v>40800</v>
      </c>
      <c r="CT662" s="5">
        <v>40800</v>
      </c>
      <c r="CU662" s="5">
        <v>40893</v>
      </c>
      <c r="CV662" s="5">
        <v>40914</v>
      </c>
      <c r="CW662" s="5">
        <v>40946</v>
      </c>
      <c r="CX662" s="5">
        <v>40948</v>
      </c>
      <c r="CY662" s="5">
        <v>40956</v>
      </c>
      <c r="CZ662" s="5">
        <v>40961</v>
      </c>
      <c r="DA662" s="4"/>
      <c r="DB662" s="5">
        <v>40969</v>
      </c>
      <c r="DC662" s="4"/>
      <c r="DD662" s="4"/>
      <c r="DE662" s="4"/>
      <c r="DF662" s="4"/>
      <c r="DG662" s="4"/>
      <c r="DH662" s="4" t="s">
        <v>174</v>
      </c>
      <c r="DI662" s="5">
        <v>40948</v>
      </c>
      <c r="DJ662" s="4" t="b">
        <v>0</v>
      </c>
      <c r="DK662" s="4"/>
      <c r="DL662" s="4">
        <v>2151485</v>
      </c>
      <c r="DM662" s="4">
        <v>5413171</v>
      </c>
      <c r="DN662" s="4" t="s">
        <v>3934</v>
      </c>
      <c r="DO662" s="4"/>
      <c r="DP662" s="4"/>
      <c r="DQ662" s="4" t="s">
        <v>148</v>
      </c>
      <c r="DR662" s="4"/>
      <c r="DS662" s="4"/>
      <c r="DT662" s="4"/>
      <c r="DU662" s="4"/>
      <c r="DV662" s="4"/>
      <c r="DW662" s="4"/>
      <c r="DX662" s="4"/>
      <c r="DY662" s="4"/>
      <c r="DZ662" s="4"/>
      <c r="EA662" s="4"/>
      <c r="EB662" s="4"/>
      <c r="EC662" s="4"/>
      <c r="ED662" s="4"/>
      <c r="EE662" s="4"/>
      <c r="EF662" s="4"/>
      <c r="EG662" s="5">
        <v>40970</v>
      </c>
      <c r="EH662" s="5">
        <v>40969</v>
      </c>
      <c r="EI662" s="5">
        <v>40753</v>
      </c>
    </row>
    <row r="663" spans="1:139" hidden="1" x14ac:dyDescent="0.2">
      <c r="A663" t="str">
        <f>VLOOKUP(B663,Sheet1!$A$1:$B$18,2,FALSE)</f>
        <v>South Island</v>
      </c>
      <c r="B663" t="str">
        <f>LEFT(D663,3)</f>
        <v>CAN</v>
      </c>
      <c r="C663" s="2">
        <v>668</v>
      </c>
      <c r="D663" s="3" t="str">
        <f>HYPERLINK("https://sitebase.nzcomms.co.nz/spm/spmnominalview/CAN-062-014/","CAN-062-014")</f>
        <v>CAN-062-014</v>
      </c>
      <c r="E663" s="4" t="s">
        <v>2169</v>
      </c>
      <c r="F663" s="3" t="str">
        <f>HYPERLINK("https://sitebase.nzcomms.co.nz/spm/spmcandidateview/CAN-062-014-A/","CAN-062-014-A")</f>
        <v>CAN-062-014-A</v>
      </c>
      <c r="G663" s="4" t="s">
        <v>2170</v>
      </c>
      <c r="H663" s="4" t="s">
        <v>2111</v>
      </c>
      <c r="I663" s="4">
        <v>8</v>
      </c>
      <c r="J663" s="4" t="s">
        <v>1633</v>
      </c>
      <c r="K663" s="4" t="s">
        <v>141</v>
      </c>
      <c r="L663" s="4" t="s">
        <v>142</v>
      </c>
      <c r="M663" s="4" t="s">
        <v>190</v>
      </c>
      <c r="N663" s="4" t="s">
        <v>142</v>
      </c>
      <c r="O663" s="4" t="s">
        <v>144</v>
      </c>
      <c r="P663" s="4" t="s">
        <v>182</v>
      </c>
      <c r="Q663" s="4" t="s">
        <v>142</v>
      </c>
      <c r="R663" s="4">
        <v>21</v>
      </c>
      <c r="S663" s="4">
        <v>30.6</v>
      </c>
      <c r="T663" s="4"/>
      <c r="U663" s="4">
        <v>-43.48990637</v>
      </c>
      <c r="V663" s="4">
        <v>171.70976199</v>
      </c>
      <c r="W663" s="4"/>
      <c r="X663" s="4"/>
      <c r="Y663" s="4"/>
      <c r="Z663" s="4"/>
      <c r="AA663" s="4" t="s">
        <v>171</v>
      </c>
      <c r="AB663" s="3" t="str">
        <f>HYPERLINK("https://sitebase.nzcomms.co.nz/spm/spmcandidateview/CAN-063-001-A/","CAN-063-001-A")</f>
        <v>CAN-063-001-A</v>
      </c>
      <c r="AC663" s="4" t="b">
        <v>0</v>
      </c>
      <c r="AD663" s="4" t="b">
        <v>0</v>
      </c>
      <c r="AE663" s="4"/>
      <c r="AF663" s="4"/>
      <c r="AG663" s="4" t="b">
        <v>0</v>
      </c>
      <c r="AH663" s="4" t="s">
        <v>2171</v>
      </c>
      <c r="AI663" s="5">
        <v>40592</v>
      </c>
      <c r="AJ663" s="5">
        <v>40592</v>
      </c>
      <c r="AK663" s="5">
        <v>40630</v>
      </c>
      <c r="AL663" s="5">
        <v>40625</v>
      </c>
      <c r="AM663" s="5">
        <v>40661</v>
      </c>
      <c r="AN663" s="5">
        <v>40661</v>
      </c>
      <c r="AO663" s="4">
        <v>6</v>
      </c>
      <c r="AP663" s="5">
        <v>40661</v>
      </c>
      <c r="AQ663" s="5">
        <v>41039</v>
      </c>
      <c r="AR663" s="5">
        <v>40753</v>
      </c>
      <c r="AS663" s="5">
        <v>40693</v>
      </c>
      <c r="AT663" s="5">
        <v>40857</v>
      </c>
      <c r="AU663" s="5">
        <v>40855</v>
      </c>
      <c r="AV663" s="4">
        <v>4</v>
      </c>
      <c r="AW663" s="4"/>
      <c r="AX663" s="5">
        <v>40855</v>
      </c>
      <c r="AY663" s="4" t="s">
        <v>183</v>
      </c>
      <c r="AZ663" s="5">
        <v>40778</v>
      </c>
      <c r="BA663" s="5">
        <v>41037</v>
      </c>
      <c r="BB663" s="5">
        <v>40809</v>
      </c>
      <c r="BC663" s="5">
        <v>41046</v>
      </c>
      <c r="BD663" s="4">
        <v>6</v>
      </c>
      <c r="BE663" s="4"/>
      <c r="BF663" s="5">
        <v>40806</v>
      </c>
      <c r="BG663" s="4"/>
      <c r="BH663" s="4"/>
      <c r="BI663" s="5">
        <v>40945</v>
      </c>
      <c r="BJ663" s="5">
        <v>40942</v>
      </c>
      <c r="BK663" s="4">
        <v>4</v>
      </c>
      <c r="BL663" s="4"/>
      <c r="BM663" s="5">
        <v>40945</v>
      </c>
      <c r="BN663" s="5">
        <v>41051</v>
      </c>
      <c r="BO663" s="5">
        <v>40954</v>
      </c>
      <c r="BP663" s="4"/>
      <c r="BQ663" s="4"/>
      <c r="BR663" s="4"/>
      <c r="BS663" s="4"/>
      <c r="BT663" s="5">
        <v>40945</v>
      </c>
      <c r="BU663" s="5">
        <v>40946</v>
      </c>
      <c r="BV663" s="5">
        <v>40977</v>
      </c>
      <c r="BW663" s="5">
        <v>40984</v>
      </c>
      <c r="BX663" s="5">
        <v>40955</v>
      </c>
      <c r="BY663" s="5">
        <v>40968</v>
      </c>
      <c r="BZ663" s="5">
        <v>40968</v>
      </c>
      <c r="CA663" s="4"/>
      <c r="CB663" s="4"/>
      <c r="CC663" s="4"/>
      <c r="CD663" s="4"/>
      <c r="CE663" s="4"/>
      <c r="CF663" s="4"/>
      <c r="CG663" s="4"/>
      <c r="CH663" s="4"/>
      <c r="CI663" s="5">
        <v>40970</v>
      </c>
      <c r="CJ663" s="5">
        <v>40982</v>
      </c>
      <c r="CK663" s="5">
        <v>40980</v>
      </c>
      <c r="CL663" s="5">
        <v>40977</v>
      </c>
      <c r="CM663" s="5">
        <v>41002</v>
      </c>
      <c r="CN663" s="5">
        <v>41439</v>
      </c>
      <c r="CO663" s="5">
        <v>41437</v>
      </c>
      <c r="CP663" s="4" t="s">
        <v>2172</v>
      </c>
      <c r="CQ663" s="4" t="s">
        <v>1566</v>
      </c>
      <c r="CR663" s="5">
        <v>40970</v>
      </c>
      <c r="CS663" s="5">
        <v>40800</v>
      </c>
      <c r="CT663" s="5">
        <v>40800</v>
      </c>
      <c r="CU663" s="5">
        <v>40921</v>
      </c>
      <c r="CV663" s="5">
        <v>40924</v>
      </c>
      <c r="CW663" s="5">
        <v>40954</v>
      </c>
      <c r="CX663" s="5">
        <v>40954</v>
      </c>
      <c r="CY663" s="5">
        <v>40968</v>
      </c>
      <c r="CZ663" s="5">
        <v>40968</v>
      </c>
      <c r="DA663" s="4"/>
      <c r="DB663" s="5">
        <v>40989</v>
      </c>
      <c r="DC663" s="4"/>
      <c r="DD663" s="4"/>
      <c r="DE663" s="4"/>
      <c r="DF663" s="4"/>
      <c r="DG663" s="4"/>
      <c r="DH663" s="4" t="s">
        <v>174</v>
      </c>
      <c r="DI663" s="5">
        <v>40954</v>
      </c>
      <c r="DJ663" s="4" t="b">
        <v>0</v>
      </c>
      <c r="DK663" s="4"/>
      <c r="DL663" s="4">
        <v>2405652</v>
      </c>
      <c r="DM663" s="4">
        <v>5745588</v>
      </c>
      <c r="DN663" s="4" t="s">
        <v>2173</v>
      </c>
      <c r="DO663" s="4"/>
      <c r="DP663" s="4" t="s">
        <v>2174</v>
      </c>
      <c r="DQ663" s="4" t="s">
        <v>148</v>
      </c>
      <c r="DR663" s="4"/>
      <c r="DS663" s="4"/>
      <c r="DT663" s="4"/>
      <c r="DU663" s="4"/>
      <c r="DV663" s="4"/>
      <c r="DW663" s="4"/>
      <c r="DX663" s="4"/>
      <c r="DY663" s="4"/>
      <c r="DZ663" s="4"/>
      <c r="EA663" s="4"/>
      <c r="EB663" s="4"/>
      <c r="EC663" s="4"/>
      <c r="ED663" s="4"/>
      <c r="EE663" s="4"/>
      <c r="EF663" s="4"/>
      <c r="EG663" s="5">
        <v>40989</v>
      </c>
      <c r="EH663" s="5">
        <v>40989</v>
      </c>
      <c r="EI663" s="4"/>
    </row>
    <row r="664" spans="1:139" hidden="1" x14ac:dyDescent="0.2">
      <c r="A664" t="str">
        <f>VLOOKUP(B664,Sheet1!$A$1:$B$18,2,FALSE)</f>
        <v>South Island</v>
      </c>
      <c r="B664" t="str">
        <f>LEFT(D664,3)</f>
        <v>CAN</v>
      </c>
      <c r="C664" s="2">
        <v>677</v>
      </c>
      <c r="D664" s="3" t="str">
        <f>HYPERLINK("https://sitebase.nzcomms.co.nz/spm/spmnominalview/CAN-063-003/","CAN-063-003")</f>
        <v>CAN-063-003</v>
      </c>
      <c r="E664" s="4" t="s">
        <v>2200</v>
      </c>
      <c r="F664" s="3" t="str">
        <f>HYPERLINK("https://sitebase.nzcomms.co.nz/spm/spmcandidateview/CAN-063-003-A/","CAN-063-003-A")</f>
        <v>CAN-063-003-A</v>
      </c>
      <c r="G664" s="4" t="s">
        <v>2201</v>
      </c>
      <c r="H664" s="4" t="s">
        <v>2195</v>
      </c>
      <c r="I664" s="4">
        <v>5</v>
      </c>
      <c r="J664" s="4" t="s">
        <v>1633</v>
      </c>
      <c r="K664" s="4" t="s">
        <v>141</v>
      </c>
      <c r="L664" s="4" t="s">
        <v>142</v>
      </c>
      <c r="M664" s="4" t="s">
        <v>166</v>
      </c>
      <c r="N664" s="4" t="s">
        <v>142</v>
      </c>
      <c r="O664" s="4" t="s">
        <v>144</v>
      </c>
      <c r="P664" s="4" t="s">
        <v>182</v>
      </c>
      <c r="Q664" s="4" t="s">
        <v>142</v>
      </c>
      <c r="R664" s="4">
        <v>33</v>
      </c>
      <c r="S664" s="4">
        <v>41</v>
      </c>
      <c r="T664" s="4"/>
      <c r="U664" s="4">
        <v>-43.773487840000001</v>
      </c>
      <c r="V664" s="4">
        <v>171.99376201999999</v>
      </c>
      <c r="W664" s="4"/>
      <c r="X664" s="4"/>
      <c r="Y664" s="4"/>
      <c r="Z664" s="4"/>
      <c r="AA664" s="4" t="s">
        <v>171</v>
      </c>
      <c r="AB664" s="3" t="str">
        <f>HYPERLINK("https://sitebase.nzcomms.co.nz/spm/spmcandidateview/CAN-062-014-A/","CAN-062-014-A")</f>
        <v>CAN-062-014-A</v>
      </c>
      <c r="AC664" s="4" t="b">
        <v>0</v>
      </c>
      <c r="AD664" s="4" t="b">
        <v>0</v>
      </c>
      <c r="AE664" s="4"/>
      <c r="AF664" s="4"/>
      <c r="AG664" s="4" t="b">
        <v>0</v>
      </c>
      <c r="AH664" s="4"/>
      <c r="AI664" s="5">
        <v>40592</v>
      </c>
      <c r="AJ664" s="5">
        <v>40592</v>
      </c>
      <c r="AK664" s="5">
        <v>40599</v>
      </c>
      <c r="AL664" s="5">
        <v>40623</v>
      </c>
      <c r="AM664" s="5">
        <v>40720</v>
      </c>
      <c r="AN664" s="5">
        <v>40718</v>
      </c>
      <c r="AO664" s="4">
        <v>2</v>
      </c>
      <c r="AP664" s="5">
        <v>40720</v>
      </c>
      <c r="AQ664" s="5">
        <v>40735</v>
      </c>
      <c r="AR664" s="5">
        <v>40760</v>
      </c>
      <c r="AS664" s="5">
        <v>40756</v>
      </c>
      <c r="AT664" s="5">
        <v>40809</v>
      </c>
      <c r="AU664" s="5">
        <v>40809</v>
      </c>
      <c r="AV664" s="4">
        <v>2</v>
      </c>
      <c r="AW664" s="4"/>
      <c r="AX664" s="5">
        <v>40826</v>
      </c>
      <c r="AY664" s="4" t="s">
        <v>183</v>
      </c>
      <c r="AZ664" s="5">
        <v>40732</v>
      </c>
      <c r="BA664" s="5">
        <v>40732</v>
      </c>
      <c r="BB664" s="5">
        <v>40767</v>
      </c>
      <c r="BC664" s="5">
        <v>40743</v>
      </c>
      <c r="BD664" s="4">
        <v>1</v>
      </c>
      <c r="BE664" s="4"/>
      <c r="BF664" s="5">
        <v>40745</v>
      </c>
      <c r="BG664" s="4"/>
      <c r="BH664" s="4"/>
      <c r="BI664" s="5">
        <v>40893</v>
      </c>
      <c r="BJ664" s="5">
        <v>40897</v>
      </c>
      <c r="BK664" s="4">
        <v>1</v>
      </c>
      <c r="BL664" s="4"/>
      <c r="BM664" s="5">
        <v>40893</v>
      </c>
      <c r="BN664" s="5">
        <v>40897</v>
      </c>
      <c r="BO664" s="5">
        <v>40917</v>
      </c>
      <c r="BP664" s="4"/>
      <c r="BQ664" s="4"/>
      <c r="BR664" s="4"/>
      <c r="BS664" s="4"/>
      <c r="BT664" s="5">
        <v>40926</v>
      </c>
      <c r="BU664" s="5">
        <v>40931</v>
      </c>
      <c r="BV664" s="5">
        <v>40934</v>
      </c>
      <c r="BW664" s="5">
        <v>40940</v>
      </c>
      <c r="BX664" s="5">
        <v>40931</v>
      </c>
      <c r="BY664" s="5">
        <v>40959</v>
      </c>
      <c r="BZ664" s="5">
        <v>40959</v>
      </c>
      <c r="CA664" s="4"/>
      <c r="CB664" s="4"/>
      <c r="CC664" s="4"/>
      <c r="CD664" s="4"/>
      <c r="CE664" s="4"/>
      <c r="CF664" s="4"/>
      <c r="CG664" s="4"/>
      <c r="CH664" s="4"/>
      <c r="CI664" s="5">
        <v>40970</v>
      </c>
      <c r="CJ664" s="5">
        <v>40982</v>
      </c>
      <c r="CK664" s="5">
        <v>40977</v>
      </c>
      <c r="CL664" s="5">
        <v>41000</v>
      </c>
      <c r="CM664" s="5">
        <v>40998</v>
      </c>
      <c r="CN664" s="5">
        <v>41088</v>
      </c>
      <c r="CO664" s="5">
        <v>41089</v>
      </c>
      <c r="CP664" s="4" t="s">
        <v>2202</v>
      </c>
      <c r="CQ664" s="4" t="s">
        <v>230</v>
      </c>
      <c r="CR664" s="5">
        <v>40970</v>
      </c>
      <c r="CS664" s="5">
        <v>40800</v>
      </c>
      <c r="CT664" s="5">
        <v>40800</v>
      </c>
      <c r="CU664" s="5">
        <v>40896</v>
      </c>
      <c r="CV664" s="5">
        <v>40896</v>
      </c>
      <c r="CW664" s="5">
        <v>40897</v>
      </c>
      <c r="CX664" s="5">
        <v>40917</v>
      </c>
      <c r="CY664" s="5">
        <v>40939</v>
      </c>
      <c r="CZ664" s="5">
        <v>40946</v>
      </c>
      <c r="DA664" s="4"/>
      <c r="DB664" s="5">
        <v>40984</v>
      </c>
      <c r="DC664" s="4"/>
      <c r="DD664" s="4"/>
      <c r="DE664" s="4"/>
      <c r="DF664" s="4"/>
      <c r="DG664" s="4"/>
      <c r="DH664" s="4"/>
      <c r="DI664" s="5">
        <v>40926</v>
      </c>
      <c r="DJ664" s="4" t="b">
        <v>0</v>
      </c>
      <c r="DK664" s="4"/>
      <c r="DL664" s="4">
        <v>2429000</v>
      </c>
      <c r="DM664" s="4">
        <v>5714400</v>
      </c>
      <c r="DN664" s="4" t="s">
        <v>2203</v>
      </c>
      <c r="DO664" s="4"/>
      <c r="DP664" s="4" t="s">
        <v>2204</v>
      </c>
      <c r="DQ664" s="4" t="s">
        <v>148</v>
      </c>
      <c r="DR664" s="4"/>
      <c r="DS664" s="4"/>
      <c r="DT664" s="4"/>
      <c r="DU664" s="4"/>
      <c r="DV664" s="4"/>
      <c r="DW664" s="4"/>
      <c r="DX664" s="4"/>
      <c r="DY664" s="4"/>
      <c r="DZ664" s="4"/>
      <c r="EA664" s="4"/>
      <c r="EB664" s="4"/>
      <c r="EC664" s="4"/>
      <c r="ED664" s="4"/>
      <c r="EE664" s="4"/>
      <c r="EF664" s="4"/>
      <c r="EG664" s="5">
        <v>40983</v>
      </c>
      <c r="EH664" s="5">
        <v>40984</v>
      </c>
      <c r="EI664" s="4"/>
    </row>
    <row r="665" spans="1:139" hidden="1" x14ac:dyDescent="0.2">
      <c r="A665" t="str">
        <f>VLOOKUP(B665,Sheet1!$A$1:$B$18,2,FALSE)</f>
        <v>South Island</v>
      </c>
      <c r="B665" t="str">
        <f>LEFT(D665,3)</f>
        <v>MBN</v>
      </c>
      <c r="C665" s="2">
        <v>992</v>
      </c>
      <c r="D665" s="3" t="str">
        <f>HYPERLINK("https://sitebase.nzcomms.co.nz/spm/spmnominalview/MBN-051-012/","MBN-051-012")</f>
        <v>MBN-051-012</v>
      </c>
      <c r="E665" s="4" t="s">
        <v>3071</v>
      </c>
      <c r="F665" s="3" t="str">
        <f>HYPERLINK("https://sitebase.nzcomms.co.nz/spm/spmcandidateview/MBN-051-012-A/","MBN-051-012-A")</f>
        <v>MBN-051-012-A</v>
      </c>
      <c r="G665" s="4" t="s">
        <v>3072</v>
      </c>
      <c r="H665" s="4" t="s">
        <v>3047</v>
      </c>
      <c r="I665" s="4">
        <v>7</v>
      </c>
      <c r="J665" s="4" t="s">
        <v>1633</v>
      </c>
      <c r="K665" s="4" t="s">
        <v>141</v>
      </c>
      <c r="L665" s="4" t="s">
        <v>142</v>
      </c>
      <c r="M665" s="4" t="s">
        <v>190</v>
      </c>
      <c r="N665" s="4" t="s">
        <v>142</v>
      </c>
      <c r="O665" s="4" t="s">
        <v>144</v>
      </c>
      <c r="P665" s="4" t="s">
        <v>169</v>
      </c>
      <c r="Q665" s="4" t="s">
        <v>142</v>
      </c>
      <c r="R665" s="4">
        <v>26</v>
      </c>
      <c r="S665" s="4">
        <v>28</v>
      </c>
      <c r="T665" s="4">
        <v>1</v>
      </c>
      <c r="U665" s="4">
        <v>-41.284099689999998</v>
      </c>
      <c r="V665" s="4">
        <v>173.19414505</v>
      </c>
      <c r="W665" s="4"/>
      <c r="X665" s="5">
        <v>40453</v>
      </c>
      <c r="Y665" s="5">
        <v>40338</v>
      </c>
      <c r="Z665" s="4"/>
      <c r="AA665" s="4" t="s">
        <v>171</v>
      </c>
      <c r="AB665" s="3" t="str">
        <f>HYPERLINK("https://sitebase.nzcomms.co.nz/spm/spmcandidateview/MBN-052-015-D/","MBN-052-015-D")</f>
        <v>MBN-052-015-D</v>
      </c>
      <c r="AC665" s="4" t="b">
        <v>0</v>
      </c>
      <c r="AD665" s="4" t="b">
        <v>1</v>
      </c>
      <c r="AE665" s="4"/>
      <c r="AF665" s="4"/>
      <c r="AG665" s="4" t="b">
        <v>0</v>
      </c>
      <c r="AH665" s="4"/>
      <c r="AI665" s="5">
        <v>40611</v>
      </c>
      <c r="AJ665" s="5">
        <v>40611</v>
      </c>
      <c r="AK665" s="5">
        <v>40620</v>
      </c>
      <c r="AL665" s="5">
        <v>40620</v>
      </c>
      <c r="AM665" s="5">
        <v>40660</v>
      </c>
      <c r="AN665" s="5">
        <v>40660</v>
      </c>
      <c r="AO665" s="4">
        <v>1</v>
      </c>
      <c r="AP665" s="5">
        <v>40660</v>
      </c>
      <c r="AQ665" s="5">
        <v>40660</v>
      </c>
      <c r="AR665" s="5">
        <v>40743</v>
      </c>
      <c r="AS665" s="5">
        <v>40731</v>
      </c>
      <c r="AT665" s="5">
        <v>40781</v>
      </c>
      <c r="AU665" s="5">
        <v>40785</v>
      </c>
      <c r="AV665" s="4"/>
      <c r="AW665" s="4"/>
      <c r="AX665" s="5">
        <v>40801</v>
      </c>
      <c r="AY665" s="4" t="s">
        <v>183</v>
      </c>
      <c r="AZ665" s="5">
        <v>40667</v>
      </c>
      <c r="BA665" s="5">
        <v>40689</v>
      </c>
      <c r="BB665" s="5">
        <v>40703</v>
      </c>
      <c r="BC665" s="5">
        <v>40688</v>
      </c>
      <c r="BD665" s="4">
        <v>1</v>
      </c>
      <c r="BE665" s="5">
        <v>40688</v>
      </c>
      <c r="BF665" s="5">
        <v>40688</v>
      </c>
      <c r="BG665" s="4"/>
      <c r="BH665" s="4"/>
      <c r="BI665" s="5">
        <v>40865</v>
      </c>
      <c r="BJ665" s="5">
        <v>40869</v>
      </c>
      <c r="BK665" s="4">
        <v>1</v>
      </c>
      <c r="BL665" s="4"/>
      <c r="BM665" s="5">
        <v>40865</v>
      </c>
      <c r="BN665" s="5">
        <v>40869</v>
      </c>
      <c r="BO665" s="5">
        <v>40885</v>
      </c>
      <c r="BP665" s="4"/>
      <c r="BQ665" s="4"/>
      <c r="BR665" s="4"/>
      <c r="BS665" s="4"/>
      <c r="BT665" s="5">
        <v>40878</v>
      </c>
      <c r="BU665" s="5">
        <v>40884</v>
      </c>
      <c r="BV665" s="5">
        <v>40981</v>
      </c>
      <c r="BW665" s="5">
        <v>40981</v>
      </c>
      <c r="BX665" s="5">
        <v>40888</v>
      </c>
      <c r="BY665" s="5">
        <v>40974</v>
      </c>
      <c r="BZ665" s="5">
        <v>40975</v>
      </c>
      <c r="CA665" s="4"/>
      <c r="CB665" s="4"/>
      <c r="CC665" s="4"/>
      <c r="CD665" s="4"/>
      <c r="CE665" s="4"/>
      <c r="CF665" s="4"/>
      <c r="CG665" s="4"/>
      <c r="CH665" s="4"/>
      <c r="CI665" s="5">
        <v>40975</v>
      </c>
      <c r="CJ665" s="5">
        <v>40983</v>
      </c>
      <c r="CK665" s="5">
        <v>40983</v>
      </c>
      <c r="CL665" s="5">
        <v>41012</v>
      </c>
      <c r="CM665" s="5">
        <v>41012</v>
      </c>
      <c r="CN665" s="5">
        <v>41534</v>
      </c>
      <c r="CO665" s="5">
        <v>41557</v>
      </c>
      <c r="CP665" s="4"/>
      <c r="CQ665" s="4" t="s">
        <v>230</v>
      </c>
      <c r="CR665" s="5">
        <v>40974</v>
      </c>
      <c r="CS665" s="5">
        <v>40875</v>
      </c>
      <c r="CT665" s="5">
        <v>40875</v>
      </c>
      <c r="CU665" s="5">
        <v>40883</v>
      </c>
      <c r="CV665" s="5">
        <v>40884</v>
      </c>
      <c r="CW665" s="5">
        <v>40885</v>
      </c>
      <c r="CX665" s="5">
        <v>40885</v>
      </c>
      <c r="CY665" s="5">
        <v>40961</v>
      </c>
      <c r="CZ665" s="5">
        <v>40972</v>
      </c>
      <c r="DA665" s="5">
        <v>40980</v>
      </c>
      <c r="DB665" s="5">
        <v>40997</v>
      </c>
      <c r="DC665" s="4"/>
      <c r="DD665" s="4"/>
      <c r="DE665" s="4"/>
      <c r="DF665" s="4"/>
      <c r="DG665" s="4"/>
      <c r="DH665" s="4" t="s">
        <v>174</v>
      </c>
      <c r="DI665" s="5">
        <v>40888</v>
      </c>
      <c r="DJ665" s="4" t="b">
        <v>0</v>
      </c>
      <c r="DK665" s="4"/>
      <c r="DL665" s="4">
        <v>2526250</v>
      </c>
      <c r="DM665" s="4">
        <v>5991389</v>
      </c>
      <c r="DN665" s="4" t="s">
        <v>3073</v>
      </c>
      <c r="DO665" s="4"/>
      <c r="DP665" s="4" t="s">
        <v>3074</v>
      </c>
      <c r="DQ665" s="4" t="s">
        <v>148</v>
      </c>
      <c r="DR665" s="4"/>
      <c r="DS665" s="4"/>
      <c r="DT665" s="4"/>
      <c r="DU665" s="4"/>
      <c r="DV665" s="4"/>
      <c r="DW665" s="4"/>
      <c r="DX665" s="4"/>
      <c r="DY665" s="4"/>
      <c r="DZ665" s="4"/>
      <c r="EA665" s="4"/>
      <c r="EB665" s="4"/>
      <c r="EC665" s="4"/>
      <c r="ED665" s="4"/>
      <c r="EE665" s="4"/>
      <c r="EF665" s="4"/>
      <c r="EG665" s="5">
        <v>40993</v>
      </c>
      <c r="EH665" s="5">
        <v>40997</v>
      </c>
      <c r="EI665" s="4"/>
    </row>
    <row r="666" spans="1:139" hidden="1" x14ac:dyDescent="0.2">
      <c r="A666" t="str">
        <f>VLOOKUP(B666,Sheet1!$A$1:$B$18,2,FALSE)</f>
        <v>South Island</v>
      </c>
      <c r="B666" t="str">
        <f>LEFT(D666,3)</f>
        <v>MBN</v>
      </c>
      <c r="C666" s="2">
        <v>1005</v>
      </c>
      <c r="D666" s="3" t="str">
        <f>HYPERLINK("https://sitebase.nzcomms.co.nz/spm/spmnominalview/MBN-052-001/","MBN-052-001")</f>
        <v>MBN-052-001</v>
      </c>
      <c r="E666" s="4" t="s">
        <v>3094</v>
      </c>
      <c r="F666" s="3" t="str">
        <f>HYPERLINK("https://sitebase.nzcomms.co.nz/spm/spmcandidateview/MBN-052-001-D/","MBN-052-001-D")</f>
        <v>MBN-052-001-D</v>
      </c>
      <c r="G666" s="4" t="s">
        <v>3095</v>
      </c>
      <c r="H666" s="4" t="s">
        <v>3096</v>
      </c>
      <c r="I666" s="4">
        <v>7</v>
      </c>
      <c r="J666" s="4" t="s">
        <v>1633</v>
      </c>
      <c r="K666" s="4" t="s">
        <v>141</v>
      </c>
      <c r="L666" s="4" t="s">
        <v>150</v>
      </c>
      <c r="M666" s="4" t="s">
        <v>190</v>
      </c>
      <c r="N666" s="4" t="s">
        <v>1557</v>
      </c>
      <c r="O666" s="4" t="s">
        <v>144</v>
      </c>
      <c r="P666" s="4" t="s">
        <v>169</v>
      </c>
      <c r="Q666" s="4" t="s">
        <v>192</v>
      </c>
      <c r="R666" s="4">
        <v>24.5</v>
      </c>
      <c r="S666" s="4">
        <v>25</v>
      </c>
      <c r="T666" s="4">
        <v>1</v>
      </c>
      <c r="U666" s="4">
        <v>-41.291214889999999</v>
      </c>
      <c r="V666" s="4">
        <v>173.24192223</v>
      </c>
      <c r="W666" s="4"/>
      <c r="X666" s="5">
        <v>40453</v>
      </c>
      <c r="Y666" s="5">
        <v>40338</v>
      </c>
      <c r="Z666" s="4"/>
      <c r="AA666" s="4" t="s">
        <v>171</v>
      </c>
      <c r="AB666" s="3" t="str">
        <f>HYPERLINK("https://sitebase.nzcomms.co.nz/spm/spmcandidateview/MBN-052-007-B/","MBN-052-007-B")</f>
        <v>MBN-052-007-B</v>
      </c>
      <c r="AC666" s="4" t="b">
        <v>0</v>
      </c>
      <c r="AD666" s="4" t="b">
        <v>1</v>
      </c>
      <c r="AE666" s="5">
        <v>40344</v>
      </c>
      <c r="AF666" s="5">
        <v>40344</v>
      </c>
      <c r="AG666" s="4" t="b">
        <v>0</v>
      </c>
      <c r="AH666" s="4"/>
      <c r="AI666" s="5">
        <v>40704</v>
      </c>
      <c r="AJ666" s="5">
        <v>40702</v>
      </c>
      <c r="AK666" s="5">
        <v>40709</v>
      </c>
      <c r="AL666" s="5">
        <v>40708</v>
      </c>
      <c r="AM666" s="5">
        <v>40730</v>
      </c>
      <c r="AN666" s="5">
        <v>40731</v>
      </c>
      <c r="AO666" s="4">
        <v>2</v>
      </c>
      <c r="AP666" s="5">
        <v>40730</v>
      </c>
      <c r="AQ666" s="5">
        <v>40833</v>
      </c>
      <c r="AR666" s="5">
        <v>40753</v>
      </c>
      <c r="AS666" s="5">
        <v>40756</v>
      </c>
      <c r="AT666" s="5">
        <v>40865</v>
      </c>
      <c r="AU666" s="5">
        <v>40863</v>
      </c>
      <c r="AV666" s="4">
        <v>2</v>
      </c>
      <c r="AW666" s="5">
        <v>40865</v>
      </c>
      <c r="AX666" s="5">
        <v>40882</v>
      </c>
      <c r="AY666" s="4" t="s">
        <v>247</v>
      </c>
      <c r="AZ666" s="5">
        <v>40737</v>
      </c>
      <c r="BA666" s="5">
        <v>40732</v>
      </c>
      <c r="BB666" s="5">
        <v>40774</v>
      </c>
      <c r="BC666" s="5">
        <v>40738</v>
      </c>
      <c r="BD666" s="4">
        <v>1</v>
      </c>
      <c r="BE666" s="4"/>
      <c r="BF666" s="5">
        <v>40738</v>
      </c>
      <c r="BG666" s="4"/>
      <c r="BH666" s="4"/>
      <c r="BI666" s="5">
        <v>40865</v>
      </c>
      <c r="BJ666" s="5">
        <v>40864</v>
      </c>
      <c r="BK666" s="4">
        <v>1</v>
      </c>
      <c r="BL666" s="4"/>
      <c r="BM666" s="5">
        <v>40865</v>
      </c>
      <c r="BN666" s="5">
        <v>40864</v>
      </c>
      <c r="BO666" s="5">
        <v>40871</v>
      </c>
      <c r="BP666" s="4"/>
      <c r="BQ666" s="4"/>
      <c r="BR666" s="4"/>
      <c r="BS666" s="4"/>
      <c r="BT666" s="5">
        <v>40869</v>
      </c>
      <c r="BU666" s="5">
        <v>40869</v>
      </c>
      <c r="BV666" s="5">
        <v>40923</v>
      </c>
      <c r="BW666" s="5">
        <v>40872</v>
      </c>
      <c r="BX666" s="5">
        <v>40888</v>
      </c>
      <c r="BY666" s="5">
        <v>40946</v>
      </c>
      <c r="BZ666" s="5">
        <v>40941</v>
      </c>
      <c r="CA666" s="4"/>
      <c r="CB666" s="4"/>
      <c r="CC666" s="4"/>
      <c r="CD666" s="4"/>
      <c r="CE666" s="4"/>
      <c r="CF666" s="4"/>
      <c r="CG666" s="4"/>
      <c r="CH666" s="4"/>
      <c r="CI666" s="5">
        <v>40977</v>
      </c>
      <c r="CJ666" s="5">
        <v>40983</v>
      </c>
      <c r="CK666" s="5">
        <v>40983</v>
      </c>
      <c r="CL666" s="5">
        <v>41013</v>
      </c>
      <c r="CM666" s="5">
        <v>41002</v>
      </c>
      <c r="CN666" s="5">
        <v>41502</v>
      </c>
      <c r="CO666" s="5">
        <v>41501</v>
      </c>
      <c r="CP666" s="4"/>
      <c r="CQ666" s="4"/>
      <c r="CR666" s="5">
        <v>40976</v>
      </c>
      <c r="CS666" s="5">
        <v>40875</v>
      </c>
      <c r="CT666" s="5">
        <v>40875</v>
      </c>
      <c r="CU666" s="5">
        <v>40883</v>
      </c>
      <c r="CV666" s="5">
        <v>40884</v>
      </c>
      <c r="CW666" s="5">
        <v>40901</v>
      </c>
      <c r="CX666" s="5">
        <v>40871</v>
      </c>
      <c r="CY666" s="5">
        <v>40980</v>
      </c>
      <c r="CZ666" s="5">
        <v>40981</v>
      </c>
      <c r="DA666" s="5">
        <v>40980</v>
      </c>
      <c r="DB666" s="5">
        <v>40989</v>
      </c>
      <c r="DC666" s="4"/>
      <c r="DD666" s="4"/>
      <c r="DE666" s="4"/>
      <c r="DF666" s="4"/>
      <c r="DG666" s="4"/>
      <c r="DH666" s="4" t="s">
        <v>174</v>
      </c>
      <c r="DI666" s="5">
        <v>40889</v>
      </c>
      <c r="DJ666" s="4" t="b">
        <v>0</v>
      </c>
      <c r="DK666" s="4"/>
      <c r="DL666" s="4">
        <v>2530250</v>
      </c>
      <c r="DM666" s="4">
        <v>5990589</v>
      </c>
      <c r="DN666" s="4" t="s">
        <v>3097</v>
      </c>
      <c r="DO666" s="4"/>
      <c r="DP666" s="4"/>
      <c r="DQ666" s="4" t="s">
        <v>148</v>
      </c>
      <c r="DR666" s="4"/>
      <c r="DS666" s="4"/>
      <c r="DT666" s="4"/>
      <c r="DU666" s="4"/>
      <c r="DV666" s="4"/>
      <c r="DW666" s="4"/>
      <c r="DX666" s="4"/>
      <c r="DY666" s="4"/>
      <c r="DZ666" s="4"/>
      <c r="EA666" s="4"/>
      <c r="EB666" s="4"/>
      <c r="EC666" s="4"/>
      <c r="ED666" s="4"/>
      <c r="EE666" s="4"/>
      <c r="EF666" s="4"/>
      <c r="EG666" s="5">
        <v>40988</v>
      </c>
      <c r="EH666" s="5">
        <v>40989</v>
      </c>
      <c r="EI666" s="4"/>
    </row>
    <row r="667" spans="1:139" hidden="1" x14ac:dyDescent="0.2">
      <c r="A667" t="str">
        <f>VLOOKUP(B667,Sheet1!$A$1:$B$18,2,FALSE)</f>
        <v>South Island</v>
      </c>
      <c r="B667" t="str">
        <f>LEFT(D667,3)</f>
        <v>MBN</v>
      </c>
      <c r="C667" s="2">
        <v>1010</v>
      </c>
      <c r="D667" s="3" t="str">
        <f>HYPERLINK("https://sitebase.nzcomms.co.nz/spm/spmnominalview/MBN-052-006/","MBN-052-006")</f>
        <v>MBN-052-006</v>
      </c>
      <c r="E667" s="4" t="s">
        <v>3106</v>
      </c>
      <c r="F667" s="3" t="str">
        <f>HYPERLINK("https://sitebase.nzcomms.co.nz/spm/spmcandidateview/MBN-052-006-D/","MBN-052-006-D")</f>
        <v>MBN-052-006-D</v>
      </c>
      <c r="G667" s="4" t="s">
        <v>3107</v>
      </c>
      <c r="H667" s="4" t="s">
        <v>3096</v>
      </c>
      <c r="I667" s="4">
        <v>7</v>
      </c>
      <c r="J667" s="4" t="s">
        <v>1633</v>
      </c>
      <c r="K667" s="4" t="s">
        <v>141</v>
      </c>
      <c r="L667" s="4" t="s">
        <v>189</v>
      </c>
      <c r="M667" s="4" t="s">
        <v>190</v>
      </c>
      <c r="N667" s="4" t="s">
        <v>2268</v>
      </c>
      <c r="O667" s="4"/>
      <c r="P667" s="4" t="s">
        <v>169</v>
      </c>
      <c r="Q667" s="4" t="s">
        <v>170</v>
      </c>
      <c r="R667" s="4">
        <v>17.5</v>
      </c>
      <c r="S667" s="4">
        <v>18</v>
      </c>
      <c r="T667" s="4">
        <v>1</v>
      </c>
      <c r="U667" s="4">
        <v>-41.31218415</v>
      </c>
      <c r="V667" s="4">
        <v>173.23448604999999</v>
      </c>
      <c r="W667" s="4"/>
      <c r="X667" s="5">
        <v>40453</v>
      </c>
      <c r="Y667" s="5">
        <v>40338</v>
      </c>
      <c r="Z667" s="4"/>
      <c r="AA667" s="4" t="s">
        <v>171</v>
      </c>
      <c r="AB667" s="3" t="str">
        <f>HYPERLINK("https://sitebase.nzcomms.co.nz/spm/spmcandidateview/MBN-052-015-D/","MBN-052-015-D")</f>
        <v>MBN-052-015-D</v>
      </c>
      <c r="AC667" s="4" t="b">
        <v>0</v>
      </c>
      <c r="AD667" s="4" t="b">
        <v>1</v>
      </c>
      <c r="AE667" s="5">
        <v>40344</v>
      </c>
      <c r="AF667" s="5">
        <v>40344</v>
      </c>
      <c r="AG667" s="4" t="b">
        <v>0</v>
      </c>
      <c r="AH667" s="4"/>
      <c r="AI667" s="5">
        <v>40702</v>
      </c>
      <c r="AJ667" s="5">
        <v>40702</v>
      </c>
      <c r="AK667" s="5">
        <v>40709</v>
      </c>
      <c r="AL667" s="5">
        <v>40711</v>
      </c>
      <c r="AM667" s="5">
        <v>40753</v>
      </c>
      <c r="AN667" s="5">
        <v>40753</v>
      </c>
      <c r="AO667" s="4">
        <v>1</v>
      </c>
      <c r="AP667" s="5">
        <v>40753</v>
      </c>
      <c r="AQ667" s="5">
        <v>40753</v>
      </c>
      <c r="AR667" s="5">
        <v>40760</v>
      </c>
      <c r="AS667" s="5">
        <v>40759</v>
      </c>
      <c r="AT667" s="5">
        <v>40774</v>
      </c>
      <c r="AU667" s="5">
        <v>40767</v>
      </c>
      <c r="AV667" s="4">
        <v>1</v>
      </c>
      <c r="AW667" s="4"/>
      <c r="AX667" s="5">
        <v>40778</v>
      </c>
      <c r="AY667" s="4" t="s">
        <v>183</v>
      </c>
      <c r="AZ667" s="5">
        <v>40760</v>
      </c>
      <c r="BA667" s="5">
        <v>40757</v>
      </c>
      <c r="BB667" s="5">
        <v>40799</v>
      </c>
      <c r="BC667" s="5">
        <v>40773</v>
      </c>
      <c r="BD667" s="4">
        <v>1</v>
      </c>
      <c r="BE667" s="4"/>
      <c r="BF667" s="5">
        <v>40773</v>
      </c>
      <c r="BG667" s="4"/>
      <c r="BH667" s="4"/>
      <c r="BI667" s="5">
        <v>40865</v>
      </c>
      <c r="BJ667" s="5">
        <v>40869</v>
      </c>
      <c r="BK667" s="4">
        <v>1</v>
      </c>
      <c r="BL667" s="4"/>
      <c r="BM667" s="5">
        <v>40865</v>
      </c>
      <c r="BN667" s="5">
        <v>40869</v>
      </c>
      <c r="BO667" s="5">
        <v>40941</v>
      </c>
      <c r="BP667" s="4"/>
      <c r="BQ667" s="4"/>
      <c r="BR667" s="4"/>
      <c r="BS667" s="4"/>
      <c r="BT667" s="5">
        <v>40923</v>
      </c>
      <c r="BU667" s="5">
        <v>40926</v>
      </c>
      <c r="BV667" s="5">
        <v>40961</v>
      </c>
      <c r="BW667" s="5">
        <v>40961</v>
      </c>
      <c r="BX667" s="5">
        <v>40938</v>
      </c>
      <c r="BY667" s="5">
        <v>40948</v>
      </c>
      <c r="BZ667" s="5">
        <v>40941</v>
      </c>
      <c r="CA667" s="4"/>
      <c r="CB667" s="4"/>
      <c r="CC667" s="4"/>
      <c r="CD667" s="4"/>
      <c r="CE667" s="4"/>
      <c r="CF667" s="4"/>
      <c r="CG667" s="4"/>
      <c r="CH667" s="4"/>
      <c r="CI667" s="5">
        <v>40977</v>
      </c>
      <c r="CJ667" s="5">
        <v>40983</v>
      </c>
      <c r="CK667" s="5">
        <v>40983</v>
      </c>
      <c r="CL667" s="5">
        <v>40995</v>
      </c>
      <c r="CM667" s="5">
        <v>40995</v>
      </c>
      <c r="CN667" s="5">
        <v>41442</v>
      </c>
      <c r="CO667" s="5">
        <v>41436</v>
      </c>
      <c r="CP667" s="4" t="s">
        <v>3108</v>
      </c>
      <c r="CQ667" s="4"/>
      <c r="CR667" s="5">
        <v>40977</v>
      </c>
      <c r="CS667" s="5">
        <v>40875</v>
      </c>
      <c r="CT667" s="5">
        <v>40875</v>
      </c>
      <c r="CU667" s="5">
        <v>40883</v>
      </c>
      <c r="CV667" s="5">
        <v>40941</v>
      </c>
      <c r="CW667" s="5">
        <v>40895</v>
      </c>
      <c r="CX667" s="5">
        <v>40941</v>
      </c>
      <c r="CY667" s="5">
        <v>40952</v>
      </c>
      <c r="CZ667" s="5">
        <v>40953</v>
      </c>
      <c r="DA667" s="5">
        <v>40980</v>
      </c>
      <c r="DB667" s="5">
        <v>40995</v>
      </c>
      <c r="DC667" s="4"/>
      <c r="DD667" s="4"/>
      <c r="DE667" s="4"/>
      <c r="DF667" s="4"/>
      <c r="DG667" s="4"/>
      <c r="DH667" s="4" t="s">
        <v>174</v>
      </c>
      <c r="DI667" s="5">
        <v>40947</v>
      </c>
      <c r="DJ667" s="4" t="b">
        <v>0</v>
      </c>
      <c r="DK667" s="4"/>
      <c r="DL667" s="4">
        <v>2529621</v>
      </c>
      <c r="DM667" s="4">
        <v>5988262</v>
      </c>
      <c r="DN667" s="4" t="s">
        <v>3109</v>
      </c>
      <c r="DO667" s="4"/>
      <c r="DP667" s="4" t="s">
        <v>3110</v>
      </c>
      <c r="DQ667" s="4" t="s">
        <v>148</v>
      </c>
      <c r="DR667" s="4"/>
      <c r="DS667" s="4"/>
      <c r="DT667" s="4"/>
      <c r="DU667" s="4"/>
      <c r="DV667" s="4"/>
      <c r="DW667" s="4"/>
      <c r="DX667" s="4"/>
      <c r="DY667" s="4"/>
      <c r="DZ667" s="4"/>
      <c r="EA667" s="4"/>
      <c r="EB667" s="4"/>
      <c r="EC667" s="4"/>
      <c r="ED667" s="4"/>
      <c r="EE667" s="4"/>
      <c r="EF667" s="4"/>
      <c r="EG667" s="5">
        <v>40988</v>
      </c>
      <c r="EH667" s="5">
        <v>40995</v>
      </c>
      <c r="EI667" s="4"/>
    </row>
    <row r="668" spans="1:139" hidden="1" x14ac:dyDescent="0.2">
      <c r="A668" t="str">
        <f>VLOOKUP(B668,Sheet1!$A$1:$B$18,2,FALSE)</f>
        <v>South Island</v>
      </c>
      <c r="B668" t="str">
        <f>LEFT(D668,3)</f>
        <v>MBN</v>
      </c>
      <c r="C668" s="2">
        <v>1011</v>
      </c>
      <c r="D668" s="3" t="str">
        <f>HYPERLINK("https://sitebase.nzcomms.co.nz/spm/spmnominalview/MBN-052-007/","MBN-052-007")</f>
        <v>MBN-052-007</v>
      </c>
      <c r="E668" s="4" t="s">
        <v>3111</v>
      </c>
      <c r="F668" s="3" t="str">
        <f>HYPERLINK("https://sitebase.nzcomms.co.nz/spm/spmcandidateview/MBN-052-007-B/","MBN-052-007-B")</f>
        <v>MBN-052-007-B</v>
      </c>
      <c r="G668" s="4" t="s">
        <v>3112</v>
      </c>
      <c r="H668" s="4" t="s">
        <v>3096</v>
      </c>
      <c r="I668" s="4">
        <v>7</v>
      </c>
      <c r="J668" s="4" t="s">
        <v>1633</v>
      </c>
      <c r="K668" s="4" t="s">
        <v>141</v>
      </c>
      <c r="L668" s="4" t="s">
        <v>150</v>
      </c>
      <c r="M668" s="4" t="s">
        <v>190</v>
      </c>
      <c r="N668" s="4" t="s">
        <v>1557</v>
      </c>
      <c r="O668" s="4"/>
      <c r="P668" s="4" t="s">
        <v>169</v>
      </c>
      <c r="Q668" s="4" t="s">
        <v>192</v>
      </c>
      <c r="R668" s="4">
        <v>24.5</v>
      </c>
      <c r="S668" s="4">
        <v>25</v>
      </c>
      <c r="T668" s="4">
        <v>1</v>
      </c>
      <c r="U668" s="4">
        <v>-41.300550970000003</v>
      </c>
      <c r="V668" s="4">
        <v>173.22941813</v>
      </c>
      <c r="W668" s="4"/>
      <c r="X668" s="5">
        <v>40453</v>
      </c>
      <c r="Y668" s="5">
        <v>40338</v>
      </c>
      <c r="Z668" s="4"/>
      <c r="AA668" s="4" t="s">
        <v>171</v>
      </c>
      <c r="AB668" s="3" t="str">
        <f>HYPERLINK("https://sitebase.nzcomms.co.nz/spm/spmcandidateview/MBN-051-003-C/","MBN-051-003-C")</f>
        <v>MBN-051-003-C</v>
      </c>
      <c r="AC668" s="4" t="b">
        <v>0</v>
      </c>
      <c r="AD668" s="4" t="b">
        <v>1</v>
      </c>
      <c r="AE668" s="5">
        <v>40344</v>
      </c>
      <c r="AF668" s="5">
        <v>40344</v>
      </c>
      <c r="AG668" s="4" t="b">
        <v>0</v>
      </c>
      <c r="AH668" s="4"/>
      <c r="AI668" s="5">
        <v>40648</v>
      </c>
      <c r="AJ668" s="5">
        <v>40646</v>
      </c>
      <c r="AK668" s="5">
        <v>40652</v>
      </c>
      <c r="AL668" s="5">
        <v>40652</v>
      </c>
      <c r="AM668" s="5">
        <v>40693</v>
      </c>
      <c r="AN668" s="5">
        <v>40695</v>
      </c>
      <c r="AO668" s="4">
        <v>1</v>
      </c>
      <c r="AP668" s="5">
        <v>40693</v>
      </c>
      <c r="AQ668" s="5">
        <v>40695</v>
      </c>
      <c r="AR668" s="5">
        <v>40724</v>
      </c>
      <c r="AS668" s="5">
        <v>40704</v>
      </c>
      <c r="AT668" s="5">
        <v>40752</v>
      </c>
      <c r="AU668" s="5">
        <v>40711</v>
      </c>
      <c r="AV668" s="4">
        <v>1</v>
      </c>
      <c r="AW668" s="4"/>
      <c r="AX668" s="5">
        <v>40815</v>
      </c>
      <c r="AY668" s="4" t="s">
        <v>247</v>
      </c>
      <c r="AZ668" s="5">
        <v>40701</v>
      </c>
      <c r="BA668" s="5">
        <v>40697</v>
      </c>
      <c r="BB668" s="5">
        <v>40742</v>
      </c>
      <c r="BC668" s="5">
        <v>40704</v>
      </c>
      <c r="BD668" s="4">
        <v>1</v>
      </c>
      <c r="BE668" s="4"/>
      <c r="BF668" s="5">
        <v>40704</v>
      </c>
      <c r="BG668" s="4"/>
      <c r="BH668" s="4"/>
      <c r="BI668" s="5">
        <v>40862</v>
      </c>
      <c r="BJ668" s="5">
        <v>40858</v>
      </c>
      <c r="BK668" s="4">
        <v>1</v>
      </c>
      <c r="BL668" s="4"/>
      <c r="BM668" s="5">
        <v>40862</v>
      </c>
      <c r="BN668" s="5">
        <v>40858</v>
      </c>
      <c r="BO668" s="5">
        <v>40864</v>
      </c>
      <c r="BP668" s="4"/>
      <c r="BQ668" s="4"/>
      <c r="BR668" s="4"/>
      <c r="BS668" s="4"/>
      <c r="BT668" s="5">
        <v>40875</v>
      </c>
      <c r="BU668" s="5">
        <v>40856</v>
      </c>
      <c r="BV668" s="5">
        <v>40956</v>
      </c>
      <c r="BW668" s="5">
        <v>40956</v>
      </c>
      <c r="BX668" s="5">
        <v>40885</v>
      </c>
      <c r="BY668" s="5">
        <v>40946</v>
      </c>
      <c r="BZ668" s="5">
        <v>40941</v>
      </c>
      <c r="CA668" s="4"/>
      <c r="CB668" s="4"/>
      <c r="CC668" s="4"/>
      <c r="CD668" s="4"/>
      <c r="CE668" s="4"/>
      <c r="CF668" s="4"/>
      <c r="CG668" s="4"/>
      <c r="CH668" s="4"/>
      <c r="CI668" s="5">
        <v>40975</v>
      </c>
      <c r="CJ668" s="5">
        <v>40983</v>
      </c>
      <c r="CK668" s="5">
        <v>40983</v>
      </c>
      <c r="CL668" s="5">
        <v>41013</v>
      </c>
      <c r="CM668" s="5">
        <v>41002</v>
      </c>
      <c r="CN668" s="5">
        <v>41534</v>
      </c>
      <c r="CO668" s="5">
        <v>41505</v>
      </c>
      <c r="CP668" s="4"/>
      <c r="CQ668" s="4"/>
      <c r="CR668" s="5">
        <v>40975</v>
      </c>
      <c r="CS668" s="5">
        <v>40875</v>
      </c>
      <c r="CT668" s="5">
        <v>40875</v>
      </c>
      <c r="CU668" s="5">
        <v>40883</v>
      </c>
      <c r="CV668" s="5">
        <v>40883</v>
      </c>
      <c r="CW668" s="5">
        <v>40864</v>
      </c>
      <c r="CX668" s="5">
        <v>40864</v>
      </c>
      <c r="CY668" s="5">
        <v>40941</v>
      </c>
      <c r="CZ668" s="5">
        <v>40924</v>
      </c>
      <c r="DA668" s="5">
        <v>40980</v>
      </c>
      <c r="DB668" s="5">
        <v>40989</v>
      </c>
      <c r="DC668" s="4"/>
      <c r="DD668" s="4"/>
      <c r="DE668" s="4"/>
      <c r="DF668" s="4"/>
      <c r="DG668" s="4"/>
      <c r="DH668" s="4" t="s">
        <v>174</v>
      </c>
      <c r="DI668" s="5">
        <v>40885</v>
      </c>
      <c r="DJ668" s="4" t="b">
        <v>0</v>
      </c>
      <c r="DK668" s="4"/>
      <c r="DL668" s="4">
        <v>2529200</v>
      </c>
      <c r="DM668" s="4">
        <v>5989555</v>
      </c>
      <c r="DN668" s="4" t="s">
        <v>3113</v>
      </c>
      <c r="DO668" s="4"/>
      <c r="DP668" s="4" t="s">
        <v>3114</v>
      </c>
      <c r="DQ668" s="4" t="s">
        <v>148</v>
      </c>
      <c r="DR668" s="4"/>
      <c r="DS668" s="4"/>
      <c r="DT668" s="4"/>
      <c r="DU668" s="4"/>
      <c r="DV668" s="4"/>
      <c r="DW668" s="4"/>
      <c r="DX668" s="4"/>
      <c r="DY668" s="4"/>
      <c r="DZ668" s="4"/>
      <c r="EA668" s="4"/>
      <c r="EB668" s="4"/>
      <c r="EC668" s="4"/>
      <c r="ED668" s="4"/>
      <c r="EE668" s="4"/>
      <c r="EF668" s="4"/>
      <c r="EG668" s="5">
        <v>40988</v>
      </c>
      <c r="EH668" s="5">
        <v>40989</v>
      </c>
      <c r="EI668" s="4"/>
    </row>
    <row r="669" spans="1:139" hidden="1" x14ac:dyDescent="0.2">
      <c r="A669" t="str">
        <f>VLOOKUP(B669,Sheet1!$A$1:$B$18,2,FALSE)</f>
        <v>South Island</v>
      </c>
      <c r="B669" t="str">
        <f>LEFT(D669,3)</f>
        <v>OTG</v>
      </c>
      <c r="C669" s="2">
        <v>1246</v>
      </c>
      <c r="D669" s="3" t="str">
        <f>HYPERLINK("https://sitebase.nzcomms.co.nz/spm/spmnominalview/OTG-071-024/","OTG-071-024")</f>
        <v>OTG-071-024</v>
      </c>
      <c r="E669" s="4" t="s">
        <v>3818</v>
      </c>
      <c r="F669" s="3" t="str">
        <f>HYPERLINK("https://sitebase.nzcomms.co.nz/spm/spmcandidateview/OTG-071-024-F/","OTG-071-024-F")</f>
        <v>OTG-071-024-F</v>
      </c>
      <c r="G669" s="4" t="s">
        <v>3819</v>
      </c>
      <c r="H669" s="4" t="s">
        <v>3727</v>
      </c>
      <c r="I669" s="4">
        <v>4</v>
      </c>
      <c r="J669" s="4" t="s">
        <v>1633</v>
      </c>
      <c r="K669" s="4" t="s">
        <v>141</v>
      </c>
      <c r="L669" s="4" t="s">
        <v>150</v>
      </c>
      <c r="M669" s="4" t="s">
        <v>190</v>
      </c>
      <c r="N669" s="4" t="s">
        <v>246</v>
      </c>
      <c r="O669" s="4" t="s">
        <v>356</v>
      </c>
      <c r="P669" s="4" t="s">
        <v>182</v>
      </c>
      <c r="Q669" s="4" t="s">
        <v>192</v>
      </c>
      <c r="R669" s="4">
        <v>12</v>
      </c>
      <c r="S669" s="4">
        <v>12</v>
      </c>
      <c r="T669" s="4">
        <v>1</v>
      </c>
      <c r="U669" s="4">
        <v>-45.894527719999999</v>
      </c>
      <c r="V669" s="4">
        <v>170.52750515</v>
      </c>
      <c r="W669" s="5">
        <v>40325</v>
      </c>
      <c r="X669" s="4"/>
      <c r="Y669" s="5">
        <v>40296</v>
      </c>
      <c r="Z669" s="5">
        <v>40296</v>
      </c>
      <c r="AA669" s="4" t="s">
        <v>171</v>
      </c>
      <c r="AB669" s="3" t="str">
        <f>HYPERLINK("https://sitebase.nzcomms.co.nz/spm/spmcandidateview/OTG-071-010-A/","OTG-071-010-A")</f>
        <v>OTG-071-010-A</v>
      </c>
      <c r="AC669" s="4" t="b">
        <v>0</v>
      </c>
      <c r="AD669" s="4" t="b">
        <v>0</v>
      </c>
      <c r="AE669" s="5">
        <v>40164</v>
      </c>
      <c r="AF669" s="5">
        <v>40164</v>
      </c>
      <c r="AG669" s="4" t="b">
        <v>0</v>
      </c>
      <c r="AH669" s="4"/>
      <c r="AI669" s="5">
        <v>40725</v>
      </c>
      <c r="AJ669" s="5">
        <v>40725</v>
      </c>
      <c r="AK669" s="5">
        <v>40736</v>
      </c>
      <c r="AL669" s="5">
        <v>40735</v>
      </c>
      <c r="AM669" s="5">
        <v>40753</v>
      </c>
      <c r="AN669" s="5">
        <v>40752</v>
      </c>
      <c r="AO669" s="4">
        <v>3</v>
      </c>
      <c r="AP669" s="5">
        <v>40753</v>
      </c>
      <c r="AQ669" s="5">
        <v>40899</v>
      </c>
      <c r="AR669" s="4"/>
      <c r="AS669" s="5">
        <v>40736</v>
      </c>
      <c r="AT669" s="5">
        <v>40777</v>
      </c>
      <c r="AU669" s="5">
        <v>40777</v>
      </c>
      <c r="AV669" s="4">
        <v>1</v>
      </c>
      <c r="AW669" s="4"/>
      <c r="AX669" s="5">
        <v>40799</v>
      </c>
      <c r="AY669" s="4" t="s">
        <v>172</v>
      </c>
      <c r="AZ669" s="5">
        <v>40785</v>
      </c>
      <c r="BA669" s="5">
        <v>40756</v>
      </c>
      <c r="BB669" s="5">
        <v>40813</v>
      </c>
      <c r="BC669" s="5">
        <v>40785</v>
      </c>
      <c r="BD669" s="4">
        <v>1</v>
      </c>
      <c r="BE669" s="4"/>
      <c r="BF669" s="5">
        <v>40785</v>
      </c>
      <c r="BG669" s="4"/>
      <c r="BH669" s="4"/>
      <c r="BI669" s="5">
        <v>40835</v>
      </c>
      <c r="BJ669" s="5">
        <v>40848</v>
      </c>
      <c r="BK669" s="4">
        <v>2</v>
      </c>
      <c r="BL669" s="4"/>
      <c r="BM669" s="5">
        <v>40835</v>
      </c>
      <c r="BN669" s="5">
        <v>40928</v>
      </c>
      <c r="BO669" s="5">
        <v>40857</v>
      </c>
      <c r="BP669" s="4"/>
      <c r="BQ669" s="4"/>
      <c r="BR669" s="5">
        <v>40829</v>
      </c>
      <c r="BS669" s="4"/>
      <c r="BT669" s="5">
        <v>40855</v>
      </c>
      <c r="BU669" s="5">
        <v>40855</v>
      </c>
      <c r="BV669" s="5">
        <v>40984</v>
      </c>
      <c r="BW669" s="5">
        <v>40982</v>
      </c>
      <c r="BX669" s="5">
        <v>40966</v>
      </c>
      <c r="BY669" s="5">
        <v>40947</v>
      </c>
      <c r="BZ669" s="5">
        <v>40978</v>
      </c>
      <c r="CA669" s="4"/>
      <c r="CB669" s="4"/>
      <c r="CC669" s="4"/>
      <c r="CD669" s="4"/>
      <c r="CE669" s="4"/>
      <c r="CF669" s="4"/>
      <c r="CG669" s="4"/>
      <c r="CH669" s="4"/>
      <c r="CI669" s="5">
        <v>40981</v>
      </c>
      <c r="CJ669" s="5">
        <v>40983</v>
      </c>
      <c r="CK669" s="5">
        <v>40983</v>
      </c>
      <c r="CL669" s="5">
        <v>40940</v>
      </c>
      <c r="CM669" s="5">
        <v>41002</v>
      </c>
      <c r="CN669" s="5">
        <v>41092</v>
      </c>
      <c r="CO669" s="5">
        <v>41121</v>
      </c>
      <c r="CP669" s="4" t="s">
        <v>3820</v>
      </c>
      <c r="CQ669" s="4"/>
      <c r="CR669" s="5">
        <v>40977</v>
      </c>
      <c r="CS669" s="5">
        <v>40786</v>
      </c>
      <c r="CT669" s="5">
        <v>40786</v>
      </c>
      <c r="CU669" s="5">
        <v>40852</v>
      </c>
      <c r="CV669" s="5">
        <v>40852</v>
      </c>
      <c r="CW669" s="5">
        <v>40857</v>
      </c>
      <c r="CX669" s="5">
        <v>40857</v>
      </c>
      <c r="CY669" s="5">
        <v>40947</v>
      </c>
      <c r="CZ669" s="5">
        <v>40976</v>
      </c>
      <c r="DA669" s="4"/>
      <c r="DB669" s="5">
        <v>40989</v>
      </c>
      <c r="DC669" s="4"/>
      <c r="DD669" s="4"/>
      <c r="DE669" s="4"/>
      <c r="DF669" s="4"/>
      <c r="DG669" s="4"/>
      <c r="DH669" s="4"/>
      <c r="DI669" s="5">
        <v>40963</v>
      </c>
      <c r="DJ669" s="4" t="b">
        <v>1</v>
      </c>
      <c r="DK669" s="4"/>
      <c r="DL669" s="4">
        <v>2317975</v>
      </c>
      <c r="DM669" s="4">
        <v>5476344</v>
      </c>
      <c r="DN669" s="4" t="s">
        <v>3821</v>
      </c>
      <c r="DO669" s="4"/>
      <c r="DP669" s="4" t="s">
        <v>3822</v>
      </c>
      <c r="DQ669" s="4" t="s">
        <v>148</v>
      </c>
      <c r="DR669" s="4"/>
      <c r="DS669" s="4"/>
      <c r="DT669" s="4"/>
      <c r="DU669" s="4"/>
      <c r="DV669" s="4"/>
      <c r="DW669" s="4"/>
      <c r="DX669" s="4"/>
      <c r="DY669" s="4"/>
      <c r="DZ669" s="4"/>
      <c r="EA669" s="4"/>
      <c r="EB669" s="4"/>
      <c r="EC669" s="4"/>
      <c r="ED669" s="4"/>
      <c r="EE669" s="4"/>
      <c r="EF669" s="4"/>
      <c r="EG669" s="5">
        <v>40989</v>
      </c>
      <c r="EH669" s="5">
        <v>40989</v>
      </c>
      <c r="EI669" s="4"/>
    </row>
    <row r="670" spans="1:139" hidden="1" x14ac:dyDescent="0.2">
      <c r="A670" t="str">
        <f>VLOOKUP(B670,Sheet1!$A$1:$B$18,2,FALSE)</f>
        <v>South Island</v>
      </c>
      <c r="B670" t="str">
        <f>LEFT(D670,3)</f>
        <v>OTG</v>
      </c>
      <c r="C670" s="2">
        <v>1266</v>
      </c>
      <c r="D670" s="3" t="str">
        <f>HYPERLINK("https://sitebase.nzcomms.co.nz/spm/spmnominalview/OTG-071-045/","OTG-071-045")</f>
        <v>OTG-071-045</v>
      </c>
      <c r="E670" s="4" t="s">
        <v>3844</v>
      </c>
      <c r="F670" s="3" t="str">
        <f>HYPERLINK("https://sitebase.nzcomms.co.nz/spm/spmcandidateview/OTG-071-045-B/","OTG-071-045-B")</f>
        <v>OTG-071-045-B</v>
      </c>
      <c r="G670" s="4" t="s">
        <v>3845</v>
      </c>
      <c r="H670" s="4" t="s">
        <v>3727</v>
      </c>
      <c r="I670" s="4">
        <v>4</v>
      </c>
      <c r="J670" s="4" t="s">
        <v>1633</v>
      </c>
      <c r="K670" s="4" t="s">
        <v>141</v>
      </c>
      <c r="L670" s="4" t="s">
        <v>189</v>
      </c>
      <c r="M670" s="4" t="s">
        <v>190</v>
      </c>
      <c r="N670" s="4" t="s">
        <v>612</v>
      </c>
      <c r="O670" s="4"/>
      <c r="P670" s="4" t="s">
        <v>182</v>
      </c>
      <c r="Q670" s="4" t="s">
        <v>170</v>
      </c>
      <c r="R670" s="4">
        <v>12</v>
      </c>
      <c r="S670" s="4">
        <v>12</v>
      </c>
      <c r="T670" s="4"/>
      <c r="U670" s="4">
        <v>-45.858410669999998</v>
      </c>
      <c r="V670" s="4">
        <v>170.50058851</v>
      </c>
      <c r="W670" s="4"/>
      <c r="X670" s="4"/>
      <c r="Y670" s="4"/>
      <c r="Z670" s="4"/>
      <c r="AA670" s="4" t="s">
        <v>171</v>
      </c>
      <c r="AB670" s="3" t="str">
        <f>HYPERLINK("https://sitebase.nzcomms.co.nz/spm/spmcandidateview/OTG-071-015-A/","OTG-071-015-A")</f>
        <v>OTG-071-015-A</v>
      </c>
      <c r="AC670" s="4" t="b">
        <v>0</v>
      </c>
      <c r="AD670" s="4" t="b">
        <v>0</v>
      </c>
      <c r="AE670" s="4"/>
      <c r="AF670" s="4"/>
      <c r="AG670" s="4" t="b">
        <v>0</v>
      </c>
      <c r="AH670" s="4"/>
      <c r="AI670" s="5">
        <v>40745</v>
      </c>
      <c r="AJ670" s="5">
        <v>40745</v>
      </c>
      <c r="AK670" s="5">
        <v>40752</v>
      </c>
      <c r="AL670" s="5">
        <v>40752</v>
      </c>
      <c r="AM670" s="5">
        <v>40771</v>
      </c>
      <c r="AN670" s="5">
        <v>40766</v>
      </c>
      <c r="AO670" s="4">
        <v>2</v>
      </c>
      <c r="AP670" s="5">
        <v>40771</v>
      </c>
      <c r="AQ670" s="5">
        <v>41961</v>
      </c>
      <c r="AR670" s="4"/>
      <c r="AS670" s="5">
        <v>40788</v>
      </c>
      <c r="AT670" s="5">
        <v>40848</v>
      </c>
      <c r="AU670" s="5">
        <v>40793</v>
      </c>
      <c r="AV670" s="4">
        <v>1</v>
      </c>
      <c r="AW670" s="4"/>
      <c r="AX670" s="5">
        <v>40793</v>
      </c>
      <c r="AY670" s="4" t="s">
        <v>172</v>
      </c>
      <c r="AZ670" s="5">
        <v>40794</v>
      </c>
      <c r="BA670" s="5">
        <v>40794</v>
      </c>
      <c r="BB670" s="5">
        <v>40833</v>
      </c>
      <c r="BC670" s="5">
        <v>40835</v>
      </c>
      <c r="BD670" s="4">
        <v>1</v>
      </c>
      <c r="BE670" s="4"/>
      <c r="BF670" s="5">
        <v>40835</v>
      </c>
      <c r="BG670" s="4"/>
      <c r="BH670" s="4"/>
      <c r="BI670" s="5">
        <v>40846</v>
      </c>
      <c r="BJ670" s="5">
        <v>40858</v>
      </c>
      <c r="BK670" s="4">
        <v>1</v>
      </c>
      <c r="BL670" s="4"/>
      <c r="BM670" s="5">
        <v>40857</v>
      </c>
      <c r="BN670" s="5">
        <v>40858</v>
      </c>
      <c r="BO670" s="5">
        <v>40863</v>
      </c>
      <c r="BP670" s="4"/>
      <c r="BQ670" s="4"/>
      <c r="BR670" s="4"/>
      <c r="BS670" s="4"/>
      <c r="BT670" s="5">
        <v>40924</v>
      </c>
      <c r="BU670" s="5">
        <v>40924</v>
      </c>
      <c r="BV670" s="5">
        <v>40977</v>
      </c>
      <c r="BW670" s="5">
        <v>40982</v>
      </c>
      <c r="BX670" s="5">
        <v>40968</v>
      </c>
      <c r="BY670" s="5">
        <v>40978</v>
      </c>
      <c r="BZ670" s="5">
        <v>40980</v>
      </c>
      <c r="CA670" s="4"/>
      <c r="CB670" s="4"/>
      <c r="CC670" s="4"/>
      <c r="CD670" s="4"/>
      <c r="CE670" s="4"/>
      <c r="CF670" s="4"/>
      <c r="CG670" s="4"/>
      <c r="CH670" s="4"/>
      <c r="CI670" s="5">
        <v>40978</v>
      </c>
      <c r="CJ670" s="5">
        <v>40983</v>
      </c>
      <c r="CK670" s="5">
        <v>40983</v>
      </c>
      <c r="CL670" s="5">
        <v>40987</v>
      </c>
      <c r="CM670" s="5">
        <v>41002</v>
      </c>
      <c r="CN670" s="5">
        <v>41479</v>
      </c>
      <c r="CO670" s="5">
        <v>41485</v>
      </c>
      <c r="CP670" s="4"/>
      <c r="CQ670" s="4"/>
      <c r="CR670" s="5">
        <v>40976</v>
      </c>
      <c r="CS670" s="5">
        <v>40802</v>
      </c>
      <c r="CT670" s="5">
        <v>40802</v>
      </c>
      <c r="CU670" s="5">
        <v>40882</v>
      </c>
      <c r="CV670" s="5">
        <v>40882</v>
      </c>
      <c r="CW670" s="5">
        <v>40876</v>
      </c>
      <c r="CX670" s="5">
        <v>40863</v>
      </c>
      <c r="CY670" s="5">
        <v>40973</v>
      </c>
      <c r="CZ670" s="5">
        <v>40980</v>
      </c>
      <c r="DA670" s="4"/>
      <c r="DB670" s="5">
        <v>40989</v>
      </c>
      <c r="DC670" s="4"/>
      <c r="DD670" s="4"/>
      <c r="DE670" s="4"/>
      <c r="DF670" s="4"/>
      <c r="DG670" s="4"/>
      <c r="DH670" s="4" t="s">
        <v>174</v>
      </c>
      <c r="DI670" s="5">
        <v>40967</v>
      </c>
      <c r="DJ670" s="4" t="b">
        <v>0</v>
      </c>
      <c r="DK670" s="4"/>
      <c r="DL670" s="4">
        <v>2315767</v>
      </c>
      <c r="DM670" s="4">
        <v>5480295</v>
      </c>
      <c r="DN670" s="4" t="s">
        <v>3846</v>
      </c>
      <c r="DO670" s="4"/>
      <c r="DP670" s="4"/>
      <c r="DQ670" s="4" t="s">
        <v>148</v>
      </c>
      <c r="DR670" s="4"/>
      <c r="DS670" s="4"/>
      <c r="DT670" s="5">
        <v>42096</v>
      </c>
      <c r="DU670" s="4"/>
      <c r="DV670" s="4"/>
      <c r="DW670" s="4"/>
      <c r="DX670" s="4"/>
      <c r="DY670" s="4"/>
      <c r="DZ670" s="4"/>
      <c r="EA670" s="4"/>
      <c r="EB670" s="4"/>
      <c r="EC670" s="4"/>
      <c r="ED670" s="4"/>
      <c r="EE670" s="4"/>
      <c r="EF670" s="4"/>
      <c r="EG670" s="5">
        <v>40991</v>
      </c>
      <c r="EH670" s="5">
        <v>40989</v>
      </c>
      <c r="EI670" s="5">
        <v>40752</v>
      </c>
    </row>
    <row r="671" spans="1:139" hidden="1" x14ac:dyDescent="0.2">
      <c r="A671" t="str">
        <f>VLOOKUP(B671,Sheet1!$A$1:$B$18,2,FALSE)</f>
        <v>South Island</v>
      </c>
      <c r="B671" t="str">
        <f>LEFT(D671,3)</f>
        <v>MBN</v>
      </c>
      <c r="C671" s="2">
        <v>990</v>
      </c>
      <c r="D671" s="3" t="str">
        <f>HYPERLINK("https://sitebase.nzcomms.co.nz/spm/spmnominalview/MBN-051-009/","MBN-051-009")</f>
        <v>MBN-051-009</v>
      </c>
      <c r="E671" s="4" t="s">
        <v>3064</v>
      </c>
      <c r="F671" s="3" t="str">
        <f>HYPERLINK("https://sitebase.nzcomms.co.nz/spm/spmcandidateview/MBN-051-009-D/","MBN-051-009-D")</f>
        <v>MBN-051-009-D</v>
      </c>
      <c r="G671" s="4" t="s">
        <v>3065</v>
      </c>
      <c r="H671" s="4" t="s">
        <v>3047</v>
      </c>
      <c r="I671" s="4">
        <v>7</v>
      </c>
      <c r="J671" s="4" t="s">
        <v>1633</v>
      </c>
      <c r="K671" s="4" t="s">
        <v>141</v>
      </c>
      <c r="L671" s="4" t="s">
        <v>150</v>
      </c>
      <c r="M671" s="4" t="s">
        <v>190</v>
      </c>
      <c r="N671" s="4" t="s">
        <v>216</v>
      </c>
      <c r="O671" s="4" t="s">
        <v>144</v>
      </c>
      <c r="P671" s="4" t="s">
        <v>169</v>
      </c>
      <c r="Q671" s="4" t="s">
        <v>192</v>
      </c>
      <c r="R671" s="4">
        <v>18</v>
      </c>
      <c r="S671" s="4">
        <v>20</v>
      </c>
      <c r="T671" s="4">
        <v>1</v>
      </c>
      <c r="U671" s="4">
        <v>-41.385326329999998</v>
      </c>
      <c r="V671" s="4">
        <v>173.10267279000001</v>
      </c>
      <c r="W671" s="4"/>
      <c r="X671" s="4"/>
      <c r="Y671" s="4"/>
      <c r="Z671" s="4"/>
      <c r="AA671" s="4" t="s">
        <v>171</v>
      </c>
      <c r="AB671" s="3" t="str">
        <f>HYPERLINK("https://sitebase.nzcomms.co.nz/spm/spmcandidateview/MBN-052-015-D/","MBN-052-015-D")</f>
        <v>MBN-052-015-D</v>
      </c>
      <c r="AC671" s="4" t="b">
        <v>0</v>
      </c>
      <c r="AD671" s="4" t="b">
        <v>0</v>
      </c>
      <c r="AE671" s="4"/>
      <c r="AF671" s="4"/>
      <c r="AG671" s="4" t="b">
        <v>0</v>
      </c>
      <c r="AH671" s="4"/>
      <c r="AI671" s="5">
        <v>40676</v>
      </c>
      <c r="AJ671" s="5">
        <v>40674</v>
      </c>
      <c r="AK671" s="5">
        <v>40683</v>
      </c>
      <c r="AL671" s="5">
        <v>40679</v>
      </c>
      <c r="AM671" s="5">
        <v>40696</v>
      </c>
      <c r="AN671" s="5">
        <v>40690</v>
      </c>
      <c r="AO671" s="4">
        <v>1</v>
      </c>
      <c r="AP671" s="5">
        <v>40696</v>
      </c>
      <c r="AQ671" s="5">
        <v>40690</v>
      </c>
      <c r="AR671" s="4"/>
      <c r="AS671" s="5">
        <v>40708</v>
      </c>
      <c r="AT671" s="5">
        <v>40749</v>
      </c>
      <c r="AU671" s="5">
        <v>40717</v>
      </c>
      <c r="AV671" s="4">
        <v>1</v>
      </c>
      <c r="AW671" s="4"/>
      <c r="AX671" s="5">
        <v>40732</v>
      </c>
      <c r="AY671" s="4" t="s">
        <v>172</v>
      </c>
      <c r="AZ671" s="5">
        <v>40704</v>
      </c>
      <c r="BA671" s="5">
        <v>40694</v>
      </c>
      <c r="BB671" s="5">
        <v>40737</v>
      </c>
      <c r="BC671" s="5">
        <v>40702</v>
      </c>
      <c r="BD671" s="4">
        <v>1</v>
      </c>
      <c r="BE671" s="4"/>
      <c r="BF671" s="5">
        <v>40702</v>
      </c>
      <c r="BG671" s="4"/>
      <c r="BH671" s="4"/>
      <c r="BI671" s="5">
        <v>40940</v>
      </c>
      <c r="BJ671" s="5">
        <v>40941</v>
      </c>
      <c r="BK671" s="4">
        <v>1</v>
      </c>
      <c r="BL671" s="4"/>
      <c r="BM671" s="5">
        <v>40940</v>
      </c>
      <c r="BN671" s="5">
        <v>40941</v>
      </c>
      <c r="BO671" s="5">
        <v>40928</v>
      </c>
      <c r="BP671" s="4"/>
      <c r="BQ671" s="4"/>
      <c r="BR671" s="4"/>
      <c r="BS671" s="4"/>
      <c r="BT671" s="5">
        <v>40952</v>
      </c>
      <c r="BU671" s="5">
        <v>40954</v>
      </c>
      <c r="BV671" s="5">
        <v>40987</v>
      </c>
      <c r="BW671" s="5">
        <v>40987</v>
      </c>
      <c r="BX671" s="5">
        <v>40980</v>
      </c>
      <c r="BY671" s="5">
        <v>40990</v>
      </c>
      <c r="BZ671" s="5">
        <v>41002</v>
      </c>
      <c r="CA671" s="4"/>
      <c r="CB671" s="4"/>
      <c r="CC671" s="4"/>
      <c r="CD671" s="4"/>
      <c r="CE671" s="4"/>
      <c r="CF671" s="4"/>
      <c r="CG671" s="4"/>
      <c r="CH671" s="4"/>
      <c r="CI671" s="5">
        <v>40992</v>
      </c>
      <c r="CJ671" s="5">
        <v>41010</v>
      </c>
      <c r="CK671" s="5">
        <v>41014</v>
      </c>
      <c r="CL671" s="5">
        <v>41001</v>
      </c>
      <c r="CM671" s="5">
        <v>41001</v>
      </c>
      <c r="CN671" s="5">
        <v>41496</v>
      </c>
      <c r="CO671" s="5">
        <v>41494</v>
      </c>
      <c r="CP671" s="4"/>
      <c r="CQ671" s="4"/>
      <c r="CR671" s="5">
        <v>40991</v>
      </c>
      <c r="CS671" s="5">
        <v>40914</v>
      </c>
      <c r="CT671" s="5">
        <v>40914</v>
      </c>
      <c r="CU671" s="5">
        <v>40920</v>
      </c>
      <c r="CV671" s="5">
        <v>40941</v>
      </c>
      <c r="CW671" s="5">
        <v>40923</v>
      </c>
      <c r="CX671" s="5">
        <v>40928</v>
      </c>
      <c r="CY671" s="5">
        <v>40992</v>
      </c>
      <c r="CZ671" s="5">
        <v>40984</v>
      </c>
      <c r="DA671" s="5">
        <v>41002</v>
      </c>
      <c r="DB671" s="5">
        <v>41001</v>
      </c>
      <c r="DC671" s="4"/>
      <c r="DD671" s="4"/>
      <c r="DE671" s="4"/>
      <c r="DF671" s="4"/>
      <c r="DG671" s="4"/>
      <c r="DH671" s="4" t="s">
        <v>174</v>
      </c>
      <c r="DI671" s="5">
        <v>40977</v>
      </c>
      <c r="DJ671" s="4" t="b">
        <v>0</v>
      </c>
      <c r="DK671" s="4"/>
      <c r="DL671" s="4">
        <v>2518575</v>
      </c>
      <c r="DM671" s="4">
        <v>5980160</v>
      </c>
      <c r="DN671" s="4" t="s">
        <v>3066</v>
      </c>
      <c r="DO671" s="4"/>
      <c r="DP671" s="4"/>
      <c r="DQ671" s="4" t="s">
        <v>148</v>
      </c>
      <c r="DR671" s="4"/>
      <c r="DS671" s="4"/>
      <c r="DT671" s="4"/>
      <c r="DU671" s="4"/>
      <c r="DV671" s="4"/>
      <c r="DW671" s="4"/>
      <c r="DX671" s="4"/>
      <c r="DY671" s="4"/>
      <c r="DZ671" s="4"/>
      <c r="EA671" s="4"/>
      <c r="EB671" s="4"/>
      <c r="EC671" s="4"/>
      <c r="ED671" s="4"/>
      <c r="EE671" s="4"/>
      <c r="EF671" s="4"/>
      <c r="EG671" s="5">
        <v>40992</v>
      </c>
      <c r="EH671" s="5">
        <v>41001</v>
      </c>
      <c r="EI671" s="4"/>
    </row>
    <row r="672" spans="1:139" hidden="1" x14ac:dyDescent="0.2">
      <c r="A672" t="str">
        <f>VLOOKUP(B672,Sheet1!$A$1:$B$18,2,FALSE)</f>
        <v>South Island</v>
      </c>
      <c r="B672" t="str">
        <f>LEFT(D672,3)</f>
        <v>MBN</v>
      </c>
      <c r="C672" s="2">
        <v>1007</v>
      </c>
      <c r="D672" s="3" t="str">
        <f>HYPERLINK("https://sitebase.nzcomms.co.nz/spm/spmnominalview/MBN-052-003/","MBN-052-003")</f>
        <v>MBN-052-003</v>
      </c>
      <c r="E672" s="4" t="s">
        <v>3103</v>
      </c>
      <c r="F672" s="3" t="str">
        <f>HYPERLINK("https://sitebase.nzcomms.co.nz/spm/spmcandidateview/MBN-052-003-B/","MBN-052-003-B")</f>
        <v>MBN-052-003-B</v>
      </c>
      <c r="G672" s="4" t="s">
        <v>3104</v>
      </c>
      <c r="H672" s="4" t="s">
        <v>3096</v>
      </c>
      <c r="I672" s="4">
        <v>7</v>
      </c>
      <c r="J672" s="4" t="s">
        <v>1633</v>
      </c>
      <c r="K672" s="4" t="s">
        <v>141</v>
      </c>
      <c r="L672" s="4" t="s">
        <v>325</v>
      </c>
      <c r="M672" s="4" t="s">
        <v>166</v>
      </c>
      <c r="N672" s="4" t="s">
        <v>181</v>
      </c>
      <c r="O672" s="4" t="s">
        <v>144</v>
      </c>
      <c r="P672" s="4" t="s">
        <v>169</v>
      </c>
      <c r="Q672" s="4" t="s">
        <v>170</v>
      </c>
      <c r="R672" s="4">
        <v>31.5</v>
      </c>
      <c r="S672" s="4">
        <v>35.5</v>
      </c>
      <c r="T672" s="4">
        <v>2</v>
      </c>
      <c r="U672" s="4">
        <v>-41.27093206</v>
      </c>
      <c r="V672" s="4">
        <v>173.2837304</v>
      </c>
      <c r="W672" s="4"/>
      <c r="X672" s="5">
        <v>40453</v>
      </c>
      <c r="Y672" s="5">
        <v>40338</v>
      </c>
      <c r="Z672" s="4"/>
      <c r="AA672" s="4" t="s">
        <v>145</v>
      </c>
      <c r="AB672" s="3" t="str">
        <f>HYPERLINK("https://sitebase.nzcomms.co.nz/spm/spmcandidateview/WLG-047-071-A/","WLG-047-071-A")</f>
        <v>WLG-047-071-A</v>
      </c>
      <c r="AC672" s="4" t="b">
        <v>0</v>
      </c>
      <c r="AD672" s="4" t="b">
        <v>1</v>
      </c>
      <c r="AE672" s="5">
        <v>40344</v>
      </c>
      <c r="AF672" s="5">
        <v>40344</v>
      </c>
      <c r="AG672" s="4" t="b">
        <v>0</v>
      </c>
      <c r="AH672" s="4"/>
      <c r="AI672" s="5">
        <v>40612</v>
      </c>
      <c r="AJ672" s="5">
        <v>40612</v>
      </c>
      <c r="AK672" s="5">
        <v>40621</v>
      </c>
      <c r="AL672" s="5">
        <v>40621</v>
      </c>
      <c r="AM672" s="5">
        <v>40730</v>
      </c>
      <c r="AN672" s="5">
        <v>40731</v>
      </c>
      <c r="AO672" s="4">
        <v>4</v>
      </c>
      <c r="AP672" s="5">
        <v>41194</v>
      </c>
      <c r="AQ672" s="5">
        <v>41981</v>
      </c>
      <c r="AR672" s="5">
        <v>40823</v>
      </c>
      <c r="AS672" s="5">
        <v>40826</v>
      </c>
      <c r="AT672" s="5">
        <v>40858</v>
      </c>
      <c r="AU672" s="5">
        <v>40858</v>
      </c>
      <c r="AV672" s="4">
        <v>2</v>
      </c>
      <c r="AW672" s="5">
        <v>41236</v>
      </c>
      <c r="AX672" s="5">
        <v>41234</v>
      </c>
      <c r="AY672" s="4" t="s">
        <v>172</v>
      </c>
      <c r="AZ672" s="5">
        <v>40855</v>
      </c>
      <c r="BA672" s="5">
        <v>40847</v>
      </c>
      <c r="BB672" s="5">
        <v>40897</v>
      </c>
      <c r="BC672" s="5">
        <v>40862</v>
      </c>
      <c r="BD672" s="4">
        <v>1</v>
      </c>
      <c r="BE672" s="5">
        <v>41229</v>
      </c>
      <c r="BF672" s="5">
        <v>41226</v>
      </c>
      <c r="BG672" s="4"/>
      <c r="BH672" s="4"/>
      <c r="BI672" s="5">
        <v>40940</v>
      </c>
      <c r="BJ672" s="5">
        <v>40948</v>
      </c>
      <c r="BK672" s="4">
        <v>1</v>
      </c>
      <c r="BL672" s="4"/>
      <c r="BM672" s="5">
        <v>41227</v>
      </c>
      <c r="BN672" s="5">
        <v>40948</v>
      </c>
      <c r="BO672" s="5">
        <v>40956</v>
      </c>
      <c r="BP672" s="4"/>
      <c r="BQ672" s="4"/>
      <c r="BR672" s="4"/>
      <c r="BS672" s="4"/>
      <c r="BT672" s="5">
        <v>40952</v>
      </c>
      <c r="BU672" s="5">
        <v>40954</v>
      </c>
      <c r="BV672" s="5">
        <v>40996</v>
      </c>
      <c r="BW672" s="5">
        <v>40996</v>
      </c>
      <c r="BX672" s="5">
        <v>40980</v>
      </c>
      <c r="BY672" s="5">
        <v>40997</v>
      </c>
      <c r="BZ672" s="5">
        <v>41009</v>
      </c>
      <c r="CA672" s="4"/>
      <c r="CB672" s="4"/>
      <c r="CC672" s="4"/>
      <c r="CD672" s="4"/>
      <c r="CE672" s="4"/>
      <c r="CF672" s="4"/>
      <c r="CG672" s="4"/>
      <c r="CH672" s="4"/>
      <c r="CI672" s="5">
        <v>40999</v>
      </c>
      <c r="CJ672" s="5">
        <v>41010</v>
      </c>
      <c r="CK672" s="5">
        <v>41014</v>
      </c>
      <c r="CL672" s="5">
        <v>40995</v>
      </c>
      <c r="CM672" s="5">
        <v>41022</v>
      </c>
      <c r="CN672" s="5">
        <v>41534</v>
      </c>
      <c r="CO672" s="5">
        <v>41544</v>
      </c>
      <c r="CP672" s="4"/>
      <c r="CQ672" s="4"/>
      <c r="CR672" s="5">
        <v>40998</v>
      </c>
      <c r="CS672" s="5">
        <v>40942</v>
      </c>
      <c r="CT672" s="5">
        <v>40942</v>
      </c>
      <c r="CU672" s="5">
        <v>40961</v>
      </c>
      <c r="CV672" s="5">
        <v>40968</v>
      </c>
      <c r="CW672" s="5">
        <v>40956</v>
      </c>
      <c r="CX672" s="5">
        <v>40956</v>
      </c>
      <c r="CY672" s="5">
        <v>40996</v>
      </c>
      <c r="CZ672" s="4"/>
      <c r="DA672" s="5">
        <v>41009</v>
      </c>
      <c r="DB672" s="5">
        <v>41009</v>
      </c>
      <c r="DC672" s="4"/>
      <c r="DD672" s="4"/>
      <c r="DE672" s="4"/>
      <c r="DF672" s="4"/>
      <c r="DG672" s="4"/>
      <c r="DH672" s="4" t="s">
        <v>174</v>
      </c>
      <c r="DI672" s="5">
        <v>40980</v>
      </c>
      <c r="DJ672" s="4" t="b">
        <v>0</v>
      </c>
      <c r="DK672" s="4"/>
      <c r="DL672" s="4">
        <v>2533759</v>
      </c>
      <c r="DM672" s="4">
        <v>5992831</v>
      </c>
      <c r="DN672" s="4" t="s">
        <v>3105</v>
      </c>
      <c r="DO672" s="4"/>
      <c r="DP672" s="4"/>
      <c r="DQ672" s="4" t="s">
        <v>148</v>
      </c>
      <c r="DR672" s="4"/>
      <c r="DS672" s="4"/>
      <c r="DT672" s="5">
        <v>42101</v>
      </c>
      <c r="DU672" s="4"/>
      <c r="DV672" s="4"/>
      <c r="DW672" s="4"/>
      <c r="DX672" s="4"/>
      <c r="DY672" s="4"/>
      <c r="DZ672" s="4"/>
      <c r="EA672" s="4"/>
      <c r="EB672" s="4"/>
      <c r="EC672" s="4"/>
      <c r="ED672" s="4"/>
      <c r="EE672" s="4"/>
      <c r="EF672" s="4"/>
      <c r="EG672" s="5">
        <v>41004</v>
      </c>
      <c r="EH672" s="5">
        <v>41009</v>
      </c>
      <c r="EI672" s="4"/>
    </row>
    <row r="673" spans="1:139" hidden="1" x14ac:dyDescent="0.2">
      <c r="A673" t="str">
        <f>VLOOKUP(B673,Sheet1!$A$1:$B$18,2,FALSE)</f>
        <v>South Island</v>
      </c>
      <c r="B673" t="str">
        <f>LEFT(D673,3)</f>
        <v>MBN</v>
      </c>
      <c r="C673" s="2">
        <v>1013</v>
      </c>
      <c r="D673" s="3" t="str">
        <f>HYPERLINK("https://sitebase.nzcomms.co.nz/spm/spmnominalview/MBN-052-009/","MBN-052-009")</f>
        <v>MBN-052-009</v>
      </c>
      <c r="E673" s="4" t="s">
        <v>3119</v>
      </c>
      <c r="F673" s="3" t="str">
        <f>HYPERLINK("https://sitebase.nzcomms.co.nz/spm/spmcandidateview/MBN-052-009-B/","MBN-052-009-B")</f>
        <v>MBN-052-009-B</v>
      </c>
      <c r="G673" s="4" t="s">
        <v>3120</v>
      </c>
      <c r="H673" s="4" t="s">
        <v>3096</v>
      </c>
      <c r="I673" s="4">
        <v>7</v>
      </c>
      <c r="J673" s="4" t="s">
        <v>1633</v>
      </c>
      <c r="K673" s="4" t="s">
        <v>141</v>
      </c>
      <c r="L673" s="4" t="s">
        <v>181</v>
      </c>
      <c r="M673" s="4" t="s">
        <v>166</v>
      </c>
      <c r="N673" s="4" t="s">
        <v>181</v>
      </c>
      <c r="O673" s="4" t="s">
        <v>144</v>
      </c>
      <c r="P673" s="4" t="s">
        <v>169</v>
      </c>
      <c r="Q673" s="4" t="s">
        <v>170</v>
      </c>
      <c r="R673" s="4">
        <v>18.8</v>
      </c>
      <c r="S673" s="4">
        <v>18.5</v>
      </c>
      <c r="T673" s="4">
        <v>3</v>
      </c>
      <c r="U673" s="4">
        <v>-41.285974979999999</v>
      </c>
      <c r="V673" s="4">
        <v>173.27419621000001</v>
      </c>
      <c r="W673" s="4"/>
      <c r="X673" s="5">
        <v>40453</v>
      </c>
      <c r="Y673" s="5">
        <v>40338</v>
      </c>
      <c r="Z673" s="4"/>
      <c r="AA673" s="4" t="s">
        <v>152</v>
      </c>
      <c r="AB673" s="3" t="str">
        <f>HYPERLINK("https://sitebase.nzcomms.co.nz/spm/spmcandidateview/MBN-052-003-B/","MBN-052-003-B")</f>
        <v>MBN-052-003-B</v>
      </c>
      <c r="AC673" s="4" t="b">
        <v>0</v>
      </c>
      <c r="AD673" s="4" t="b">
        <v>1</v>
      </c>
      <c r="AE673" s="5">
        <v>40344</v>
      </c>
      <c r="AF673" s="5">
        <v>40344</v>
      </c>
      <c r="AG673" s="4" t="b">
        <v>0</v>
      </c>
      <c r="AH673" s="4"/>
      <c r="AI673" s="5">
        <v>40627</v>
      </c>
      <c r="AJ673" s="5">
        <v>40623</v>
      </c>
      <c r="AK673" s="5">
        <v>40631</v>
      </c>
      <c r="AL673" s="5">
        <v>40631</v>
      </c>
      <c r="AM673" s="5">
        <v>40667</v>
      </c>
      <c r="AN673" s="5">
        <v>40667</v>
      </c>
      <c r="AO673" s="4">
        <v>1</v>
      </c>
      <c r="AP673" s="5">
        <v>40667</v>
      </c>
      <c r="AQ673" s="5">
        <v>40667</v>
      </c>
      <c r="AR673" s="4"/>
      <c r="AS673" s="5">
        <v>40686</v>
      </c>
      <c r="AT673" s="5">
        <v>40724</v>
      </c>
      <c r="AU673" s="5">
        <v>40710</v>
      </c>
      <c r="AV673" s="4">
        <v>1</v>
      </c>
      <c r="AW673" s="4"/>
      <c r="AX673" s="5">
        <v>40732</v>
      </c>
      <c r="AY673" s="4" t="s">
        <v>172</v>
      </c>
      <c r="AZ673" s="5">
        <v>40675</v>
      </c>
      <c r="BA673" s="5">
        <v>40674</v>
      </c>
      <c r="BB673" s="5">
        <v>40773</v>
      </c>
      <c r="BC673" s="5">
        <v>40695</v>
      </c>
      <c r="BD673" s="4">
        <v>1</v>
      </c>
      <c r="BE673" s="4"/>
      <c r="BF673" s="5">
        <v>40695</v>
      </c>
      <c r="BG673" s="4"/>
      <c r="BH673" s="4"/>
      <c r="BI673" s="5">
        <v>40940</v>
      </c>
      <c r="BJ673" s="5">
        <v>40947</v>
      </c>
      <c r="BK673" s="4">
        <v>1</v>
      </c>
      <c r="BL673" s="4"/>
      <c r="BM673" s="5">
        <v>40940</v>
      </c>
      <c r="BN673" s="5">
        <v>40947</v>
      </c>
      <c r="BO673" s="5">
        <v>40961</v>
      </c>
      <c r="BP673" s="4"/>
      <c r="BQ673" s="4"/>
      <c r="BR673" s="4"/>
      <c r="BS673" s="4"/>
      <c r="BT673" s="5">
        <v>40976</v>
      </c>
      <c r="BU673" s="5">
        <v>40976</v>
      </c>
      <c r="BV673" s="5">
        <v>40987</v>
      </c>
      <c r="BW673" s="5">
        <v>40987</v>
      </c>
      <c r="BX673" s="5">
        <v>40983</v>
      </c>
      <c r="BY673" s="5">
        <v>40991</v>
      </c>
      <c r="BZ673" s="5">
        <v>41002</v>
      </c>
      <c r="CA673" s="4"/>
      <c r="CB673" s="4"/>
      <c r="CC673" s="4"/>
      <c r="CD673" s="4"/>
      <c r="CE673" s="4"/>
      <c r="CF673" s="4"/>
      <c r="CG673" s="4"/>
      <c r="CH673" s="4"/>
      <c r="CI673" s="5">
        <v>40995</v>
      </c>
      <c r="CJ673" s="5">
        <v>41010</v>
      </c>
      <c r="CK673" s="5">
        <v>41014</v>
      </c>
      <c r="CL673" s="5">
        <v>40969</v>
      </c>
      <c r="CM673" s="5">
        <v>41016</v>
      </c>
      <c r="CN673" s="5">
        <v>41534</v>
      </c>
      <c r="CO673" s="5">
        <v>41548</v>
      </c>
      <c r="CP673" s="4" t="s">
        <v>3121</v>
      </c>
      <c r="CQ673" s="4"/>
      <c r="CR673" s="5">
        <v>40992</v>
      </c>
      <c r="CS673" s="5">
        <v>40914</v>
      </c>
      <c r="CT673" s="5">
        <v>40914</v>
      </c>
      <c r="CU673" s="5">
        <v>40920</v>
      </c>
      <c r="CV673" s="5">
        <v>40925</v>
      </c>
      <c r="CW673" s="5">
        <v>40954</v>
      </c>
      <c r="CX673" s="5">
        <v>40961</v>
      </c>
      <c r="CY673" s="5">
        <v>40984</v>
      </c>
      <c r="CZ673" s="5">
        <v>40984</v>
      </c>
      <c r="DA673" s="5">
        <v>41002</v>
      </c>
      <c r="DB673" s="5">
        <v>41001</v>
      </c>
      <c r="DC673" s="4"/>
      <c r="DD673" s="4"/>
      <c r="DE673" s="4"/>
      <c r="DF673" s="4"/>
      <c r="DG673" s="4"/>
      <c r="DH673" s="4" t="s">
        <v>174</v>
      </c>
      <c r="DI673" s="5">
        <v>40982</v>
      </c>
      <c r="DJ673" s="4" t="b">
        <v>0</v>
      </c>
      <c r="DK673" s="4"/>
      <c r="DL673" s="4">
        <v>2532955</v>
      </c>
      <c r="DM673" s="4">
        <v>5991163</v>
      </c>
      <c r="DN673" s="4" t="s">
        <v>3122</v>
      </c>
      <c r="DO673" s="4"/>
      <c r="DP673" s="4" t="s">
        <v>3123</v>
      </c>
      <c r="DQ673" s="4" t="s">
        <v>148</v>
      </c>
      <c r="DR673" s="4"/>
      <c r="DS673" s="4"/>
      <c r="DT673" s="5">
        <v>42101</v>
      </c>
      <c r="DU673" s="4"/>
      <c r="DV673" s="4"/>
      <c r="DW673" s="4"/>
      <c r="DX673" s="4"/>
      <c r="DY673" s="4"/>
      <c r="DZ673" s="4"/>
      <c r="EA673" s="4"/>
      <c r="EB673" s="4"/>
      <c r="EC673" s="4"/>
      <c r="ED673" s="4"/>
      <c r="EE673" s="4"/>
      <c r="EF673" s="4"/>
      <c r="EG673" s="5">
        <v>40995</v>
      </c>
      <c r="EH673" s="5">
        <v>40998</v>
      </c>
      <c r="EI673" s="4"/>
    </row>
    <row r="674" spans="1:139" hidden="1" x14ac:dyDescent="0.2">
      <c r="A674" t="str">
        <f>VLOOKUP(B674,Sheet1!$A$1:$B$18,2,FALSE)</f>
        <v>South Island</v>
      </c>
      <c r="B674" t="str">
        <f>LEFT(D674,3)</f>
        <v>MBN</v>
      </c>
      <c r="C674" s="2">
        <v>1006</v>
      </c>
      <c r="D674" s="3" t="str">
        <f>HYPERLINK("https://sitebase.nzcomms.co.nz/spm/spmnominalview/MBN-052-002/","MBN-052-002")</f>
        <v>MBN-052-002</v>
      </c>
      <c r="E674" s="4" t="s">
        <v>3098</v>
      </c>
      <c r="F674" s="3" t="str">
        <f>HYPERLINK("https://sitebase.nzcomms.co.nz/spm/spmcandidateview/MBN-052-002-B/","MBN-052-002-B")</f>
        <v>MBN-052-002-B</v>
      </c>
      <c r="G674" s="4" t="s">
        <v>3099</v>
      </c>
      <c r="H674" s="4" t="s">
        <v>3096</v>
      </c>
      <c r="I674" s="4">
        <v>7</v>
      </c>
      <c r="J674" s="4" t="s">
        <v>1633</v>
      </c>
      <c r="K674" s="4" t="s">
        <v>141</v>
      </c>
      <c r="L674" s="4" t="s">
        <v>150</v>
      </c>
      <c r="M674" s="4" t="s">
        <v>190</v>
      </c>
      <c r="N674" s="4" t="s">
        <v>1557</v>
      </c>
      <c r="O674" s="4" t="s">
        <v>144</v>
      </c>
      <c r="P674" s="4" t="s">
        <v>169</v>
      </c>
      <c r="Q674" s="4" t="s">
        <v>170</v>
      </c>
      <c r="R674" s="4">
        <v>24.45</v>
      </c>
      <c r="S674" s="4">
        <v>25</v>
      </c>
      <c r="T674" s="4"/>
      <c r="U674" s="4">
        <v>-41.262085740000003</v>
      </c>
      <c r="V674" s="4">
        <v>173.2700164</v>
      </c>
      <c r="W674" s="4"/>
      <c r="X674" s="5">
        <v>40453</v>
      </c>
      <c r="Y674" s="5">
        <v>40338</v>
      </c>
      <c r="Z674" s="4"/>
      <c r="AA674" s="4" t="s">
        <v>171</v>
      </c>
      <c r="AB674" s="3" t="str">
        <f>HYPERLINK("https://sitebase.nzcomms.co.nz/spm/spmcandidateview/MBN-052-003-B/","MBN-052-003-B")</f>
        <v>MBN-052-003-B</v>
      </c>
      <c r="AC674" s="4" t="b">
        <v>0</v>
      </c>
      <c r="AD674" s="4" t="b">
        <v>1</v>
      </c>
      <c r="AE674" s="5">
        <v>40344</v>
      </c>
      <c r="AF674" s="5">
        <v>40344</v>
      </c>
      <c r="AG674" s="4" t="b">
        <v>0</v>
      </c>
      <c r="AH674" s="4" t="s">
        <v>3100</v>
      </c>
      <c r="AI674" s="4"/>
      <c r="AJ674" s="5">
        <v>40624</v>
      </c>
      <c r="AK674" s="5">
        <v>40631</v>
      </c>
      <c r="AL674" s="5">
        <v>40631</v>
      </c>
      <c r="AM674" s="5">
        <v>40669</v>
      </c>
      <c r="AN674" s="5">
        <v>40715</v>
      </c>
      <c r="AO674" s="4">
        <v>3</v>
      </c>
      <c r="AP674" s="5">
        <v>40739</v>
      </c>
      <c r="AQ674" s="5">
        <v>41962</v>
      </c>
      <c r="AR674" s="5">
        <v>40856</v>
      </c>
      <c r="AS674" s="5">
        <v>40855</v>
      </c>
      <c r="AT674" s="5">
        <v>40898</v>
      </c>
      <c r="AU674" s="5">
        <v>40927</v>
      </c>
      <c r="AV674" s="4"/>
      <c r="AW674" s="5">
        <v>40898</v>
      </c>
      <c r="AX674" s="5">
        <v>40933</v>
      </c>
      <c r="AY674" s="4" t="s">
        <v>247</v>
      </c>
      <c r="AZ674" s="5">
        <v>40746</v>
      </c>
      <c r="BA674" s="5">
        <v>40753</v>
      </c>
      <c r="BB674" s="5">
        <v>40752</v>
      </c>
      <c r="BC674" s="5">
        <v>40752</v>
      </c>
      <c r="BD674" s="4">
        <v>1</v>
      </c>
      <c r="BE674" s="4"/>
      <c r="BF674" s="5">
        <v>40752</v>
      </c>
      <c r="BG674" s="4"/>
      <c r="BH674" s="4"/>
      <c r="BI674" s="5">
        <v>40976</v>
      </c>
      <c r="BJ674" s="5">
        <v>40982</v>
      </c>
      <c r="BK674" s="4">
        <v>1</v>
      </c>
      <c r="BL674" s="4"/>
      <c r="BM674" s="5">
        <v>40976</v>
      </c>
      <c r="BN674" s="5">
        <v>40982</v>
      </c>
      <c r="BO674" s="5">
        <v>40941</v>
      </c>
      <c r="BP674" s="4"/>
      <c r="BQ674" s="4"/>
      <c r="BR674" s="4"/>
      <c r="BS674" s="4"/>
      <c r="BT674" s="5">
        <v>40984</v>
      </c>
      <c r="BU674" s="5">
        <v>40981</v>
      </c>
      <c r="BV674" s="5">
        <v>41003</v>
      </c>
      <c r="BW674" s="5">
        <v>41003</v>
      </c>
      <c r="BX674" s="5">
        <v>40998</v>
      </c>
      <c r="BY674" s="5">
        <v>41003</v>
      </c>
      <c r="BZ674" s="5">
        <v>41009</v>
      </c>
      <c r="CA674" s="4"/>
      <c r="CB674" s="4"/>
      <c r="CC674" s="4"/>
      <c r="CD674" s="4"/>
      <c r="CE674" s="4"/>
      <c r="CF674" s="4"/>
      <c r="CG674" s="4"/>
      <c r="CH674" s="4"/>
      <c r="CI674" s="5">
        <v>41009</v>
      </c>
      <c r="CJ674" s="5">
        <v>41012</v>
      </c>
      <c r="CK674" s="5">
        <v>41014</v>
      </c>
      <c r="CL674" s="5">
        <v>40995</v>
      </c>
      <c r="CM674" s="5">
        <v>41029</v>
      </c>
      <c r="CN674" s="5">
        <v>41442</v>
      </c>
      <c r="CO674" s="5">
        <v>41432</v>
      </c>
      <c r="CP674" s="4"/>
      <c r="CQ674" s="4"/>
      <c r="CR674" s="5">
        <v>41003</v>
      </c>
      <c r="CS674" s="5">
        <v>40924</v>
      </c>
      <c r="CT674" s="5">
        <v>40954</v>
      </c>
      <c r="CU674" s="5">
        <v>40960</v>
      </c>
      <c r="CV674" s="5">
        <v>40973</v>
      </c>
      <c r="CW674" s="5">
        <v>40921</v>
      </c>
      <c r="CX674" s="5">
        <v>40941</v>
      </c>
      <c r="CY674" s="5">
        <v>41001</v>
      </c>
      <c r="CZ674" s="4"/>
      <c r="DA674" s="5">
        <v>41009</v>
      </c>
      <c r="DB674" s="5">
        <v>41015</v>
      </c>
      <c r="DC674" s="4"/>
      <c r="DD674" s="4"/>
      <c r="DE674" s="4"/>
      <c r="DF674" s="4"/>
      <c r="DG674" s="4"/>
      <c r="DH674" s="4" t="s">
        <v>174</v>
      </c>
      <c r="DI674" s="5">
        <v>40998</v>
      </c>
      <c r="DJ674" s="4" t="b">
        <v>0</v>
      </c>
      <c r="DK674" s="4"/>
      <c r="DL674" s="4">
        <v>2532613</v>
      </c>
      <c r="DM674" s="4">
        <v>5993817</v>
      </c>
      <c r="DN674" s="4" t="s">
        <v>3101</v>
      </c>
      <c r="DO674" s="4"/>
      <c r="DP674" s="4" t="s">
        <v>3102</v>
      </c>
      <c r="DQ674" s="4" t="s">
        <v>148</v>
      </c>
      <c r="DR674" s="4"/>
      <c r="DS674" s="4"/>
      <c r="DT674" s="5">
        <v>42101</v>
      </c>
      <c r="DU674" s="4"/>
      <c r="DV674" s="4"/>
      <c r="DW674" s="4"/>
      <c r="DX674" s="4"/>
      <c r="DY674" s="4"/>
      <c r="DZ674" s="4"/>
      <c r="EA674" s="4"/>
      <c r="EB674" s="4"/>
      <c r="EC674" s="4"/>
      <c r="ED674" s="4"/>
      <c r="EE674" s="4"/>
      <c r="EF674" s="4"/>
      <c r="EG674" s="5">
        <v>41008</v>
      </c>
      <c r="EH674" s="5">
        <v>41015</v>
      </c>
      <c r="EI674" s="4"/>
    </row>
    <row r="675" spans="1:139" hidden="1" x14ac:dyDescent="0.2">
      <c r="A675" t="str">
        <f>VLOOKUP(B675,Sheet1!$A$1:$B$18,2,FALSE)</f>
        <v>South Island</v>
      </c>
      <c r="B675" t="str">
        <f>LEFT(D675,3)</f>
        <v>MBN</v>
      </c>
      <c r="C675" s="2">
        <v>1014</v>
      </c>
      <c r="D675" s="3" t="str">
        <f>HYPERLINK("https://sitebase.nzcomms.co.nz/spm/spmnominalview/MBN-052-010/","MBN-052-010")</f>
        <v>MBN-052-010</v>
      </c>
      <c r="E675" s="4" t="s">
        <v>3124</v>
      </c>
      <c r="F675" s="3" t="str">
        <f>HYPERLINK("https://sitebase.nzcomms.co.nz/spm/spmcandidateview/MBN-052-010-A/","MBN-052-010-A")</f>
        <v>MBN-052-010-A</v>
      </c>
      <c r="G675" s="4" t="s">
        <v>3125</v>
      </c>
      <c r="H675" s="4" t="s">
        <v>3096</v>
      </c>
      <c r="I675" s="4">
        <v>7</v>
      </c>
      <c r="J675" s="4" t="s">
        <v>1633</v>
      </c>
      <c r="K675" s="4" t="s">
        <v>141</v>
      </c>
      <c r="L675" s="4" t="s">
        <v>142</v>
      </c>
      <c r="M675" s="4" t="s">
        <v>190</v>
      </c>
      <c r="N675" s="4" t="s">
        <v>142</v>
      </c>
      <c r="O675" s="4"/>
      <c r="P675" s="4" t="s">
        <v>169</v>
      </c>
      <c r="Q675" s="4" t="s">
        <v>142</v>
      </c>
      <c r="R675" s="4"/>
      <c r="S675" s="4"/>
      <c r="T675" s="4">
        <v>1</v>
      </c>
      <c r="U675" s="4">
        <v>-41.297966840000001</v>
      </c>
      <c r="V675" s="4">
        <v>173.27911731</v>
      </c>
      <c r="W675" s="4"/>
      <c r="X675" s="5">
        <v>40453</v>
      </c>
      <c r="Y675" s="5">
        <v>40338</v>
      </c>
      <c r="Z675" s="4"/>
      <c r="AA675" s="4" t="s">
        <v>171</v>
      </c>
      <c r="AB675" s="3" t="str">
        <f>HYPERLINK("https://sitebase.nzcomms.co.nz/spm/spmcandidateview/MBN-052-003-B/","MBN-052-003-B")</f>
        <v>MBN-052-003-B</v>
      </c>
      <c r="AC675" s="4" t="b">
        <v>0</v>
      </c>
      <c r="AD675" s="4" t="b">
        <v>1</v>
      </c>
      <c r="AE675" s="5">
        <v>40344</v>
      </c>
      <c r="AF675" s="5">
        <v>40344</v>
      </c>
      <c r="AG675" s="4" t="b">
        <v>0</v>
      </c>
      <c r="AH675" s="4" t="s">
        <v>3126</v>
      </c>
      <c r="AI675" s="5">
        <v>40613</v>
      </c>
      <c r="AJ675" s="5">
        <v>40612</v>
      </c>
      <c r="AK675" s="5">
        <v>40626</v>
      </c>
      <c r="AL675" s="5">
        <v>40626</v>
      </c>
      <c r="AM675" s="5">
        <v>40985</v>
      </c>
      <c r="AN675" s="5">
        <v>40872</v>
      </c>
      <c r="AO675" s="4">
        <v>1</v>
      </c>
      <c r="AP675" s="5">
        <v>40985</v>
      </c>
      <c r="AQ675" s="5">
        <v>40872</v>
      </c>
      <c r="AR675" s="4"/>
      <c r="AS675" s="5">
        <v>40682</v>
      </c>
      <c r="AT675" s="5">
        <v>40893</v>
      </c>
      <c r="AU675" s="5">
        <v>40844</v>
      </c>
      <c r="AV675" s="4"/>
      <c r="AW675" s="5">
        <v>40893</v>
      </c>
      <c r="AX675" s="5">
        <v>40844</v>
      </c>
      <c r="AY675" s="4" t="s">
        <v>183</v>
      </c>
      <c r="AZ675" s="5">
        <v>40985</v>
      </c>
      <c r="BA675" s="5">
        <v>41023</v>
      </c>
      <c r="BB675" s="5">
        <v>40985</v>
      </c>
      <c r="BC675" s="5">
        <v>41023</v>
      </c>
      <c r="BD675" s="4">
        <v>1</v>
      </c>
      <c r="BE675" s="5">
        <v>40890</v>
      </c>
      <c r="BF675" s="5">
        <v>40890</v>
      </c>
      <c r="BG675" s="5">
        <v>40974</v>
      </c>
      <c r="BH675" s="5">
        <v>40890</v>
      </c>
      <c r="BI675" s="4"/>
      <c r="BJ675" s="5">
        <v>41442</v>
      </c>
      <c r="BK675" s="4"/>
      <c r="BL675" s="4"/>
      <c r="BM675" s="4"/>
      <c r="BN675" s="4"/>
      <c r="BO675" s="5">
        <v>40981</v>
      </c>
      <c r="BP675" s="4"/>
      <c r="BQ675" s="4"/>
      <c r="BR675" s="4"/>
      <c r="BS675" s="4"/>
      <c r="BT675" s="5">
        <v>40946</v>
      </c>
      <c r="BU675" s="5">
        <v>40938</v>
      </c>
      <c r="BV675" s="5">
        <v>40953</v>
      </c>
      <c r="BW675" s="5">
        <v>40973</v>
      </c>
      <c r="BX675" s="5">
        <v>40954</v>
      </c>
      <c r="BY675" s="5">
        <v>40993</v>
      </c>
      <c r="BZ675" s="5">
        <v>41009</v>
      </c>
      <c r="CA675" s="4"/>
      <c r="CB675" s="4"/>
      <c r="CC675" s="4"/>
      <c r="CD675" s="4"/>
      <c r="CE675" s="4"/>
      <c r="CF675" s="4"/>
      <c r="CG675" s="4"/>
      <c r="CH675" s="4"/>
      <c r="CI675" s="5">
        <v>41009</v>
      </c>
      <c r="CJ675" s="5">
        <v>41013</v>
      </c>
      <c r="CK675" s="5">
        <v>41014</v>
      </c>
      <c r="CL675" s="5">
        <v>40995</v>
      </c>
      <c r="CM675" s="5">
        <v>41023</v>
      </c>
      <c r="CN675" s="5">
        <v>41480</v>
      </c>
      <c r="CO675" s="5">
        <v>41453</v>
      </c>
      <c r="CP675" s="4" t="s">
        <v>3127</v>
      </c>
      <c r="CQ675" s="4" t="s">
        <v>1657</v>
      </c>
      <c r="CR675" s="5">
        <v>40995</v>
      </c>
      <c r="CS675" s="5">
        <v>40914</v>
      </c>
      <c r="CT675" s="5">
        <v>40914</v>
      </c>
      <c r="CU675" s="5">
        <v>40968</v>
      </c>
      <c r="CV675" s="5">
        <v>40954</v>
      </c>
      <c r="CW675" s="4"/>
      <c r="CX675" s="5">
        <v>40981</v>
      </c>
      <c r="CY675" s="5">
        <v>40960</v>
      </c>
      <c r="CZ675" s="5">
        <v>40973</v>
      </c>
      <c r="DA675" s="5">
        <v>41009</v>
      </c>
      <c r="DB675" s="5">
        <v>41010</v>
      </c>
      <c r="DC675" s="4"/>
      <c r="DD675" s="4"/>
      <c r="DE675" s="4"/>
      <c r="DF675" s="4"/>
      <c r="DG675" s="4"/>
      <c r="DH675" s="4" t="s">
        <v>174</v>
      </c>
      <c r="DI675" s="5">
        <v>40953</v>
      </c>
      <c r="DJ675" s="4" t="b">
        <v>0</v>
      </c>
      <c r="DK675" s="4"/>
      <c r="DL675" s="4">
        <v>2533363</v>
      </c>
      <c r="DM675" s="4">
        <v>5989830</v>
      </c>
      <c r="DN675" s="4" t="s">
        <v>3128</v>
      </c>
      <c r="DO675" s="4"/>
      <c r="DP675" s="4" t="s">
        <v>3129</v>
      </c>
      <c r="DQ675" s="4" t="s">
        <v>148</v>
      </c>
      <c r="DR675" s="4"/>
      <c r="DS675" s="4"/>
      <c r="DT675" s="4"/>
      <c r="DU675" s="4"/>
      <c r="DV675" s="4"/>
      <c r="DW675" s="4"/>
      <c r="DX675" s="4"/>
      <c r="DY675" s="4"/>
      <c r="DZ675" s="4"/>
      <c r="EA675" s="4"/>
      <c r="EB675" s="4"/>
      <c r="EC675" s="4"/>
      <c r="ED675" s="4"/>
      <c r="EE675" s="4"/>
      <c r="EF675" s="4"/>
      <c r="EG675" s="5">
        <v>41009</v>
      </c>
      <c r="EH675" s="5">
        <v>41010</v>
      </c>
      <c r="EI675" s="5">
        <v>40626</v>
      </c>
    </row>
    <row r="676" spans="1:139" hidden="1" x14ac:dyDescent="0.2">
      <c r="A676" t="str">
        <f>VLOOKUP(B676,Sheet1!$A$1:$B$18,2,FALSE)</f>
        <v>South Island</v>
      </c>
      <c r="B676" t="str">
        <f>LEFT(D676,3)</f>
        <v>OTG</v>
      </c>
      <c r="C676" s="2">
        <v>1228</v>
      </c>
      <c r="D676" s="3" t="str">
        <f>HYPERLINK("https://sitebase.nzcomms.co.nz/spm/spmnominalview/OTG-071-006/","OTG-071-006")</f>
        <v>OTG-071-006</v>
      </c>
      <c r="E676" s="4" t="s">
        <v>3748</v>
      </c>
      <c r="F676" s="3" t="str">
        <f>HYPERLINK("https://sitebase.nzcomms.co.nz/spm/spmcandidateview/OTG-071-006-J/","OTG-071-006-J")</f>
        <v>OTG-071-006-J</v>
      </c>
      <c r="G676" s="4" t="s">
        <v>3749</v>
      </c>
      <c r="H676" s="4" t="s">
        <v>3727</v>
      </c>
      <c r="I676" s="4">
        <v>4</v>
      </c>
      <c r="J676" s="4" t="s">
        <v>1633</v>
      </c>
      <c r="K676" s="4" t="s">
        <v>141</v>
      </c>
      <c r="L676" s="4" t="s">
        <v>150</v>
      </c>
      <c r="M676" s="4" t="s">
        <v>190</v>
      </c>
      <c r="N676" s="4" t="s">
        <v>3750</v>
      </c>
      <c r="O676" s="4"/>
      <c r="P676" s="4" t="s">
        <v>182</v>
      </c>
      <c r="Q676" s="4" t="s">
        <v>192</v>
      </c>
      <c r="R676" s="4">
        <v>21.5</v>
      </c>
      <c r="S676" s="4">
        <v>21.5</v>
      </c>
      <c r="T676" s="4"/>
      <c r="U676" s="4">
        <v>-45.88969745</v>
      </c>
      <c r="V676" s="4">
        <v>170.50805460999999</v>
      </c>
      <c r="W676" s="5">
        <v>40325</v>
      </c>
      <c r="X676" s="4"/>
      <c r="Y676" s="5">
        <v>40296</v>
      </c>
      <c r="Z676" s="5">
        <v>40296</v>
      </c>
      <c r="AA676" s="4" t="s">
        <v>171</v>
      </c>
      <c r="AB676" s="3" t="str">
        <f>HYPERLINK("https://sitebase.nzcomms.co.nz/spm/spmcandidateview/OTG-071-010-A/","OTG-071-010-A")</f>
        <v>OTG-071-010-A</v>
      </c>
      <c r="AC676" s="4" t="b">
        <v>0</v>
      </c>
      <c r="AD676" s="4" t="b">
        <v>0</v>
      </c>
      <c r="AE676" s="5">
        <v>40164</v>
      </c>
      <c r="AF676" s="5">
        <v>40164</v>
      </c>
      <c r="AG676" s="4" t="b">
        <v>0</v>
      </c>
      <c r="AH676" s="4"/>
      <c r="AI676" s="5">
        <v>40725</v>
      </c>
      <c r="AJ676" s="5">
        <v>40725</v>
      </c>
      <c r="AK676" s="5">
        <v>40729</v>
      </c>
      <c r="AL676" s="5">
        <v>40729</v>
      </c>
      <c r="AM676" s="5">
        <v>40737</v>
      </c>
      <c r="AN676" s="5">
        <v>40740</v>
      </c>
      <c r="AO676" s="4">
        <v>2</v>
      </c>
      <c r="AP676" s="5">
        <v>40737</v>
      </c>
      <c r="AQ676" s="5">
        <v>40963</v>
      </c>
      <c r="AR676" s="4"/>
      <c r="AS676" s="5">
        <v>40742</v>
      </c>
      <c r="AT676" s="5">
        <v>40855</v>
      </c>
      <c r="AU676" s="5">
        <v>40872</v>
      </c>
      <c r="AV676" s="4">
        <v>1</v>
      </c>
      <c r="AW676" s="4"/>
      <c r="AX676" s="5">
        <v>40878</v>
      </c>
      <c r="AY676" s="4" t="s">
        <v>172</v>
      </c>
      <c r="AZ676" s="5">
        <v>40744</v>
      </c>
      <c r="BA676" s="5">
        <v>40744</v>
      </c>
      <c r="BB676" s="5">
        <v>40785</v>
      </c>
      <c r="BC676" s="5">
        <v>40780</v>
      </c>
      <c r="BD676" s="4">
        <v>1</v>
      </c>
      <c r="BE676" s="4"/>
      <c r="BF676" s="5">
        <v>40780</v>
      </c>
      <c r="BG676" s="4"/>
      <c r="BH676" s="4"/>
      <c r="BI676" s="5">
        <v>40980</v>
      </c>
      <c r="BJ676" s="5">
        <v>40984</v>
      </c>
      <c r="BK676" s="4">
        <v>1</v>
      </c>
      <c r="BL676" s="4"/>
      <c r="BM676" s="4"/>
      <c r="BN676" s="5">
        <v>40984</v>
      </c>
      <c r="BO676" s="5">
        <v>40940</v>
      </c>
      <c r="BP676" s="4"/>
      <c r="BQ676" s="4"/>
      <c r="BR676" s="4"/>
      <c r="BS676" s="4"/>
      <c r="BT676" s="5">
        <v>40977</v>
      </c>
      <c r="BU676" s="5">
        <v>40981</v>
      </c>
      <c r="BV676" s="5">
        <v>41019</v>
      </c>
      <c r="BW676" s="5">
        <v>41012</v>
      </c>
      <c r="BX676" s="5">
        <v>41001</v>
      </c>
      <c r="BY676" s="5">
        <v>41010</v>
      </c>
      <c r="BZ676" s="5">
        <v>41010</v>
      </c>
      <c r="CA676" s="4"/>
      <c r="CB676" s="4"/>
      <c r="CC676" s="4"/>
      <c r="CD676" s="4"/>
      <c r="CE676" s="4"/>
      <c r="CF676" s="4"/>
      <c r="CG676" s="4"/>
      <c r="CH676" s="4"/>
      <c r="CI676" s="5">
        <v>41010</v>
      </c>
      <c r="CJ676" s="5">
        <v>41013</v>
      </c>
      <c r="CK676" s="5">
        <v>41012</v>
      </c>
      <c r="CL676" s="5">
        <v>41036</v>
      </c>
      <c r="CM676" s="5">
        <v>41040</v>
      </c>
      <c r="CN676" s="5">
        <v>41495</v>
      </c>
      <c r="CO676" s="5">
        <v>41485</v>
      </c>
      <c r="CP676" s="4" t="s">
        <v>3751</v>
      </c>
      <c r="CQ676" s="4"/>
      <c r="CR676" s="5">
        <v>41011</v>
      </c>
      <c r="CS676" s="5">
        <v>40880</v>
      </c>
      <c r="CT676" s="5">
        <v>40880</v>
      </c>
      <c r="CU676" s="5">
        <v>40948</v>
      </c>
      <c r="CV676" s="5">
        <v>40948</v>
      </c>
      <c r="CW676" s="5">
        <v>40937</v>
      </c>
      <c r="CX676" s="5">
        <v>40940</v>
      </c>
      <c r="CY676" s="5">
        <v>41004</v>
      </c>
      <c r="CZ676" s="5">
        <v>41003</v>
      </c>
      <c r="DA676" s="4"/>
      <c r="DB676" s="5">
        <v>41029</v>
      </c>
      <c r="DC676" s="4"/>
      <c r="DD676" s="4"/>
      <c r="DE676" s="4"/>
      <c r="DF676" s="4"/>
      <c r="DG676" s="4"/>
      <c r="DH676" s="4" t="s">
        <v>174</v>
      </c>
      <c r="DI676" s="5">
        <v>41002</v>
      </c>
      <c r="DJ676" s="4" t="b">
        <v>0</v>
      </c>
      <c r="DK676" s="4"/>
      <c r="DL676" s="4">
        <v>2316450</v>
      </c>
      <c r="DM676" s="4">
        <v>5476836</v>
      </c>
      <c r="DN676" s="4" t="s">
        <v>3752</v>
      </c>
      <c r="DO676" s="4"/>
      <c r="DP676" s="4" t="s">
        <v>3753</v>
      </c>
      <c r="DQ676" s="4" t="s">
        <v>148</v>
      </c>
      <c r="DR676" s="4"/>
      <c r="DS676" s="4"/>
      <c r="DT676" s="5">
        <v>42096</v>
      </c>
      <c r="DU676" s="4"/>
      <c r="DV676" s="4"/>
      <c r="DW676" s="4"/>
      <c r="DX676" s="4"/>
      <c r="DY676" s="4"/>
      <c r="DZ676" s="4"/>
      <c r="EA676" s="4"/>
      <c r="EB676" s="4"/>
      <c r="EC676" s="4"/>
      <c r="ED676" s="4"/>
      <c r="EE676" s="4"/>
      <c r="EF676" s="4"/>
      <c r="EG676" s="5">
        <v>41024</v>
      </c>
      <c r="EH676" s="5">
        <v>41029</v>
      </c>
      <c r="EI676" s="4"/>
    </row>
    <row r="677" spans="1:139" hidden="1" x14ac:dyDescent="0.2">
      <c r="A677" t="str">
        <f>VLOOKUP(B677,Sheet1!$A$1:$B$18,2,FALSE)</f>
        <v>South Island</v>
      </c>
      <c r="B677" t="str">
        <f>LEFT(D677,3)</f>
        <v>STH</v>
      </c>
      <c r="C677" s="2">
        <v>1311</v>
      </c>
      <c r="D677" s="3" t="str">
        <f>HYPERLINK("https://sitebase.nzcomms.co.nz/spm/spmnominalview/STH-075-007/","STH-075-007")</f>
        <v>STH-075-007</v>
      </c>
      <c r="E677" s="4" t="s">
        <v>3948</v>
      </c>
      <c r="F677" s="3" t="str">
        <f>HYPERLINK("https://sitebase.nzcomms.co.nz/spm/spmcandidateview/STH-075-007-F/","STH-075-007-F")</f>
        <v>STH-075-007-F</v>
      </c>
      <c r="G677" s="4" t="s">
        <v>3949</v>
      </c>
      <c r="H677" s="4" t="s">
        <v>3921</v>
      </c>
      <c r="I677" s="4">
        <v>5</v>
      </c>
      <c r="J677" s="4" t="s">
        <v>1633</v>
      </c>
      <c r="K677" s="4" t="s">
        <v>141</v>
      </c>
      <c r="L677" s="4" t="s">
        <v>150</v>
      </c>
      <c r="M677" s="4" t="s">
        <v>190</v>
      </c>
      <c r="N677" s="4" t="s">
        <v>346</v>
      </c>
      <c r="O677" s="4"/>
      <c r="P677" s="4" t="s">
        <v>182</v>
      </c>
      <c r="Q677" s="4" t="s">
        <v>170</v>
      </c>
      <c r="R677" s="4"/>
      <c r="S677" s="4">
        <v>35</v>
      </c>
      <c r="T677" s="4"/>
      <c r="U677" s="4">
        <v>-46.589759960000002</v>
      </c>
      <c r="V677" s="4">
        <v>168.32578900999999</v>
      </c>
      <c r="W677" s="5">
        <v>40325</v>
      </c>
      <c r="X677" s="5">
        <v>40325</v>
      </c>
      <c r="Y677" s="5">
        <v>40333</v>
      </c>
      <c r="Z677" s="5">
        <v>40333</v>
      </c>
      <c r="AA677" s="4" t="s">
        <v>171</v>
      </c>
      <c r="AB677" s="3" t="str">
        <f>HYPERLINK("https://sitebase.nzcomms.co.nz/spm/spmcandidateview/STH-075-002-C/","STH-075-002-C")</f>
        <v>STH-075-002-C</v>
      </c>
      <c r="AC677" s="4" t="b">
        <v>0</v>
      </c>
      <c r="AD677" s="4" t="b">
        <v>0</v>
      </c>
      <c r="AE677" s="5">
        <v>40242</v>
      </c>
      <c r="AF677" s="5">
        <v>40242</v>
      </c>
      <c r="AG677" s="4" t="b">
        <v>0</v>
      </c>
      <c r="AH677" s="4"/>
      <c r="AI677" s="5">
        <v>40800</v>
      </c>
      <c r="AJ677" s="5">
        <v>40800</v>
      </c>
      <c r="AK677" s="5">
        <v>40802</v>
      </c>
      <c r="AL677" s="5">
        <v>40802</v>
      </c>
      <c r="AM677" s="5">
        <v>40828</v>
      </c>
      <c r="AN677" s="5">
        <v>40830</v>
      </c>
      <c r="AO677" s="4">
        <v>4</v>
      </c>
      <c r="AP677" s="5">
        <v>40828</v>
      </c>
      <c r="AQ677" s="5">
        <v>40876</v>
      </c>
      <c r="AR677" s="4"/>
      <c r="AS677" s="5">
        <v>40863</v>
      </c>
      <c r="AT677" s="5">
        <v>40872</v>
      </c>
      <c r="AU677" s="5">
        <v>40879</v>
      </c>
      <c r="AV677" s="4">
        <v>3</v>
      </c>
      <c r="AW677" s="5">
        <v>40872</v>
      </c>
      <c r="AX677" s="5">
        <v>40879</v>
      </c>
      <c r="AY677" s="4" t="s">
        <v>172</v>
      </c>
      <c r="AZ677" s="5">
        <v>40848</v>
      </c>
      <c r="BA677" s="5">
        <v>40850</v>
      </c>
      <c r="BB677" s="5">
        <v>40876</v>
      </c>
      <c r="BC677" s="5">
        <v>40864</v>
      </c>
      <c r="BD677" s="4">
        <v>3</v>
      </c>
      <c r="BE677" s="4"/>
      <c r="BF677" s="5">
        <v>40871</v>
      </c>
      <c r="BG677" s="4"/>
      <c r="BH677" s="4"/>
      <c r="BI677" s="5">
        <v>40938</v>
      </c>
      <c r="BJ677" s="5">
        <v>40940</v>
      </c>
      <c r="BK677" s="4">
        <v>1</v>
      </c>
      <c r="BL677" s="4"/>
      <c r="BM677" s="5">
        <v>40938</v>
      </c>
      <c r="BN677" s="5">
        <v>40940</v>
      </c>
      <c r="BO677" s="5">
        <v>40954</v>
      </c>
      <c r="BP677" s="4"/>
      <c r="BQ677" s="4"/>
      <c r="BR677" s="4"/>
      <c r="BS677" s="4"/>
      <c r="BT677" s="5">
        <v>40959</v>
      </c>
      <c r="BU677" s="5">
        <v>40959</v>
      </c>
      <c r="BV677" s="5">
        <v>41004</v>
      </c>
      <c r="BW677" s="5">
        <v>41003</v>
      </c>
      <c r="BX677" s="5">
        <v>40994</v>
      </c>
      <c r="BY677" s="5">
        <v>41002</v>
      </c>
      <c r="BZ677" s="5">
        <v>40999</v>
      </c>
      <c r="CA677" s="4"/>
      <c r="CB677" s="4"/>
      <c r="CC677" s="4"/>
      <c r="CD677" s="4"/>
      <c r="CE677" s="4"/>
      <c r="CF677" s="4"/>
      <c r="CG677" s="4"/>
      <c r="CH677" s="4"/>
      <c r="CI677" s="5">
        <v>40999</v>
      </c>
      <c r="CJ677" s="5">
        <v>41013</v>
      </c>
      <c r="CK677" s="5">
        <v>41011</v>
      </c>
      <c r="CL677" s="5">
        <v>41035</v>
      </c>
      <c r="CM677" s="5">
        <v>41033</v>
      </c>
      <c r="CN677" s="5">
        <v>41394</v>
      </c>
      <c r="CO677" s="5">
        <v>41386</v>
      </c>
      <c r="CP677" s="4" t="s">
        <v>3950</v>
      </c>
      <c r="CQ677" s="4"/>
      <c r="CR677" s="5">
        <v>41002</v>
      </c>
      <c r="CS677" s="5">
        <v>40880</v>
      </c>
      <c r="CT677" s="5">
        <v>40880</v>
      </c>
      <c r="CU677" s="5">
        <v>40947</v>
      </c>
      <c r="CV677" s="5">
        <v>40947</v>
      </c>
      <c r="CW677" s="5">
        <v>40956</v>
      </c>
      <c r="CX677" s="5">
        <v>40954</v>
      </c>
      <c r="CY677" s="5">
        <v>40998</v>
      </c>
      <c r="CZ677" s="5">
        <v>40998</v>
      </c>
      <c r="DA677" s="4"/>
      <c r="DB677" s="5">
        <v>41023</v>
      </c>
      <c r="DC677" s="4"/>
      <c r="DD677" s="4"/>
      <c r="DE677" s="4"/>
      <c r="DF677" s="4"/>
      <c r="DG677" s="4"/>
      <c r="DH677" s="4"/>
      <c r="DI677" s="5">
        <v>40996</v>
      </c>
      <c r="DJ677" s="4" t="b">
        <v>0</v>
      </c>
      <c r="DK677" s="4"/>
      <c r="DL677" s="4">
        <v>2151664</v>
      </c>
      <c r="DM677" s="4">
        <v>5391824</v>
      </c>
      <c r="DN677" s="4" t="s">
        <v>3951</v>
      </c>
      <c r="DO677" s="4"/>
      <c r="DP677" s="4"/>
      <c r="DQ677" s="4" t="s">
        <v>148</v>
      </c>
      <c r="DR677" s="4"/>
      <c r="DS677" s="4"/>
      <c r="DT677" s="4"/>
      <c r="DU677" s="4"/>
      <c r="DV677" s="4"/>
      <c r="DW677" s="4"/>
      <c r="DX677" s="4"/>
      <c r="DY677" s="4"/>
      <c r="DZ677" s="4"/>
      <c r="EA677" s="4"/>
      <c r="EB677" s="4"/>
      <c r="EC677" s="4"/>
      <c r="ED677" s="4"/>
      <c r="EE677" s="4"/>
      <c r="EF677" s="4"/>
      <c r="EG677" s="5">
        <v>41023</v>
      </c>
      <c r="EH677" s="5">
        <v>41023</v>
      </c>
      <c r="EI677" s="4"/>
    </row>
    <row r="678" spans="1:139" hidden="1" x14ac:dyDescent="0.2">
      <c r="A678" t="str">
        <f>VLOOKUP(B678,Sheet1!$A$1:$B$18,2,FALSE)</f>
        <v>South Island</v>
      </c>
      <c r="B678" t="str">
        <f>LEFT(D678,3)</f>
        <v>MBN</v>
      </c>
      <c r="C678" s="2">
        <v>984</v>
      </c>
      <c r="D678" s="3" t="str">
        <f>HYPERLINK("https://sitebase.nzcomms.co.nz/spm/spmnominalview/MBN-051-003/","MBN-051-003")</f>
        <v>MBN-051-003</v>
      </c>
      <c r="E678" s="4" t="s">
        <v>3048</v>
      </c>
      <c r="F678" s="3" t="str">
        <f>HYPERLINK("https://sitebase.nzcomms.co.nz/spm/spmcandidateview/MBN-051-003-C/","MBN-051-003-C")</f>
        <v>MBN-051-003-C</v>
      </c>
      <c r="G678" s="4" t="s">
        <v>3049</v>
      </c>
      <c r="H678" s="4" t="s">
        <v>3047</v>
      </c>
      <c r="I678" s="4">
        <v>7</v>
      </c>
      <c r="J678" s="4" t="s">
        <v>1633</v>
      </c>
      <c r="K678" s="4" t="s">
        <v>141</v>
      </c>
      <c r="L678" s="4" t="s">
        <v>150</v>
      </c>
      <c r="M678" s="4" t="s">
        <v>190</v>
      </c>
      <c r="N678" s="4" t="s">
        <v>156</v>
      </c>
      <c r="O678" s="4" t="s">
        <v>356</v>
      </c>
      <c r="P678" s="4" t="s">
        <v>169</v>
      </c>
      <c r="Q678" s="4" t="s">
        <v>170</v>
      </c>
      <c r="R678" s="4">
        <v>13</v>
      </c>
      <c r="S678" s="4">
        <v>15</v>
      </c>
      <c r="T678" s="4">
        <v>1</v>
      </c>
      <c r="U678" s="4">
        <v>-41.354526270000001</v>
      </c>
      <c r="V678" s="4">
        <v>173.19916468</v>
      </c>
      <c r="W678" s="4"/>
      <c r="X678" s="5">
        <v>40453</v>
      </c>
      <c r="Y678" s="5">
        <v>40338</v>
      </c>
      <c r="Z678" s="4"/>
      <c r="AA678" s="4" t="s">
        <v>171</v>
      </c>
      <c r="AB678" s="3" t="str">
        <f>HYPERLINK("https://sitebase.nzcomms.co.nz/spm/spmcandidateview/MBN-052-015-D/","MBN-052-015-D")</f>
        <v>MBN-052-015-D</v>
      </c>
      <c r="AC678" s="4" t="b">
        <v>0</v>
      </c>
      <c r="AD678" s="4" t="b">
        <v>1</v>
      </c>
      <c r="AE678" s="5">
        <v>40344</v>
      </c>
      <c r="AF678" s="5">
        <v>40344</v>
      </c>
      <c r="AG678" s="4" t="b">
        <v>0</v>
      </c>
      <c r="AH678" s="4"/>
      <c r="AI678" s="5">
        <v>40634</v>
      </c>
      <c r="AJ678" s="5">
        <v>40632</v>
      </c>
      <c r="AK678" s="5">
        <v>40638</v>
      </c>
      <c r="AL678" s="5">
        <v>40638</v>
      </c>
      <c r="AM678" s="5">
        <v>40676</v>
      </c>
      <c r="AN678" s="5">
        <v>40679</v>
      </c>
      <c r="AO678" s="4">
        <v>2</v>
      </c>
      <c r="AP678" s="5">
        <v>40676</v>
      </c>
      <c r="AQ678" s="5">
        <v>40815</v>
      </c>
      <c r="AR678" s="4"/>
      <c r="AS678" s="5">
        <v>40708</v>
      </c>
      <c r="AT678" s="5">
        <v>40863</v>
      </c>
      <c r="AU678" s="5">
        <v>40858</v>
      </c>
      <c r="AV678" s="4">
        <v>2</v>
      </c>
      <c r="AW678" s="4"/>
      <c r="AX678" s="5">
        <v>40861</v>
      </c>
      <c r="AY678" s="4" t="s">
        <v>172</v>
      </c>
      <c r="AZ678" s="5">
        <v>40693</v>
      </c>
      <c r="BA678" s="5">
        <v>40689</v>
      </c>
      <c r="BB678" s="5">
        <v>40968</v>
      </c>
      <c r="BC678" s="5">
        <v>40980</v>
      </c>
      <c r="BD678" s="4">
        <v>1</v>
      </c>
      <c r="BE678" s="5">
        <v>40968</v>
      </c>
      <c r="BF678" s="5">
        <v>40980</v>
      </c>
      <c r="BG678" s="4"/>
      <c r="BH678" s="4"/>
      <c r="BI678" s="5">
        <v>40933</v>
      </c>
      <c r="BJ678" s="5">
        <v>40934</v>
      </c>
      <c r="BK678" s="4">
        <v>1</v>
      </c>
      <c r="BL678" s="4"/>
      <c r="BM678" s="5">
        <v>40933</v>
      </c>
      <c r="BN678" s="5">
        <v>40934</v>
      </c>
      <c r="BO678" s="5">
        <v>40932</v>
      </c>
      <c r="BP678" s="4"/>
      <c r="BQ678" s="4"/>
      <c r="BR678" s="4"/>
      <c r="BS678" s="4"/>
      <c r="BT678" s="5">
        <v>40976</v>
      </c>
      <c r="BU678" s="5">
        <v>40976</v>
      </c>
      <c r="BV678" s="5">
        <v>41000</v>
      </c>
      <c r="BW678" s="5">
        <v>41002</v>
      </c>
      <c r="BX678" s="5">
        <v>40998</v>
      </c>
      <c r="BY678" s="5">
        <v>41004</v>
      </c>
      <c r="BZ678" s="5">
        <v>41006</v>
      </c>
      <c r="CA678" s="4"/>
      <c r="CB678" s="4"/>
      <c r="CC678" s="4"/>
      <c r="CD678" s="4"/>
      <c r="CE678" s="4"/>
      <c r="CF678" s="4"/>
      <c r="CG678" s="4"/>
      <c r="CH678" s="4"/>
      <c r="CI678" s="5">
        <v>41006</v>
      </c>
      <c r="CJ678" s="5">
        <v>41015</v>
      </c>
      <c r="CK678" s="5">
        <v>41014</v>
      </c>
      <c r="CL678" s="5">
        <v>41023</v>
      </c>
      <c r="CM678" s="5">
        <v>41031</v>
      </c>
      <c r="CN678" s="5">
        <v>41472</v>
      </c>
      <c r="CO678" s="5">
        <v>41458</v>
      </c>
      <c r="CP678" s="4" t="s">
        <v>3050</v>
      </c>
      <c r="CQ678" s="4"/>
      <c r="CR678" s="5">
        <v>41004</v>
      </c>
      <c r="CS678" s="5">
        <v>40872</v>
      </c>
      <c r="CT678" s="5">
        <v>40872</v>
      </c>
      <c r="CU678" s="5">
        <v>40891</v>
      </c>
      <c r="CV678" s="5">
        <v>40893</v>
      </c>
      <c r="CW678" s="5">
        <v>40923</v>
      </c>
      <c r="CX678" s="5">
        <v>40932</v>
      </c>
      <c r="CY678" s="5">
        <v>40998</v>
      </c>
      <c r="CZ678" s="4"/>
      <c r="DA678" s="5">
        <v>41009</v>
      </c>
      <c r="DB678" s="5">
        <v>41017</v>
      </c>
      <c r="DC678" s="4"/>
      <c r="DD678" s="4"/>
      <c r="DE678" s="4"/>
      <c r="DF678" s="4"/>
      <c r="DG678" s="4"/>
      <c r="DH678" s="4" t="s">
        <v>174</v>
      </c>
      <c r="DI678" s="5">
        <v>40998</v>
      </c>
      <c r="DJ678" s="4" t="b">
        <v>0</v>
      </c>
      <c r="DK678" s="4"/>
      <c r="DL678" s="4">
        <v>2526653</v>
      </c>
      <c r="DM678" s="4">
        <v>5983567</v>
      </c>
      <c r="DN678" s="4" t="s">
        <v>3051</v>
      </c>
      <c r="DO678" s="4"/>
      <c r="DP678" s="4"/>
      <c r="DQ678" s="4" t="s">
        <v>148</v>
      </c>
      <c r="DR678" s="4"/>
      <c r="DS678" s="4"/>
      <c r="DT678" s="4"/>
      <c r="DU678" s="4"/>
      <c r="DV678" s="4"/>
      <c r="DW678" s="4"/>
      <c r="DX678" s="4"/>
      <c r="DY678" s="4"/>
      <c r="DZ678" s="4"/>
      <c r="EA678" s="4"/>
      <c r="EB678" s="4"/>
      <c r="EC678" s="4"/>
      <c r="ED678" s="4"/>
      <c r="EE678" s="4"/>
      <c r="EF678" s="4"/>
      <c r="EG678" s="5">
        <v>41008</v>
      </c>
      <c r="EH678" s="5">
        <v>41017</v>
      </c>
      <c r="EI678" s="4"/>
    </row>
    <row r="679" spans="1:139" hidden="1" x14ac:dyDescent="0.2">
      <c r="A679" t="str">
        <f>VLOOKUP(B679,Sheet1!$A$1:$B$18,2,FALSE)</f>
        <v>South Island</v>
      </c>
      <c r="B679" t="str">
        <f>LEFT(D679,3)</f>
        <v>MBN</v>
      </c>
      <c r="C679" s="2">
        <v>991</v>
      </c>
      <c r="D679" s="3" t="str">
        <f>HYPERLINK("https://sitebase.nzcomms.co.nz/spm/spmnominalview/MBN-051-010/","MBN-051-010")</f>
        <v>MBN-051-010</v>
      </c>
      <c r="E679" s="4" t="s">
        <v>3067</v>
      </c>
      <c r="F679" s="3" t="str">
        <f>HYPERLINK("https://sitebase.nzcomms.co.nz/spm/spmcandidateview/MBN-051-010-I/","MBN-051-010-I")</f>
        <v>MBN-051-010-I</v>
      </c>
      <c r="G679" s="4" t="s">
        <v>3068</v>
      </c>
      <c r="H679" s="4" t="s">
        <v>3047</v>
      </c>
      <c r="I679" s="4">
        <v>7</v>
      </c>
      <c r="J679" s="4" t="s">
        <v>1633</v>
      </c>
      <c r="K679" s="4" t="s">
        <v>141</v>
      </c>
      <c r="L679" s="4" t="s">
        <v>150</v>
      </c>
      <c r="M679" s="4" t="s">
        <v>190</v>
      </c>
      <c r="N679" s="4" t="s">
        <v>291</v>
      </c>
      <c r="O679" s="4"/>
      <c r="P679" s="4" t="s">
        <v>169</v>
      </c>
      <c r="Q679" s="4" t="s">
        <v>192</v>
      </c>
      <c r="R679" s="4">
        <v>19.5</v>
      </c>
      <c r="S679" s="4">
        <v>20</v>
      </c>
      <c r="T679" s="4">
        <v>1</v>
      </c>
      <c r="U679" s="4">
        <v>-41.336920429999999</v>
      </c>
      <c r="V679" s="4">
        <v>173.1834733</v>
      </c>
      <c r="W679" s="4"/>
      <c r="X679" s="5">
        <v>40453</v>
      </c>
      <c r="Y679" s="5">
        <v>40338</v>
      </c>
      <c r="Z679" s="4"/>
      <c r="AA679" s="4" t="s">
        <v>171</v>
      </c>
      <c r="AB679" s="3" t="str">
        <f>HYPERLINK("https://sitebase.nzcomms.co.nz/spm/spmcandidateview/MBN-051-003-C/","MBN-051-003-C")</f>
        <v>MBN-051-003-C</v>
      </c>
      <c r="AC679" s="4" t="b">
        <v>0</v>
      </c>
      <c r="AD679" s="4" t="b">
        <v>1</v>
      </c>
      <c r="AE679" s="5">
        <v>40344</v>
      </c>
      <c r="AF679" s="5">
        <v>40344</v>
      </c>
      <c r="AG679" s="4" t="b">
        <v>0</v>
      </c>
      <c r="AH679" s="4"/>
      <c r="AI679" s="5">
        <v>40770</v>
      </c>
      <c r="AJ679" s="5">
        <v>40770</v>
      </c>
      <c r="AK679" s="5">
        <v>40771</v>
      </c>
      <c r="AL679" s="5">
        <v>40771</v>
      </c>
      <c r="AM679" s="5">
        <v>40788</v>
      </c>
      <c r="AN679" s="5">
        <v>40781</v>
      </c>
      <c r="AO679" s="4">
        <v>1</v>
      </c>
      <c r="AP679" s="5">
        <v>40788</v>
      </c>
      <c r="AQ679" s="5">
        <v>40781</v>
      </c>
      <c r="AR679" s="5">
        <v>40816</v>
      </c>
      <c r="AS679" s="5">
        <v>40830</v>
      </c>
      <c r="AT679" s="5">
        <v>40863</v>
      </c>
      <c r="AU679" s="5">
        <v>40858</v>
      </c>
      <c r="AV679" s="4">
        <v>1</v>
      </c>
      <c r="AW679" s="4"/>
      <c r="AX679" s="5">
        <v>40861</v>
      </c>
      <c r="AY679" s="4" t="s">
        <v>172</v>
      </c>
      <c r="AZ679" s="5">
        <v>40795</v>
      </c>
      <c r="BA679" s="5">
        <v>40788</v>
      </c>
      <c r="BB679" s="5">
        <v>40837</v>
      </c>
      <c r="BC679" s="5">
        <v>40807</v>
      </c>
      <c r="BD679" s="4">
        <v>1</v>
      </c>
      <c r="BE679" s="5">
        <v>40837</v>
      </c>
      <c r="BF679" s="5">
        <v>40807</v>
      </c>
      <c r="BG679" s="4"/>
      <c r="BH679" s="4"/>
      <c r="BI679" s="5">
        <v>40931</v>
      </c>
      <c r="BJ679" s="5">
        <v>40927</v>
      </c>
      <c r="BK679" s="4">
        <v>1</v>
      </c>
      <c r="BL679" s="4"/>
      <c r="BM679" s="5">
        <v>40892</v>
      </c>
      <c r="BN679" s="5">
        <v>40927</v>
      </c>
      <c r="BO679" s="5">
        <v>40941</v>
      </c>
      <c r="BP679" s="4"/>
      <c r="BQ679" s="4"/>
      <c r="BR679" s="4"/>
      <c r="BS679" s="4"/>
      <c r="BT679" s="5">
        <v>40974</v>
      </c>
      <c r="BU679" s="5">
        <v>40975</v>
      </c>
      <c r="BV679" s="5">
        <v>40991</v>
      </c>
      <c r="BW679" s="5">
        <v>40991</v>
      </c>
      <c r="BX679" s="5">
        <v>40987</v>
      </c>
      <c r="BY679" s="5">
        <v>41004</v>
      </c>
      <c r="BZ679" s="5">
        <v>41009</v>
      </c>
      <c r="CA679" s="4"/>
      <c r="CB679" s="4"/>
      <c r="CC679" s="4"/>
      <c r="CD679" s="4"/>
      <c r="CE679" s="4"/>
      <c r="CF679" s="4"/>
      <c r="CG679" s="4"/>
      <c r="CH679" s="4"/>
      <c r="CI679" s="5">
        <v>41009</v>
      </c>
      <c r="CJ679" s="5">
        <v>41018</v>
      </c>
      <c r="CK679" s="5">
        <v>41017</v>
      </c>
      <c r="CL679" s="5">
        <v>41023</v>
      </c>
      <c r="CM679" s="5">
        <v>41026</v>
      </c>
      <c r="CN679" s="5">
        <v>41534</v>
      </c>
      <c r="CO679" s="5">
        <v>41493</v>
      </c>
      <c r="CP679" s="4"/>
      <c r="CQ679" s="4"/>
      <c r="CR679" s="5">
        <v>41004</v>
      </c>
      <c r="CS679" s="5">
        <v>40914</v>
      </c>
      <c r="CT679" s="5">
        <v>40914</v>
      </c>
      <c r="CU679" s="5">
        <v>40920</v>
      </c>
      <c r="CV679" s="5">
        <v>40973</v>
      </c>
      <c r="CW679" s="5">
        <v>40927</v>
      </c>
      <c r="CX679" s="5">
        <v>40941</v>
      </c>
      <c r="CY679" s="5">
        <v>40995</v>
      </c>
      <c r="CZ679" s="4"/>
      <c r="DA679" s="5">
        <v>41009</v>
      </c>
      <c r="DB679" s="5">
        <v>41012</v>
      </c>
      <c r="DC679" s="4"/>
      <c r="DD679" s="4"/>
      <c r="DE679" s="4"/>
      <c r="DF679" s="4"/>
      <c r="DG679" s="4"/>
      <c r="DH679" s="4" t="s">
        <v>174</v>
      </c>
      <c r="DI679" s="5">
        <v>40988</v>
      </c>
      <c r="DJ679" s="4" t="b">
        <v>0</v>
      </c>
      <c r="DK679" s="4"/>
      <c r="DL679" s="4">
        <v>2525344</v>
      </c>
      <c r="DM679" s="4">
        <v>5985525</v>
      </c>
      <c r="DN679" s="4" t="s">
        <v>3069</v>
      </c>
      <c r="DO679" s="4"/>
      <c r="DP679" s="4" t="s">
        <v>3070</v>
      </c>
      <c r="DQ679" s="4" t="s">
        <v>148</v>
      </c>
      <c r="DR679" s="4"/>
      <c r="DS679" s="4"/>
      <c r="DT679" s="4"/>
      <c r="DU679" s="4"/>
      <c r="DV679" s="4"/>
      <c r="DW679" s="4"/>
      <c r="DX679" s="4"/>
      <c r="DY679" s="4"/>
      <c r="DZ679" s="4"/>
      <c r="EA679" s="4"/>
      <c r="EB679" s="4"/>
      <c r="EC679" s="4"/>
      <c r="ED679" s="4"/>
      <c r="EE679" s="4"/>
      <c r="EF679" s="4"/>
      <c r="EG679" s="5">
        <v>41008</v>
      </c>
      <c r="EH679" s="5">
        <v>41012</v>
      </c>
      <c r="EI679" s="5">
        <v>40771</v>
      </c>
    </row>
    <row r="680" spans="1:139" hidden="1" x14ac:dyDescent="0.2">
      <c r="A680" t="str">
        <f>VLOOKUP(B680,Sheet1!$A$1:$B$18,2,FALSE)</f>
        <v>South Island</v>
      </c>
      <c r="B680" t="str">
        <f>LEFT(D680,3)</f>
        <v>OTG</v>
      </c>
      <c r="C680" s="2">
        <v>1268</v>
      </c>
      <c r="D680" s="3" t="str">
        <f>HYPERLINK("https://sitebase.nzcomms.co.nz/spm/spmnominalview/OTG-071-047/","OTG-071-047")</f>
        <v>OTG-071-047</v>
      </c>
      <c r="E680" s="4" t="s">
        <v>3852</v>
      </c>
      <c r="F680" s="3" t="str">
        <f>HYPERLINK("https://sitebase.nzcomms.co.nz/spm/spmcandidateview/OTG-071-047-A/","OTG-071-047-A")</f>
        <v>OTG-071-047-A</v>
      </c>
      <c r="G680" s="4" t="s">
        <v>3853</v>
      </c>
      <c r="H680" s="4" t="s">
        <v>3727</v>
      </c>
      <c r="I680" s="4">
        <v>4</v>
      </c>
      <c r="J680" s="4" t="s">
        <v>1633</v>
      </c>
      <c r="K680" s="4" t="s">
        <v>141</v>
      </c>
      <c r="L680" s="4" t="s">
        <v>189</v>
      </c>
      <c r="M680" s="4" t="s">
        <v>190</v>
      </c>
      <c r="N680" s="4" t="s">
        <v>274</v>
      </c>
      <c r="O680" s="4"/>
      <c r="P680" s="4" t="s">
        <v>182</v>
      </c>
      <c r="Q680" s="4" t="s">
        <v>192</v>
      </c>
      <c r="R680" s="4"/>
      <c r="S680" s="4">
        <v>13.4</v>
      </c>
      <c r="T680" s="4">
        <v>1</v>
      </c>
      <c r="U680" s="4">
        <v>-45.863020710000001</v>
      </c>
      <c r="V680" s="4">
        <v>170.51323521</v>
      </c>
      <c r="W680" s="4"/>
      <c r="X680" s="4"/>
      <c r="Y680" s="4"/>
      <c r="Z680" s="4"/>
      <c r="AA680" s="4" t="s">
        <v>171</v>
      </c>
      <c r="AB680" s="3" t="str">
        <f>HYPERLINK("https://sitebase.nzcomms.co.nz/spm/spmcandidateview/OTG-071-015-A/","OTG-071-015-A")</f>
        <v>OTG-071-015-A</v>
      </c>
      <c r="AC680" s="4" t="b">
        <v>0</v>
      </c>
      <c r="AD680" s="4" t="b">
        <v>0</v>
      </c>
      <c r="AE680" s="4"/>
      <c r="AF680" s="4"/>
      <c r="AG680" s="4" t="b">
        <v>0</v>
      </c>
      <c r="AH680" s="4"/>
      <c r="AI680" s="5">
        <v>40704</v>
      </c>
      <c r="AJ680" s="5">
        <v>40704</v>
      </c>
      <c r="AK680" s="5">
        <v>40709</v>
      </c>
      <c r="AL680" s="5">
        <v>40709</v>
      </c>
      <c r="AM680" s="5">
        <v>40737</v>
      </c>
      <c r="AN680" s="5">
        <v>40740</v>
      </c>
      <c r="AO680" s="4">
        <v>3</v>
      </c>
      <c r="AP680" s="5">
        <v>40737</v>
      </c>
      <c r="AQ680" s="5">
        <v>42052</v>
      </c>
      <c r="AR680" s="4"/>
      <c r="AS680" s="5">
        <v>40765</v>
      </c>
      <c r="AT680" s="5">
        <v>40784</v>
      </c>
      <c r="AU680" s="5">
        <v>40781</v>
      </c>
      <c r="AV680" s="4">
        <v>1</v>
      </c>
      <c r="AW680" s="4"/>
      <c r="AX680" s="5">
        <v>40781</v>
      </c>
      <c r="AY680" s="4" t="s">
        <v>193</v>
      </c>
      <c r="AZ680" s="5">
        <v>40765</v>
      </c>
      <c r="BA680" s="5">
        <v>40765</v>
      </c>
      <c r="BB680" s="5">
        <v>40809</v>
      </c>
      <c r="BC680" s="5">
        <v>40820</v>
      </c>
      <c r="BD680" s="4">
        <v>1</v>
      </c>
      <c r="BE680" s="4"/>
      <c r="BF680" s="5">
        <v>40820</v>
      </c>
      <c r="BG680" s="4"/>
      <c r="BH680" s="4"/>
      <c r="BI680" s="5">
        <v>40990</v>
      </c>
      <c r="BJ680" s="5">
        <v>40858</v>
      </c>
      <c r="BK680" s="4">
        <v>2</v>
      </c>
      <c r="BL680" s="4"/>
      <c r="BM680" s="5">
        <v>40990</v>
      </c>
      <c r="BN680" s="5">
        <v>40991</v>
      </c>
      <c r="BO680" s="5">
        <v>40861</v>
      </c>
      <c r="BP680" s="4"/>
      <c r="BQ680" s="4"/>
      <c r="BR680" s="5">
        <v>41000</v>
      </c>
      <c r="BS680" s="4"/>
      <c r="BT680" s="5">
        <v>40991</v>
      </c>
      <c r="BU680" s="5">
        <v>41001</v>
      </c>
      <c r="BV680" s="5">
        <v>41027</v>
      </c>
      <c r="BW680" s="5">
        <v>41026</v>
      </c>
      <c r="BX680" s="5">
        <v>41022</v>
      </c>
      <c r="BY680" s="5">
        <v>41026</v>
      </c>
      <c r="BZ680" s="5">
        <v>41026</v>
      </c>
      <c r="CA680" s="4"/>
      <c r="CB680" s="4"/>
      <c r="CC680" s="4"/>
      <c r="CD680" s="4"/>
      <c r="CE680" s="4"/>
      <c r="CF680" s="4"/>
      <c r="CG680" s="4"/>
      <c r="CH680" s="4"/>
      <c r="CI680" s="5">
        <v>41033</v>
      </c>
      <c r="CJ680" s="5">
        <v>41040</v>
      </c>
      <c r="CK680" s="5">
        <v>41043</v>
      </c>
      <c r="CL680" s="5">
        <v>40974</v>
      </c>
      <c r="CM680" s="5">
        <v>41060</v>
      </c>
      <c r="CN680" s="5">
        <v>41150</v>
      </c>
      <c r="CO680" s="5">
        <v>41191</v>
      </c>
      <c r="CP680" s="4" t="s">
        <v>3854</v>
      </c>
      <c r="CQ680" s="4"/>
      <c r="CR680" s="5">
        <v>41032</v>
      </c>
      <c r="CS680" s="5">
        <v>40800</v>
      </c>
      <c r="CT680" s="5">
        <v>40800</v>
      </c>
      <c r="CU680" s="5">
        <v>40884</v>
      </c>
      <c r="CV680" s="5">
        <v>40893</v>
      </c>
      <c r="CW680" s="5">
        <v>40876</v>
      </c>
      <c r="CX680" s="5">
        <v>40861</v>
      </c>
      <c r="CY680" s="5">
        <v>41026</v>
      </c>
      <c r="CZ680" s="5">
        <v>41026</v>
      </c>
      <c r="DA680" s="5">
        <v>41026</v>
      </c>
      <c r="DB680" s="5">
        <v>41047</v>
      </c>
      <c r="DC680" s="4"/>
      <c r="DD680" s="4"/>
      <c r="DE680" s="4"/>
      <c r="DF680" s="4"/>
      <c r="DG680" s="4"/>
      <c r="DH680" s="4"/>
      <c r="DI680" s="5">
        <v>41025</v>
      </c>
      <c r="DJ680" s="4" t="b">
        <v>1</v>
      </c>
      <c r="DK680" s="4"/>
      <c r="DL680" s="4">
        <v>2316764</v>
      </c>
      <c r="DM680" s="4">
        <v>5479812</v>
      </c>
      <c r="DN680" s="4" t="s">
        <v>3855</v>
      </c>
      <c r="DO680" s="4"/>
      <c r="DP680" s="4" t="s">
        <v>3856</v>
      </c>
      <c r="DQ680" s="4" t="s">
        <v>148</v>
      </c>
      <c r="DR680" s="4"/>
      <c r="DS680" s="4"/>
      <c r="DT680" s="5">
        <v>42096</v>
      </c>
      <c r="DU680" s="4"/>
      <c r="DV680" s="4"/>
      <c r="DW680" s="4"/>
      <c r="DX680" s="4"/>
      <c r="DY680" s="4"/>
      <c r="DZ680" s="4"/>
      <c r="EA680" s="4"/>
      <c r="EB680" s="4"/>
      <c r="EC680" s="4"/>
      <c r="ED680" s="4"/>
      <c r="EE680" s="4"/>
      <c r="EF680" s="4"/>
      <c r="EG680" s="5">
        <v>41047</v>
      </c>
      <c r="EH680" s="5">
        <v>41047</v>
      </c>
      <c r="EI680" s="4"/>
    </row>
    <row r="681" spans="1:139" hidden="1" x14ac:dyDescent="0.2">
      <c r="A681" t="str">
        <f>VLOOKUP(B681,Sheet1!$A$1:$B$18,2,FALSE)</f>
        <v>South Island</v>
      </c>
      <c r="B681" t="str">
        <f>LEFT(D681,3)</f>
        <v>MBN</v>
      </c>
      <c r="C681" s="2">
        <v>1016</v>
      </c>
      <c r="D681" s="3" t="str">
        <f>HYPERLINK("https://sitebase.nzcomms.co.nz/spm/spmnominalview/MBN-052-012/","MBN-052-012")</f>
        <v>MBN-052-012</v>
      </c>
      <c r="E681" s="4" t="s">
        <v>3131</v>
      </c>
      <c r="F681" s="3" t="str">
        <f>HYPERLINK("https://sitebase.nzcomms.co.nz/spm/spmcandidateview/MBN-052-012-D/","MBN-052-012-D")</f>
        <v>MBN-052-012-D</v>
      </c>
      <c r="G681" s="4" t="s">
        <v>3132</v>
      </c>
      <c r="H681" s="4" t="s">
        <v>3096</v>
      </c>
      <c r="I681" s="4">
        <v>7</v>
      </c>
      <c r="J681" s="4" t="s">
        <v>1633</v>
      </c>
      <c r="K681" s="4" t="s">
        <v>141</v>
      </c>
      <c r="L681" s="4" t="s">
        <v>189</v>
      </c>
      <c r="M681" s="4" t="s">
        <v>190</v>
      </c>
      <c r="N681" s="4" t="s">
        <v>2348</v>
      </c>
      <c r="O681" s="4"/>
      <c r="P681" s="4" t="s">
        <v>182</v>
      </c>
      <c r="Q681" s="4" t="s">
        <v>192</v>
      </c>
      <c r="R681" s="4">
        <v>18</v>
      </c>
      <c r="S681" s="4">
        <v>18</v>
      </c>
      <c r="T681" s="4">
        <v>3</v>
      </c>
      <c r="U681" s="4">
        <v>-41.27553717</v>
      </c>
      <c r="V681" s="4">
        <v>173.28959888</v>
      </c>
      <c r="W681" s="4"/>
      <c r="X681" s="4"/>
      <c r="Y681" s="4"/>
      <c r="Z681" s="4"/>
      <c r="AA681" s="4" t="s">
        <v>171</v>
      </c>
      <c r="AB681" s="3" t="str">
        <f>HYPERLINK("https://sitebase.nzcomms.co.nz/spm/spmcandidateview/MBN-052-010-A/","MBN-052-010-A")</f>
        <v>MBN-052-010-A</v>
      </c>
      <c r="AC681" s="4" t="b">
        <v>0</v>
      </c>
      <c r="AD681" s="4" t="b">
        <v>1</v>
      </c>
      <c r="AE681" s="4"/>
      <c r="AF681" s="4"/>
      <c r="AG681" s="4" t="b">
        <v>0</v>
      </c>
      <c r="AH681" s="4"/>
      <c r="AI681" s="5">
        <v>40793</v>
      </c>
      <c r="AJ681" s="5">
        <v>40793</v>
      </c>
      <c r="AK681" s="5">
        <v>40795</v>
      </c>
      <c r="AL681" s="5">
        <v>40795</v>
      </c>
      <c r="AM681" s="5">
        <v>40814</v>
      </c>
      <c r="AN681" s="5">
        <v>40813</v>
      </c>
      <c r="AO681" s="4">
        <v>2</v>
      </c>
      <c r="AP681" s="5">
        <v>40814</v>
      </c>
      <c r="AQ681" s="5">
        <v>41967</v>
      </c>
      <c r="AR681" s="5">
        <v>40952</v>
      </c>
      <c r="AS681" s="5">
        <v>40949</v>
      </c>
      <c r="AT681" s="5">
        <v>40959</v>
      </c>
      <c r="AU681" s="5">
        <v>40956</v>
      </c>
      <c r="AV681" s="4"/>
      <c r="AW681" s="5">
        <v>40959</v>
      </c>
      <c r="AX681" s="5">
        <v>40961</v>
      </c>
      <c r="AY681" s="4" t="s">
        <v>172</v>
      </c>
      <c r="AZ681" s="5">
        <v>40953</v>
      </c>
      <c r="BA681" s="5">
        <v>40956</v>
      </c>
      <c r="BB681" s="5">
        <v>40995</v>
      </c>
      <c r="BC681" s="5">
        <v>40977</v>
      </c>
      <c r="BD681" s="4">
        <v>1</v>
      </c>
      <c r="BE681" s="5">
        <v>40977</v>
      </c>
      <c r="BF681" s="5">
        <v>40977</v>
      </c>
      <c r="BG681" s="4"/>
      <c r="BH681" s="4"/>
      <c r="BI681" s="5">
        <v>41017</v>
      </c>
      <c r="BJ681" s="5">
        <v>41018</v>
      </c>
      <c r="BK681" s="4">
        <v>1</v>
      </c>
      <c r="BL681" s="4"/>
      <c r="BM681" s="5">
        <v>41017</v>
      </c>
      <c r="BN681" s="5">
        <v>41018</v>
      </c>
      <c r="BO681" s="4"/>
      <c r="BP681" s="4"/>
      <c r="BQ681" s="4"/>
      <c r="BR681" s="4"/>
      <c r="BS681" s="4"/>
      <c r="BT681" s="5">
        <v>41036</v>
      </c>
      <c r="BU681" s="5">
        <v>41038</v>
      </c>
      <c r="BV681" s="5">
        <v>41052</v>
      </c>
      <c r="BW681" s="5">
        <v>41052</v>
      </c>
      <c r="BX681" s="5">
        <v>41050</v>
      </c>
      <c r="BY681" s="5">
        <v>41058</v>
      </c>
      <c r="BZ681" s="5">
        <v>41058</v>
      </c>
      <c r="CA681" s="4"/>
      <c r="CB681" s="4"/>
      <c r="CC681" s="4"/>
      <c r="CD681" s="4"/>
      <c r="CE681" s="4"/>
      <c r="CF681" s="4"/>
      <c r="CG681" s="4"/>
      <c r="CH681" s="4"/>
      <c r="CI681" s="5">
        <v>41058</v>
      </c>
      <c r="CJ681" s="5">
        <v>41067</v>
      </c>
      <c r="CK681" s="5">
        <v>41073</v>
      </c>
      <c r="CL681" s="5">
        <v>41078</v>
      </c>
      <c r="CM681" s="5">
        <v>41080</v>
      </c>
      <c r="CN681" s="5">
        <v>41534</v>
      </c>
      <c r="CO681" s="5">
        <v>41526</v>
      </c>
      <c r="CP681" s="4"/>
      <c r="CQ681" s="4"/>
      <c r="CR681" s="5">
        <v>41058</v>
      </c>
      <c r="CS681" s="4"/>
      <c r="CT681" s="4"/>
      <c r="CU681" s="4"/>
      <c r="CV681" s="4"/>
      <c r="CW681" s="5">
        <v>41052</v>
      </c>
      <c r="CX681" s="4"/>
      <c r="CY681" s="5">
        <v>41057</v>
      </c>
      <c r="CZ681" s="5">
        <v>41052</v>
      </c>
      <c r="DA681" s="4"/>
      <c r="DB681" s="5">
        <v>41067</v>
      </c>
      <c r="DC681" s="5">
        <v>40956</v>
      </c>
      <c r="DD681" s="4" t="s">
        <v>573</v>
      </c>
      <c r="DE681" s="4"/>
      <c r="DF681" s="4"/>
      <c r="DG681" s="4"/>
      <c r="DH681" s="4" t="s">
        <v>174</v>
      </c>
      <c r="DI681" s="5">
        <v>41052</v>
      </c>
      <c r="DJ681" s="4" t="b">
        <v>0</v>
      </c>
      <c r="DK681" s="4"/>
      <c r="DL681" s="4">
        <v>2534249</v>
      </c>
      <c r="DM681" s="4">
        <v>5992318</v>
      </c>
      <c r="DN681" s="4" t="s">
        <v>3133</v>
      </c>
      <c r="DO681" s="4"/>
      <c r="DP681" s="4"/>
      <c r="DQ681" s="4" t="s">
        <v>148</v>
      </c>
      <c r="DR681" s="4"/>
      <c r="DS681" s="4"/>
      <c r="DT681" s="5">
        <v>42101</v>
      </c>
      <c r="DU681" s="4"/>
      <c r="DV681" s="4"/>
      <c r="DW681" s="4"/>
      <c r="DX681" s="4"/>
      <c r="DY681" s="4"/>
      <c r="DZ681" s="4"/>
      <c r="EA681" s="4"/>
      <c r="EB681" s="4"/>
      <c r="EC681" s="4"/>
      <c r="ED681" s="4"/>
      <c r="EE681" s="4"/>
      <c r="EF681" s="4"/>
      <c r="EG681" s="5">
        <v>41061</v>
      </c>
      <c r="EH681" s="5">
        <v>41067</v>
      </c>
      <c r="EI681" s="5">
        <v>40795</v>
      </c>
    </row>
    <row r="682" spans="1:139" hidden="1" x14ac:dyDescent="0.2">
      <c r="A682" t="str">
        <f>VLOOKUP(B682,Sheet1!$A$1:$B$18,2,FALSE)</f>
        <v>South Island</v>
      </c>
      <c r="B682" t="str">
        <f>LEFT(D682,3)</f>
        <v>CAN</v>
      </c>
      <c r="C682" s="2">
        <v>644</v>
      </c>
      <c r="D682" s="3" t="str">
        <f>HYPERLINK("https://sitebase.nzcomms.co.nz/spm/spmnominalview/CAN-059-007/","CAN-059-007")</f>
        <v>CAN-059-007</v>
      </c>
      <c r="E682" s="4" t="s">
        <v>2080</v>
      </c>
      <c r="F682" s="3" t="str">
        <f>HYPERLINK("https://sitebase.nzcomms.co.nz/spm/spmcandidateview/CAN-059-007-A/","CAN-059-007-A")</f>
        <v>CAN-059-007-A</v>
      </c>
      <c r="G682" s="4" t="s">
        <v>2081</v>
      </c>
      <c r="H682" s="4" t="s">
        <v>2053</v>
      </c>
      <c r="I682" s="4">
        <v>8</v>
      </c>
      <c r="J682" s="4" t="s">
        <v>180</v>
      </c>
      <c r="K682" s="4" t="s">
        <v>141</v>
      </c>
      <c r="L682" s="4" t="s">
        <v>142</v>
      </c>
      <c r="M682" s="4" t="s">
        <v>190</v>
      </c>
      <c r="N682" s="4" t="s">
        <v>364</v>
      </c>
      <c r="O682" s="4"/>
      <c r="P682" s="4" t="s">
        <v>182</v>
      </c>
      <c r="Q682" s="4" t="s">
        <v>142</v>
      </c>
      <c r="R682" s="4"/>
      <c r="S682" s="4"/>
      <c r="T682" s="4">
        <v>1</v>
      </c>
      <c r="U682" s="4">
        <v>-43.39175908</v>
      </c>
      <c r="V682" s="4">
        <v>172.65671434000001</v>
      </c>
      <c r="W682" s="4"/>
      <c r="X682" s="5">
        <v>40854</v>
      </c>
      <c r="Y682" s="4"/>
      <c r="Z682" s="4"/>
      <c r="AA682" s="4" t="s">
        <v>145</v>
      </c>
      <c r="AB682" s="3" t="str">
        <f>HYPERLINK("https://sitebase.nzcomms.co.nz/spm/spmcandidateview/CHC-060-063-B/","CHC-060-063-B")</f>
        <v>CHC-060-063-B</v>
      </c>
      <c r="AC682" s="4" t="b">
        <v>0</v>
      </c>
      <c r="AD682" s="4" t="b">
        <v>0</v>
      </c>
      <c r="AE682" s="4"/>
      <c r="AF682" s="4"/>
      <c r="AG682" s="4" t="b">
        <v>0</v>
      </c>
      <c r="AH682" s="4"/>
      <c r="AI682" s="4"/>
      <c r="AJ682" s="5">
        <v>40848</v>
      </c>
      <c r="AK682" s="4"/>
      <c r="AL682" s="5">
        <v>40848</v>
      </c>
      <c r="AM682" s="4"/>
      <c r="AN682" s="5">
        <v>40767</v>
      </c>
      <c r="AO682" s="4">
        <v>2</v>
      </c>
      <c r="AP682" s="4"/>
      <c r="AQ682" s="5">
        <v>40925</v>
      </c>
      <c r="AR682" s="4"/>
      <c r="AS682" s="5">
        <v>40875</v>
      </c>
      <c r="AT682" s="4"/>
      <c r="AU682" s="5">
        <v>41011</v>
      </c>
      <c r="AV682" s="4"/>
      <c r="AW682" s="4"/>
      <c r="AX682" s="5">
        <v>41011</v>
      </c>
      <c r="AY682" s="4"/>
      <c r="AZ682" s="4"/>
      <c r="BA682" s="5">
        <v>40771</v>
      </c>
      <c r="BB682" s="4"/>
      <c r="BC682" s="5">
        <v>40802</v>
      </c>
      <c r="BD682" s="4">
        <v>1</v>
      </c>
      <c r="BE682" s="4"/>
      <c r="BF682" s="4"/>
      <c r="BG682" s="4"/>
      <c r="BH682" s="4"/>
      <c r="BI682" s="5">
        <v>41019</v>
      </c>
      <c r="BJ682" s="5">
        <v>41022</v>
      </c>
      <c r="BK682" s="4">
        <v>1</v>
      </c>
      <c r="BL682" s="4"/>
      <c r="BM682" s="5">
        <v>41019</v>
      </c>
      <c r="BN682" s="5">
        <v>41022</v>
      </c>
      <c r="BO682" s="5">
        <v>41037</v>
      </c>
      <c r="BP682" s="4"/>
      <c r="BQ682" s="4"/>
      <c r="BR682" s="4"/>
      <c r="BS682" s="4"/>
      <c r="BT682" s="5">
        <v>41040</v>
      </c>
      <c r="BU682" s="5">
        <v>41038</v>
      </c>
      <c r="BV682" s="5">
        <v>41058</v>
      </c>
      <c r="BW682" s="5">
        <v>41048</v>
      </c>
      <c r="BX682" s="5">
        <v>41039</v>
      </c>
      <c r="BY682" s="5">
        <v>41053</v>
      </c>
      <c r="BZ682" s="5">
        <v>41062</v>
      </c>
      <c r="CA682" s="4"/>
      <c r="CB682" s="4"/>
      <c r="CC682" s="4"/>
      <c r="CD682" s="4"/>
      <c r="CE682" s="4"/>
      <c r="CF682" s="4"/>
      <c r="CG682" s="4"/>
      <c r="CH682" s="4"/>
      <c r="CI682" s="5">
        <v>41062</v>
      </c>
      <c r="CJ682" s="5">
        <v>41075</v>
      </c>
      <c r="CK682" s="5">
        <v>41073</v>
      </c>
      <c r="CL682" s="5">
        <v>41089</v>
      </c>
      <c r="CM682" s="5">
        <v>41088</v>
      </c>
      <c r="CN682" s="5">
        <v>41453</v>
      </c>
      <c r="CO682" s="5">
        <v>41446</v>
      </c>
      <c r="CP682" s="4"/>
      <c r="CQ682" s="4" t="s">
        <v>230</v>
      </c>
      <c r="CR682" s="5">
        <v>41061</v>
      </c>
      <c r="CS682" s="5">
        <v>40956</v>
      </c>
      <c r="CT682" s="5">
        <v>40956</v>
      </c>
      <c r="CU682" s="5">
        <v>41037</v>
      </c>
      <c r="CV682" s="5">
        <v>41039</v>
      </c>
      <c r="CW682" s="5">
        <v>41056</v>
      </c>
      <c r="CX682" s="5">
        <v>41037</v>
      </c>
      <c r="CY682" s="5">
        <v>41054</v>
      </c>
      <c r="CZ682" s="5">
        <v>41075</v>
      </c>
      <c r="DA682" s="4"/>
      <c r="DB682" s="5">
        <v>41062</v>
      </c>
      <c r="DC682" s="4"/>
      <c r="DD682" s="4"/>
      <c r="DE682" s="4" t="s">
        <v>2054</v>
      </c>
      <c r="DF682" s="5">
        <v>41060</v>
      </c>
      <c r="DG682" s="5">
        <v>41060</v>
      </c>
      <c r="DH682" s="4" t="s">
        <v>174</v>
      </c>
      <c r="DI682" s="5">
        <v>41040</v>
      </c>
      <c r="DJ682" s="4" t="b">
        <v>1</v>
      </c>
      <c r="DK682" s="4"/>
      <c r="DL682" s="4">
        <v>2482199</v>
      </c>
      <c r="DM682" s="4">
        <v>5757240</v>
      </c>
      <c r="DN682" s="4" t="s">
        <v>2082</v>
      </c>
      <c r="DO682" s="4"/>
      <c r="DP682" s="4"/>
      <c r="DQ682" s="4" t="s">
        <v>148</v>
      </c>
      <c r="DR682" s="4"/>
      <c r="DS682" s="4"/>
      <c r="DT682" s="5">
        <v>42115</v>
      </c>
      <c r="DU682" s="4"/>
      <c r="DV682" s="4"/>
      <c r="DW682" s="4"/>
      <c r="DX682" s="4"/>
      <c r="DY682" s="4"/>
      <c r="DZ682" s="4"/>
      <c r="EA682" s="4"/>
      <c r="EB682" s="4"/>
      <c r="EC682" s="4"/>
      <c r="ED682" s="4"/>
      <c r="EE682" s="4"/>
      <c r="EF682" s="4"/>
      <c r="EG682" s="5">
        <v>41072</v>
      </c>
      <c r="EH682" s="5">
        <v>41078</v>
      </c>
      <c r="EI682" s="4"/>
    </row>
    <row r="683" spans="1:139" hidden="1" x14ac:dyDescent="0.2">
      <c r="A683" t="str">
        <f>VLOOKUP(B683,Sheet1!$A$1:$B$18,2,FALSE)</f>
        <v>South Island</v>
      </c>
      <c r="B683" t="str">
        <f>LEFT(D683,3)</f>
        <v>CAN</v>
      </c>
      <c r="C683" s="2">
        <v>660</v>
      </c>
      <c r="D683" s="3" t="str">
        <f>HYPERLINK("https://sitebase.nzcomms.co.nz/spm/spmnominalview/CAN-062-006/","CAN-062-006")</f>
        <v>CAN-062-006</v>
      </c>
      <c r="E683" s="4" t="s">
        <v>2134</v>
      </c>
      <c r="F683" s="3" t="str">
        <f>HYPERLINK("https://sitebase.nzcomms.co.nz/spm/spmcandidateview/CAN-062-006-A/","CAN-062-006-A")</f>
        <v>CAN-062-006-A</v>
      </c>
      <c r="G683" s="4" t="s">
        <v>2135</v>
      </c>
      <c r="H683" s="4" t="s">
        <v>2111</v>
      </c>
      <c r="I683" s="4">
        <v>8</v>
      </c>
      <c r="J683" s="4" t="s">
        <v>180</v>
      </c>
      <c r="K683" s="4" t="s">
        <v>141</v>
      </c>
      <c r="L683" s="4" t="s">
        <v>142</v>
      </c>
      <c r="M683" s="4" t="s">
        <v>190</v>
      </c>
      <c r="N683" s="4" t="s">
        <v>142</v>
      </c>
      <c r="O683" s="4"/>
      <c r="P683" s="4" t="s">
        <v>182</v>
      </c>
      <c r="Q683" s="4" t="s">
        <v>142</v>
      </c>
      <c r="R683" s="4"/>
      <c r="S683" s="4"/>
      <c r="T683" s="4">
        <v>1</v>
      </c>
      <c r="U683" s="4">
        <v>-43.613030479999999</v>
      </c>
      <c r="V683" s="4">
        <v>172.32339382999999</v>
      </c>
      <c r="W683" s="4"/>
      <c r="X683" s="5">
        <v>40884</v>
      </c>
      <c r="Y683" s="4"/>
      <c r="Z683" s="4"/>
      <c r="AA683" s="4" t="s">
        <v>145</v>
      </c>
      <c r="AB683" s="3" t="str">
        <f>HYPERLINK("https://sitebase.nzcomms.co.nz/spm/spmcandidateview/CHC-060-063-B/","CHC-060-063-B")</f>
        <v>CHC-060-063-B</v>
      </c>
      <c r="AC683" s="4" t="b">
        <v>0</v>
      </c>
      <c r="AD683" s="4" t="b">
        <v>0</v>
      </c>
      <c r="AE683" s="4"/>
      <c r="AF683" s="4"/>
      <c r="AG683" s="4" t="b">
        <v>0</v>
      </c>
      <c r="AH683" s="4"/>
      <c r="AI683" s="4"/>
      <c r="AJ683" s="5">
        <v>40848</v>
      </c>
      <c r="AK683" s="4"/>
      <c r="AL683" s="5">
        <v>40848</v>
      </c>
      <c r="AM683" s="4"/>
      <c r="AN683" s="5">
        <v>40767</v>
      </c>
      <c r="AO683" s="4">
        <v>3</v>
      </c>
      <c r="AP683" s="4"/>
      <c r="AQ683" s="5">
        <v>40925</v>
      </c>
      <c r="AR683" s="4"/>
      <c r="AS683" s="5">
        <v>40885</v>
      </c>
      <c r="AT683" s="4"/>
      <c r="AU683" s="5">
        <v>41033</v>
      </c>
      <c r="AV683" s="4"/>
      <c r="AW683" s="4"/>
      <c r="AX683" s="5">
        <v>41031</v>
      </c>
      <c r="AY683" s="4"/>
      <c r="AZ683" s="4"/>
      <c r="BA683" s="5">
        <v>40778</v>
      </c>
      <c r="BB683" s="4"/>
      <c r="BC683" s="5">
        <v>40809</v>
      </c>
      <c r="BD683" s="4">
        <v>1</v>
      </c>
      <c r="BE683" s="4"/>
      <c r="BF683" s="4"/>
      <c r="BG683" s="4"/>
      <c r="BH683" s="4"/>
      <c r="BI683" s="5">
        <v>41019</v>
      </c>
      <c r="BJ683" s="5">
        <v>41023</v>
      </c>
      <c r="BK683" s="4">
        <v>2</v>
      </c>
      <c r="BL683" s="4"/>
      <c r="BM683" s="5">
        <v>41019</v>
      </c>
      <c r="BN683" s="5">
        <v>41023</v>
      </c>
      <c r="BO683" s="5">
        <v>41047</v>
      </c>
      <c r="BP683" s="4"/>
      <c r="BQ683" s="4"/>
      <c r="BR683" s="4"/>
      <c r="BS683" s="4"/>
      <c r="BT683" s="5">
        <v>41046</v>
      </c>
      <c r="BU683" s="5">
        <v>41047</v>
      </c>
      <c r="BV683" s="5">
        <v>41058</v>
      </c>
      <c r="BW683" s="5">
        <v>41054</v>
      </c>
      <c r="BX683" s="5">
        <v>41047</v>
      </c>
      <c r="BY683" s="5">
        <v>41064</v>
      </c>
      <c r="BZ683" s="5">
        <v>41059</v>
      </c>
      <c r="CA683" s="4"/>
      <c r="CB683" s="4"/>
      <c r="CC683" s="4"/>
      <c r="CD683" s="4"/>
      <c r="CE683" s="4"/>
      <c r="CF683" s="4"/>
      <c r="CG683" s="4"/>
      <c r="CH683" s="4"/>
      <c r="CI683" s="5">
        <v>41073</v>
      </c>
      <c r="CJ683" s="5">
        <v>41075</v>
      </c>
      <c r="CK683" s="5">
        <v>41080</v>
      </c>
      <c r="CL683" s="5">
        <v>41108</v>
      </c>
      <c r="CM683" s="5">
        <v>41108</v>
      </c>
      <c r="CN683" s="5">
        <v>41527</v>
      </c>
      <c r="CO683" s="5">
        <v>41513</v>
      </c>
      <c r="CP683" s="4" t="s">
        <v>2136</v>
      </c>
      <c r="CQ683" s="4" t="s">
        <v>230</v>
      </c>
      <c r="CR683" s="5">
        <v>41067</v>
      </c>
      <c r="CS683" s="5">
        <v>40956</v>
      </c>
      <c r="CT683" s="5">
        <v>40956</v>
      </c>
      <c r="CU683" s="5">
        <v>41037</v>
      </c>
      <c r="CV683" s="5">
        <v>41045</v>
      </c>
      <c r="CW683" s="5">
        <v>41045</v>
      </c>
      <c r="CX683" s="5">
        <v>41047</v>
      </c>
      <c r="CY683" s="5">
        <v>41060</v>
      </c>
      <c r="CZ683" s="5">
        <v>41082</v>
      </c>
      <c r="DA683" s="4"/>
      <c r="DB683" s="5">
        <v>41066</v>
      </c>
      <c r="DC683" s="4"/>
      <c r="DD683" s="4"/>
      <c r="DE683" s="4" t="s">
        <v>2054</v>
      </c>
      <c r="DF683" s="5">
        <v>41065</v>
      </c>
      <c r="DG683" s="5">
        <v>41060</v>
      </c>
      <c r="DH683" s="4" t="s">
        <v>174</v>
      </c>
      <c r="DI683" s="5">
        <v>41046</v>
      </c>
      <c r="DJ683" s="4" t="b">
        <v>1</v>
      </c>
      <c r="DK683" s="4"/>
      <c r="DL683" s="4">
        <v>2455393</v>
      </c>
      <c r="DM683" s="4">
        <v>5732493</v>
      </c>
      <c r="DN683" s="4" t="s">
        <v>2137</v>
      </c>
      <c r="DO683" s="4"/>
      <c r="DP683" s="4"/>
      <c r="DQ683" s="4" t="s">
        <v>148</v>
      </c>
      <c r="DR683" s="4"/>
      <c r="DS683" s="4"/>
      <c r="DT683" s="5">
        <v>42292</v>
      </c>
      <c r="DU683" s="4"/>
      <c r="DV683" s="4"/>
      <c r="DW683" s="4"/>
      <c r="DX683" s="4"/>
      <c r="DY683" s="4"/>
      <c r="DZ683" s="4"/>
      <c r="EA683" s="4"/>
      <c r="EB683" s="4"/>
      <c r="EC683" s="4"/>
      <c r="ED683" s="4"/>
      <c r="EE683" s="4"/>
      <c r="EF683" s="4"/>
      <c r="EG683" s="5">
        <v>41078</v>
      </c>
      <c r="EH683" s="5">
        <v>41096</v>
      </c>
      <c r="EI683" s="4"/>
    </row>
    <row r="684" spans="1:139" hidden="1" x14ac:dyDescent="0.2">
      <c r="A684" t="str">
        <f>VLOOKUP(B684,Sheet1!$A$1:$B$18,2,FALSE)</f>
        <v>South Island</v>
      </c>
      <c r="B684" t="str">
        <f>LEFT(D684,3)</f>
        <v>OTG</v>
      </c>
      <c r="C684" s="2">
        <v>1227</v>
      </c>
      <c r="D684" s="3" t="str">
        <f>HYPERLINK("https://sitebase.nzcomms.co.nz/spm/spmnominalview/OTG-071-005/","OTG-071-005")</f>
        <v>OTG-071-005</v>
      </c>
      <c r="E684" s="4" t="s">
        <v>3743</v>
      </c>
      <c r="F684" s="3" t="str">
        <f>HYPERLINK("https://sitebase.nzcomms.co.nz/spm/spmcandidateview/OTG-071-005-C/","OTG-071-005-C")</f>
        <v>OTG-071-005-C</v>
      </c>
      <c r="G684" s="4" t="s">
        <v>3744</v>
      </c>
      <c r="H684" s="4" t="s">
        <v>3727</v>
      </c>
      <c r="I684" s="4">
        <v>4</v>
      </c>
      <c r="J684" s="4" t="s">
        <v>1633</v>
      </c>
      <c r="K684" s="4" t="s">
        <v>141</v>
      </c>
      <c r="L684" s="4" t="s">
        <v>150</v>
      </c>
      <c r="M684" s="4" t="s">
        <v>190</v>
      </c>
      <c r="N684" s="4" t="s">
        <v>246</v>
      </c>
      <c r="O684" s="4"/>
      <c r="P684" s="4" t="s">
        <v>182</v>
      </c>
      <c r="Q684" s="4" t="s">
        <v>192</v>
      </c>
      <c r="R684" s="4">
        <v>12</v>
      </c>
      <c r="S684" s="4">
        <v>12</v>
      </c>
      <c r="T684" s="4">
        <v>1</v>
      </c>
      <c r="U684" s="4">
        <v>-45.906663010000003</v>
      </c>
      <c r="V684" s="4">
        <v>170.35268435</v>
      </c>
      <c r="W684" s="5">
        <v>40325</v>
      </c>
      <c r="X684" s="4"/>
      <c r="Y684" s="5">
        <v>40296</v>
      </c>
      <c r="Z684" s="5">
        <v>40296</v>
      </c>
      <c r="AA684" s="4" t="s">
        <v>171</v>
      </c>
      <c r="AB684" s="3" t="str">
        <f>HYPERLINK("https://sitebase.nzcomms.co.nz/spm/spmcandidateview/OTG-071-004-D/","OTG-071-004-D")</f>
        <v>OTG-071-004-D</v>
      </c>
      <c r="AC684" s="4" t="b">
        <v>0</v>
      </c>
      <c r="AD684" s="4" t="b">
        <v>0</v>
      </c>
      <c r="AE684" s="5">
        <v>40164</v>
      </c>
      <c r="AF684" s="5">
        <v>40164</v>
      </c>
      <c r="AG684" s="4" t="b">
        <v>0</v>
      </c>
      <c r="AH684" s="4"/>
      <c r="AI684" s="4"/>
      <c r="AJ684" s="5">
        <v>40841</v>
      </c>
      <c r="AK684" s="5">
        <v>40844</v>
      </c>
      <c r="AL684" s="5">
        <v>40844</v>
      </c>
      <c r="AM684" s="5">
        <v>40897</v>
      </c>
      <c r="AN684" s="5">
        <v>40886</v>
      </c>
      <c r="AO684" s="4">
        <v>3</v>
      </c>
      <c r="AP684" s="5">
        <v>40897</v>
      </c>
      <c r="AQ684" s="5">
        <v>40942</v>
      </c>
      <c r="AR684" s="5">
        <v>40836</v>
      </c>
      <c r="AS684" s="5">
        <v>40836</v>
      </c>
      <c r="AT684" s="5">
        <v>40928</v>
      </c>
      <c r="AU684" s="5">
        <v>40962</v>
      </c>
      <c r="AV684" s="4"/>
      <c r="AW684" s="5">
        <v>40967</v>
      </c>
      <c r="AX684" s="5">
        <v>40973</v>
      </c>
      <c r="AY684" s="4" t="s">
        <v>172</v>
      </c>
      <c r="AZ684" s="5">
        <v>40927</v>
      </c>
      <c r="BA684" s="5">
        <v>40927</v>
      </c>
      <c r="BB684" s="5">
        <v>40968</v>
      </c>
      <c r="BC684" s="5">
        <v>40968</v>
      </c>
      <c r="BD684" s="4">
        <v>2</v>
      </c>
      <c r="BE684" s="4"/>
      <c r="BF684" s="5">
        <v>40968</v>
      </c>
      <c r="BG684" s="4"/>
      <c r="BH684" s="4"/>
      <c r="BI684" s="5">
        <v>41026</v>
      </c>
      <c r="BJ684" s="5">
        <v>41029</v>
      </c>
      <c r="BK684" s="4">
        <v>1</v>
      </c>
      <c r="BL684" s="4"/>
      <c r="BM684" s="5">
        <v>41026</v>
      </c>
      <c r="BN684" s="5">
        <v>41029</v>
      </c>
      <c r="BO684" s="5">
        <v>41054</v>
      </c>
      <c r="BP684" s="4"/>
      <c r="BQ684" s="4"/>
      <c r="BR684" s="4"/>
      <c r="BS684" s="4"/>
      <c r="BT684" s="5">
        <v>41037</v>
      </c>
      <c r="BU684" s="5">
        <v>41038</v>
      </c>
      <c r="BV684" s="5">
        <v>41060</v>
      </c>
      <c r="BW684" s="5">
        <v>41060</v>
      </c>
      <c r="BX684" s="5">
        <v>41057</v>
      </c>
      <c r="BY684" s="5">
        <v>41061</v>
      </c>
      <c r="BZ684" s="5">
        <v>41068</v>
      </c>
      <c r="CA684" s="4"/>
      <c r="CB684" s="4"/>
      <c r="CC684" s="4"/>
      <c r="CD684" s="4"/>
      <c r="CE684" s="4"/>
      <c r="CF684" s="4"/>
      <c r="CG684" s="4"/>
      <c r="CH684" s="4"/>
      <c r="CI684" s="5">
        <v>41069</v>
      </c>
      <c r="CJ684" s="5">
        <v>41075</v>
      </c>
      <c r="CK684" s="5">
        <v>41075</v>
      </c>
      <c r="CL684" s="5">
        <v>41078</v>
      </c>
      <c r="CM684" s="5">
        <v>41088</v>
      </c>
      <c r="CN684" s="5">
        <v>41178</v>
      </c>
      <c r="CO684" s="5">
        <v>41211</v>
      </c>
      <c r="CP684" s="4" t="s">
        <v>3745</v>
      </c>
      <c r="CQ684" s="4"/>
      <c r="CR684" s="5">
        <v>41064</v>
      </c>
      <c r="CS684" s="5">
        <v>40956</v>
      </c>
      <c r="CT684" s="5">
        <v>40967</v>
      </c>
      <c r="CU684" s="5">
        <v>41054</v>
      </c>
      <c r="CV684" s="5">
        <v>41058</v>
      </c>
      <c r="CW684" s="5">
        <v>41054</v>
      </c>
      <c r="CX684" s="5">
        <v>41054</v>
      </c>
      <c r="CY684" s="5">
        <v>41059</v>
      </c>
      <c r="CZ684" s="5">
        <v>41071</v>
      </c>
      <c r="DA684" s="4"/>
      <c r="DB684" s="5">
        <v>41078</v>
      </c>
      <c r="DC684" s="5">
        <v>40927</v>
      </c>
      <c r="DD684" s="4" t="s">
        <v>206</v>
      </c>
      <c r="DE684" s="4"/>
      <c r="DF684" s="4"/>
      <c r="DG684" s="4"/>
      <c r="DH684" s="4"/>
      <c r="DI684" s="5">
        <v>41057</v>
      </c>
      <c r="DJ684" s="4" t="b">
        <v>0</v>
      </c>
      <c r="DK684" s="4"/>
      <c r="DL684" s="4">
        <v>2304455</v>
      </c>
      <c r="DM684" s="4">
        <v>5474581</v>
      </c>
      <c r="DN684" s="4" t="s">
        <v>3746</v>
      </c>
      <c r="DO684" s="4"/>
      <c r="DP684" s="4" t="s">
        <v>3747</v>
      </c>
      <c r="DQ684" s="4" t="s">
        <v>148</v>
      </c>
      <c r="DR684" s="4"/>
      <c r="DS684" s="4"/>
      <c r="DT684" s="4"/>
      <c r="DU684" s="4"/>
      <c r="DV684" s="4"/>
      <c r="DW684" s="4"/>
      <c r="DX684" s="4"/>
      <c r="DY684" s="4"/>
      <c r="DZ684" s="4"/>
      <c r="EA684" s="4"/>
      <c r="EB684" s="4"/>
      <c r="EC684" s="4"/>
      <c r="ED684" s="4"/>
      <c r="EE684" s="4"/>
      <c r="EF684" s="4"/>
      <c r="EG684" s="5">
        <v>41078</v>
      </c>
      <c r="EH684" s="5">
        <v>41078</v>
      </c>
      <c r="EI684" s="4"/>
    </row>
    <row r="685" spans="1:139" hidden="1" x14ac:dyDescent="0.2">
      <c r="A685" t="str">
        <f>VLOOKUP(B685,Sheet1!$A$1:$B$18,2,FALSE)</f>
        <v>South Island</v>
      </c>
      <c r="B685" t="str">
        <f>LEFT(D685,3)</f>
        <v>CAN</v>
      </c>
      <c r="C685" s="2">
        <v>645</v>
      </c>
      <c r="D685" s="3" t="str">
        <f>HYPERLINK("https://sitebase.nzcomms.co.nz/spm/spmnominalview/CAN-059-008/","CAN-059-008")</f>
        <v>CAN-059-008</v>
      </c>
      <c r="E685" s="4" t="s">
        <v>2083</v>
      </c>
      <c r="F685" s="3" t="str">
        <f>HYPERLINK("https://sitebase.nzcomms.co.nz/spm/spmcandidateview/CAN-059-008-A/","CAN-059-008-A")</f>
        <v>CAN-059-008-A</v>
      </c>
      <c r="G685" s="4" t="s">
        <v>2084</v>
      </c>
      <c r="H685" s="4" t="s">
        <v>2053</v>
      </c>
      <c r="I685" s="4">
        <v>8</v>
      </c>
      <c r="J685" s="4" t="s">
        <v>180</v>
      </c>
      <c r="K685" s="4" t="s">
        <v>141</v>
      </c>
      <c r="L685" s="4" t="s">
        <v>142</v>
      </c>
      <c r="M685" s="4" t="s">
        <v>190</v>
      </c>
      <c r="N685" s="4" t="s">
        <v>142</v>
      </c>
      <c r="O685" s="4"/>
      <c r="P685" s="4" t="s">
        <v>182</v>
      </c>
      <c r="Q685" s="4" t="s">
        <v>142</v>
      </c>
      <c r="R685" s="4"/>
      <c r="S685" s="4"/>
      <c r="T685" s="4">
        <v>1</v>
      </c>
      <c r="U685" s="4">
        <v>-43.329680590000002</v>
      </c>
      <c r="V685" s="4">
        <v>172.65757060999999</v>
      </c>
      <c r="W685" s="4"/>
      <c r="X685" s="5">
        <v>40915</v>
      </c>
      <c r="Y685" s="4"/>
      <c r="Z685" s="4"/>
      <c r="AA685" s="4" t="s">
        <v>145</v>
      </c>
      <c r="AB685" s="3" t="str">
        <f>HYPERLINK("https://sitebase.nzcomms.co.nz/spm/spmcandidateview/CHC-060-114-A/","CHC-060-114-A")</f>
        <v>CHC-060-114-A</v>
      </c>
      <c r="AC685" s="4" t="b">
        <v>0</v>
      </c>
      <c r="AD685" s="4" t="b">
        <v>0</v>
      </c>
      <c r="AE685" s="4"/>
      <c r="AF685" s="4"/>
      <c r="AG685" s="4" t="b">
        <v>0</v>
      </c>
      <c r="AH685" s="4"/>
      <c r="AI685" s="4"/>
      <c r="AJ685" s="5">
        <v>40848</v>
      </c>
      <c r="AK685" s="4"/>
      <c r="AL685" s="5">
        <v>40848</v>
      </c>
      <c r="AM685" s="4"/>
      <c r="AN685" s="5">
        <v>40771</v>
      </c>
      <c r="AO685" s="4">
        <v>2</v>
      </c>
      <c r="AP685" s="4"/>
      <c r="AQ685" s="5">
        <v>40925</v>
      </c>
      <c r="AR685" s="4"/>
      <c r="AS685" s="5">
        <v>40862</v>
      </c>
      <c r="AT685" s="4"/>
      <c r="AU685" s="5">
        <v>40948</v>
      </c>
      <c r="AV685" s="4"/>
      <c r="AW685" s="4"/>
      <c r="AX685" s="5">
        <v>40967</v>
      </c>
      <c r="AY685" s="4"/>
      <c r="AZ685" s="4"/>
      <c r="BA685" s="5">
        <v>40769</v>
      </c>
      <c r="BB685" s="4"/>
      <c r="BC685" s="5">
        <v>40800</v>
      </c>
      <c r="BD685" s="4">
        <v>1</v>
      </c>
      <c r="BE685" s="4"/>
      <c r="BF685" s="4"/>
      <c r="BG685" s="4"/>
      <c r="BH685" s="4"/>
      <c r="BI685" s="5">
        <v>41019</v>
      </c>
      <c r="BJ685" s="5">
        <v>41019</v>
      </c>
      <c r="BK685" s="4">
        <v>2</v>
      </c>
      <c r="BL685" s="4"/>
      <c r="BM685" s="5">
        <v>41019</v>
      </c>
      <c r="BN685" s="5">
        <v>41032</v>
      </c>
      <c r="BO685" s="5">
        <v>41052</v>
      </c>
      <c r="BP685" s="4"/>
      <c r="BQ685" s="4"/>
      <c r="BR685" s="4"/>
      <c r="BS685" s="4"/>
      <c r="BT685" s="5">
        <v>41050</v>
      </c>
      <c r="BU685" s="5">
        <v>41050</v>
      </c>
      <c r="BV685" s="5">
        <v>41061</v>
      </c>
      <c r="BW685" s="5">
        <v>41062</v>
      </c>
      <c r="BX685" s="5">
        <v>41059</v>
      </c>
      <c r="BY685" s="5">
        <v>41081</v>
      </c>
      <c r="BZ685" s="5">
        <v>41068</v>
      </c>
      <c r="CA685" s="4"/>
      <c r="CB685" s="4"/>
      <c r="CC685" s="4"/>
      <c r="CD685" s="4"/>
      <c r="CE685" s="4"/>
      <c r="CF685" s="4"/>
      <c r="CG685" s="4"/>
      <c r="CH685" s="4"/>
      <c r="CI685" s="5">
        <v>41080</v>
      </c>
      <c r="CJ685" s="5">
        <v>41085</v>
      </c>
      <c r="CK685" s="5">
        <v>41085</v>
      </c>
      <c r="CL685" s="5">
        <v>41141</v>
      </c>
      <c r="CM685" s="5">
        <v>41141</v>
      </c>
      <c r="CN685" s="5">
        <v>41423</v>
      </c>
      <c r="CO685" s="5">
        <v>41395</v>
      </c>
      <c r="CP685" s="4" t="s">
        <v>2085</v>
      </c>
      <c r="CQ685" s="4" t="s">
        <v>230</v>
      </c>
      <c r="CR685" s="5">
        <v>41087</v>
      </c>
      <c r="CS685" s="5">
        <v>40956</v>
      </c>
      <c r="CT685" s="5">
        <v>40956</v>
      </c>
      <c r="CU685" s="5">
        <v>41037</v>
      </c>
      <c r="CV685" s="5">
        <v>41046</v>
      </c>
      <c r="CW685" s="5">
        <v>41052</v>
      </c>
      <c r="CX685" s="5">
        <v>41052</v>
      </c>
      <c r="CY685" s="5">
        <v>41107</v>
      </c>
      <c r="CZ685" s="5">
        <v>41117</v>
      </c>
      <c r="DA685" s="5">
        <v>41080</v>
      </c>
      <c r="DB685" s="5">
        <v>41081</v>
      </c>
      <c r="DC685" s="4"/>
      <c r="DD685" s="4"/>
      <c r="DE685" s="4" t="s">
        <v>2054</v>
      </c>
      <c r="DF685" s="5">
        <v>41085</v>
      </c>
      <c r="DG685" s="5">
        <v>41079</v>
      </c>
      <c r="DH685" s="4" t="s">
        <v>174</v>
      </c>
      <c r="DI685" s="5">
        <v>41057</v>
      </c>
      <c r="DJ685" s="4" t="b">
        <v>1</v>
      </c>
      <c r="DK685" s="4"/>
      <c r="DL685" s="4">
        <v>2482240</v>
      </c>
      <c r="DM685" s="4">
        <v>5764137</v>
      </c>
      <c r="DN685" s="4" t="s">
        <v>2086</v>
      </c>
      <c r="DO685" s="4"/>
      <c r="DP685" s="4"/>
      <c r="DQ685" s="4" t="s">
        <v>148</v>
      </c>
      <c r="DR685" s="4"/>
      <c r="DS685" s="4"/>
      <c r="DT685" s="5">
        <v>42115</v>
      </c>
      <c r="DU685" s="4"/>
      <c r="DV685" s="4"/>
      <c r="DW685" s="4"/>
      <c r="DX685" s="4"/>
      <c r="DY685" s="4"/>
      <c r="DZ685" s="4"/>
      <c r="EA685" s="4"/>
      <c r="EB685" s="4"/>
      <c r="EC685" s="4"/>
      <c r="ED685" s="4"/>
      <c r="EE685" s="4"/>
      <c r="EF685" s="4"/>
      <c r="EG685" s="5">
        <v>41108</v>
      </c>
      <c r="EH685" s="5">
        <v>41129</v>
      </c>
      <c r="EI685" s="4"/>
    </row>
    <row r="686" spans="1:139" hidden="1" x14ac:dyDescent="0.2">
      <c r="A686" t="str">
        <f>VLOOKUP(B686,Sheet1!$A$1:$B$18,2,FALSE)</f>
        <v>South Island</v>
      </c>
      <c r="B686" t="str">
        <f>LEFT(D686,3)</f>
        <v>OTG</v>
      </c>
      <c r="C686" s="2">
        <v>1229</v>
      </c>
      <c r="D686" s="3" t="str">
        <f>HYPERLINK("https://sitebase.nzcomms.co.nz/spm/spmnominalview/OTG-071-007/","OTG-071-007")</f>
        <v>OTG-071-007</v>
      </c>
      <c r="E686" s="4" t="s">
        <v>3754</v>
      </c>
      <c r="F686" s="3" t="str">
        <f>HYPERLINK("https://sitebase.nzcomms.co.nz/spm/spmcandidateview/OTG-071-007-D/","OTG-071-007-D")</f>
        <v>OTG-071-007-D</v>
      </c>
      <c r="G686" s="4" t="s">
        <v>3755</v>
      </c>
      <c r="H686" s="4" t="s">
        <v>3727</v>
      </c>
      <c r="I686" s="4">
        <v>4</v>
      </c>
      <c r="J686" s="4" t="s">
        <v>1633</v>
      </c>
      <c r="K686" s="4" t="s">
        <v>141</v>
      </c>
      <c r="L686" s="4" t="s">
        <v>181</v>
      </c>
      <c r="M686" s="4" t="s">
        <v>166</v>
      </c>
      <c r="N686" s="4" t="s">
        <v>181</v>
      </c>
      <c r="O686" s="4"/>
      <c r="P686" s="4" t="s">
        <v>182</v>
      </c>
      <c r="Q686" s="4" t="s">
        <v>170</v>
      </c>
      <c r="R686" s="4">
        <v>18</v>
      </c>
      <c r="S686" s="4">
        <v>18</v>
      </c>
      <c r="T686" s="4"/>
      <c r="U686" s="4">
        <v>-45.908035509999998</v>
      </c>
      <c r="V686" s="4">
        <v>170.49877742000001</v>
      </c>
      <c r="W686" s="5">
        <v>40325</v>
      </c>
      <c r="X686" s="4"/>
      <c r="Y686" s="5">
        <v>40296</v>
      </c>
      <c r="Z686" s="5">
        <v>40296</v>
      </c>
      <c r="AA686" s="4" t="s">
        <v>171</v>
      </c>
      <c r="AB686" s="3" t="str">
        <f>HYPERLINK("https://sitebase.nzcomms.co.nz/spm/spmcandidateview/OTG-071-010-A/","OTG-071-010-A")</f>
        <v>OTG-071-010-A</v>
      </c>
      <c r="AC686" s="4" t="b">
        <v>0</v>
      </c>
      <c r="AD686" s="4" t="b">
        <v>0</v>
      </c>
      <c r="AE686" s="5">
        <v>40164</v>
      </c>
      <c r="AF686" s="5">
        <v>40164</v>
      </c>
      <c r="AG686" s="4" t="b">
        <v>0</v>
      </c>
      <c r="AH686" s="4"/>
      <c r="AI686" s="5">
        <v>40870</v>
      </c>
      <c r="AJ686" s="5">
        <v>40870</v>
      </c>
      <c r="AK686" s="5">
        <v>40876</v>
      </c>
      <c r="AL686" s="5">
        <v>40876</v>
      </c>
      <c r="AM686" s="5">
        <v>40897</v>
      </c>
      <c r="AN686" s="5">
        <v>40924</v>
      </c>
      <c r="AO686" s="4">
        <v>2</v>
      </c>
      <c r="AP686" s="5">
        <v>40956</v>
      </c>
      <c r="AQ686" s="5">
        <v>41508</v>
      </c>
      <c r="AR686" s="5">
        <v>40963</v>
      </c>
      <c r="AS686" s="5">
        <v>40893</v>
      </c>
      <c r="AT686" s="5">
        <v>41001</v>
      </c>
      <c r="AU686" s="5">
        <v>41011</v>
      </c>
      <c r="AV686" s="4">
        <v>1</v>
      </c>
      <c r="AW686" s="5">
        <v>41001</v>
      </c>
      <c r="AX686" s="5">
        <v>41011</v>
      </c>
      <c r="AY686" s="4" t="s">
        <v>183</v>
      </c>
      <c r="AZ686" s="5">
        <v>40938</v>
      </c>
      <c r="BA686" s="5">
        <v>40942</v>
      </c>
      <c r="BB686" s="5">
        <v>40977</v>
      </c>
      <c r="BC686" s="5">
        <v>40974</v>
      </c>
      <c r="BD686" s="4">
        <v>1</v>
      </c>
      <c r="BE686" s="4"/>
      <c r="BF686" s="5">
        <v>40974</v>
      </c>
      <c r="BG686" s="4"/>
      <c r="BH686" s="4"/>
      <c r="BI686" s="5">
        <v>41019</v>
      </c>
      <c r="BJ686" s="5">
        <v>41033</v>
      </c>
      <c r="BK686" s="4">
        <v>1</v>
      </c>
      <c r="BL686" s="4"/>
      <c r="BM686" s="5">
        <v>40998</v>
      </c>
      <c r="BN686" s="5">
        <v>41033</v>
      </c>
      <c r="BO686" s="5">
        <v>41061</v>
      </c>
      <c r="BP686" s="4"/>
      <c r="BQ686" s="4"/>
      <c r="BR686" s="4"/>
      <c r="BS686" s="4"/>
      <c r="BT686" s="5">
        <v>41009</v>
      </c>
      <c r="BU686" s="5">
        <v>41014</v>
      </c>
      <c r="BV686" s="5">
        <v>41059</v>
      </c>
      <c r="BW686" s="5">
        <v>41068</v>
      </c>
      <c r="BX686" s="5">
        <v>41044</v>
      </c>
      <c r="BY686" s="5">
        <v>41066</v>
      </c>
      <c r="BZ686" s="5">
        <v>41075</v>
      </c>
      <c r="CA686" s="4"/>
      <c r="CB686" s="4"/>
      <c r="CC686" s="4"/>
      <c r="CD686" s="4"/>
      <c r="CE686" s="4"/>
      <c r="CF686" s="4"/>
      <c r="CG686" s="4"/>
      <c r="CH686" s="4"/>
      <c r="CI686" s="5">
        <v>41078</v>
      </c>
      <c r="CJ686" s="5">
        <v>41085</v>
      </c>
      <c r="CK686" s="5">
        <v>41085</v>
      </c>
      <c r="CL686" s="5">
        <v>41081</v>
      </c>
      <c r="CM686" s="5">
        <v>41115</v>
      </c>
      <c r="CN686" s="5">
        <v>41406</v>
      </c>
      <c r="CO686" s="5">
        <v>41400</v>
      </c>
      <c r="CP686" s="4" t="s">
        <v>3756</v>
      </c>
      <c r="CQ686" s="4"/>
      <c r="CR686" s="5">
        <v>41067</v>
      </c>
      <c r="CS686" s="5">
        <v>40956</v>
      </c>
      <c r="CT686" s="5">
        <v>40956</v>
      </c>
      <c r="CU686" s="5">
        <v>41037</v>
      </c>
      <c r="CV686" s="5">
        <v>41002</v>
      </c>
      <c r="CW686" s="5">
        <v>41054</v>
      </c>
      <c r="CX686" s="5">
        <v>41061</v>
      </c>
      <c r="CY686" s="5">
        <v>41047</v>
      </c>
      <c r="CZ686" s="5">
        <v>41072</v>
      </c>
      <c r="DA686" s="4"/>
      <c r="DB686" s="5">
        <v>41103</v>
      </c>
      <c r="DC686" s="5">
        <v>40942</v>
      </c>
      <c r="DD686" s="4" t="s">
        <v>586</v>
      </c>
      <c r="DE686" s="4"/>
      <c r="DF686" s="4"/>
      <c r="DG686" s="4"/>
      <c r="DH686" s="4" t="s">
        <v>174</v>
      </c>
      <c r="DI686" s="5">
        <v>41044</v>
      </c>
      <c r="DJ686" s="4" t="b">
        <v>0</v>
      </c>
      <c r="DK686" s="4"/>
      <c r="DL686" s="4">
        <v>2315791</v>
      </c>
      <c r="DM686" s="4">
        <v>5474777</v>
      </c>
      <c r="DN686" s="4" t="s">
        <v>3757</v>
      </c>
      <c r="DO686" s="4"/>
      <c r="DP686" s="4"/>
      <c r="DQ686" s="4" t="s">
        <v>148</v>
      </c>
      <c r="DR686" s="4"/>
      <c r="DS686" s="4"/>
      <c r="DT686" s="5">
        <v>42096</v>
      </c>
      <c r="DU686" s="4"/>
      <c r="DV686" s="4"/>
      <c r="DW686" s="4"/>
      <c r="DX686" s="4"/>
      <c r="DY686" s="4"/>
      <c r="DZ686" s="4"/>
      <c r="EA686" s="4"/>
      <c r="EB686" s="4"/>
      <c r="EC686" s="4"/>
      <c r="ED686" s="4"/>
      <c r="EE686" s="4"/>
      <c r="EF686" s="4"/>
      <c r="EG686" s="5">
        <v>41103</v>
      </c>
      <c r="EH686" s="5">
        <v>41103</v>
      </c>
      <c r="EI686" s="4"/>
    </row>
    <row r="687" spans="1:139" hidden="1" x14ac:dyDescent="0.2">
      <c r="A687" t="str">
        <f>VLOOKUP(B687,Sheet1!$A$1:$B$18,2,FALSE)</f>
        <v>South Island</v>
      </c>
      <c r="B687" t="str">
        <f>LEFT(D687,3)</f>
        <v>CAN</v>
      </c>
      <c r="C687" s="2">
        <v>656</v>
      </c>
      <c r="D687" s="3" t="str">
        <f>HYPERLINK("https://sitebase.nzcomms.co.nz/spm/spmnominalview/CAN-062-002/","CAN-062-002")</f>
        <v>CAN-062-002</v>
      </c>
      <c r="E687" s="4" t="s">
        <v>2113</v>
      </c>
      <c r="F687" s="3" t="str">
        <f>HYPERLINK("https://sitebase.nzcomms.co.nz/spm/spmcandidateview/CAN-062-002-A/","CAN-062-002-A")</f>
        <v>CAN-062-002-A</v>
      </c>
      <c r="G687" s="4" t="s">
        <v>2114</v>
      </c>
      <c r="H687" s="4" t="s">
        <v>2111</v>
      </c>
      <c r="I687" s="4">
        <v>8</v>
      </c>
      <c r="J687" s="4" t="s">
        <v>180</v>
      </c>
      <c r="K687" s="4" t="s">
        <v>141</v>
      </c>
      <c r="L687" s="4" t="s">
        <v>142</v>
      </c>
      <c r="M687" s="4" t="s">
        <v>190</v>
      </c>
      <c r="N687" s="4" t="s">
        <v>142</v>
      </c>
      <c r="O687" s="4"/>
      <c r="P687" s="4" t="s">
        <v>182</v>
      </c>
      <c r="Q687" s="4" t="s">
        <v>142</v>
      </c>
      <c r="R687" s="4"/>
      <c r="S687" s="4"/>
      <c r="T687" s="4">
        <v>1</v>
      </c>
      <c r="U687" s="4">
        <v>-43.404620379999997</v>
      </c>
      <c r="V687" s="4">
        <v>171.97688213000001</v>
      </c>
      <c r="W687" s="4"/>
      <c r="X687" s="5">
        <v>40884</v>
      </c>
      <c r="Y687" s="4"/>
      <c r="Z687" s="4"/>
      <c r="AA687" s="4" t="s">
        <v>171</v>
      </c>
      <c r="AB687" s="3" t="str">
        <f>HYPERLINK("https://sitebase.nzcomms.co.nz/spm/spmcandidateview/CAN-062-014-A/","CAN-062-014-A")</f>
        <v>CAN-062-014-A</v>
      </c>
      <c r="AC687" s="4" t="b">
        <v>0</v>
      </c>
      <c r="AD687" s="4" t="b">
        <v>0</v>
      </c>
      <c r="AE687" s="4"/>
      <c r="AF687" s="4"/>
      <c r="AG687" s="4" t="b">
        <v>0</v>
      </c>
      <c r="AH687" s="4" t="s">
        <v>2115</v>
      </c>
      <c r="AI687" s="4"/>
      <c r="AJ687" s="5">
        <v>40848</v>
      </c>
      <c r="AK687" s="4"/>
      <c r="AL687" s="5">
        <v>40848</v>
      </c>
      <c r="AM687" s="4"/>
      <c r="AN687" s="5">
        <v>40781</v>
      </c>
      <c r="AO687" s="4">
        <v>2</v>
      </c>
      <c r="AP687" s="4"/>
      <c r="AQ687" s="5">
        <v>40925</v>
      </c>
      <c r="AR687" s="4"/>
      <c r="AS687" s="5">
        <v>40872</v>
      </c>
      <c r="AT687" s="4"/>
      <c r="AU687" s="5">
        <v>40948</v>
      </c>
      <c r="AV687" s="4"/>
      <c r="AW687" s="4"/>
      <c r="AX687" s="5">
        <v>40967</v>
      </c>
      <c r="AY687" s="4"/>
      <c r="AZ687" s="4"/>
      <c r="BA687" s="5">
        <v>40792</v>
      </c>
      <c r="BB687" s="4"/>
      <c r="BC687" s="5">
        <v>40822</v>
      </c>
      <c r="BD687" s="4">
        <v>1</v>
      </c>
      <c r="BE687" s="4"/>
      <c r="BF687" s="4"/>
      <c r="BG687" s="4"/>
      <c r="BH687" s="4"/>
      <c r="BI687" s="5">
        <v>41026</v>
      </c>
      <c r="BJ687" s="5">
        <v>41030</v>
      </c>
      <c r="BK687" s="4">
        <v>2</v>
      </c>
      <c r="BL687" s="4"/>
      <c r="BM687" s="5">
        <v>41026</v>
      </c>
      <c r="BN687" s="5">
        <v>41047</v>
      </c>
      <c r="BO687" s="5">
        <v>41036</v>
      </c>
      <c r="BP687" s="4"/>
      <c r="BQ687" s="4"/>
      <c r="BR687" s="4"/>
      <c r="BS687" s="4"/>
      <c r="BT687" s="5">
        <v>41047</v>
      </c>
      <c r="BU687" s="5">
        <v>41047</v>
      </c>
      <c r="BV687" s="5">
        <v>41058</v>
      </c>
      <c r="BW687" s="5">
        <v>41053</v>
      </c>
      <c r="BX687" s="5">
        <v>41047</v>
      </c>
      <c r="BY687" s="5">
        <v>41061</v>
      </c>
      <c r="BZ687" s="5">
        <v>41065</v>
      </c>
      <c r="CA687" s="4"/>
      <c r="CB687" s="4"/>
      <c r="CC687" s="4"/>
      <c r="CD687" s="5">
        <v>40933</v>
      </c>
      <c r="CE687" s="4"/>
      <c r="CF687" s="4"/>
      <c r="CG687" s="4"/>
      <c r="CH687" s="4"/>
      <c r="CI687" s="5">
        <v>41085</v>
      </c>
      <c r="CJ687" s="5">
        <v>41087</v>
      </c>
      <c r="CK687" s="5">
        <v>41086</v>
      </c>
      <c r="CL687" s="5">
        <v>41107</v>
      </c>
      <c r="CM687" s="5">
        <v>41107</v>
      </c>
      <c r="CN687" s="5">
        <v>41453</v>
      </c>
      <c r="CO687" s="5">
        <v>41458</v>
      </c>
      <c r="CP687" s="4" t="s">
        <v>2116</v>
      </c>
      <c r="CQ687" s="4" t="s">
        <v>230</v>
      </c>
      <c r="CR687" s="5">
        <v>41079</v>
      </c>
      <c r="CS687" s="5">
        <v>40956</v>
      </c>
      <c r="CT687" s="5">
        <v>40956</v>
      </c>
      <c r="CU687" s="5">
        <v>41037</v>
      </c>
      <c r="CV687" s="5">
        <v>41043</v>
      </c>
      <c r="CW687" s="5">
        <v>41026</v>
      </c>
      <c r="CX687" s="5">
        <v>41036</v>
      </c>
      <c r="CY687" s="5">
        <v>41075</v>
      </c>
      <c r="CZ687" s="5">
        <v>41082</v>
      </c>
      <c r="DA687" s="5">
        <v>41082</v>
      </c>
      <c r="DB687" s="5">
        <v>41138</v>
      </c>
      <c r="DC687" s="4"/>
      <c r="DD687" s="4"/>
      <c r="DE687" s="4" t="s">
        <v>2054</v>
      </c>
      <c r="DF687" s="4"/>
      <c r="DG687" s="4"/>
      <c r="DH687" s="4" t="s">
        <v>174</v>
      </c>
      <c r="DI687" s="5">
        <v>41047</v>
      </c>
      <c r="DJ687" s="4" t="b">
        <v>1</v>
      </c>
      <c r="DK687" s="4"/>
      <c r="DL687" s="4">
        <v>2427140</v>
      </c>
      <c r="DM687" s="4">
        <v>5755361</v>
      </c>
      <c r="DN687" s="4" t="s">
        <v>2117</v>
      </c>
      <c r="DO687" s="4"/>
      <c r="DP687" s="4"/>
      <c r="DQ687" s="4" t="s">
        <v>148</v>
      </c>
      <c r="DR687" s="4"/>
      <c r="DS687" s="4"/>
      <c r="DT687" s="4"/>
      <c r="DU687" s="4"/>
      <c r="DV687" s="4"/>
      <c r="DW687" s="4"/>
      <c r="DX687" s="4"/>
      <c r="DY687" s="4"/>
      <c r="DZ687" s="4"/>
      <c r="EA687" s="4"/>
      <c r="EB687" s="4"/>
      <c r="EC687" s="4"/>
      <c r="ED687" s="4"/>
      <c r="EE687" s="4"/>
      <c r="EF687" s="4"/>
      <c r="EG687" s="5">
        <v>41096</v>
      </c>
      <c r="EH687" s="5">
        <v>41096</v>
      </c>
      <c r="EI687" s="4"/>
    </row>
    <row r="688" spans="1:139" hidden="1" x14ac:dyDescent="0.2">
      <c r="A688" t="str">
        <f>VLOOKUP(B688,Sheet1!$A$1:$B$18,2,FALSE)</f>
        <v>South Island</v>
      </c>
      <c r="B688" t="str">
        <f>LEFT(D688,3)</f>
        <v>CAN</v>
      </c>
      <c r="C688" s="2">
        <v>657</v>
      </c>
      <c r="D688" s="3" t="str">
        <f>HYPERLINK("https://sitebase.nzcomms.co.nz/spm/spmnominalview/CAN-062-003/","CAN-062-003")</f>
        <v>CAN-062-003</v>
      </c>
      <c r="E688" s="4" t="s">
        <v>2118</v>
      </c>
      <c r="F688" s="3" t="str">
        <f>HYPERLINK("https://sitebase.nzcomms.co.nz/spm/spmcandidateview/CAN-062-003-A/","CAN-062-003-A")</f>
        <v>CAN-062-003-A</v>
      </c>
      <c r="G688" s="4" t="s">
        <v>2119</v>
      </c>
      <c r="H688" s="4" t="s">
        <v>2111</v>
      </c>
      <c r="I688" s="4">
        <v>8</v>
      </c>
      <c r="J688" s="4" t="s">
        <v>180</v>
      </c>
      <c r="K688" s="4" t="s">
        <v>141</v>
      </c>
      <c r="L688" s="4" t="s">
        <v>142</v>
      </c>
      <c r="M688" s="4" t="s">
        <v>190</v>
      </c>
      <c r="N688" s="4" t="s">
        <v>142</v>
      </c>
      <c r="O688" s="4"/>
      <c r="P688" s="4" t="s">
        <v>182</v>
      </c>
      <c r="Q688" s="4" t="s">
        <v>142</v>
      </c>
      <c r="R688" s="4"/>
      <c r="S688" s="4">
        <v>25</v>
      </c>
      <c r="T688" s="4">
        <v>1</v>
      </c>
      <c r="U688" s="4">
        <v>-43.492203089999997</v>
      </c>
      <c r="V688" s="4">
        <v>172.11947954999999</v>
      </c>
      <c r="W688" s="4"/>
      <c r="X688" s="5">
        <v>40884</v>
      </c>
      <c r="Y688" s="4"/>
      <c r="Z688" s="4"/>
      <c r="AA688" s="4" t="s">
        <v>171</v>
      </c>
      <c r="AB688" s="3" t="str">
        <f>HYPERLINK("https://sitebase.nzcomms.co.nz/spm/spmcandidateview/CAN-062-014-A/","CAN-062-014-A")</f>
        <v>CAN-062-014-A</v>
      </c>
      <c r="AC688" s="4" t="b">
        <v>0</v>
      </c>
      <c r="AD688" s="4" t="b">
        <v>0</v>
      </c>
      <c r="AE688" s="4"/>
      <c r="AF688" s="4"/>
      <c r="AG688" s="4" t="b">
        <v>0</v>
      </c>
      <c r="AH688" s="4" t="s">
        <v>2120</v>
      </c>
      <c r="AI688" s="4"/>
      <c r="AJ688" s="5">
        <v>40848</v>
      </c>
      <c r="AK688" s="4"/>
      <c r="AL688" s="5">
        <v>40848</v>
      </c>
      <c r="AM688" s="4"/>
      <c r="AN688" s="5">
        <v>40771</v>
      </c>
      <c r="AO688" s="4">
        <v>2</v>
      </c>
      <c r="AP688" s="4"/>
      <c r="AQ688" s="5">
        <v>40925</v>
      </c>
      <c r="AR688" s="4"/>
      <c r="AS688" s="5">
        <v>40823</v>
      </c>
      <c r="AT688" s="4"/>
      <c r="AU688" s="5">
        <v>40823</v>
      </c>
      <c r="AV688" s="4"/>
      <c r="AW688" s="4"/>
      <c r="AX688" s="5">
        <v>40857</v>
      </c>
      <c r="AY688" s="4"/>
      <c r="AZ688" s="4"/>
      <c r="BA688" s="5">
        <v>40784</v>
      </c>
      <c r="BB688" s="4"/>
      <c r="BC688" s="5">
        <v>40815</v>
      </c>
      <c r="BD688" s="4">
        <v>1</v>
      </c>
      <c r="BE688" s="4"/>
      <c r="BF688" s="4"/>
      <c r="BG688" s="4"/>
      <c r="BH688" s="4"/>
      <c r="BI688" s="5">
        <v>41022</v>
      </c>
      <c r="BJ688" s="5">
        <v>41022</v>
      </c>
      <c r="BK688" s="4">
        <v>2</v>
      </c>
      <c r="BL688" s="4"/>
      <c r="BM688" s="5">
        <v>41019</v>
      </c>
      <c r="BN688" s="5">
        <v>41023</v>
      </c>
      <c r="BO688" s="5">
        <v>41037</v>
      </c>
      <c r="BP688" s="4"/>
      <c r="BQ688" s="4"/>
      <c r="BR688" s="4"/>
      <c r="BS688" s="4"/>
      <c r="BT688" s="5">
        <v>41043</v>
      </c>
      <c r="BU688" s="5">
        <v>41038</v>
      </c>
      <c r="BV688" s="5">
        <v>41058</v>
      </c>
      <c r="BW688" s="5">
        <v>41049</v>
      </c>
      <c r="BX688" s="5">
        <v>41042</v>
      </c>
      <c r="BY688" s="5">
        <v>41063</v>
      </c>
      <c r="BZ688" s="5">
        <v>41054</v>
      </c>
      <c r="CA688" s="4"/>
      <c r="CB688" s="4"/>
      <c r="CC688" s="4"/>
      <c r="CD688" s="5">
        <v>40933</v>
      </c>
      <c r="CE688" s="4"/>
      <c r="CF688" s="4"/>
      <c r="CG688" s="4"/>
      <c r="CH688" s="4"/>
      <c r="CI688" s="5">
        <v>41086</v>
      </c>
      <c r="CJ688" s="5">
        <v>41087</v>
      </c>
      <c r="CK688" s="5">
        <v>41087</v>
      </c>
      <c r="CL688" s="5">
        <v>41110</v>
      </c>
      <c r="CM688" s="5">
        <v>41110</v>
      </c>
      <c r="CN688" s="5">
        <v>41509</v>
      </c>
      <c r="CO688" s="5">
        <v>41502</v>
      </c>
      <c r="CP688" s="4" t="s">
        <v>2121</v>
      </c>
      <c r="CQ688" s="4" t="s">
        <v>230</v>
      </c>
      <c r="CR688" s="5">
        <v>41080</v>
      </c>
      <c r="CS688" s="5">
        <v>40956</v>
      </c>
      <c r="CT688" s="5">
        <v>40956</v>
      </c>
      <c r="CU688" s="5">
        <v>41037</v>
      </c>
      <c r="CV688" s="5">
        <v>41043</v>
      </c>
      <c r="CW688" s="5">
        <v>41037</v>
      </c>
      <c r="CX688" s="5">
        <v>41037</v>
      </c>
      <c r="CY688" s="5">
        <v>41058</v>
      </c>
      <c r="CZ688" s="5">
        <v>41073</v>
      </c>
      <c r="DA688" s="5">
        <v>41083</v>
      </c>
      <c r="DB688" s="5">
        <v>41141</v>
      </c>
      <c r="DC688" s="4"/>
      <c r="DD688" s="4"/>
      <c r="DE688" s="4" t="s">
        <v>2054</v>
      </c>
      <c r="DF688" s="4"/>
      <c r="DG688" s="4"/>
      <c r="DH688" s="4" t="s">
        <v>174</v>
      </c>
      <c r="DI688" s="5">
        <v>41043</v>
      </c>
      <c r="DJ688" s="4" t="b">
        <v>1</v>
      </c>
      <c r="DK688" s="4"/>
      <c r="DL688" s="4">
        <v>2438792</v>
      </c>
      <c r="DM688" s="4">
        <v>5745763</v>
      </c>
      <c r="DN688" s="4" t="s">
        <v>2122</v>
      </c>
      <c r="DO688" s="4"/>
      <c r="DP688" s="4"/>
      <c r="DQ688" s="4" t="s">
        <v>148</v>
      </c>
      <c r="DR688" s="4"/>
      <c r="DS688" s="4"/>
      <c r="DT688" s="4"/>
      <c r="DU688" s="4"/>
      <c r="DV688" s="4"/>
      <c r="DW688" s="4"/>
      <c r="DX688" s="4"/>
      <c r="DY688" s="4"/>
      <c r="DZ688" s="4"/>
      <c r="EA688" s="4"/>
      <c r="EB688" s="4"/>
      <c r="EC688" s="4"/>
      <c r="ED688" s="4"/>
      <c r="EE688" s="4"/>
      <c r="EF688" s="4"/>
      <c r="EG688" s="5">
        <v>41094</v>
      </c>
      <c r="EH688" s="5">
        <v>41099</v>
      </c>
      <c r="EI688" s="4"/>
    </row>
    <row r="689" spans="1:139" hidden="1" x14ac:dyDescent="0.2">
      <c r="A689" t="str">
        <f>VLOOKUP(B689,Sheet1!$A$1:$B$18,2,FALSE)</f>
        <v>South Island</v>
      </c>
      <c r="B689" t="str">
        <f>LEFT(D689,3)</f>
        <v>CAN</v>
      </c>
      <c r="C689" s="2">
        <v>659</v>
      </c>
      <c r="D689" s="3" t="str">
        <f>HYPERLINK("https://sitebase.nzcomms.co.nz/spm/spmnominalview/CAN-062-005/","CAN-062-005")</f>
        <v>CAN-062-005</v>
      </c>
      <c r="E689" s="4" t="s">
        <v>2129</v>
      </c>
      <c r="F689" s="3" t="str">
        <f>HYPERLINK("https://sitebase.nzcomms.co.nz/spm/spmcandidateview/CAN-062-005-A/","CAN-062-005-A")</f>
        <v>CAN-062-005-A</v>
      </c>
      <c r="G689" s="4" t="s">
        <v>2130</v>
      </c>
      <c r="H689" s="4" t="s">
        <v>2111</v>
      </c>
      <c r="I689" s="4">
        <v>8</v>
      </c>
      <c r="J689" s="4" t="s">
        <v>180</v>
      </c>
      <c r="K689" s="4" t="s">
        <v>141</v>
      </c>
      <c r="L689" s="4" t="s">
        <v>142</v>
      </c>
      <c r="M689" s="4" t="s">
        <v>190</v>
      </c>
      <c r="N689" s="4" t="s">
        <v>142</v>
      </c>
      <c r="O689" s="4"/>
      <c r="P689" s="4" t="s">
        <v>182</v>
      </c>
      <c r="Q689" s="4" t="s">
        <v>142</v>
      </c>
      <c r="R689" s="4"/>
      <c r="S689" s="4"/>
      <c r="T689" s="4">
        <v>1</v>
      </c>
      <c r="U689" s="4">
        <v>-43.642604980000002</v>
      </c>
      <c r="V689" s="4">
        <v>172.24041833999999</v>
      </c>
      <c r="W689" s="4"/>
      <c r="X689" s="5">
        <v>40884</v>
      </c>
      <c r="Y689" s="4"/>
      <c r="Z689" s="4"/>
      <c r="AA689" s="4" t="s">
        <v>171</v>
      </c>
      <c r="AB689" s="3" t="str">
        <f>HYPERLINK("https://sitebase.nzcomms.co.nz/spm/spmcandidateview/CAN-062-006-A/","CAN-062-006-A")</f>
        <v>CAN-062-006-A</v>
      </c>
      <c r="AC689" s="4" t="b">
        <v>0</v>
      </c>
      <c r="AD689" s="4" t="b">
        <v>0</v>
      </c>
      <c r="AE689" s="4"/>
      <c r="AF689" s="4"/>
      <c r="AG689" s="4" t="b">
        <v>0</v>
      </c>
      <c r="AH689" s="4" t="s">
        <v>2131</v>
      </c>
      <c r="AI689" s="4"/>
      <c r="AJ689" s="5">
        <v>40848</v>
      </c>
      <c r="AK689" s="4"/>
      <c r="AL689" s="5">
        <v>40848</v>
      </c>
      <c r="AM689" s="4"/>
      <c r="AN689" s="5">
        <v>40767</v>
      </c>
      <c r="AO689" s="4">
        <v>4</v>
      </c>
      <c r="AP689" s="4"/>
      <c r="AQ689" s="5">
        <v>41053</v>
      </c>
      <c r="AR689" s="4"/>
      <c r="AS689" s="5">
        <v>40891</v>
      </c>
      <c r="AT689" s="4"/>
      <c r="AU689" s="5">
        <v>41011</v>
      </c>
      <c r="AV689" s="4"/>
      <c r="AW689" s="4"/>
      <c r="AX689" s="5">
        <v>41011</v>
      </c>
      <c r="AY689" s="4" t="s">
        <v>172</v>
      </c>
      <c r="AZ689" s="5">
        <v>40994</v>
      </c>
      <c r="BA689" s="5">
        <v>40994</v>
      </c>
      <c r="BB689" s="4"/>
      <c r="BC689" s="5">
        <v>41023</v>
      </c>
      <c r="BD689" s="4">
        <v>2</v>
      </c>
      <c r="BE689" s="4"/>
      <c r="BF689" s="5">
        <v>41023</v>
      </c>
      <c r="BG689" s="4"/>
      <c r="BH689" s="4"/>
      <c r="BI689" s="5">
        <v>41029</v>
      </c>
      <c r="BJ689" s="5">
        <v>41026</v>
      </c>
      <c r="BK689" s="4">
        <v>4</v>
      </c>
      <c r="BL689" s="4"/>
      <c r="BM689" s="5">
        <v>41029</v>
      </c>
      <c r="BN689" s="5">
        <v>41381</v>
      </c>
      <c r="BO689" s="5">
        <v>41046</v>
      </c>
      <c r="BP689" s="4"/>
      <c r="BQ689" s="4"/>
      <c r="BR689" s="4"/>
      <c r="BS689" s="4"/>
      <c r="BT689" s="5">
        <v>41060</v>
      </c>
      <c r="BU689" s="5">
        <v>41060</v>
      </c>
      <c r="BV689" s="5">
        <v>41081</v>
      </c>
      <c r="BW689" s="5">
        <v>41081</v>
      </c>
      <c r="BX689" s="5">
        <v>41073</v>
      </c>
      <c r="BY689" s="5">
        <v>41082</v>
      </c>
      <c r="BZ689" s="5">
        <v>41082</v>
      </c>
      <c r="CA689" s="4"/>
      <c r="CB689" s="4"/>
      <c r="CC689" s="4"/>
      <c r="CD689" s="4"/>
      <c r="CE689" s="4"/>
      <c r="CF689" s="4"/>
      <c r="CG689" s="4"/>
      <c r="CH689" s="4"/>
      <c r="CI689" s="5">
        <v>41087</v>
      </c>
      <c r="CJ689" s="5">
        <v>41087</v>
      </c>
      <c r="CK689" s="5">
        <v>41088</v>
      </c>
      <c r="CL689" s="5">
        <v>41112</v>
      </c>
      <c r="CM689" s="5">
        <v>41113</v>
      </c>
      <c r="CN689" s="5">
        <v>41439</v>
      </c>
      <c r="CO689" s="5">
        <v>41425</v>
      </c>
      <c r="CP689" s="4" t="s">
        <v>2132</v>
      </c>
      <c r="CQ689" s="4" t="s">
        <v>230</v>
      </c>
      <c r="CR689" s="5">
        <v>41086</v>
      </c>
      <c r="CS689" s="5">
        <v>40956</v>
      </c>
      <c r="CT689" s="5">
        <v>40956</v>
      </c>
      <c r="CU689" s="5">
        <v>41037</v>
      </c>
      <c r="CV689" s="5">
        <v>41043</v>
      </c>
      <c r="CW689" s="5">
        <v>41037</v>
      </c>
      <c r="CX689" s="5">
        <v>41046</v>
      </c>
      <c r="CY689" s="5">
        <v>41089</v>
      </c>
      <c r="CZ689" s="5">
        <v>41082</v>
      </c>
      <c r="DA689" s="5">
        <v>41078</v>
      </c>
      <c r="DB689" s="5">
        <v>41078</v>
      </c>
      <c r="DC689" s="5">
        <v>40994</v>
      </c>
      <c r="DD689" s="4" t="s">
        <v>586</v>
      </c>
      <c r="DE689" s="4" t="s">
        <v>2054</v>
      </c>
      <c r="DF689" s="4"/>
      <c r="DG689" s="4"/>
      <c r="DH689" s="4" t="s">
        <v>174</v>
      </c>
      <c r="DI689" s="5">
        <v>41075</v>
      </c>
      <c r="DJ689" s="4" t="b">
        <v>1</v>
      </c>
      <c r="DK689" s="4"/>
      <c r="DL689" s="4">
        <v>2448725</v>
      </c>
      <c r="DM689" s="4">
        <v>5729150</v>
      </c>
      <c r="DN689" s="4" t="s">
        <v>2133</v>
      </c>
      <c r="DO689" s="4"/>
      <c r="DP689" s="4"/>
      <c r="DQ689" s="4" t="s">
        <v>148</v>
      </c>
      <c r="DR689" s="4"/>
      <c r="DS689" s="4"/>
      <c r="DT689" s="4"/>
      <c r="DU689" s="4"/>
      <c r="DV689" s="4"/>
      <c r="DW689" s="4"/>
      <c r="DX689" s="4"/>
      <c r="DY689" s="4"/>
      <c r="DZ689" s="4"/>
      <c r="EA689" s="4"/>
      <c r="EB689" s="4"/>
      <c r="EC689" s="4"/>
      <c r="ED689" s="4"/>
      <c r="EE689" s="4"/>
      <c r="EF689" s="4"/>
      <c r="EG689" s="5">
        <v>41096</v>
      </c>
      <c r="EH689" s="5">
        <v>41100</v>
      </c>
      <c r="EI689" s="4"/>
    </row>
    <row r="690" spans="1:139" hidden="1" x14ac:dyDescent="0.2">
      <c r="A690" t="str">
        <f>VLOOKUP(B690,Sheet1!$A$1:$B$18,2,FALSE)</f>
        <v>South Island</v>
      </c>
      <c r="B690" t="str">
        <f>LEFT(D690,3)</f>
        <v>CAN</v>
      </c>
      <c r="C690" s="2">
        <v>661</v>
      </c>
      <c r="D690" s="3" t="str">
        <f>HYPERLINK("https://sitebase.nzcomms.co.nz/spm/spmnominalview/CAN-062-007/","CAN-062-007")</f>
        <v>CAN-062-007</v>
      </c>
      <c r="E690" s="4" t="s">
        <v>2138</v>
      </c>
      <c r="F690" s="3" t="str">
        <f>HYPERLINK("https://sitebase.nzcomms.co.nz/spm/spmcandidateview/CAN-062-007-A/","CAN-062-007-A")</f>
        <v>CAN-062-007-A</v>
      </c>
      <c r="G690" s="4" t="s">
        <v>2139</v>
      </c>
      <c r="H690" s="4" t="s">
        <v>2111</v>
      </c>
      <c r="I690" s="4">
        <v>8</v>
      </c>
      <c r="J690" s="4" t="s">
        <v>180</v>
      </c>
      <c r="K690" s="4" t="s">
        <v>141</v>
      </c>
      <c r="L690" s="4" t="s">
        <v>142</v>
      </c>
      <c r="M690" s="4" t="s">
        <v>190</v>
      </c>
      <c r="N690" s="4" t="s">
        <v>142</v>
      </c>
      <c r="O690" s="4"/>
      <c r="P690" s="4" t="s">
        <v>182</v>
      </c>
      <c r="Q690" s="4" t="s">
        <v>142</v>
      </c>
      <c r="R690" s="4"/>
      <c r="S690" s="4"/>
      <c r="T690" s="4">
        <v>1</v>
      </c>
      <c r="U690" s="4">
        <v>-43.532236050000002</v>
      </c>
      <c r="V690" s="4">
        <v>172.26896307000001</v>
      </c>
      <c r="W690" s="4"/>
      <c r="X690" s="5">
        <v>40884</v>
      </c>
      <c r="Y690" s="4"/>
      <c r="Z690" s="4"/>
      <c r="AA690" s="4" t="s">
        <v>145</v>
      </c>
      <c r="AB690" s="3" t="str">
        <f>HYPERLINK("https://sitebase.nzcomms.co.nz/spm/spmcandidateview/CHC-060-063-B/","CHC-060-063-B")</f>
        <v>CHC-060-063-B</v>
      </c>
      <c r="AC690" s="4" t="b">
        <v>0</v>
      </c>
      <c r="AD690" s="4" t="b">
        <v>0</v>
      </c>
      <c r="AE690" s="4"/>
      <c r="AF690" s="4"/>
      <c r="AG690" s="4" t="b">
        <v>0</v>
      </c>
      <c r="AH690" s="4"/>
      <c r="AI690" s="4"/>
      <c r="AJ690" s="5">
        <v>40848</v>
      </c>
      <c r="AK690" s="4"/>
      <c r="AL690" s="5">
        <v>40848</v>
      </c>
      <c r="AM690" s="4"/>
      <c r="AN690" s="5">
        <v>40771</v>
      </c>
      <c r="AO690" s="4">
        <v>2</v>
      </c>
      <c r="AP690" s="5">
        <v>40877</v>
      </c>
      <c r="AQ690" s="5">
        <v>40925</v>
      </c>
      <c r="AR690" s="4"/>
      <c r="AS690" s="5">
        <v>40862</v>
      </c>
      <c r="AT690" s="4"/>
      <c r="AU690" s="5">
        <v>40862</v>
      </c>
      <c r="AV690" s="4"/>
      <c r="AW690" s="4"/>
      <c r="AX690" s="5">
        <v>40869</v>
      </c>
      <c r="AY690" s="4"/>
      <c r="AZ690" s="4"/>
      <c r="BA690" s="5">
        <v>40778</v>
      </c>
      <c r="BB690" s="5">
        <v>40809</v>
      </c>
      <c r="BC690" s="5">
        <v>40809</v>
      </c>
      <c r="BD690" s="4">
        <v>1</v>
      </c>
      <c r="BE690" s="4"/>
      <c r="BF690" s="4"/>
      <c r="BG690" s="4"/>
      <c r="BH690" s="4"/>
      <c r="BI690" s="5">
        <v>41026</v>
      </c>
      <c r="BJ690" s="5">
        <v>41031</v>
      </c>
      <c r="BK690" s="4">
        <v>2</v>
      </c>
      <c r="BL690" s="4"/>
      <c r="BM690" s="5">
        <v>41026</v>
      </c>
      <c r="BN690" s="5">
        <v>41046</v>
      </c>
      <c r="BO690" s="5">
        <v>41057</v>
      </c>
      <c r="BP690" s="4"/>
      <c r="BQ690" s="4"/>
      <c r="BR690" s="4"/>
      <c r="BS690" s="4"/>
      <c r="BT690" s="5">
        <v>41050</v>
      </c>
      <c r="BU690" s="5">
        <v>41050</v>
      </c>
      <c r="BV690" s="5">
        <v>41058</v>
      </c>
      <c r="BW690" s="5">
        <v>41057</v>
      </c>
      <c r="BX690" s="5">
        <v>41058</v>
      </c>
      <c r="BY690" s="5">
        <v>41065</v>
      </c>
      <c r="BZ690" s="5">
        <v>41065</v>
      </c>
      <c r="CA690" s="4"/>
      <c r="CB690" s="4"/>
      <c r="CC690" s="4"/>
      <c r="CD690" s="4"/>
      <c r="CE690" s="4"/>
      <c r="CF690" s="4"/>
      <c r="CG690" s="4"/>
      <c r="CH690" s="4"/>
      <c r="CI690" s="5">
        <v>41074</v>
      </c>
      <c r="CJ690" s="5">
        <v>41087</v>
      </c>
      <c r="CK690" s="5">
        <v>41086</v>
      </c>
      <c r="CL690" s="5">
        <v>41103</v>
      </c>
      <c r="CM690" s="5">
        <v>41103</v>
      </c>
      <c r="CN690" s="5">
        <v>41495</v>
      </c>
      <c r="CO690" s="5">
        <v>41493</v>
      </c>
      <c r="CP690" s="4" t="s">
        <v>2140</v>
      </c>
      <c r="CQ690" s="4" t="s">
        <v>230</v>
      </c>
      <c r="CR690" s="5">
        <v>41076</v>
      </c>
      <c r="CS690" s="5">
        <v>40956</v>
      </c>
      <c r="CT690" s="5">
        <v>40956</v>
      </c>
      <c r="CU690" s="5">
        <v>41037</v>
      </c>
      <c r="CV690" s="5">
        <v>41043</v>
      </c>
      <c r="CW690" s="5">
        <v>41052</v>
      </c>
      <c r="CX690" s="5">
        <v>41057</v>
      </c>
      <c r="CY690" s="5">
        <v>41066</v>
      </c>
      <c r="CZ690" s="5">
        <v>41068</v>
      </c>
      <c r="DA690" s="5">
        <v>41073</v>
      </c>
      <c r="DB690" s="5">
        <v>41068</v>
      </c>
      <c r="DC690" s="4"/>
      <c r="DD690" s="4"/>
      <c r="DE690" s="4" t="s">
        <v>2054</v>
      </c>
      <c r="DF690" s="5">
        <v>41060</v>
      </c>
      <c r="DG690" s="5">
        <v>41061</v>
      </c>
      <c r="DH690" s="4" t="s">
        <v>174</v>
      </c>
      <c r="DI690" s="5">
        <v>41051</v>
      </c>
      <c r="DJ690" s="4" t="b">
        <v>1</v>
      </c>
      <c r="DK690" s="4"/>
      <c r="DL690" s="4">
        <v>2450921</v>
      </c>
      <c r="DM690" s="4">
        <v>5741432</v>
      </c>
      <c r="DN690" s="4" t="s">
        <v>2141</v>
      </c>
      <c r="DO690" s="4"/>
      <c r="DP690" s="4"/>
      <c r="DQ690" s="4" t="s">
        <v>148</v>
      </c>
      <c r="DR690" s="4"/>
      <c r="DS690" s="4"/>
      <c r="DT690" s="4"/>
      <c r="DU690" s="4"/>
      <c r="DV690" s="4"/>
      <c r="DW690" s="4"/>
      <c r="DX690" s="4"/>
      <c r="DY690" s="4"/>
      <c r="DZ690" s="4"/>
      <c r="EA690" s="4"/>
      <c r="EB690" s="4"/>
      <c r="EC690" s="4"/>
      <c r="ED690" s="4"/>
      <c r="EE690" s="4"/>
      <c r="EF690" s="4"/>
      <c r="EG690" s="5">
        <v>41092</v>
      </c>
      <c r="EH690" s="5">
        <v>41099</v>
      </c>
      <c r="EI690" s="4"/>
    </row>
    <row r="691" spans="1:139" hidden="1" x14ac:dyDescent="0.2">
      <c r="A691" t="str">
        <f>VLOOKUP(B691,Sheet1!$A$1:$B$18,2,FALSE)</f>
        <v>South Island</v>
      </c>
      <c r="B691" t="str">
        <f>LEFT(D691,3)</f>
        <v>CAN</v>
      </c>
      <c r="C691" s="2">
        <v>638</v>
      </c>
      <c r="D691" s="3" t="str">
        <f>HYPERLINK("https://sitebase.nzcomms.co.nz/spm/spmnominalview/CAN-059-001/","CAN-059-001")</f>
        <v>CAN-059-001</v>
      </c>
      <c r="E691" s="4" t="s">
        <v>2051</v>
      </c>
      <c r="F691" s="3" t="str">
        <f>HYPERLINK("https://sitebase.nzcomms.co.nz/spm/spmcandidateview/CAN-059-001-A/","CAN-059-001-A")</f>
        <v>CAN-059-001-A</v>
      </c>
      <c r="G691" s="4" t="s">
        <v>2052</v>
      </c>
      <c r="H691" s="4" t="s">
        <v>2053</v>
      </c>
      <c r="I691" s="4">
        <v>8</v>
      </c>
      <c r="J691" s="4" t="s">
        <v>180</v>
      </c>
      <c r="K691" s="4" t="s">
        <v>141</v>
      </c>
      <c r="L691" s="4" t="s">
        <v>142</v>
      </c>
      <c r="M691" s="4" t="s">
        <v>190</v>
      </c>
      <c r="N691" s="4" t="s">
        <v>142</v>
      </c>
      <c r="O691" s="4"/>
      <c r="P691" s="4" t="s">
        <v>182</v>
      </c>
      <c r="Q691" s="4" t="s">
        <v>142</v>
      </c>
      <c r="R691" s="4"/>
      <c r="S691" s="4"/>
      <c r="T691" s="4">
        <v>1</v>
      </c>
      <c r="U691" s="4">
        <v>-43.273180689999997</v>
      </c>
      <c r="V691" s="4">
        <v>172.17663593</v>
      </c>
      <c r="W691" s="4"/>
      <c r="X691" s="5">
        <v>40879</v>
      </c>
      <c r="Y691" s="4"/>
      <c r="Z691" s="4"/>
      <c r="AA691" s="4" t="s">
        <v>171</v>
      </c>
      <c r="AB691" s="3" t="str">
        <f>HYPERLINK("https://sitebase.nzcomms.co.nz/spm/spmcandidateview/CAN-062-002-A/","CAN-062-002-A")</f>
        <v>CAN-062-002-A</v>
      </c>
      <c r="AC691" s="4" t="b">
        <v>0</v>
      </c>
      <c r="AD691" s="4" t="b">
        <v>0</v>
      </c>
      <c r="AE691" s="4"/>
      <c r="AF691" s="4"/>
      <c r="AG691" s="4" t="b">
        <v>0</v>
      </c>
      <c r="AH691" s="4"/>
      <c r="AI691" s="5">
        <v>40815</v>
      </c>
      <c r="AJ691" s="5">
        <v>40815</v>
      </c>
      <c r="AK691" s="5">
        <v>40815</v>
      </c>
      <c r="AL691" s="5">
        <v>40815</v>
      </c>
      <c r="AM691" s="5">
        <v>40962</v>
      </c>
      <c r="AN691" s="5">
        <v>40765</v>
      </c>
      <c r="AO691" s="4">
        <v>2</v>
      </c>
      <c r="AP691" s="5">
        <v>40996</v>
      </c>
      <c r="AQ691" s="5">
        <v>40925</v>
      </c>
      <c r="AR691" s="5">
        <v>41012</v>
      </c>
      <c r="AS691" s="5">
        <v>41032</v>
      </c>
      <c r="AT691" s="5">
        <v>41056</v>
      </c>
      <c r="AU691" s="5">
        <v>41051</v>
      </c>
      <c r="AV691" s="4"/>
      <c r="AW691" s="4"/>
      <c r="AX691" s="5">
        <v>41101</v>
      </c>
      <c r="AY691" s="4"/>
      <c r="AZ691" s="4"/>
      <c r="BA691" s="5">
        <v>40769</v>
      </c>
      <c r="BB691" s="4"/>
      <c r="BC691" s="5">
        <v>40800</v>
      </c>
      <c r="BD691" s="4">
        <v>1</v>
      </c>
      <c r="BE691" s="4"/>
      <c r="BF691" s="4"/>
      <c r="BG691" s="4"/>
      <c r="BH691" s="4"/>
      <c r="BI691" s="5">
        <v>41026</v>
      </c>
      <c r="BJ691" s="5">
        <v>41026</v>
      </c>
      <c r="BK691" s="4">
        <v>2</v>
      </c>
      <c r="BL691" s="4"/>
      <c r="BM691" s="5">
        <v>41026</v>
      </c>
      <c r="BN691" s="5">
        <v>41381</v>
      </c>
      <c r="BO691" s="5">
        <v>41036</v>
      </c>
      <c r="BP691" s="4"/>
      <c r="BQ691" s="4"/>
      <c r="BR691" s="4"/>
      <c r="BS691" s="4"/>
      <c r="BT691" s="5">
        <v>41061</v>
      </c>
      <c r="BU691" s="5">
        <v>41060</v>
      </c>
      <c r="BV691" s="5">
        <v>41089</v>
      </c>
      <c r="BW691" s="5">
        <v>41088</v>
      </c>
      <c r="BX691" s="5">
        <v>41085</v>
      </c>
      <c r="BY691" s="5">
        <v>41092</v>
      </c>
      <c r="BZ691" s="5">
        <v>41092</v>
      </c>
      <c r="CA691" s="4"/>
      <c r="CB691" s="4"/>
      <c r="CC691" s="4"/>
      <c r="CD691" s="4"/>
      <c r="CE691" s="4"/>
      <c r="CF691" s="4"/>
      <c r="CG691" s="4"/>
      <c r="CH691" s="4"/>
      <c r="CI691" s="5">
        <v>41107</v>
      </c>
      <c r="CJ691" s="5">
        <v>41110</v>
      </c>
      <c r="CK691" s="5">
        <v>41114</v>
      </c>
      <c r="CL691" s="5">
        <v>41152</v>
      </c>
      <c r="CM691" s="5">
        <v>41156</v>
      </c>
      <c r="CN691" s="5">
        <v>41411</v>
      </c>
      <c r="CO691" s="5">
        <v>41418</v>
      </c>
      <c r="CP691" s="4"/>
      <c r="CQ691" s="4" t="s">
        <v>230</v>
      </c>
      <c r="CR691" s="5">
        <v>41103</v>
      </c>
      <c r="CS691" s="5">
        <v>40983</v>
      </c>
      <c r="CT691" s="5">
        <v>40983</v>
      </c>
      <c r="CU691" s="5">
        <v>41037</v>
      </c>
      <c r="CV691" s="5">
        <v>41043</v>
      </c>
      <c r="CW691" s="5">
        <v>41037</v>
      </c>
      <c r="CX691" s="5">
        <v>41036</v>
      </c>
      <c r="CY691" s="5">
        <v>41109</v>
      </c>
      <c r="CZ691" s="5">
        <v>41141</v>
      </c>
      <c r="DA691" s="5">
        <v>41089</v>
      </c>
      <c r="DB691" s="5">
        <v>41138</v>
      </c>
      <c r="DC691" s="4"/>
      <c r="DD691" s="4"/>
      <c r="DE691" s="4" t="s">
        <v>2054</v>
      </c>
      <c r="DF691" s="4"/>
      <c r="DG691" s="4"/>
      <c r="DH691" s="4" t="s">
        <v>174</v>
      </c>
      <c r="DI691" s="5">
        <v>41087</v>
      </c>
      <c r="DJ691" s="4" t="b">
        <v>1</v>
      </c>
      <c r="DK691" s="4"/>
      <c r="DL691" s="4">
        <v>2443175</v>
      </c>
      <c r="DM691" s="4">
        <v>5770141</v>
      </c>
      <c r="DN691" s="4" t="s">
        <v>2055</v>
      </c>
      <c r="DO691" s="4"/>
      <c r="DP691" s="4"/>
      <c r="DQ691" s="4" t="s">
        <v>148</v>
      </c>
      <c r="DR691" s="4"/>
      <c r="DS691" s="4"/>
      <c r="DT691" s="4"/>
      <c r="DU691" s="4"/>
      <c r="DV691" s="4"/>
      <c r="DW691" s="4"/>
      <c r="DX691" s="4"/>
      <c r="DY691" s="4"/>
      <c r="DZ691" s="4"/>
      <c r="EA691" s="4"/>
      <c r="EB691" s="4"/>
      <c r="EC691" s="4"/>
      <c r="ED691" s="4"/>
      <c r="EE691" s="4"/>
      <c r="EF691" s="4"/>
      <c r="EG691" s="5">
        <v>41108</v>
      </c>
      <c r="EH691" s="5">
        <v>41148</v>
      </c>
      <c r="EI691" s="5">
        <v>40952</v>
      </c>
    </row>
    <row r="692" spans="1:139" hidden="1" x14ac:dyDescent="0.2">
      <c r="A692" t="str">
        <f>VLOOKUP(B692,Sheet1!$A$1:$B$18,2,FALSE)</f>
        <v>South Island</v>
      </c>
      <c r="B692" t="str">
        <f>LEFT(D692,3)</f>
        <v>MBN</v>
      </c>
      <c r="C692" s="2">
        <v>1012</v>
      </c>
      <c r="D692" s="3" t="str">
        <f>HYPERLINK("https://sitebase.nzcomms.co.nz/spm/spmnominalview/MBN-052-008/","MBN-052-008")</f>
        <v>MBN-052-008</v>
      </c>
      <c r="E692" s="4" t="s">
        <v>3115</v>
      </c>
      <c r="F692" s="3" t="str">
        <f>HYPERLINK("https://sitebase.nzcomms.co.nz/spm/spmcandidateview/MBN-052-008-F/","MBN-052-008-F")</f>
        <v>MBN-052-008-F</v>
      </c>
      <c r="G692" s="4" t="s">
        <v>3116</v>
      </c>
      <c r="H692" s="4" t="s">
        <v>3096</v>
      </c>
      <c r="I692" s="4">
        <v>7</v>
      </c>
      <c r="J692" s="4" t="s">
        <v>1633</v>
      </c>
      <c r="K692" s="4" t="s">
        <v>141</v>
      </c>
      <c r="L692" s="4" t="s">
        <v>150</v>
      </c>
      <c r="M692" s="4" t="s">
        <v>190</v>
      </c>
      <c r="N692" s="4" t="s">
        <v>246</v>
      </c>
      <c r="O692" s="4"/>
      <c r="P692" s="4" t="s">
        <v>169</v>
      </c>
      <c r="Q692" s="4" t="s">
        <v>192</v>
      </c>
      <c r="R692" s="4">
        <v>10</v>
      </c>
      <c r="S692" s="4">
        <v>10</v>
      </c>
      <c r="T692" s="4">
        <v>2</v>
      </c>
      <c r="U692" s="4">
        <v>-41.300030939999999</v>
      </c>
      <c r="V692" s="4">
        <v>173.25452784999999</v>
      </c>
      <c r="W692" s="4"/>
      <c r="X692" s="5">
        <v>40453</v>
      </c>
      <c r="Y692" s="5">
        <v>40338</v>
      </c>
      <c r="Z692" s="4"/>
      <c r="AA692" s="4" t="s">
        <v>171</v>
      </c>
      <c r="AB692" s="3" t="str">
        <f>HYPERLINK("https://sitebase.nzcomms.co.nz/spm/spmcandidateview/MBN-052-010-A/","MBN-052-010-A")</f>
        <v>MBN-052-010-A</v>
      </c>
      <c r="AC692" s="4" t="b">
        <v>0</v>
      </c>
      <c r="AD692" s="4" t="b">
        <v>0</v>
      </c>
      <c r="AE692" s="5">
        <v>40344</v>
      </c>
      <c r="AF692" s="5">
        <v>40344</v>
      </c>
      <c r="AG692" s="4" t="b">
        <v>0</v>
      </c>
      <c r="AH692" s="4"/>
      <c r="AI692" s="5">
        <v>40760</v>
      </c>
      <c r="AJ692" s="5">
        <v>40758</v>
      </c>
      <c r="AK692" s="5">
        <v>40765</v>
      </c>
      <c r="AL692" s="5">
        <v>40763</v>
      </c>
      <c r="AM692" s="5">
        <v>40784</v>
      </c>
      <c r="AN692" s="5">
        <v>40781</v>
      </c>
      <c r="AO692" s="4">
        <v>2</v>
      </c>
      <c r="AP692" s="5">
        <v>40967</v>
      </c>
      <c r="AQ692" s="5">
        <v>40963</v>
      </c>
      <c r="AR692" s="5">
        <v>40942</v>
      </c>
      <c r="AS692" s="5">
        <v>40899</v>
      </c>
      <c r="AT692" s="5">
        <v>40977</v>
      </c>
      <c r="AU692" s="5">
        <v>40983</v>
      </c>
      <c r="AV692" s="4">
        <v>1</v>
      </c>
      <c r="AW692" s="5">
        <v>40977</v>
      </c>
      <c r="AX692" s="5">
        <v>40983</v>
      </c>
      <c r="AY692" s="4" t="s">
        <v>183</v>
      </c>
      <c r="AZ692" s="5">
        <v>40791</v>
      </c>
      <c r="BA692" s="5">
        <v>40786</v>
      </c>
      <c r="BB692" s="5">
        <v>40833</v>
      </c>
      <c r="BC692" s="5">
        <v>40806</v>
      </c>
      <c r="BD692" s="4">
        <v>1</v>
      </c>
      <c r="BE692" s="5">
        <v>40833</v>
      </c>
      <c r="BF692" s="5">
        <v>40806</v>
      </c>
      <c r="BG692" s="4"/>
      <c r="BH692" s="4"/>
      <c r="BI692" s="5">
        <v>41180</v>
      </c>
      <c r="BJ692" s="5">
        <v>41184</v>
      </c>
      <c r="BK692" s="4">
        <v>1</v>
      </c>
      <c r="BL692" s="4"/>
      <c r="BM692" s="5">
        <v>41180</v>
      </c>
      <c r="BN692" s="5">
        <v>41184</v>
      </c>
      <c r="BO692" s="4"/>
      <c r="BP692" s="4"/>
      <c r="BQ692" s="4"/>
      <c r="BR692" s="5">
        <v>41061</v>
      </c>
      <c r="BS692" s="4"/>
      <c r="BT692" s="5">
        <v>41169</v>
      </c>
      <c r="BU692" s="5">
        <v>41148</v>
      </c>
      <c r="BV692" s="5">
        <v>41199</v>
      </c>
      <c r="BW692" s="5">
        <v>41198</v>
      </c>
      <c r="BX692" s="5">
        <v>41186</v>
      </c>
      <c r="BY692" s="5">
        <v>41189</v>
      </c>
      <c r="BZ692" s="5">
        <v>41189</v>
      </c>
      <c r="CA692" s="4"/>
      <c r="CB692" s="4"/>
      <c r="CC692" s="4"/>
      <c r="CD692" s="4"/>
      <c r="CE692" s="4"/>
      <c r="CF692" s="4"/>
      <c r="CG692" s="4"/>
      <c r="CH692" s="4"/>
      <c r="CI692" s="5">
        <v>41190</v>
      </c>
      <c r="CJ692" s="5">
        <v>41206</v>
      </c>
      <c r="CK692" s="5">
        <v>41207</v>
      </c>
      <c r="CL692" s="5">
        <v>41213</v>
      </c>
      <c r="CM692" s="5">
        <v>41213</v>
      </c>
      <c r="CN692" s="5">
        <v>41534</v>
      </c>
      <c r="CO692" s="5">
        <v>41548</v>
      </c>
      <c r="CP692" s="4" t="s">
        <v>3117</v>
      </c>
      <c r="CQ692" s="4"/>
      <c r="CR692" s="5">
        <v>41189</v>
      </c>
      <c r="CS692" s="5">
        <v>41088</v>
      </c>
      <c r="CT692" s="5">
        <v>41088</v>
      </c>
      <c r="CU692" s="4"/>
      <c r="CV692" s="4"/>
      <c r="CW692" s="4"/>
      <c r="CX692" s="4"/>
      <c r="CY692" s="5">
        <v>41193</v>
      </c>
      <c r="CZ692" s="4"/>
      <c r="DA692" s="5">
        <v>41192</v>
      </c>
      <c r="DB692" s="5">
        <v>41199</v>
      </c>
      <c r="DC692" s="4"/>
      <c r="DD692" s="4"/>
      <c r="DE692" s="4"/>
      <c r="DF692" s="4"/>
      <c r="DG692" s="4"/>
      <c r="DH692" s="4" t="s">
        <v>174</v>
      </c>
      <c r="DI692" s="5">
        <v>41180</v>
      </c>
      <c r="DJ692" s="4" t="b">
        <v>1</v>
      </c>
      <c r="DK692" s="4"/>
      <c r="DL692" s="4">
        <v>2531303</v>
      </c>
      <c r="DM692" s="4">
        <v>5989607</v>
      </c>
      <c r="DN692" s="4" t="s">
        <v>3118</v>
      </c>
      <c r="DO692" s="4"/>
      <c r="DP692" s="4"/>
      <c r="DQ692" s="4" t="s">
        <v>148</v>
      </c>
      <c r="DR692" s="4"/>
      <c r="DS692" s="4"/>
      <c r="DT692" s="4"/>
      <c r="DU692" s="4"/>
      <c r="DV692" s="4"/>
      <c r="DW692" s="4"/>
      <c r="DX692" s="4"/>
      <c r="DY692" s="4"/>
      <c r="DZ692" s="4"/>
      <c r="EA692" s="4"/>
      <c r="EB692" s="4"/>
      <c r="EC692" s="4"/>
      <c r="ED692" s="4"/>
      <c r="EE692" s="4"/>
      <c r="EF692" s="4"/>
      <c r="EG692" s="5">
        <v>41201</v>
      </c>
      <c r="EH692" s="5">
        <v>41205</v>
      </c>
      <c r="EI692" s="4"/>
    </row>
    <row r="693" spans="1:139" hidden="1" x14ac:dyDescent="0.2">
      <c r="A693" t="str">
        <f>VLOOKUP(B693,Sheet1!$A$1:$B$18,2,FALSE)</f>
        <v>South Island</v>
      </c>
      <c r="B693" t="str">
        <f>LEFT(D693,3)</f>
        <v>CAN</v>
      </c>
      <c r="C693" s="2">
        <v>625</v>
      </c>
      <c r="D693" s="3" t="str">
        <f>HYPERLINK("https://sitebase.nzcomms.co.nz/spm/spmnominalview/CAN-058-001/","CAN-058-001")</f>
        <v>CAN-058-001</v>
      </c>
      <c r="E693" s="4" t="s">
        <v>2022</v>
      </c>
      <c r="F693" s="3" t="str">
        <f>HYPERLINK("https://sitebase.nzcomms.co.nz/spm/spmcandidateview/CAN-058-001-A/","CAN-058-001-A")</f>
        <v>CAN-058-001-A</v>
      </c>
      <c r="G693" s="4" t="s">
        <v>2023</v>
      </c>
      <c r="H693" s="4" t="s">
        <v>2024</v>
      </c>
      <c r="I693" s="4">
        <v>8</v>
      </c>
      <c r="J693" s="4" t="s">
        <v>180</v>
      </c>
      <c r="K693" s="4" t="s">
        <v>141</v>
      </c>
      <c r="L693" s="4" t="s">
        <v>142</v>
      </c>
      <c r="M693" s="4" t="s">
        <v>190</v>
      </c>
      <c r="N693" s="4" t="s">
        <v>142</v>
      </c>
      <c r="O693" s="4"/>
      <c r="P693" s="4" t="s">
        <v>182</v>
      </c>
      <c r="Q693" s="4" t="s">
        <v>142</v>
      </c>
      <c r="R693" s="4"/>
      <c r="S693" s="4"/>
      <c r="T693" s="4">
        <v>1</v>
      </c>
      <c r="U693" s="4">
        <v>-42.515103750000002</v>
      </c>
      <c r="V693" s="4">
        <v>172.81868969000001</v>
      </c>
      <c r="W693" s="4"/>
      <c r="X693" s="4"/>
      <c r="Y693" s="4"/>
      <c r="Z693" s="5">
        <v>41152</v>
      </c>
      <c r="AA693" s="4" t="s">
        <v>145</v>
      </c>
      <c r="AB693" s="3" t="str">
        <f>HYPERLINK("https://sitebase.nzcomms.co.nz/spm/spmcandidateview/CHC-060-114-A/","CHC-060-114-A")</f>
        <v>CHC-060-114-A</v>
      </c>
      <c r="AC693" s="4" t="b">
        <v>0</v>
      </c>
      <c r="AD693" s="4" t="b">
        <v>0</v>
      </c>
      <c r="AE693" s="4"/>
      <c r="AF693" s="4"/>
      <c r="AG693" s="4" t="b">
        <v>0</v>
      </c>
      <c r="AH693" s="4"/>
      <c r="AI693" s="5">
        <v>40961</v>
      </c>
      <c r="AJ693" s="5">
        <v>40961</v>
      </c>
      <c r="AK693" s="5">
        <v>40968</v>
      </c>
      <c r="AL693" s="5">
        <v>40969</v>
      </c>
      <c r="AM693" s="5">
        <v>41003</v>
      </c>
      <c r="AN693" s="5">
        <v>41003</v>
      </c>
      <c r="AO693" s="4">
        <v>2</v>
      </c>
      <c r="AP693" s="5">
        <v>41003</v>
      </c>
      <c r="AQ693" s="5">
        <v>41065</v>
      </c>
      <c r="AR693" s="5">
        <v>41054</v>
      </c>
      <c r="AS693" s="5">
        <v>41050</v>
      </c>
      <c r="AT693" s="5">
        <v>41142</v>
      </c>
      <c r="AU693" s="5">
        <v>41142</v>
      </c>
      <c r="AV693" s="4">
        <v>2</v>
      </c>
      <c r="AW693" s="4"/>
      <c r="AX693" s="5">
        <v>41180</v>
      </c>
      <c r="AY693" s="4" t="s">
        <v>172</v>
      </c>
      <c r="AZ693" s="5">
        <v>41068</v>
      </c>
      <c r="BA693" s="5">
        <v>41071</v>
      </c>
      <c r="BB693" s="5">
        <v>41103</v>
      </c>
      <c r="BC693" s="5">
        <v>41078</v>
      </c>
      <c r="BD693" s="4">
        <v>2</v>
      </c>
      <c r="BE693" s="4"/>
      <c r="BF693" s="4"/>
      <c r="BG693" s="4"/>
      <c r="BH693" s="4"/>
      <c r="BI693" s="5">
        <v>41144</v>
      </c>
      <c r="BJ693" s="5">
        <v>41162</v>
      </c>
      <c r="BK693" s="4">
        <v>2</v>
      </c>
      <c r="BL693" s="4"/>
      <c r="BM693" s="4"/>
      <c r="BN693" s="5">
        <v>41171</v>
      </c>
      <c r="BO693" s="5">
        <v>41173</v>
      </c>
      <c r="BP693" s="4"/>
      <c r="BQ693" s="4"/>
      <c r="BR693" s="4"/>
      <c r="BS693" s="4"/>
      <c r="BT693" s="5">
        <v>41180</v>
      </c>
      <c r="BU693" s="5">
        <v>41180</v>
      </c>
      <c r="BV693" s="5">
        <v>41194</v>
      </c>
      <c r="BW693" s="5">
        <v>41185</v>
      </c>
      <c r="BX693" s="5">
        <v>41181</v>
      </c>
      <c r="BY693" s="5">
        <v>41220</v>
      </c>
      <c r="BZ693" s="5">
        <v>41220</v>
      </c>
      <c r="CA693" s="4"/>
      <c r="CB693" s="4"/>
      <c r="CC693" s="4"/>
      <c r="CD693" s="4"/>
      <c r="CE693" s="4"/>
      <c r="CF693" s="4"/>
      <c r="CG693" s="4"/>
      <c r="CH693" s="4"/>
      <c r="CI693" s="5">
        <v>41220</v>
      </c>
      <c r="CJ693" s="5">
        <v>41226</v>
      </c>
      <c r="CK693" s="5">
        <v>41225</v>
      </c>
      <c r="CL693" s="5">
        <v>41232</v>
      </c>
      <c r="CM693" s="5">
        <v>41232</v>
      </c>
      <c r="CN693" s="5">
        <v>41411</v>
      </c>
      <c r="CO693" s="5">
        <v>41400</v>
      </c>
      <c r="CP693" s="4" t="s">
        <v>2025</v>
      </c>
      <c r="CQ693" s="4" t="s">
        <v>230</v>
      </c>
      <c r="CR693" s="5">
        <v>41220</v>
      </c>
      <c r="CS693" s="5">
        <v>41106</v>
      </c>
      <c r="CT693" s="5">
        <v>41106</v>
      </c>
      <c r="CU693" s="5">
        <v>41162</v>
      </c>
      <c r="CV693" s="5">
        <v>41171</v>
      </c>
      <c r="CW693" s="5">
        <v>41169</v>
      </c>
      <c r="CX693" s="5">
        <v>41173</v>
      </c>
      <c r="CY693" s="5">
        <v>41198</v>
      </c>
      <c r="CZ693" s="5">
        <v>41198</v>
      </c>
      <c r="DA693" s="5">
        <v>41221</v>
      </c>
      <c r="DB693" s="5">
        <v>41221</v>
      </c>
      <c r="DC693" s="5">
        <v>40947</v>
      </c>
      <c r="DD693" s="4" t="s">
        <v>586</v>
      </c>
      <c r="DE693" s="4" t="s">
        <v>2013</v>
      </c>
      <c r="DF693" s="5">
        <v>41211</v>
      </c>
      <c r="DG693" s="5">
        <v>41211</v>
      </c>
      <c r="DH693" s="4" t="s">
        <v>174</v>
      </c>
      <c r="DI693" s="5">
        <v>41181</v>
      </c>
      <c r="DJ693" s="4" t="b">
        <v>1</v>
      </c>
      <c r="DK693" s="4"/>
      <c r="DL693" s="4">
        <v>2495104</v>
      </c>
      <c r="DM693" s="4">
        <v>5854667</v>
      </c>
      <c r="DN693" s="4" t="s">
        <v>2022</v>
      </c>
      <c r="DO693" s="4"/>
      <c r="DP693" s="4" t="s">
        <v>2026</v>
      </c>
      <c r="DQ693" s="4" t="s">
        <v>148</v>
      </c>
      <c r="DR693" s="4"/>
      <c r="DS693" s="4"/>
      <c r="DT693" s="4"/>
      <c r="DU693" s="4"/>
      <c r="DV693" s="4"/>
      <c r="DW693" s="4"/>
      <c r="DX693" s="4"/>
      <c r="DY693" s="4"/>
      <c r="DZ693" s="4"/>
      <c r="EA693" s="4"/>
      <c r="EB693" s="4"/>
      <c r="EC693" s="4"/>
      <c r="ED693" s="4"/>
      <c r="EE693" s="4"/>
      <c r="EF693" s="4"/>
      <c r="EG693" s="5">
        <v>41229</v>
      </c>
      <c r="EH693" s="5">
        <v>41226</v>
      </c>
      <c r="EI693" s="4"/>
    </row>
    <row r="694" spans="1:139" hidden="1" x14ac:dyDescent="0.2">
      <c r="A694" t="str">
        <f>VLOOKUP(B694,Sheet1!$A$1:$B$18,2,FALSE)</f>
        <v>South Island</v>
      </c>
      <c r="B694" t="str">
        <f>LEFT(D694,3)</f>
        <v>CAN</v>
      </c>
      <c r="C694" s="2">
        <v>626</v>
      </c>
      <c r="D694" s="3" t="str">
        <f>HYPERLINK("https://sitebase.nzcomms.co.nz/spm/spmnominalview/CAN-058-002/","CAN-058-002")</f>
        <v>CAN-058-002</v>
      </c>
      <c r="E694" s="4" t="s">
        <v>2027</v>
      </c>
      <c r="F694" s="3" t="str">
        <f>HYPERLINK("https://sitebase.nzcomms.co.nz/spm/spmcandidateview/CAN-058-002-C/","CAN-058-002-C")</f>
        <v>CAN-058-002-C</v>
      </c>
      <c r="G694" s="4" t="s">
        <v>2028</v>
      </c>
      <c r="H694" s="4" t="s">
        <v>2024</v>
      </c>
      <c r="I694" s="4">
        <v>8</v>
      </c>
      <c r="J694" s="4" t="s">
        <v>180</v>
      </c>
      <c r="K694" s="4" t="s">
        <v>141</v>
      </c>
      <c r="L694" s="4" t="s">
        <v>150</v>
      </c>
      <c r="M694" s="4" t="s">
        <v>190</v>
      </c>
      <c r="N694" s="4" t="s">
        <v>167</v>
      </c>
      <c r="O694" s="4"/>
      <c r="P694" s="4" t="s">
        <v>182</v>
      </c>
      <c r="Q694" s="4" t="s">
        <v>170</v>
      </c>
      <c r="R694" s="4"/>
      <c r="S694" s="4"/>
      <c r="T694" s="4">
        <v>1</v>
      </c>
      <c r="U694" s="4">
        <v>-42.722795290000001</v>
      </c>
      <c r="V694" s="4">
        <v>172.85020939</v>
      </c>
      <c r="W694" s="4"/>
      <c r="X694" s="5">
        <v>40924</v>
      </c>
      <c r="Y694" s="4"/>
      <c r="Z694" s="5">
        <v>41152</v>
      </c>
      <c r="AA694" s="4" t="s">
        <v>145</v>
      </c>
      <c r="AB694" s="3" t="str">
        <f>HYPERLINK("https://sitebase.nzcomms.co.nz/spm/spmcandidateview/CHC-060-114-A/","CHC-060-114-A")</f>
        <v>CHC-060-114-A</v>
      </c>
      <c r="AC694" s="4" t="b">
        <v>0</v>
      </c>
      <c r="AD694" s="4" t="b">
        <v>0</v>
      </c>
      <c r="AE694" s="4"/>
      <c r="AF694" s="4"/>
      <c r="AG694" s="4" t="b">
        <v>0</v>
      </c>
      <c r="AH694" s="4"/>
      <c r="AI694" s="5">
        <v>40960</v>
      </c>
      <c r="AJ694" s="5">
        <v>40960</v>
      </c>
      <c r="AK694" s="5">
        <v>40989</v>
      </c>
      <c r="AL694" s="5">
        <v>40989</v>
      </c>
      <c r="AM694" s="5">
        <v>41047</v>
      </c>
      <c r="AN694" s="5">
        <v>41050</v>
      </c>
      <c r="AO694" s="4">
        <v>2</v>
      </c>
      <c r="AP694" s="5">
        <v>41047</v>
      </c>
      <c r="AQ694" s="5">
        <v>41065</v>
      </c>
      <c r="AR694" s="5">
        <v>41089</v>
      </c>
      <c r="AS694" s="5">
        <v>41092</v>
      </c>
      <c r="AT694" s="5">
        <v>41173</v>
      </c>
      <c r="AU694" s="5">
        <v>41173</v>
      </c>
      <c r="AV694" s="4"/>
      <c r="AW694" s="4"/>
      <c r="AX694" s="5">
        <v>41173</v>
      </c>
      <c r="AY694" s="4" t="s">
        <v>172</v>
      </c>
      <c r="AZ694" s="5">
        <v>41092</v>
      </c>
      <c r="BA694" s="5">
        <v>41093</v>
      </c>
      <c r="BB694" s="5">
        <v>41123</v>
      </c>
      <c r="BC694" s="5">
        <v>41108</v>
      </c>
      <c r="BD694" s="4">
        <v>2</v>
      </c>
      <c r="BE694" s="4"/>
      <c r="BF694" s="5">
        <v>41120</v>
      </c>
      <c r="BG694" s="4"/>
      <c r="BH694" s="4"/>
      <c r="BI694" s="5">
        <v>41158</v>
      </c>
      <c r="BJ694" s="5">
        <v>41164</v>
      </c>
      <c r="BK694" s="4">
        <v>1</v>
      </c>
      <c r="BL694" s="4"/>
      <c r="BM694" s="4"/>
      <c r="BN694" s="5">
        <v>41164</v>
      </c>
      <c r="BO694" s="5">
        <v>41171</v>
      </c>
      <c r="BP694" s="4"/>
      <c r="BQ694" s="4"/>
      <c r="BR694" s="4"/>
      <c r="BS694" s="4"/>
      <c r="BT694" s="5">
        <v>41169</v>
      </c>
      <c r="BU694" s="5">
        <v>41171</v>
      </c>
      <c r="BV694" s="5">
        <v>41222</v>
      </c>
      <c r="BW694" s="5">
        <v>41220</v>
      </c>
      <c r="BX694" s="5">
        <v>41213</v>
      </c>
      <c r="BY694" s="5">
        <v>41224</v>
      </c>
      <c r="BZ694" s="5">
        <v>41222</v>
      </c>
      <c r="CA694" s="4"/>
      <c r="CB694" s="4"/>
      <c r="CC694" s="4"/>
      <c r="CD694" s="4"/>
      <c r="CE694" s="4"/>
      <c r="CF694" s="4"/>
      <c r="CG694" s="4"/>
      <c r="CH694" s="4"/>
      <c r="CI694" s="5">
        <v>41225</v>
      </c>
      <c r="CJ694" s="5">
        <v>41226</v>
      </c>
      <c r="CK694" s="5">
        <v>41226</v>
      </c>
      <c r="CL694" s="5">
        <v>41233</v>
      </c>
      <c r="CM694" s="5">
        <v>41232</v>
      </c>
      <c r="CN694" s="5">
        <v>41456</v>
      </c>
      <c r="CO694" s="5">
        <v>41453</v>
      </c>
      <c r="CP694" s="4" t="s">
        <v>2029</v>
      </c>
      <c r="CQ694" s="4"/>
      <c r="CR694" s="5">
        <v>41224</v>
      </c>
      <c r="CS694" s="5">
        <v>41108</v>
      </c>
      <c r="CT694" s="5">
        <v>41108</v>
      </c>
      <c r="CU694" s="5">
        <v>41180</v>
      </c>
      <c r="CV694" s="5">
        <v>41171</v>
      </c>
      <c r="CW694" s="5">
        <v>41169</v>
      </c>
      <c r="CX694" s="5">
        <v>41171</v>
      </c>
      <c r="CY694" s="5">
        <v>41222</v>
      </c>
      <c r="CZ694" s="5">
        <v>41221</v>
      </c>
      <c r="DA694" s="5">
        <v>41225</v>
      </c>
      <c r="DB694" s="5">
        <v>41225</v>
      </c>
      <c r="DC694" s="5">
        <v>40947</v>
      </c>
      <c r="DD694" s="4" t="s">
        <v>586</v>
      </c>
      <c r="DE694" s="4" t="s">
        <v>2013</v>
      </c>
      <c r="DF694" s="5">
        <v>41219</v>
      </c>
      <c r="DG694" s="5">
        <v>41218</v>
      </c>
      <c r="DH694" s="4" t="s">
        <v>174</v>
      </c>
      <c r="DI694" s="5">
        <v>41213</v>
      </c>
      <c r="DJ694" s="4" t="b">
        <v>1</v>
      </c>
      <c r="DK694" s="4"/>
      <c r="DL694" s="4">
        <v>2497738</v>
      </c>
      <c r="DM694" s="4">
        <v>5831602</v>
      </c>
      <c r="DN694" s="4" t="s">
        <v>2030</v>
      </c>
      <c r="DO694" s="4"/>
      <c r="DP694" s="4" t="s">
        <v>2031</v>
      </c>
      <c r="DQ694" s="4" t="s">
        <v>148</v>
      </c>
      <c r="DR694" s="4"/>
      <c r="DS694" s="4"/>
      <c r="DT694" s="4"/>
      <c r="DU694" s="4"/>
      <c r="DV694" s="4"/>
      <c r="DW694" s="4"/>
      <c r="DX694" s="4"/>
      <c r="DY694" s="4"/>
      <c r="DZ694" s="4"/>
      <c r="EA694" s="4"/>
      <c r="EB694" s="4"/>
      <c r="EC694" s="4"/>
      <c r="ED694" s="4"/>
      <c r="EE694" s="4"/>
      <c r="EF694" s="4"/>
      <c r="EG694" s="5">
        <v>41228</v>
      </c>
      <c r="EH694" s="5">
        <v>41228</v>
      </c>
      <c r="EI694" s="4"/>
    </row>
    <row r="695" spans="1:139" hidden="1" x14ac:dyDescent="0.2">
      <c r="A695" t="str">
        <f>VLOOKUP(B695,Sheet1!$A$1:$B$18,2,FALSE)</f>
        <v>South Island</v>
      </c>
      <c r="B695" t="str">
        <f>LEFT(D695,3)</f>
        <v>CAN</v>
      </c>
      <c r="C695" s="2">
        <v>640</v>
      </c>
      <c r="D695" s="3" t="str">
        <f>HYPERLINK("https://sitebase.nzcomms.co.nz/spm/spmnominalview/CAN-059-003/","CAN-059-003")</f>
        <v>CAN-059-003</v>
      </c>
      <c r="E695" s="4" t="s">
        <v>2061</v>
      </c>
      <c r="F695" s="3" t="str">
        <f>HYPERLINK("https://sitebase.nzcomms.co.nz/spm/spmcandidateview/CAN-059-003-A/","CAN-059-003-A")</f>
        <v>CAN-059-003-A</v>
      </c>
      <c r="G695" s="4" t="s">
        <v>2062</v>
      </c>
      <c r="H695" s="4" t="s">
        <v>2053</v>
      </c>
      <c r="I695" s="4">
        <v>8</v>
      </c>
      <c r="J695" s="4" t="s">
        <v>180</v>
      </c>
      <c r="K695" s="4" t="s">
        <v>141</v>
      </c>
      <c r="L695" s="4" t="s">
        <v>722</v>
      </c>
      <c r="M695" s="4" t="s">
        <v>190</v>
      </c>
      <c r="N695" s="4" t="s">
        <v>2063</v>
      </c>
      <c r="O695" s="4"/>
      <c r="P695" s="4" t="s">
        <v>169</v>
      </c>
      <c r="Q695" s="4" t="s">
        <v>142</v>
      </c>
      <c r="R695" s="4">
        <v>40</v>
      </c>
      <c r="S695" s="4">
        <v>40</v>
      </c>
      <c r="T695" s="4">
        <v>1</v>
      </c>
      <c r="U695" s="4">
        <v>-43.369069000000003</v>
      </c>
      <c r="V695" s="4">
        <v>172.55776628999999</v>
      </c>
      <c r="W695" s="4"/>
      <c r="X695" s="4"/>
      <c r="Y695" s="4"/>
      <c r="Z695" s="4"/>
      <c r="AA695" s="4"/>
      <c r="AB695" s="4"/>
      <c r="AC695" s="4" t="b">
        <v>0</v>
      </c>
      <c r="AD695" s="4" t="b">
        <v>0</v>
      </c>
      <c r="AE695" s="4"/>
      <c r="AF695" s="4"/>
      <c r="AG695" s="4" t="b">
        <v>0</v>
      </c>
      <c r="AH695" s="4"/>
      <c r="AI695" s="4"/>
      <c r="AJ695" s="5">
        <v>41080</v>
      </c>
      <c r="AK695" s="5">
        <v>41061</v>
      </c>
      <c r="AL695" s="5">
        <v>41061</v>
      </c>
      <c r="AM695" s="5">
        <v>41061</v>
      </c>
      <c r="AN695" s="5">
        <v>41093</v>
      </c>
      <c r="AO695" s="4">
        <v>1</v>
      </c>
      <c r="AP695" s="5">
        <v>41061</v>
      </c>
      <c r="AQ695" s="5">
        <v>41093</v>
      </c>
      <c r="AR695" s="4"/>
      <c r="AS695" s="5">
        <v>41061</v>
      </c>
      <c r="AT695" s="4"/>
      <c r="AU695" s="5">
        <v>41061</v>
      </c>
      <c r="AV695" s="4"/>
      <c r="AW695" s="4"/>
      <c r="AX695" s="5">
        <v>41061</v>
      </c>
      <c r="AY695" s="4" t="s">
        <v>2064</v>
      </c>
      <c r="AZ695" s="5">
        <v>41061</v>
      </c>
      <c r="BA695" s="5">
        <v>41165</v>
      </c>
      <c r="BB695" s="5">
        <v>41061</v>
      </c>
      <c r="BC695" s="5">
        <v>41165</v>
      </c>
      <c r="BD695" s="4">
        <v>1</v>
      </c>
      <c r="BE695" s="5">
        <v>41061</v>
      </c>
      <c r="BF695" s="5">
        <v>41061</v>
      </c>
      <c r="BG695" s="4"/>
      <c r="BH695" s="4"/>
      <c r="BI695" s="5">
        <v>41143</v>
      </c>
      <c r="BJ695" s="5">
        <v>41093</v>
      </c>
      <c r="BK695" s="4">
        <v>1</v>
      </c>
      <c r="BL695" s="4"/>
      <c r="BM695" s="4"/>
      <c r="BN695" s="5">
        <v>41093</v>
      </c>
      <c r="BO695" s="4"/>
      <c r="BP695" s="4"/>
      <c r="BQ695" s="4"/>
      <c r="BR695" s="4"/>
      <c r="BS695" s="4"/>
      <c r="BT695" s="5">
        <v>41173</v>
      </c>
      <c r="BU695" s="5">
        <v>41173</v>
      </c>
      <c r="BV695" s="5">
        <v>41182</v>
      </c>
      <c r="BW695" s="5">
        <v>41178</v>
      </c>
      <c r="BX695" s="5">
        <v>41178</v>
      </c>
      <c r="BY695" s="5">
        <v>41194</v>
      </c>
      <c r="BZ695" s="5">
        <v>41194</v>
      </c>
      <c r="CA695" s="4"/>
      <c r="CB695" s="4"/>
      <c r="CC695" s="4"/>
      <c r="CD695" s="4"/>
      <c r="CE695" s="4"/>
      <c r="CF695" s="4"/>
      <c r="CG695" s="4"/>
      <c r="CH695" s="4"/>
      <c r="CI695" s="5">
        <v>41212</v>
      </c>
      <c r="CJ695" s="5">
        <v>41226</v>
      </c>
      <c r="CK695" s="5">
        <v>41214</v>
      </c>
      <c r="CL695" s="5">
        <v>41226</v>
      </c>
      <c r="CM695" s="5">
        <v>41222</v>
      </c>
      <c r="CN695" s="5">
        <v>41446</v>
      </c>
      <c r="CO695" s="5">
        <v>41425</v>
      </c>
      <c r="CP695" s="4" t="s">
        <v>2065</v>
      </c>
      <c r="CQ695" s="4" t="s">
        <v>230</v>
      </c>
      <c r="CR695" s="5">
        <v>41205</v>
      </c>
      <c r="CS695" s="4"/>
      <c r="CT695" s="4"/>
      <c r="CU695" s="5">
        <v>41173</v>
      </c>
      <c r="CV695" s="5">
        <v>41173</v>
      </c>
      <c r="CW695" s="4"/>
      <c r="CX695" s="4"/>
      <c r="CY695" s="5">
        <v>41187</v>
      </c>
      <c r="CZ695" s="5">
        <v>41187</v>
      </c>
      <c r="DA695" s="5">
        <v>41197</v>
      </c>
      <c r="DB695" s="5">
        <v>41214</v>
      </c>
      <c r="DC695" s="5">
        <v>41165</v>
      </c>
      <c r="DD695" s="4" t="s">
        <v>586</v>
      </c>
      <c r="DE695" s="4" t="s">
        <v>722</v>
      </c>
      <c r="DF695" s="4"/>
      <c r="DG695" s="4"/>
      <c r="DH695" s="4" t="s">
        <v>174</v>
      </c>
      <c r="DI695" s="5">
        <v>41182</v>
      </c>
      <c r="DJ695" s="4" t="b">
        <v>1</v>
      </c>
      <c r="DK695" s="4"/>
      <c r="DL695" s="4">
        <v>2474169</v>
      </c>
      <c r="DM695" s="4">
        <v>5759723</v>
      </c>
      <c r="DN695" s="4" t="s">
        <v>2066</v>
      </c>
      <c r="DO695" s="4"/>
      <c r="DP695" s="4"/>
      <c r="DQ695" s="4" t="s">
        <v>148</v>
      </c>
      <c r="DR695" s="4"/>
      <c r="DS695" s="4"/>
      <c r="DT695" s="4"/>
      <c r="DU695" s="4"/>
      <c r="DV695" s="4"/>
      <c r="DW695" s="4"/>
      <c r="DX695" s="4"/>
      <c r="DY695" s="4"/>
      <c r="DZ695" s="4"/>
      <c r="EA695" s="4"/>
      <c r="EB695" s="4"/>
      <c r="EC695" s="4"/>
      <c r="ED695" s="4"/>
      <c r="EE695" s="4"/>
      <c r="EF695" s="4"/>
      <c r="EG695" s="5">
        <v>41218</v>
      </c>
      <c r="EH695" s="5">
        <v>41214</v>
      </c>
      <c r="EI695" s="5">
        <v>41061</v>
      </c>
    </row>
    <row r="696" spans="1:139" hidden="1" x14ac:dyDescent="0.2">
      <c r="A696" t="str">
        <f>VLOOKUP(B696,Sheet1!$A$1:$B$18,2,FALSE)</f>
        <v>South Island</v>
      </c>
      <c r="B696" t="str">
        <f>LEFT(D696,3)</f>
        <v>MBN</v>
      </c>
      <c r="C696" s="2">
        <v>1026</v>
      </c>
      <c r="D696" s="3" t="str">
        <f>HYPERLINK("https://sitebase.nzcomms.co.nz/spm/spmnominalview/MBN-053-004/","MBN-053-004")</f>
        <v>MBN-053-004</v>
      </c>
      <c r="E696" s="4" t="s">
        <v>3153</v>
      </c>
      <c r="F696" s="3" t="str">
        <f>HYPERLINK("https://sitebase.nzcomms.co.nz/spm/spmcandidateview/MBN-053-004-A/","MBN-053-004-A")</f>
        <v>MBN-053-004-A</v>
      </c>
      <c r="G696" s="4" t="s">
        <v>3154</v>
      </c>
      <c r="H696" s="4" t="s">
        <v>3152</v>
      </c>
      <c r="I696" s="4">
        <v>7</v>
      </c>
      <c r="J696" s="4" t="s">
        <v>180</v>
      </c>
      <c r="K696" s="4" t="s">
        <v>141</v>
      </c>
      <c r="L696" s="4" t="s">
        <v>181</v>
      </c>
      <c r="M696" s="4" t="s">
        <v>166</v>
      </c>
      <c r="N696" s="4" t="s">
        <v>181</v>
      </c>
      <c r="O696" s="4"/>
      <c r="P696" s="4" t="s">
        <v>169</v>
      </c>
      <c r="Q696" s="4" t="s">
        <v>170</v>
      </c>
      <c r="R696" s="4"/>
      <c r="S696" s="4"/>
      <c r="T696" s="4">
        <v>1</v>
      </c>
      <c r="U696" s="4">
        <v>-41.511266710000001</v>
      </c>
      <c r="V696" s="4">
        <v>173.95723864000001</v>
      </c>
      <c r="W696" s="4"/>
      <c r="X696" s="5">
        <v>40919</v>
      </c>
      <c r="Y696" s="4"/>
      <c r="Z696" s="4"/>
      <c r="AA696" s="4" t="s">
        <v>145</v>
      </c>
      <c r="AB696" s="3" t="str">
        <f>HYPERLINK("https://sitebase.nzcomms.co.nz/spm/spmcandidateview/WLG-047-071-A/","WLG-047-071-A")</f>
        <v>WLG-047-071-A</v>
      </c>
      <c r="AC696" s="4" t="b">
        <v>0</v>
      </c>
      <c r="AD696" s="4" t="b">
        <v>0</v>
      </c>
      <c r="AE696" s="4"/>
      <c r="AF696" s="4"/>
      <c r="AG696" s="4" t="b">
        <v>0</v>
      </c>
      <c r="AH696" s="4"/>
      <c r="AI696" s="5">
        <v>40990</v>
      </c>
      <c r="AJ696" s="5">
        <v>40990</v>
      </c>
      <c r="AK696" s="5">
        <v>40997</v>
      </c>
      <c r="AL696" s="5">
        <v>40998</v>
      </c>
      <c r="AM696" s="5">
        <v>41096</v>
      </c>
      <c r="AN696" s="5">
        <v>41095</v>
      </c>
      <c r="AO696" s="4">
        <v>1</v>
      </c>
      <c r="AP696" s="5">
        <v>41096</v>
      </c>
      <c r="AQ696" s="5">
        <v>41095</v>
      </c>
      <c r="AR696" s="5">
        <v>41082</v>
      </c>
      <c r="AS696" s="5">
        <v>41067</v>
      </c>
      <c r="AT696" s="5">
        <v>41116</v>
      </c>
      <c r="AU696" s="5">
        <v>41110</v>
      </c>
      <c r="AV696" s="4"/>
      <c r="AW696" s="5">
        <v>41187</v>
      </c>
      <c r="AX696" s="5">
        <v>41219</v>
      </c>
      <c r="AY696" s="4" t="s">
        <v>247</v>
      </c>
      <c r="AZ696" s="5">
        <v>41102</v>
      </c>
      <c r="BA696" s="5">
        <v>41096</v>
      </c>
      <c r="BB696" s="5">
        <v>41144</v>
      </c>
      <c r="BC696" s="5">
        <v>41131</v>
      </c>
      <c r="BD696" s="4">
        <v>1</v>
      </c>
      <c r="BE696" s="5">
        <v>41144</v>
      </c>
      <c r="BF696" s="5">
        <v>41131</v>
      </c>
      <c r="BG696" s="4"/>
      <c r="BH696" s="4"/>
      <c r="BI696" s="5">
        <v>41199</v>
      </c>
      <c r="BJ696" s="5">
        <v>41199</v>
      </c>
      <c r="BK696" s="4">
        <v>1</v>
      </c>
      <c r="BL696" s="4"/>
      <c r="BM696" s="5">
        <v>41199</v>
      </c>
      <c r="BN696" s="5">
        <v>41199</v>
      </c>
      <c r="BO696" s="5">
        <v>41191</v>
      </c>
      <c r="BP696" s="4"/>
      <c r="BQ696" s="4"/>
      <c r="BR696" s="4"/>
      <c r="BS696" s="4"/>
      <c r="BT696" s="5">
        <v>41162</v>
      </c>
      <c r="BU696" s="5">
        <v>41162</v>
      </c>
      <c r="BV696" s="5">
        <v>41194</v>
      </c>
      <c r="BW696" s="5">
        <v>41192</v>
      </c>
      <c r="BX696" s="5">
        <v>41193</v>
      </c>
      <c r="BY696" s="5">
        <v>41202</v>
      </c>
      <c r="BZ696" s="5">
        <v>41201</v>
      </c>
      <c r="CA696" s="4"/>
      <c r="CB696" s="4"/>
      <c r="CC696" s="4"/>
      <c r="CD696" s="4"/>
      <c r="CE696" s="4"/>
      <c r="CF696" s="4"/>
      <c r="CG696" s="4"/>
      <c r="CH696" s="4"/>
      <c r="CI696" s="5">
        <v>41201</v>
      </c>
      <c r="CJ696" s="5">
        <v>41226</v>
      </c>
      <c r="CK696" s="5">
        <v>41213</v>
      </c>
      <c r="CL696" s="5">
        <v>41226</v>
      </c>
      <c r="CM696" s="5">
        <v>41226</v>
      </c>
      <c r="CN696" s="5">
        <v>41442</v>
      </c>
      <c r="CO696" s="5">
        <v>41431</v>
      </c>
      <c r="CP696" s="4"/>
      <c r="CQ696" s="4"/>
      <c r="CR696" s="5">
        <v>41201</v>
      </c>
      <c r="CS696" s="5">
        <v>41155</v>
      </c>
      <c r="CT696" s="4"/>
      <c r="CU696" s="5">
        <v>41168</v>
      </c>
      <c r="CV696" s="5">
        <v>41183</v>
      </c>
      <c r="CW696" s="5">
        <v>41162</v>
      </c>
      <c r="CX696" s="5">
        <v>41191</v>
      </c>
      <c r="CY696" s="5">
        <v>41197</v>
      </c>
      <c r="CZ696" s="5">
        <v>41176</v>
      </c>
      <c r="DA696" s="5">
        <v>41205</v>
      </c>
      <c r="DB696" s="5">
        <v>41212</v>
      </c>
      <c r="DC696" s="5">
        <v>41001</v>
      </c>
      <c r="DD696" s="4" t="s">
        <v>586</v>
      </c>
      <c r="DE696" s="4" t="s">
        <v>3155</v>
      </c>
      <c r="DF696" s="5">
        <v>41197</v>
      </c>
      <c r="DG696" s="5">
        <v>41198</v>
      </c>
      <c r="DH696" s="4" t="s">
        <v>174</v>
      </c>
      <c r="DI696" s="5">
        <v>41197</v>
      </c>
      <c r="DJ696" s="4" t="b">
        <v>0</v>
      </c>
      <c r="DK696" s="4"/>
      <c r="DL696" s="4">
        <v>2589893</v>
      </c>
      <c r="DM696" s="4">
        <v>5965743</v>
      </c>
      <c r="DN696" s="4" t="s">
        <v>3156</v>
      </c>
      <c r="DO696" s="4"/>
      <c r="DP696" s="4" t="s">
        <v>3157</v>
      </c>
      <c r="DQ696" s="4" t="s">
        <v>148</v>
      </c>
      <c r="DR696" s="4"/>
      <c r="DS696" s="4"/>
      <c r="DT696" s="5">
        <v>42101</v>
      </c>
      <c r="DU696" s="4"/>
      <c r="DV696" s="4"/>
      <c r="DW696" s="4"/>
      <c r="DX696" s="4"/>
      <c r="DY696" s="4"/>
      <c r="DZ696" s="4"/>
      <c r="EA696" s="4"/>
      <c r="EB696" s="4"/>
      <c r="EC696" s="4"/>
      <c r="ED696" s="4"/>
      <c r="EE696" s="4"/>
      <c r="EF696" s="4"/>
      <c r="EG696" s="5">
        <v>41212</v>
      </c>
      <c r="EH696" s="5">
        <v>41212</v>
      </c>
      <c r="EI696" s="5">
        <v>40998</v>
      </c>
    </row>
    <row r="697" spans="1:139" hidden="1" x14ac:dyDescent="0.2">
      <c r="A697" t="str">
        <f>VLOOKUP(B697,Sheet1!$A$1:$B$18,2,FALSE)</f>
        <v>South Island</v>
      </c>
      <c r="B697" t="str">
        <f>LEFT(D697,3)</f>
        <v>CAN</v>
      </c>
      <c r="C697" s="2">
        <v>627</v>
      </c>
      <c r="D697" s="3" t="str">
        <f>HYPERLINK("https://sitebase.nzcomms.co.nz/spm/spmnominalview/CAN-058-003/","CAN-058-003")</f>
        <v>CAN-058-003</v>
      </c>
      <c r="E697" s="4" t="s">
        <v>2032</v>
      </c>
      <c r="F697" s="3" t="str">
        <f>HYPERLINK("https://sitebase.nzcomms.co.nz/spm/spmcandidateview/CAN-058-003-A/","CAN-058-003-A")</f>
        <v>CAN-058-003-A</v>
      </c>
      <c r="G697" s="4" t="s">
        <v>2033</v>
      </c>
      <c r="H697" s="4" t="s">
        <v>2024</v>
      </c>
      <c r="I697" s="4">
        <v>8</v>
      </c>
      <c r="J697" s="4" t="s">
        <v>180</v>
      </c>
      <c r="K697" s="4" t="s">
        <v>141</v>
      </c>
      <c r="L697" s="4" t="s">
        <v>142</v>
      </c>
      <c r="M697" s="4" t="s">
        <v>190</v>
      </c>
      <c r="N697" s="4" t="s">
        <v>142</v>
      </c>
      <c r="O697" s="4"/>
      <c r="P697" s="4" t="s">
        <v>169</v>
      </c>
      <c r="Q697" s="4" t="s">
        <v>142</v>
      </c>
      <c r="R697" s="4"/>
      <c r="S697" s="4"/>
      <c r="T697" s="4">
        <v>1</v>
      </c>
      <c r="U697" s="4">
        <v>-42.998770280000002</v>
      </c>
      <c r="V697" s="4">
        <v>172.72588268999999</v>
      </c>
      <c r="W697" s="4"/>
      <c r="X697" s="5">
        <v>40940</v>
      </c>
      <c r="Y697" s="4"/>
      <c r="Z697" s="5">
        <v>41152</v>
      </c>
      <c r="AA697" s="4" t="s">
        <v>171</v>
      </c>
      <c r="AB697" s="3" t="str">
        <f>HYPERLINK("https://sitebase.nzcomms.co.nz/spm/spmcandidateview/CAN-058-011-A/","CAN-058-011-A")</f>
        <v>CAN-058-011-A</v>
      </c>
      <c r="AC697" s="4" t="b">
        <v>0</v>
      </c>
      <c r="AD697" s="4" t="b">
        <v>0</v>
      </c>
      <c r="AE697" s="4"/>
      <c r="AF697" s="4"/>
      <c r="AG697" s="4" t="b">
        <v>0</v>
      </c>
      <c r="AH697" s="4"/>
      <c r="AI697" s="5">
        <v>40961</v>
      </c>
      <c r="AJ697" s="5">
        <v>40961</v>
      </c>
      <c r="AK697" s="5">
        <v>40968</v>
      </c>
      <c r="AL697" s="5">
        <v>40969</v>
      </c>
      <c r="AM697" s="5">
        <v>41009</v>
      </c>
      <c r="AN697" s="5">
        <v>41011</v>
      </c>
      <c r="AO697" s="4">
        <v>4</v>
      </c>
      <c r="AP697" s="5">
        <v>41009</v>
      </c>
      <c r="AQ697" s="5">
        <v>41086</v>
      </c>
      <c r="AR697" s="5">
        <v>41103</v>
      </c>
      <c r="AS697" s="5">
        <v>41080</v>
      </c>
      <c r="AT697" s="5">
        <v>41136</v>
      </c>
      <c r="AU697" s="5">
        <v>41136</v>
      </c>
      <c r="AV697" s="4"/>
      <c r="AW697" s="4"/>
      <c r="AX697" s="5">
        <v>41180</v>
      </c>
      <c r="AY697" s="4" t="s">
        <v>247</v>
      </c>
      <c r="AZ697" s="5">
        <v>41108</v>
      </c>
      <c r="BA697" s="5">
        <v>41085</v>
      </c>
      <c r="BB697" s="5">
        <v>41113</v>
      </c>
      <c r="BC697" s="5">
        <v>41107</v>
      </c>
      <c r="BD697" s="4">
        <v>4</v>
      </c>
      <c r="BE697" s="4"/>
      <c r="BF697" s="5">
        <v>41107</v>
      </c>
      <c r="BG697" s="4"/>
      <c r="BH697" s="4"/>
      <c r="BI697" s="5">
        <v>41143</v>
      </c>
      <c r="BJ697" s="5">
        <v>41158</v>
      </c>
      <c r="BK697" s="4">
        <v>1</v>
      </c>
      <c r="BL697" s="4"/>
      <c r="BM697" s="4"/>
      <c r="BN697" s="5">
        <v>41158</v>
      </c>
      <c r="BO697" s="5">
        <v>41184</v>
      </c>
      <c r="BP697" s="4"/>
      <c r="BQ697" s="4"/>
      <c r="BR697" s="4"/>
      <c r="BS697" s="4"/>
      <c r="BT697" s="5">
        <v>41187</v>
      </c>
      <c r="BU697" s="5">
        <v>41187</v>
      </c>
      <c r="BV697" s="5">
        <v>41208</v>
      </c>
      <c r="BW697" s="5">
        <v>41208</v>
      </c>
      <c r="BX697" s="5">
        <v>41187</v>
      </c>
      <c r="BY697" s="5">
        <v>41227</v>
      </c>
      <c r="BZ697" s="5">
        <v>41227</v>
      </c>
      <c r="CA697" s="4"/>
      <c r="CB697" s="4"/>
      <c r="CC697" s="4"/>
      <c r="CD697" s="4"/>
      <c r="CE697" s="4"/>
      <c r="CF697" s="4"/>
      <c r="CG697" s="4"/>
      <c r="CH697" s="4"/>
      <c r="CI697" s="5">
        <v>41228</v>
      </c>
      <c r="CJ697" s="5">
        <v>41236</v>
      </c>
      <c r="CK697" s="5">
        <v>41235</v>
      </c>
      <c r="CL697" s="5">
        <v>41247</v>
      </c>
      <c r="CM697" s="5">
        <v>41242</v>
      </c>
      <c r="CN697" s="5">
        <v>41473</v>
      </c>
      <c r="CO697" s="5">
        <v>41458</v>
      </c>
      <c r="CP697" s="4" t="s">
        <v>2034</v>
      </c>
      <c r="CQ697" s="4" t="s">
        <v>230</v>
      </c>
      <c r="CR697" s="5">
        <v>41227</v>
      </c>
      <c r="CS697" s="5">
        <v>41108</v>
      </c>
      <c r="CT697" s="5">
        <v>41108</v>
      </c>
      <c r="CU697" s="5">
        <v>41165</v>
      </c>
      <c r="CV697" s="5">
        <v>41183</v>
      </c>
      <c r="CW697" s="5">
        <v>41166</v>
      </c>
      <c r="CX697" s="5">
        <v>41184</v>
      </c>
      <c r="CY697" s="5">
        <v>41221</v>
      </c>
      <c r="CZ697" s="5">
        <v>41221</v>
      </c>
      <c r="DA697" s="5">
        <v>41225</v>
      </c>
      <c r="DB697" s="5">
        <v>41229</v>
      </c>
      <c r="DC697" s="5">
        <v>40947</v>
      </c>
      <c r="DD697" s="4" t="s">
        <v>586</v>
      </c>
      <c r="DE697" s="4" t="s">
        <v>2013</v>
      </c>
      <c r="DF697" s="4"/>
      <c r="DG697" s="4"/>
      <c r="DH697" s="4" t="s">
        <v>174</v>
      </c>
      <c r="DI697" s="5">
        <v>41188</v>
      </c>
      <c r="DJ697" s="4" t="b">
        <v>1</v>
      </c>
      <c r="DK697" s="4"/>
      <c r="DL697" s="4">
        <v>2487658</v>
      </c>
      <c r="DM697" s="4">
        <v>5800919</v>
      </c>
      <c r="DN697" s="4" t="s">
        <v>2035</v>
      </c>
      <c r="DO697" s="4"/>
      <c r="DP697" s="4" t="s">
        <v>2036</v>
      </c>
      <c r="DQ697" s="4" t="s">
        <v>148</v>
      </c>
      <c r="DR697" s="4"/>
      <c r="DS697" s="4"/>
      <c r="DT697" s="4"/>
      <c r="DU697" s="4"/>
      <c r="DV697" s="4"/>
      <c r="DW697" s="4"/>
      <c r="DX697" s="4"/>
      <c r="DY697" s="4"/>
      <c r="DZ697" s="4"/>
      <c r="EA697" s="4"/>
      <c r="EB697" s="4"/>
      <c r="EC697" s="4"/>
      <c r="ED697" s="4"/>
      <c r="EE697" s="4"/>
      <c r="EF697" s="4"/>
      <c r="EG697" s="5">
        <v>41234</v>
      </c>
      <c r="EH697" s="5">
        <v>41233</v>
      </c>
      <c r="EI697" s="4"/>
    </row>
    <row r="698" spans="1:139" hidden="1" x14ac:dyDescent="0.2">
      <c r="A698" t="str">
        <f>VLOOKUP(B698,Sheet1!$A$1:$B$18,2,FALSE)</f>
        <v>South Island</v>
      </c>
      <c r="B698" t="str">
        <f>LEFT(D698,3)</f>
        <v>CAN</v>
      </c>
      <c r="C698" s="2">
        <v>633</v>
      </c>
      <c r="D698" s="3" t="str">
        <f>HYPERLINK("https://sitebase.nzcomms.co.nz/spm/spmnominalview/CAN-058-011/","CAN-058-011")</f>
        <v>CAN-058-011</v>
      </c>
      <c r="E698" s="4" t="s">
        <v>2039</v>
      </c>
      <c r="F698" s="3" t="str">
        <f>HYPERLINK("https://sitebase.nzcomms.co.nz/spm/spmcandidateview/CAN-058-011-A/","CAN-058-011-A")</f>
        <v>CAN-058-011-A</v>
      </c>
      <c r="G698" s="4" t="s">
        <v>2040</v>
      </c>
      <c r="H698" s="4" t="s">
        <v>2024</v>
      </c>
      <c r="I698" s="4">
        <v>8</v>
      </c>
      <c r="J698" s="4" t="s">
        <v>180</v>
      </c>
      <c r="K698" s="4" t="s">
        <v>141</v>
      </c>
      <c r="L698" s="4" t="s">
        <v>142</v>
      </c>
      <c r="M698" s="4" t="s">
        <v>190</v>
      </c>
      <c r="N698" s="4" t="s">
        <v>142</v>
      </c>
      <c r="O698" s="4"/>
      <c r="P698" s="4" t="s">
        <v>182</v>
      </c>
      <c r="Q698" s="4" t="s">
        <v>142</v>
      </c>
      <c r="R698" s="4"/>
      <c r="S698" s="4"/>
      <c r="T698" s="4">
        <v>1</v>
      </c>
      <c r="U698" s="4">
        <v>-43.152740870000002</v>
      </c>
      <c r="V698" s="4">
        <v>172.72775109</v>
      </c>
      <c r="W698" s="4"/>
      <c r="X698" s="4"/>
      <c r="Y698" s="4"/>
      <c r="Z698" s="5">
        <v>41152</v>
      </c>
      <c r="AA698" s="4" t="s">
        <v>145</v>
      </c>
      <c r="AB698" s="3" t="str">
        <f>HYPERLINK("https://sitebase.nzcomms.co.nz/spm/spmcandidateview/CHC-060-114-A/","CHC-060-114-A")</f>
        <v>CHC-060-114-A</v>
      </c>
      <c r="AC698" s="4" t="b">
        <v>0</v>
      </c>
      <c r="AD698" s="4" t="b">
        <v>0</v>
      </c>
      <c r="AE698" s="4"/>
      <c r="AF698" s="4"/>
      <c r="AG698" s="4" t="b">
        <v>0</v>
      </c>
      <c r="AH698" s="4"/>
      <c r="AI698" s="5">
        <v>40961</v>
      </c>
      <c r="AJ698" s="5">
        <v>40961</v>
      </c>
      <c r="AK698" s="5">
        <v>40968</v>
      </c>
      <c r="AL698" s="5">
        <v>40970</v>
      </c>
      <c r="AM698" s="5">
        <v>41040</v>
      </c>
      <c r="AN698" s="5">
        <v>41033</v>
      </c>
      <c r="AO698" s="4">
        <v>2</v>
      </c>
      <c r="AP698" s="5">
        <v>41052</v>
      </c>
      <c r="AQ698" s="5">
        <v>41053</v>
      </c>
      <c r="AR698" s="5">
        <v>41113</v>
      </c>
      <c r="AS698" s="5">
        <v>41108</v>
      </c>
      <c r="AT698" s="5">
        <v>41117</v>
      </c>
      <c r="AU698" s="5">
        <v>41115</v>
      </c>
      <c r="AV698" s="4"/>
      <c r="AW698" s="5">
        <v>41136</v>
      </c>
      <c r="AX698" s="4"/>
      <c r="AY698" s="4" t="s">
        <v>183</v>
      </c>
      <c r="AZ698" s="5">
        <v>41109</v>
      </c>
      <c r="BA698" s="5">
        <v>41110</v>
      </c>
      <c r="BB698" s="5">
        <v>41141</v>
      </c>
      <c r="BC698" s="5">
        <v>41136</v>
      </c>
      <c r="BD698" s="4">
        <v>2</v>
      </c>
      <c r="BE698" s="4"/>
      <c r="BF698" s="4"/>
      <c r="BG698" s="4"/>
      <c r="BH698" s="4"/>
      <c r="BI698" s="5">
        <v>41184</v>
      </c>
      <c r="BJ698" s="5">
        <v>41185</v>
      </c>
      <c r="BK698" s="4">
        <v>1</v>
      </c>
      <c r="BL698" s="4"/>
      <c r="BM698" s="5">
        <v>41184</v>
      </c>
      <c r="BN698" s="5">
        <v>41185</v>
      </c>
      <c r="BO698" s="5">
        <v>41201</v>
      </c>
      <c r="BP698" s="4"/>
      <c r="BQ698" s="4"/>
      <c r="BR698" s="5">
        <v>41165</v>
      </c>
      <c r="BS698" s="4"/>
      <c r="BT698" s="5">
        <v>41207</v>
      </c>
      <c r="BU698" s="5">
        <v>41207</v>
      </c>
      <c r="BV698" s="5">
        <v>41225</v>
      </c>
      <c r="BW698" s="5">
        <v>41225</v>
      </c>
      <c r="BX698" s="5">
        <v>41219</v>
      </c>
      <c r="BY698" s="5">
        <v>41228</v>
      </c>
      <c r="BZ698" s="5">
        <v>41228</v>
      </c>
      <c r="CA698" s="4"/>
      <c r="CB698" s="4"/>
      <c r="CC698" s="4"/>
      <c r="CD698" s="4"/>
      <c r="CE698" s="4"/>
      <c r="CF698" s="4"/>
      <c r="CG698" s="4"/>
      <c r="CH698" s="4"/>
      <c r="CI698" s="5">
        <v>41228</v>
      </c>
      <c r="CJ698" s="5">
        <v>41236</v>
      </c>
      <c r="CK698" s="5">
        <v>41236</v>
      </c>
      <c r="CL698" s="5">
        <v>41247</v>
      </c>
      <c r="CM698" s="5">
        <v>41242</v>
      </c>
      <c r="CN698" s="5">
        <v>41418</v>
      </c>
      <c r="CO698" s="5">
        <v>41408</v>
      </c>
      <c r="CP698" s="4" t="s">
        <v>2041</v>
      </c>
      <c r="CQ698" s="4" t="s">
        <v>205</v>
      </c>
      <c r="CR698" s="5">
        <v>41228</v>
      </c>
      <c r="CS698" s="5">
        <v>41108</v>
      </c>
      <c r="CT698" s="5">
        <v>41108</v>
      </c>
      <c r="CU698" s="5">
        <v>41204</v>
      </c>
      <c r="CV698" s="5">
        <v>41219</v>
      </c>
      <c r="CW698" s="5">
        <v>41201</v>
      </c>
      <c r="CX698" s="5">
        <v>41201</v>
      </c>
      <c r="CY698" s="5">
        <v>41222</v>
      </c>
      <c r="CZ698" s="5">
        <v>41222</v>
      </c>
      <c r="DA698" s="5">
        <v>41227</v>
      </c>
      <c r="DB698" s="5">
        <v>41229</v>
      </c>
      <c r="DC698" s="5">
        <v>40947</v>
      </c>
      <c r="DD698" s="4" t="s">
        <v>586</v>
      </c>
      <c r="DE698" s="4" t="s">
        <v>2013</v>
      </c>
      <c r="DF698" s="5">
        <v>41222</v>
      </c>
      <c r="DG698" s="5">
        <v>41222</v>
      </c>
      <c r="DH698" s="4" t="s">
        <v>174</v>
      </c>
      <c r="DI698" s="5">
        <v>41225</v>
      </c>
      <c r="DJ698" s="4" t="b">
        <v>1</v>
      </c>
      <c r="DK698" s="5">
        <v>41165</v>
      </c>
      <c r="DL698" s="4">
        <v>2487867</v>
      </c>
      <c r="DM698" s="4">
        <v>5783815</v>
      </c>
      <c r="DN698" s="4" t="s">
        <v>2042</v>
      </c>
      <c r="DO698" s="4"/>
      <c r="DP698" s="4" t="s">
        <v>2043</v>
      </c>
      <c r="DQ698" s="4" t="s">
        <v>148</v>
      </c>
      <c r="DR698" s="4"/>
      <c r="DS698" s="4"/>
      <c r="DT698" s="4"/>
      <c r="DU698" s="4"/>
      <c r="DV698" s="4"/>
      <c r="DW698" s="4"/>
      <c r="DX698" s="4"/>
      <c r="DY698" s="4"/>
      <c r="DZ698" s="4"/>
      <c r="EA698" s="4"/>
      <c r="EB698" s="4"/>
      <c r="EC698" s="4"/>
      <c r="ED698" s="4"/>
      <c r="EE698" s="4"/>
      <c r="EF698" s="4"/>
      <c r="EG698" s="5">
        <v>41234</v>
      </c>
      <c r="EH698" s="5">
        <v>41234</v>
      </c>
      <c r="EI698" s="4"/>
    </row>
    <row r="699" spans="1:139" hidden="1" x14ac:dyDescent="0.2">
      <c r="A699" t="str">
        <f>VLOOKUP(B699,Sheet1!$A$1:$B$18,2,FALSE)</f>
        <v>South Island</v>
      </c>
      <c r="B699" t="str">
        <f>LEFT(D699,3)</f>
        <v>CAN</v>
      </c>
      <c r="C699" s="2">
        <v>680</v>
      </c>
      <c r="D699" s="3" t="str">
        <f>HYPERLINK("https://sitebase.nzcomms.co.nz/spm/spmnominalview/CAN-063-006/","CAN-063-006")</f>
        <v>CAN-063-006</v>
      </c>
      <c r="E699" s="4" t="s">
        <v>2214</v>
      </c>
      <c r="F699" s="3" t="str">
        <f>HYPERLINK("https://sitebase.nzcomms.co.nz/spm/spmcandidateview/CAN-063-006-A/","CAN-063-006-A")</f>
        <v>CAN-063-006-A</v>
      </c>
      <c r="G699" s="4" t="s">
        <v>2215</v>
      </c>
      <c r="H699" s="4" t="s">
        <v>2195</v>
      </c>
      <c r="I699" s="4">
        <v>4</v>
      </c>
      <c r="J699" s="4" t="s">
        <v>180</v>
      </c>
      <c r="K699" s="4" t="s">
        <v>141</v>
      </c>
      <c r="L699" s="4" t="s">
        <v>150</v>
      </c>
      <c r="M699" s="4" t="s">
        <v>190</v>
      </c>
      <c r="N699" s="4" t="s">
        <v>346</v>
      </c>
      <c r="O699" s="4"/>
      <c r="P699" s="4" t="s">
        <v>169</v>
      </c>
      <c r="Q699" s="4" t="s">
        <v>170</v>
      </c>
      <c r="R699" s="4">
        <v>35</v>
      </c>
      <c r="S699" s="4">
        <v>35</v>
      </c>
      <c r="T699" s="4">
        <v>1</v>
      </c>
      <c r="U699" s="4">
        <v>-44.050333449999997</v>
      </c>
      <c r="V699" s="4">
        <v>171.4147471</v>
      </c>
      <c r="W699" s="4"/>
      <c r="X699" s="5">
        <v>40918</v>
      </c>
      <c r="Y699" s="4"/>
      <c r="Z699" s="5">
        <v>41156</v>
      </c>
      <c r="AA699" s="4" t="s">
        <v>145</v>
      </c>
      <c r="AB699" s="3" t="str">
        <f>HYPERLINK("https://sitebase.nzcomms.co.nz/spm/spmcandidateview/CAN-063-004-A/","CAN-063-004-A")</f>
        <v>CAN-063-004-A</v>
      </c>
      <c r="AC699" s="4" t="b">
        <v>0</v>
      </c>
      <c r="AD699" s="4" t="b">
        <v>0</v>
      </c>
      <c r="AE699" s="4"/>
      <c r="AF699" s="4"/>
      <c r="AG699" s="4" t="b">
        <v>0</v>
      </c>
      <c r="AH699" s="4"/>
      <c r="AI699" s="5">
        <v>40962</v>
      </c>
      <c r="AJ699" s="5">
        <v>40962</v>
      </c>
      <c r="AK699" s="5">
        <v>40968</v>
      </c>
      <c r="AL699" s="5">
        <v>40973</v>
      </c>
      <c r="AM699" s="5">
        <v>41004</v>
      </c>
      <c r="AN699" s="5">
        <v>41012</v>
      </c>
      <c r="AO699" s="4">
        <v>2</v>
      </c>
      <c r="AP699" s="5">
        <v>41004</v>
      </c>
      <c r="AQ699" s="5">
        <v>41039</v>
      </c>
      <c r="AR699" s="5">
        <v>41036</v>
      </c>
      <c r="AS699" s="5">
        <v>41047</v>
      </c>
      <c r="AT699" s="5">
        <v>41060</v>
      </c>
      <c r="AU699" s="5">
        <v>41073</v>
      </c>
      <c r="AV699" s="4">
        <v>1</v>
      </c>
      <c r="AW699" s="4"/>
      <c r="AX699" s="5">
        <v>41073</v>
      </c>
      <c r="AY699" s="4" t="s">
        <v>183</v>
      </c>
      <c r="AZ699" s="5">
        <v>41045</v>
      </c>
      <c r="BA699" s="5">
        <v>41046</v>
      </c>
      <c r="BB699" s="5">
        <v>41082</v>
      </c>
      <c r="BC699" s="5">
        <v>41082</v>
      </c>
      <c r="BD699" s="4">
        <v>2</v>
      </c>
      <c r="BE699" s="4"/>
      <c r="BF699" s="4"/>
      <c r="BG699" s="5">
        <v>41138</v>
      </c>
      <c r="BH699" s="4"/>
      <c r="BI699" s="5">
        <v>41184</v>
      </c>
      <c r="BJ699" s="5">
        <v>41184</v>
      </c>
      <c r="BK699" s="4">
        <v>1</v>
      </c>
      <c r="BL699" s="4"/>
      <c r="BM699" s="5">
        <v>41184</v>
      </c>
      <c r="BN699" s="5">
        <v>41184</v>
      </c>
      <c r="BO699" s="5">
        <v>41151</v>
      </c>
      <c r="BP699" s="4"/>
      <c r="BQ699" s="4"/>
      <c r="BR699" s="4"/>
      <c r="BS699" s="4"/>
      <c r="BT699" s="5">
        <v>41148</v>
      </c>
      <c r="BU699" s="5">
        <v>41145</v>
      </c>
      <c r="BV699" s="5">
        <v>41208</v>
      </c>
      <c r="BW699" s="5">
        <v>41213</v>
      </c>
      <c r="BX699" s="5">
        <v>41170</v>
      </c>
      <c r="BY699" s="5">
        <v>41218</v>
      </c>
      <c r="BZ699" s="5">
        <v>41214</v>
      </c>
      <c r="CA699" s="5">
        <v>41222</v>
      </c>
      <c r="CB699" s="5">
        <v>41225</v>
      </c>
      <c r="CC699" s="4"/>
      <c r="CD699" s="4"/>
      <c r="CE699" s="4"/>
      <c r="CF699" s="4"/>
      <c r="CG699" s="4"/>
      <c r="CH699" s="4"/>
      <c r="CI699" s="5">
        <v>41227</v>
      </c>
      <c r="CJ699" s="5">
        <v>41236</v>
      </c>
      <c r="CK699" s="5">
        <v>41234</v>
      </c>
      <c r="CL699" s="5">
        <v>41249</v>
      </c>
      <c r="CM699" s="5">
        <v>41243</v>
      </c>
      <c r="CN699" s="5">
        <v>41537</v>
      </c>
      <c r="CO699" s="5">
        <v>41540</v>
      </c>
      <c r="CP699" s="4" t="s">
        <v>2216</v>
      </c>
      <c r="CQ699" s="4"/>
      <c r="CR699" s="5">
        <v>41220</v>
      </c>
      <c r="CS699" s="5">
        <v>41089</v>
      </c>
      <c r="CT699" s="5">
        <v>41088</v>
      </c>
      <c r="CU699" s="5">
        <v>41155</v>
      </c>
      <c r="CV699" s="5">
        <v>41156</v>
      </c>
      <c r="CW699" s="5">
        <v>41151</v>
      </c>
      <c r="CX699" s="5">
        <v>41151</v>
      </c>
      <c r="CY699" s="5">
        <v>41214</v>
      </c>
      <c r="CZ699" s="5">
        <v>41214</v>
      </c>
      <c r="DA699" s="5">
        <v>41226</v>
      </c>
      <c r="DB699" s="5">
        <v>41228</v>
      </c>
      <c r="DC699" s="5">
        <v>40947</v>
      </c>
      <c r="DD699" s="4" t="s">
        <v>586</v>
      </c>
      <c r="DE699" s="4" t="s">
        <v>2217</v>
      </c>
      <c r="DF699" s="4"/>
      <c r="DG699" s="4"/>
      <c r="DH699" s="4" t="s">
        <v>174</v>
      </c>
      <c r="DI699" s="5">
        <v>41171</v>
      </c>
      <c r="DJ699" s="4" t="b">
        <v>0</v>
      </c>
      <c r="DK699" s="4"/>
      <c r="DL699" s="4">
        <v>2382975</v>
      </c>
      <c r="DM699" s="4">
        <v>5682925</v>
      </c>
      <c r="DN699" s="4" t="s">
        <v>2218</v>
      </c>
      <c r="DO699" s="4"/>
      <c r="DP699" s="4" t="s">
        <v>2219</v>
      </c>
      <c r="DQ699" s="4" t="s">
        <v>148</v>
      </c>
      <c r="DR699" s="4"/>
      <c r="DS699" s="4"/>
      <c r="DT699" s="4"/>
      <c r="DU699" s="4"/>
      <c r="DV699" s="4"/>
      <c r="DW699" s="4"/>
      <c r="DX699" s="4"/>
      <c r="DY699" s="4"/>
      <c r="DZ699" s="4"/>
      <c r="EA699" s="4"/>
      <c r="EB699" s="4"/>
      <c r="EC699" s="4"/>
      <c r="ED699" s="4"/>
      <c r="EE699" s="4"/>
      <c r="EF699" s="4"/>
      <c r="EG699" s="5">
        <v>41235</v>
      </c>
      <c r="EH699" s="5">
        <v>41233</v>
      </c>
      <c r="EI699" s="5">
        <v>40973</v>
      </c>
    </row>
    <row r="700" spans="1:139" hidden="1" x14ac:dyDescent="0.2">
      <c r="A700" t="str">
        <f>VLOOKUP(B700,Sheet1!$A$1:$B$18,2,FALSE)</f>
        <v>South Island</v>
      </c>
      <c r="B700" t="str">
        <f>LEFT(D700,3)</f>
        <v>OTG</v>
      </c>
      <c r="C700" s="2">
        <v>1216</v>
      </c>
      <c r="D700" s="3" t="str">
        <f>HYPERLINK("https://sitebase.nzcomms.co.nz/spm/spmnominalview/OTG-070-009/","OTG-070-009")</f>
        <v>OTG-070-009</v>
      </c>
      <c r="E700" s="4" t="s">
        <v>3702</v>
      </c>
      <c r="F700" s="3" t="str">
        <f>HYPERLINK("https://sitebase.nzcomms.co.nz/spm/spmcandidateview/OTG-070-009-A/","OTG-070-009-A")</f>
        <v>OTG-070-009-A</v>
      </c>
      <c r="G700" s="4" t="s">
        <v>3703</v>
      </c>
      <c r="H700" s="4" t="s">
        <v>3682</v>
      </c>
      <c r="I700" s="4">
        <v>8</v>
      </c>
      <c r="J700" s="4" t="s">
        <v>180</v>
      </c>
      <c r="K700" s="4" t="s">
        <v>141</v>
      </c>
      <c r="L700" s="4" t="s">
        <v>150</v>
      </c>
      <c r="M700" s="4" t="s">
        <v>190</v>
      </c>
      <c r="N700" s="4" t="s">
        <v>291</v>
      </c>
      <c r="O700" s="4"/>
      <c r="P700" s="4" t="s">
        <v>182</v>
      </c>
      <c r="Q700" s="4" t="s">
        <v>170</v>
      </c>
      <c r="R700" s="4"/>
      <c r="S700" s="4">
        <v>8</v>
      </c>
      <c r="T700" s="4"/>
      <c r="U700" s="4">
        <v>-44.94848382</v>
      </c>
      <c r="V700" s="4">
        <v>168.85270980000001</v>
      </c>
      <c r="W700" s="4"/>
      <c r="X700" s="4"/>
      <c r="Y700" s="4"/>
      <c r="Z700" s="4"/>
      <c r="AA700" s="4" t="s">
        <v>171</v>
      </c>
      <c r="AB700" s="3" t="str">
        <f>HYPERLINK("https://sitebase.nzcomms.co.nz/spm/spmcandidateview/OTG-070-001-A/","OTG-070-001-A")</f>
        <v>OTG-070-001-A</v>
      </c>
      <c r="AC700" s="4" t="b">
        <v>0</v>
      </c>
      <c r="AD700" s="4" t="b">
        <v>0</v>
      </c>
      <c r="AE700" s="4"/>
      <c r="AF700" s="4"/>
      <c r="AG700" s="4" t="b">
        <v>0</v>
      </c>
      <c r="AH700" s="4"/>
      <c r="AI700" s="5">
        <v>40668</v>
      </c>
      <c r="AJ700" s="5">
        <v>40668</v>
      </c>
      <c r="AK700" s="5">
        <v>40683</v>
      </c>
      <c r="AL700" s="5">
        <v>40687</v>
      </c>
      <c r="AM700" s="5">
        <v>40725</v>
      </c>
      <c r="AN700" s="5">
        <v>40725</v>
      </c>
      <c r="AO700" s="4">
        <v>6</v>
      </c>
      <c r="AP700" s="5">
        <v>40779</v>
      </c>
      <c r="AQ700" s="5">
        <v>41550</v>
      </c>
      <c r="AR700" s="5">
        <v>41078</v>
      </c>
      <c r="AS700" s="5">
        <v>41082</v>
      </c>
      <c r="AT700" s="5">
        <v>40989</v>
      </c>
      <c r="AU700" s="5">
        <v>40987</v>
      </c>
      <c r="AV700" s="4">
        <v>4</v>
      </c>
      <c r="AW700" s="4"/>
      <c r="AX700" s="5">
        <v>40987</v>
      </c>
      <c r="AY700" s="4" t="s">
        <v>183</v>
      </c>
      <c r="AZ700" s="5">
        <v>40968</v>
      </c>
      <c r="BA700" s="5">
        <v>40954</v>
      </c>
      <c r="BB700" s="5">
        <v>41003</v>
      </c>
      <c r="BC700" s="5">
        <v>41025</v>
      </c>
      <c r="BD700" s="4">
        <v>2</v>
      </c>
      <c r="BE700" s="4"/>
      <c r="BF700" s="4"/>
      <c r="BG700" s="4"/>
      <c r="BH700" s="4"/>
      <c r="BI700" s="4"/>
      <c r="BJ700" s="5">
        <v>41249</v>
      </c>
      <c r="BK700" s="4">
        <v>1</v>
      </c>
      <c r="BL700" s="4"/>
      <c r="BM700" s="4"/>
      <c r="BN700" s="5">
        <v>41249</v>
      </c>
      <c r="BO700" s="5">
        <v>41218</v>
      </c>
      <c r="BP700" s="4"/>
      <c r="BQ700" s="4"/>
      <c r="BR700" s="4"/>
      <c r="BS700" s="4"/>
      <c r="BT700" s="5">
        <v>41178</v>
      </c>
      <c r="BU700" s="5">
        <v>41179</v>
      </c>
      <c r="BV700" s="5">
        <v>41228</v>
      </c>
      <c r="BW700" s="5">
        <v>41228</v>
      </c>
      <c r="BX700" s="5">
        <v>41218</v>
      </c>
      <c r="BY700" s="5">
        <v>41232</v>
      </c>
      <c r="BZ700" s="5">
        <v>41228</v>
      </c>
      <c r="CA700" s="4"/>
      <c r="CB700" s="4"/>
      <c r="CC700" s="4"/>
      <c r="CD700" s="4"/>
      <c r="CE700" s="4"/>
      <c r="CF700" s="4"/>
      <c r="CG700" s="4"/>
      <c r="CH700" s="4"/>
      <c r="CI700" s="5">
        <v>41234</v>
      </c>
      <c r="CJ700" s="5">
        <v>41243</v>
      </c>
      <c r="CK700" s="5">
        <v>41242</v>
      </c>
      <c r="CL700" s="5">
        <v>41253</v>
      </c>
      <c r="CM700" s="5">
        <v>41253</v>
      </c>
      <c r="CN700" s="5">
        <v>41446</v>
      </c>
      <c r="CO700" s="5">
        <v>41432</v>
      </c>
      <c r="CP700" s="4" t="s">
        <v>3704</v>
      </c>
      <c r="CQ700" s="4"/>
      <c r="CR700" s="5">
        <v>41232</v>
      </c>
      <c r="CS700" s="5">
        <v>41075</v>
      </c>
      <c r="CT700" s="5">
        <v>41035</v>
      </c>
      <c r="CU700" s="5">
        <v>41194</v>
      </c>
      <c r="CV700" s="5">
        <v>41218</v>
      </c>
      <c r="CW700" s="5">
        <v>41201</v>
      </c>
      <c r="CX700" s="5">
        <v>41218</v>
      </c>
      <c r="CY700" s="5">
        <v>41222</v>
      </c>
      <c r="CZ700" s="5">
        <v>41219</v>
      </c>
      <c r="DA700" s="5">
        <v>41236</v>
      </c>
      <c r="DB700" s="5">
        <v>41236</v>
      </c>
      <c r="DC700" s="4"/>
      <c r="DD700" s="4"/>
      <c r="DE700" s="4" t="s">
        <v>194</v>
      </c>
      <c r="DF700" s="4"/>
      <c r="DG700" s="4"/>
      <c r="DH700" s="4" t="s">
        <v>174</v>
      </c>
      <c r="DI700" s="5">
        <v>41218</v>
      </c>
      <c r="DJ700" s="4" t="b">
        <v>1</v>
      </c>
      <c r="DK700" s="4"/>
      <c r="DL700" s="4">
        <v>2182814</v>
      </c>
      <c r="DM700" s="4">
        <v>5576160</v>
      </c>
      <c r="DN700" s="4" t="s">
        <v>3705</v>
      </c>
      <c r="DO700" s="4"/>
      <c r="DP700" s="4"/>
      <c r="DQ700" s="4" t="s">
        <v>148</v>
      </c>
      <c r="DR700" s="4"/>
      <c r="DS700" s="4"/>
      <c r="DT700" s="4"/>
      <c r="DU700" s="4"/>
      <c r="DV700" s="4"/>
      <c r="DW700" s="4"/>
      <c r="DX700" s="4"/>
      <c r="DY700" s="4"/>
      <c r="DZ700" s="4"/>
      <c r="EA700" s="4"/>
      <c r="EB700" s="4"/>
      <c r="EC700" s="4"/>
      <c r="ED700" s="4"/>
      <c r="EE700" s="4"/>
      <c r="EF700" s="4"/>
      <c r="EG700" s="5">
        <v>41240</v>
      </c>
      <c r="EH700" s="5">
        <v>41241</v>
      </c>
      <c r="EI700" s="5">
        <v>40690</v>
      </c>
    </row>
    <row r="701" spans="1:139" hidden="1" x14ac:dyDescent="0.2">
      <c r="A701" t="str">
        <f>VLOOKUP(B701,Sheet1!$A$1:$B$18,2,FALSE)</f>
        <v>South Island</v>
      </c>
      <c r="B701" t="str">
        <f>LEFT(D701,3)</f>
        <v>CAN</v>
      </c>
      <c r="C701" s="2">
        <v>662</v>
      </c>
      <c r="D701" s="3" t="str">
        <f>HYPERLINK("https://sitebase.nzcomms.co.nz/spm/spmnominalview/CAN-062-008/","CAN-062-008")</f>
        <v>CAN-062-008</v>
      </c>
      <c r="E701" s="4" t="s">
        <v>2142</v>
      </c>
      <c r="F701" s="3" t="str">
        <f>HYPERLINK("https://sitebase.nzcomms.co.nz/spm/spmcandidateview/CAN-062-008-C/","CAN-062-008-C")</f>
        <v>CAN-062-008-C</v>
      </c>
      <c r="G701" s="4" t="s">
        <v>2143</v>
      </c>
      <c r="H701" s="4" t="s">
        <v>2111</v>
      </c>
      <c r="I701" s="4">
        <v>8</v>
      </c>
      <c r="J701" s="4" t="s">
        <v>180</v>
      </c>
      <c r="K701" s="4" t="s">
        <v>141</v>
      </c>
      <c r="L701" s="4" t="s">
        <v>150</v>
      </c>
      <c r="M701" s="4" t="s">
        <v>166</v>
      </c>
      <c r="N701" s="4" t="s">
        <v>346</v>
      </c>
      <c r="O701" s="4"/>
      <c r="P701" s="4" t="s">
        <v>182</v>
      </c>
      <c r="Q701" s="4" t="s">
        <v>192</v>
      </c>
      <c r="R701" s="4">
        <v>35</v>
      </c>
      <c r="S701" s="4">
        <v>35</v>
      </c>
      <c r="T701" s="4">
        <v>2</v>
      </c>
      <c r="U701" s="4">
        <v>-43.587805019999998</v>
      </c>
      <c r="V701" s="4">
        <v>172.37693404999999</v>
      </c>
      <c r="W701" s="4"/>
      <c r="X701" s="4"/>
      <c r="Y701" s="4"/>
      <c r="Z701" s="4"/>
      <c r="AA701" s="4" t="s">
        <v>145</v>
      </c>
      <c r="AB701" s="3" t="str">
        <f>HYPERLINK("https://sitebase.nzcomms.co.nz/spm/spmcandidateview/CHC-060-114-A/","CHC-060-114-A")</f>
        <v>CHC-060-114-A</v>
      </c>
      <c r="AC701" s="4" t="b">
        <v>0</v>
      </c>
      <c r="AD701" s="4" t="b">
        <v>0</v>
      </c>
      <c r="AE701" s="4"/>
      <c r="AF701" s="4"/>
      <c r="AG701" s="4" t="b">
        <v>0</v>
      </c>
      <c r="AH701" s="4"/>
      <c r="AI701" s="5">
        <v>40968</v>
      </c>
      <c r="AJ701" s="5">
        <v>40968</v>
      </c>
      <c r="AK701" s="5">
        <v>40981</v>
      </c>
      <c r="AL701" s="5">
        <v>40982</v>
      </c>
      <c r="AM701" s="5">
        <v>41054</v>
      </c>
      <c r="AN701" s="5">
        <v>41053</v>
      </c>
      <c r="AO701" s="4">
        <v>1</v>
      </c>
      <c r="AP701" s="5">
        <v>41054</v>
      </c>
      <c r="AQ701" s="5">
        <v>41053</v>
      </c>
      <c r="AR701" s="5">
        <v>41074</v>
      </c>
      <c r="AS701" s="5">
        <v>41072</v>
      </c>
      <c r="AT701" s="5">
        <v>41089</v>
      </c>
      <c r="AU701" s="5">
        <v>41085</v>
      </c>
      <c r="AV701" s="4">
        <v>1</v>
      </c>
      <c r="AW701" s="4"/>
      <c r="AX701" s="5">
        <v>41085</v>
      </c>
      <c r="AY701" s="4" t="s">
        <v>2064</v>
      </c>
      <c r="AZ701" s="5">
        <v>41073</v>
      </c>
      <c r="BA701" s="5">
        <v>41073</v>
      </c>
      <c r="BB701" s="5">
        <v>41101</v>
      </c>
      <c r="BC701" s="5">
        <v>41103</v>
      </c>
      <c r="BD701" s="4">
        <v>1</v>
      </c>
      <c r="BE701" s="4"/>
      <c r="BF701" s="4"/>
      <c r="BG701" s="4"/>
      <c r="BH701" s="4"/>
      <c r="BI701" s="5">
        <v>41180</v>
      </c>
      <c r="BJ701" s="5">
        <v>41180</v>
      </c>
      <c r="BK701" s="4">
        <v>2</v>
      </c>
      <c r="BL701" s="4"/>
      <c r="BM701" s="5">
        <v>41180</v>
      </c>
      <c r="BN701" s="5">
        <v>41185</v>
      </c>
      <c r="BO701" s="5">
        <v>41187</v>
      </c>
      <c r="BP701" s="4"/>
      <c r="BQ701" s="4"/>
      <c r="BR701" s="5">
        <v>41165</v>
      </c>
      <c r="BS701" s="4"/>
      <c r="BT701" s="5">
        <v>41191</v>
      </c>
      <c r="BU701" s="5">
        <v>41191</v>
      </c>
      <c r="BV701" s="5">
        <v>41250</v>
      </c>
      <c r="BW701" s="5">
        <v>41249</v>
      </c>
      <c r="BX701" s="5">
        <v>41213</v>
      </c>
      <c r="BY701" s="5">
        <v>41236</v>
      </c>
      <c r="BZ701" s="5">
        <v>41236</v>
      </c>
      <c r="CA701" s="4"/>
      <c r="CB701" s="4"/>
      <c r="CC701" s="4"/>
      <c r="CD701" s="4"/>
      <c r="CE701" s="4"/>
      <c r="CF701" s="4"/>
      <c r="CG701" s="4"/>
      <c r="CH701" s="4"/>
      <c r="CI701" s="5">
        <v>41253</v>
      </c>
      <c r="CJ701" s="5">
        <v>41244</v>
      </c>
      <c r="CK701" s="5">
        <v>41256</v>
      </c>
      <c r="CL701" s="5">
        <v>41271</v>
      </c>
      <c r="CM701" s="5">
        <v>41261</v>
      </c>
      <c r="CN701" s="5">
        <v>41561</v>
      </c>
      <c r="CO701" s="5">
        <v>41628</v>
      </c>
      <c r="CP701" s="4" t="s">
        <v>2144</v>
      </c>
      <c r="CQ701" s="4"/>
      <c r="CR701" s="5">
        <v>41247</v>
      </c>
      <c r="CS701" s="5">
        <v>41128</v>
      </c>
      <c r="CT701" s="5">
        <v>41128</v>
      </c>
      <c r="CU701" s="5">
        <v>41208</v>
      </c>
      <c r="CV701" s="5">
        <v>41191</v>
      </c>
      <c r="CW701" s="5">
        <v>41204</v>
      </c>
      <c r="CX701" s="5">
        <v>41187</v>
      </c>
      <c r="CY701" s="5">
        <v>41248</v>
      </c>
      <c r="CZ701" s="5">
        <v>41254</v>
      </c>
      <c r="DA701" s="5">
        <v>41239</v>
      </c>
      <c r="DB701" s="5">
        <v>41256</v>
      </c>
      <c r="DC701" s="4"/>
      <c r="DD701" s="4" t="s">
        <v>586</v>
      </c>
      <c r="DE701" s="4" t="s">
        <v>2054</v>
      </c>
      <c r="DF701" s="5">
        <v>41223</v>
      </c>
      <c r="DG701" s="5">
        <v>41222</v>
      </c>
      <c r="DH701" s="4" t="s">
        <v>174</v>
      </c>
      <c r="DI701" s="5">
        <v>41212</v>
      </c>
      <c r="DJ701" s="4" t="b">
        <v>1</v>
      </c>
      <c r="DK701" s="5">
        <v>41165</v>
      </c>
      <c r="DL701" s="4">
        <v>2459694</v>
      </c>
      <c r="DM701" s="4">
        <v>5735329</v>
      </c>
      <c r="DN701" s="4" t="s">
        <v>2145</v>
      </c>
      <c r="DO701" s="4"/>
      <c r="DP701" s="4" t="s">
        <v>2146</v>
      </c>
      <c r="DQ701" s="4" t="s">
        <v>148</v>
      </c>
      <c r="DR701" s="4"/>
      <c r="DS701" s="4"/>
      <c r="DT701" s="5">
        <v>42292</v>
      </c>
      <c r="DU701" s="4"/>
      <c r="DV701" s="4"/>
      <c r="DW701" s="4"/>
      <c r="DX701" s="4"/>
      <c r="DY701" s="4"/>
      <c r="DZ701" s="4"/>
      <c r="EA701" s="4"/>
      <c r="EB701" s="4"/>
      <c r="EC701" s="4"/>
      <c r="ED701" s="4"/>
      <c r="EE701" s="4"/>
      <c r="EF701" s="4"/>
      <c r="EG701" s="5">
        <v>41255</v>
      </c>
      <c r="EH701" s="5">
        <v>41255</v>
      </c>
      <c r="EI701" s="4"/>
    </row>
    <row r="702" spans="1:139" hidden="1" x14ac:dyDescent="0.2">
      <c r="A702" t="str">
        <f>VLOOKUP(B702,Sheet1!$A$1:$B$18,2,FALSE)</f>
        <v>South Island</v>
      </c>
      <c r="B702" t="str">
        <f>LEFT(D702,3)</f>
        <v>CAN</v>
      </c>
      <c r="C702" s="2">
        <v>689</v>
      </c>
      <c r="D702" s="3" t="str">
        <f>HYPERLINK("https://sitebase.nzcomms.co.nz/spm/spmnominalview/CAN-064-007/","CAN-064-007")</f>
        <v>CAN-064-007</v>
      </c>
      <c r="E702" s="4" t="s">
        <v>2229</v>
      </c>
      <c r="F702" s="3" t="str">
        <f>HYPERLINK("https://sitebase.nzcomms.co.nz/spm/spmcandidateview/CAN-064-007-D/","CAN-064-007-D")</f>
        <v>CAN-064-007-D</v>
      </c>
      <c r="G702" s="4" t="s">
        <v>2258</v>
      </c>
      <c r="H702" s="4" t="s">
        <v>2229</v>
      </c>
      <c r="I702" s="4">
        <v>4</v>
      </c>
      <c r="J702" s="4" t="s">
        <v>180</v>
      </c>
      <c r="K702" s="4" t="s">
        <v>141</v>
      </c>
      <c r="L702" s="4" t="s">
        <v>181</v>
      </c>
      <c r="M702" s="4" t="s">
        <v>166</v>
      </c>
      <c r="N702" s="4" t="s">
        <v>181</v>
      </c>
      <c r="O702" s="4"/>
      <c r="P702" s="4" t="s">
        <v>182</v>
      </c>
      <c r="Q702" s="4" t="s">
        <v>170</v>
      </c>
      <c r="R702" s="4">
        <v>40</v>
      </c>
      <c r="S702" s="4">
        <v>40</v>
      </c>
      <c r="T702" s="4">
        <v>1</v>
      </c>
      <c r="U702" s="4">
        <v>-44.397337550000003</v>
      </c>
      <c r="V702" s="4">
        <v>171.25460446</v>
      </c>
      <c r="W702" s="5">
        <v>40325</v>
      </c>
      <c r="X702" s="5">
        <v>40917</v>
      </c>
      <c r="Y702" s="5">
        <v>40353</v>
      </c>
      <c r="Z702" s="5">
        <v>40471</v>
      </c>
      <c r="AA702" s="4" t="s">
        <v>145</v>
      </c>
      <c r="AB702" s="3" t="str">
        <f>HYPERLINK("https://sitebase.nzcomms.co.nz/spm/spmcandidateview/CAN-064-016-A/","CAN-064-016-A")</f>
        <v>CAN-064-016-A</v>
      </c>
      <c r="AC702" s="4" t="b">
        <v>0</v>
      </c>
      <c r="AD702" s="4" t="b">
        <v>0</v>
      </c>
      <c r="AE702" s="5">
        <v>40325</v>
      </c>
      <c r="AF702" s="5">
        <v>40325</v>
      </c>
      <c r="AG702" s="4" t="b">
        <v>0</v>
      </c>
      <c r="AH702" s="4"/>
      <c r="AI702" s="5">
        <v>40989</v>
      </c>
      <c r="AJ702" s="5">
        <v>40989</v>
      </c>
      <c r="AK702" s="5">
        <v>40996</v>
      </c>
      <c r="AL702" s="5">
        <v>40996</v>
      </c>
      <c r="AM702" s="5">
        <v>41068</v>
      </c>
      <c r="AN702" s="5">
        <v>41073</v>
      </c>
      <c r="AO702" s="4">
        <v>2</v>
      </c>
      <c r="AP702" s="5">
        <v>41073</v>
      </c>
      <c r="AQ702" s="5">
        <v>41107</v>
      </c>
      <c r="AR702" s="5">
        <v>41117</v>
      </c>
      <c r="AS702" s="5">
        <v>41099</v>
      </c>
      <c r="AT702" s="5">
        <v>41124</v>
      </c>
      <c r="AU702" s="5">
        <v>41124</v>
      </c>
      <c r="AV702" s="4">
        <v>2</v>
      </c>
      <c r="AW702" s="4"/>
      <c r="AX702" s="5">
        <v>41165</v>
      </c>
      <c r="AY702" s="4" t="s">
        <v>198</v>
      </c>
      <c r="AZ702" s="5">
        <v>41113</v>
      </c>
      <c r="BA702" s="5">
        <v>41113</v>
      </c>
      <c r="BB702" s="5">
        <v>41146</v>
      </c>
      <c r="BC702" s="5">
        <v>41141</v>
      </c>
      <c r="BD702" s="4">
        <v>2</v>
      </c>
      <c r="BE702" s="4"/>
      <c r="BF702" s="4"/>
      <c r="BG702" s="4"/>
      <c r="BH702" s="4"/>
      <c r="BI702" s="5">
        <v>41236</v>
      </c>
      <c r="BJ702" s="5">
        <v>41239</v>
      </c>
      <c r="BK702" s="4">
        <v>1</v>
      </c>
      <c r="BL702" s="4"/>
      <c r="BM702" s="5">
        <v>41236</v>
      </c>
      <c r="BN702" s="5">
        <v>41239</v>
      </c>
      <c r="BO702" s="5">
        <v>41211</v>
      </c>
      <c r="BP702" s="4"/>
      <c r="BQ702" s="4"/>
      <c r="BR702" s="4"/>
      <c r="BS702" s="4"/>
      <c r="BT702" s="5">
        <v>41205</v>
      </c>
      <c r="BU702" s="5">
        <v>41205</v>
      </c>
      <c r="BV702" s="5">
        <v>41239</v>
      </c>
      <c r="BW702" s="5">
        <v>41240</v>
      </c>
      <c r="BX702" s="5">
        <v>41210</v>
      </c>
      <c r="BY702" s="5">
        <v>41234</v>
      </c>
      <c r="BZ702" s="5">
        <v>41237</v>
      </c>
      <c r="CA702" s="4"/>
      <c r="CB702" s="4"/>
      <c r="CC702" s="4"/>
      <c r="CD702" s="5">
        <v>41078</v>
      </c>
      <c r="CE702" s="4"/>
      <c r="CF702" s="4"/>
      <c r="CG702" s="4"/>
      <c r="CH702" s="4"/>
      <c r="CI702" s="5">
        <v>41240</v>
      </c>
      <c r="CJ702" s="5">
        <v>41248</v>
      </c>
      <c r="CK702" s="5">
        <v>41249</v>
      </c>
      <c r="CL702" s="5">
        <v>41255</v>
      </c>
      <c r="CM702" s="5">
        <v>41254</v>
      </c>
      <c r="CN702" s="5">
        <v>41565</v>
      </c>
      <c r="CO702" s="5">
        <v>41611</v>
      </c>
      <c r="CP702" s="4" t="s">
        <v>2259</v>
      </c>
      <c r="CQ702" s="4" t="s">
        <v>205</v>
      </c>
      <c r="CR702" s="5">
        <v>41235</v>
      </c>
      <c r="CS702" s="5">
        <v>41149</v>
      </c>
      <c r="CT702" s="5">
        <v>41149</v>
      </c>
      <c r="CU702" s="5">
        <v>41192</v>
      </c>
      <c r="CV702" s="5">
        <v>41198</v>
      </c>
      <c r="CW702" s="5">
        <v>41212</v>
      </c>
      <c r="CX702" s="5">
        <v>41211</v>
      </c>
      <c r="CY702" s="5">
        <v>41228</v>
      </c>
      <c r="CZ702" s="5">
        <v>41232</v>
      </c>
      <c r="DA702" s="5">
        <v>41240</v>
      </c>
      <c r="DB702" s="5">
        <v>41241</v>
      </c>
      <c r="DC702" s="5">
        <v>40953</v>
      </c>
      <c r="DD702" s="4" t="s">
        <v>586</v>
      </c>
      <c r="DE702" s="4" t="s">
        <v>2245</v>
      </c>
      <c r="DF702" s="5">
        <v>41232</v>
      </c>
      <c r="DG702" s="5">
        <v>41232</v>
      </c>
      <c r="DH702" s="4" t="s">
        <v>174</v>
      </c>
      <c r="DI702" s="5">
        <v>41207</v>
      </c>
      <c r="DJ702" s="4" t="b">
        <v>0</v>
      </c>
      <c r="DK702" s="4"/>
      <c r="DL702" s="4">
        <v>2370950</v>
      </c>
      <c r="DM702" s="4">
        <v>5644122</v>
      </c>
      <c r="DN702" s="4" t="s">
        <v>2260</v>
      </c>
      <c r="DO702" s="4"/>
      <c r="DP702" s="4" t="s">
        <v>2261</v>
      </c>
      <c r="DQ702" s="4" t="s">
        <v>148</v>
      </c>
      <c r="DR702" s="4"/>
      <c r="DS702" s="4"/>
      <c r="DT702" s="4"/>
      <c r="DU702" s="4"/>
      <c r="DV702" s="4"/>
      <c r="DW702" s="4"/>
      <c r="DX702" s="4"/>
      <c r="DY702" s="4"/>
      <c r="DZ702" s="4"/>
      <c r="EA702" s="4"/>
      <c r="EB702" s="4"/>
      <c r="EC702" s="4"/>
      <c r="ED702" s="4"/>
      <c r="EE702" s="4"/>
      <c r="EF702" s="4"/>
      <c r="EG702" s="5">
        <v>41246</v>
      </c>
      <c r="EH702" s="5">
        <v>41242</v>
      </c>
      <c r="EI702" s="5">
        <v>40996</v>
      </c>
    </row>
    <row r="703" spans="1:139" hidden="1" x14ac:dyDescent="0.2">
      <c r="A703" t="str">
        <f>VLOOKUP(B703,Sheet1!$A$1:$B$18,2,FALSE)</f>
        <v>South Island</v>
      </c>
      <c r="B703" t="str">
        <f>LEFT(D703,3)</f>
        <v>CAN</v>
      </c>
      <c r="C703" s="2">
        <v>621</v>
      </c>
      <c r="D703" s="3" t="str">
        <f>HYPERLINK("https://sitebase.nzcomms.co.nz/spm/spmnominalview/CAN-054-001/","CAN-054-001")</f>
        <v>CAN-054-001</v>
      </c>
      <c r="E703" s="4" t="s">
        <v>2009</v>
      </c>
      <c r="F703" s="3" t="str">
        <f>HYPERLINK("https://sitebase.nzcomms.co.nz/spm/spmcandidateview/CAN-054-001-B/","CAN-054-001-B")</f>
        <v>CAN-054-001-B</v>
      </c>
      <c r="G703" s="4" t="s">
        <v>2010</v>
      </c>
      <c r="H703" s="4" t="s">
        <v>2011</v>
      </c>
      <c r="I703" s="4">
        <v>8</v>
      </c>
      <c r="J703" s="4" t="s">
        <v>180</v>
      </c>
      <c r="K703" s="4" t="s">
        <v>141</v>
      </c>
      <c r="L703" s="4" t="s">
        <v>150</v>
      </c>
      <c r="M703" s="4" t="s">
        <v>190</v>
      </c>
      <c r="N703" s="4" t="s">
        <v>269</v>
      </c>
      <c r="O703" s="4"/>
      <c r="P703" s="4" t="s">
        <v>182</v>
      </c>
      <c r="Q703" s="4" t="s">
        <v>192</v>
      </c>
      <c r="R703" s="4">
        <v>20</v>
      </c>
      <c r="S703" s="4">
        <v>20</v>
      </c>
      <c r="T703" s="4">
        <v>1</v>
      </c>
      <c r="U703" s="4">
        <v>-42.392131730000003</v>
      </c>
      <c r="V703" s="4">
        <v>173.6801724</v>
      </c>
      <c r="W703" s="4"/>
      <c r="X703" s="5">
        <v>41064</v>
      </c>
      <c r="Y703" s="4"/>
      <c r="Z703" s="5">
        <v>41152</v>
      </c>
      <c r="AA703" s="4" t="s">
        <v>171</v>
      </c>
      <c r="AB703" s="3" t="str">
        <f>HYPERLINK("https://sitebase.nzcomms.co.nz/spm/spmcandidateview/CAN-054-002-E/","CAN-054-002-E")</f>
        <v>CAN-054-002-E</v>
      </c>
      <c r="AC703" s="4" t="b">
        <v>0</v>
      </c>
      <c r="AD703" s="4" t="b">
        <v>0</v>
      </c>
      <c r="AE703" s="4"/>
      <c r="AF703" s="4"/>
      <c r="AG703" s="4" t="b">
        <v>0</v>
      </c>
      <c r="AH703" s="4"/>
      <c r="AI703" s="5">
        <v>41023</v>
      </c>
      <c r="AJ703" s="5">
        <v>41023</v>
      </c>
      <c r="AK703" s="5">
        <v>41033</v>
      </c>
      <c r="AL703" s="5">
        <v>41032</v>
      </c>
      <c r="AM703" s="5">
        <v>41057</v>
      </c>
      <c r="AN703" s="5">
        <v>41066</v>
      </c>
      <c r="AO703" s="4">
        <v>3</v>
      </c>
      <c r="AP703" s="5">
        <v>41057</v>
      </c>
      <c r="AQ703" s="5">
        <v>41508</v>
      </c>
      <c r="AR703" s="5">
        <v>41114</v>
      </c>
      <c r="AS703" s="5">
        <v>41113</v>
      </c>
      <c r="AT703" s="5">
        <v>41173</v>
      </c>
      <c r="AU703" s="5">
        <v>41170</v>
      </c>
      <c r="AV703" s="4">
        <v>2</v>
      </c>
      <c r="AW703" s="4"/>
      <c r="AX703" s="5">
        <v>41170</v>
      </c>
      <c r="AY703" s="4" t="s">
        <v>172</v>
      </c>
      <c r="AZ703" s="5">
        <v>41117</v>
      </c>
      <c r="BA703" s="5">
        <v>41117</v>
      </c>
      <c r="BB703" s="5">
        <v>41148</v>
      </c>
      <c r="BC703" s="5">
        <v>41142</v>
      </c>
      <c r="BD703" s="4">
        <v>2</v>
      </c>
      <c r="BE703" s="4"/>
      <c r="BF703" s="4"/>
      <c r="BG703" s="4"/>
      <c r="BH703" s="4"/>
      <c r="BI703" s="5">
        <v>41186</v>
      </c>
      <c r="BJ703" s="5">
        <v>41194</v>
      </c>
      <c r="BK703" s="4">
        <v>1</v>
      </c>
      <c r="BL703" s="4"/>
      <c r="BM703" s="5">
        <v>41198</v>
      </c>
      <c r="BN703" s="5">
        <v>41194</v>
      </c>
      <c r="BO703" s="5">
        <v>41214</v>
      </c>
      <c r="BP703" s="4"/>
      <c r="BQ703" s="4"/>
      <c r="BR703" s="5">
        <v>41166</v>
      </c>
      <c r="BS703" s="4"/>
      <c r="BT703" s="5">
        <v>41199</v>
      </c>
      <c r="BU703" s="5">
        <v>41197</v>
      </c>
      <c r="BV703" s="5">
        <v>41236</v>
      </c>
      <c r="BW703" s="5">
        <v>41236</v>
      </c>
      <c r="BX703" s="5">
        <v>41233</v>
      </c>
      <c r="BY703" s="5">
        <v>41239</v>
      </c>
      <c r="BZ703" s="5">
        <v>41239</v>
      </c>
      <c r="CA703" s="4"/>
      <c r="CB703" s="4"/>
      <c r="CC703" s="4"/>
      <c r="CD703" s="4"/>
      <c r="CE703" s="4"/>
      <c r="CF703" s="4"/>
      <c r="CG703" s="4"/>
      <c r="CH703" s="4"/>
      <c r="CI703" s="5">
        <v>41244</v>
      </c>
      <c r="CJ703" s="5">
        <v>41255</v>
      </c>
      <c r="CK703" s="5">
        <v>41249</v>
      </c>
      <c r="CL703" s="5">
        <v>41269</v>
      </c>
      <c r="CM703" s="5">
        <v>41257</v>
      </c>
      <c r="CN703" s="5">
        <v>41501</v>
      </c>
      <c r="CO703" s="5">
        <v>41498</v>
      </c>
      <c r="CP703" s="4" t="s">
        <v>2012</v>
      </c>
      <c r="CQ703" s="4"/>
      <c r="CR703" s="5">
        <v>41236</v>
      </c>
      <c r="CS703" s="5">
        <v>41148</v>
      </c>
      <c r="CT703" s="4"/>
      <c r="CU703" s="5">
        <v>41233</v>
      </c>
      <c r="CV703" s="5">
        <v>41226</v>
      </c>
      <c r="CW703" s="5">
        <v>41199</v>
      </c>
      <c r="CX703" s="5">
        <v>41214</v>
      </c>
      <c r="CY703" s="5">
        <v>41234</v>
      </c>
      <c r="CZ703" s="5">
        <v>41240</v>
      </c>
      <c r="DA703" s="5">
        <v>41241</v>
      </c>
      <c r="DB703" s="5">
        <v>41241</v>
      </c>
      <c r="DC703" s="4"/>
      <c r="DD703" s="4"/>
      <c r="DE703" s="4" t="s">
        <v>2013</v>
      </c>
      <c r="DF703" s="4"/>
      <c r="DG703" s="4"/>
      <c r="DH703" s="4" t="s">
        <v>174</v>
      </c>
      <c r="DI703" s="5">
        <v>41233</v>
      </c>
      <c r="DJ703" s="4" t="b">
        <v>1</v>
      </c>
      <c r="DK703" s="5">
        <v>41166</v>
      </c>
      <c r="DL703" s="4">
        <v>2566005</v>
      </c>
      <c r="DM703" s="4">
        <v>5868128</v>
      </c>
      <c r="DN703" s="4" t="s">
        <v>2014</v>
      </c>
      <c r="DO703" s="4"/>
      <c r="DP703" s="4"/>
      <c r="DQ703" s="4" t="s">
        <v>148</v>
      </c>
      <c r="DR703" s="4"/>
      <c r="DS703" s="4"/>
      <c r="DT703" s="4"/>
      <c r="DU703" s="4"/>
      <c r="DV703" s="4"/>
      <c r="DW703" s="4"/>
      <c r="DX703" s="4"/>
      <c r="DY703" s="4"/>
      <c r="DZ703" s="4"/>
      <c r="EA703" s="4"/>
      <c r="EB703" s="4"/>
      <c r="EC703" s="4"/>
      <c r="ED703" s="4"/>
      <c r="EE703" s="4"/>
      <c r="EF703" s="4"/>
      <c r="EG703" s="5">
        <v>41250</v>
      </c>
      <c r="EH703" s="5">
        <v>41250</v>
      </c>
      <c r="EI703" s="5">
        <v>41032</v>
      </c>
    </row>
    <row r="704" spans="1:139" hidden="1" x14ac:dyDescent="0.2">
      <c r="A704" t="str">
        <f>VLOOKUP(B704,Sheet1!$A$1:$B$18,2,FALSE)</f>
        <v>South Island</v>
      </c>
      <c r="B704" t="str">
        <f>LEFT(D704,3)</f>
        <v>CAN</v>
      </c>
      <c r="C704" s="2">
        <v>622</v>
      </c>
      <c r="D704" s="3" t="str">
        <f>HYPERLINK("https://sitebase.nzcomms.co.nz/spm/spmnominalview/CAN-054-002/","CAN-054-002")</f>
        <v>CAN-054-002</v>
      </c>
      <c r="E704" s="4" t="s">
        <v>2015</v>
      </c>
      <c r="F704" s="3" t="str">
        <f>HYPERLINK("https://sitebase.nzcomms.co.nz/spm/spmcandidateview/CAN-054-002-E/","CAN-054-002-E")</f>
        <v>CAN-054-002-E</v>
      </c>
      <c r="G704" s="4" t="s">
        <v>2016</v>
      </c>
      <c r="H704" s="4" t="s">
        <v>2011</v>
      </c>
      <c r="I704" s="4">
        <v>8</v>
      </c>
      <c r="J704" s="4" t="s">
        <v>180</v>
      </c>
      <c r="K704" s="4" t="s">
        <v>141</v>
      </c>
      <c r="L704" s="4" t="s">
        <v>150</v>
      </c>
      <c r="M704" s="4" t="s">
        <v>190</v>
      </c>
      <c r="N704" s="4" t="s">
        <v>167</v>
      </c>
      <c r="O704" s="4"/>
      <c r="P704" s="4" t="s">
        <v>182</v>
      </c>
      <c r="Q704" s="4" t="s">
        <v>170</v>
      </c>
      <c r="R704" s="4">
        <v>20</v>
      </c>
      <c r="S704" s="4">
        <v>20</v>
      </c>
      <c r="T704" s="4">
        <v>2</v>
      </c>
      <c r="U704" s="4">
        <v>-42.418312759999999</v>
      </c>
      <c r="V704" s="4">
        <v>173.69233229</v>
      </c>
      <c r="W704" s="4"/>
      <c r="X704" s="5">
        <v>41096</v>
      </c>
      <c r="Y704" s="4"/>
      <c r="Z704" s="5">
        <v>41152</v>
      </c>
      <c r="AA704" s="4" t="s">
        <v>145</v>
      </c>
      <c r="AB704" s="3" t="str">
        <f>HYPERLINK("https://sitebase.nzcomms.co.nz/spm/spmcandidateview/CHC-060-114-A/","CHC-060-114-A")</f>
        <v>CHC-060-114-A</v>
      </c>
      <c r="AC704" s="4" t="b">
        <v>0</v>
      </c>
      <c r="AD704" s="4" t="b">
        <v>0</v>
      </c>
      <c r="AE704" s="4"/>
      <c r="AF704" s="4"/>
      <c r="AG704" s="4" t="b">
        <v>0</v>
      </c>
      <c r="AH704" s="4"/>
      <c r="AI704" s="5">
        <v>41023</v>
      </c>
      <c r="AJ704" s="5">
        <v>40981</v>
      </c>
      <c r="AK704" s="5">
        <v>41030</v>
      </c>
      <c r="AL704" s="5">
        <v>41009</v>
      </c>
      <c r="AM704" s="5">
        <v>41067</v>
      </c>
      <c r="AN704" s="5">
        <v>41066</v>
      </c>
      <c r="AO704" s="4">
        <v>2</v>
      </c>
      <c r="AP704" s="5">
        <v>41067</v>
      </c>
      <c r="AQ704" s="5">
        <v>41135</v>
      </c>
      <c r="AR704" s="5">
        <v>41109</v>
      </c>
      <c r="AS704" s="5">
        <v>41109</v>
      </c>
      <c r="AT704" s="5">
        <v>41138</v>
      </c>
      <c r="AU704" s="5">
        <v>41115</v>
      </c>
      <c r="AV704" s="4"/>
      <c r="AW704" s="5">
        <v>41150</v>
      </c>
      <c r="AX704" s="4"/>
      <c r="AY704" s="4" t="s">
        <v>247</v>
      </c>
      <c r="AZ704" s="5">
        <v>41117</v>
      </c>
      <c r="BA704" s="5">
        <v>41116</v>
      </c>
      <c r="BB704" s="5">
        <v>41150</v>
      </c>
      <c r="BC704" s="5">
        <v>41149</v>
      </c>
      <c r="BD704" s="4">
        <v>2</v>
      </c>
      <c r="BE704" s="4"/>
      <c r="BF704" s="4"/>
      <c r="BG704" s="5">
        <v>41180</v>
      </c>
      <c r="BH704" s="4"/>
      <c r="BI704" s="5">
        <v>41186</v>
      </c>
      <c r="BJ704" s="5">
        <v>41198</v>
      </c>
      <c r="BK704" s="4">
        <v>1</v>
      </c>
      <c r="BL704" s="4"/>
      <c r="BM704" s="5">
        <v>41198</v>
      </c>
      <c r="BN704" s="5">
        <v>41198</v>
      </c>
      <c r="BO704" s="5">
        <v>41214</v>
      </c>
      <c r="BP704" s="4"/>
      <c r="BQ704" s="4"/>
      <c r="BR704" s="5">
        <v>41166</v>
      </c>
      <c r="BS704" s="4"/>
      <c r="BT704" s="5">
        <v>41199</v>
      </c>
      <c r="BU704" s="5">
        <v>41197</v>
      </c>
      <c r="BV704" s="5">
        <v>41239</v>
      </c>
      <c r="BW704" s="5">
        <v>41239</v>
      </c>
      <c r="BX704" s="5">
        <v>41233</v>
      </c>
      <c r="BY704" s="5">
        <v>41239</v>
      </c>
      <c r="BZ704" s="5">
        <v>41239</v>
      </c>
      <c r="CA704" s="4"/>
      <c r="CB704" s="4"/>
      <c r="CC704" s="4"/>
      <c r="CD704" s="4"/>
      <c r="CE704" s="4"/>
      <c r="CF704" s="4"/>
      <c r="CG704" s="4"/>
      <c r="CH704" s="4"/>
      <c r="CI704" s="5">
        <v>41244</v>
      </c>
      <c r="CJ704" s="5">
        <v>41255</v>
      </c>
      <c r="CK704" s="5">
        <v>41249</v>
      </c>
      <c r="CL704" s="5">
        <v>41269</v>
      </c>
      <c r="CM704" s="5">
        <v>41257</v>
      </c>
      <c r="CN704" s="5">
        <v>41451</v>
      </c>
      <c r="CO704" s="5">
        <v>41451</v>
      </c>
      <c r="CP704" s="4" t="s">
        <v>2017</v>
      </c>
      <c r="CQ704" s="4"/>
      <c r="CR704" s="5">
        <v>41236</v>
      </c>
      <c r="CS704" s="5">
        <v>41181</v>
      </c>
      <c r="CT704" s="5">
        <v>41181</v>
      </c>
      <c r="CU704" s="5">
        <v>41197</v>
      </c>
      <c r="CV704" s="5">
        <v>41226</v>
      </c>
      <c r="CW704" s="5">
        <v>41214</v>
      </c>
      <c r="CX704" s="5">
        <v>41214</v>
      </c>
      <c r="CY704" s="5">
        <v>41233</v>
      </c>
      <c r="CZ704" s="4"/>
      <c r="DA704" s="5">
        <v>41241</v>
      </c>
      <c r="DB704" s="5">
        <v>41241</v>
      </c>
      <c r="DC704" s="5">
        <v>41065</v>
      </c>
      <c r="DD704" s="4" t="s">
        <v>586</v>
      </c>
      <c r="DE704" s="4" t="s">
        <v>2013</v>
      </c>
      <c r="DF704" s="5">
        <v>41233</v>
      </c>
      <c r="DG704" s="5">
        <v>41239</v>
      </c>
      <c r="DH704" s="4" t="s">
        <v>174</v>
      </c>
      <c r="DI704" s="5">
        <v>41233</v>
      </c>
      <c r="DJ704" s="4" t="b">
        <v>1</v>
      </c>
      <c r="DK704" s="5">
        <v>41166</v>
      </c>
      <c r="DL704" s="4">
        <v>2566983</v>
      </c>
      <c r="DM704" s="4">
        <v>5865212</v>
      </c>
      <c r="DN704" s="4" t="s">
        <v>2018</v>
      </c>
      <c r="DO704" s="4"/>
      <c r="DP704" s="4" t="s">
        <v>2019</v>
      </c>
      <c r="DQ704" s="4" t="s">
        <v>148</v>
      </c>
      <c r="DR704" s="4"/>
      <c r="DS704" s="4"/>
      <c r="DT704" s="4"/>
      <c r="DU704" s="4"/>
      <c r="DV704" s="4"/>
      <c r="DW704" s="4"/>
      <c r="DX704" s="4"/>
      <c r="DY704" s="4"/>
      <c r="DZ704" s="4"/>
      <c r="EA704" s="4"/>
      <c r="EB704" s="4"/>
      <c r="EC704" s="4"/>
      <c r="ED704" s="4"/>
      <c r="EE704" s="4"/>
      <c r="EF704" s="4"/>
      <c r="EG704" s="5">
        <v>41250</v>
      </c>
      <c r="EH704" s="5">
        <v>41250</v>
      </c>
      <c r="EI704" s="5">
        <v>41009</v>
      </c>
    </row>
    <row r="705" spans="1:139" hidden="1" x14ac:dyDescent="0.2">
      <c r="A705" t="str">
        <f>VLOOKUP(B705,Sheet1!$A$1:$B$18,2,FALSE)</f>
        <v>South Island</v>
      </c>
      <c r="B705" t="str">
        <f>LEFT(D705,3)</f>
        <v>CAN</v>
      </c>
      <c r="C705" s="2">
        <v>687</v>
      </c>
      <c r="D705" s="3" t="str">
        <f>HYPERLINK("https://sitebase.nzcomms.co.nz/spm/spmnominalview/CAN-064-005/","CAN-064-005")</f>
        <v>CAN-064-005</v>
      </c>
      <c r="E705" s="4" t="s">
        <v>2248</v>
      </c>
      <c r="F705" s="3" t="str">
        <f>HYPERLINK("https://sitebase.nzcomms.co.nz/spm/spmcandidateview/CAN-064-005-D/","CAN-064-005-D")</f>
        <v>CAN-064-005-D</v>
      </c>
      <c r="G705" s="4" t="s">
        <v>2249</v>
      </c>
      <c r="H705" s="4" t="s">
        <v>2229</v>
      </c>
      <c r="I705" s="4">
        <v>4</v>
      </c>
      <c r="J705" s="4" t="s">
        <v>180</v>
      </c>
      <c r="K705" s="4" t="s">
        <v>141</v>
      </c>
      <c r="L705" s="4" t="s">
        <v>150</v>
      </c>
      <c r="M705" s="4" t="s">
        <v>190</v>
      </c>
      <c r="N705" s="4" t="s">
        <v>346</v>
      </c>
      <c r="O705" s="4"/>
      <c r="P705" s="4" t="s">
        <v>169</v>
      </c>
      <c r="Q705" s="4" t="s">
        <v>192</v>
      </c>
      <c r="R705" s="4">
        <v>35</v>
      </c>
      <c r="S705" s="4">
        <v>35</v>
      </c>
      <c r="T705" s="4">
        <v>1</v>
      </c>
      <c r="U705" s="4">
        <v>-44.353700549999999</v>
      </c>
      <c r="V705" s="4">
        <v>171.24404322999999</v>
      </c>
      <c r="W705" s="5">
        <v>40325</v>
      </c>
      <c r="X705" s="5">
        <v>40898</v>
      </c>
      <c r="Y705" s="5">
        <v>40353</v>
      </c>
      <c r="Z705" s="5">
        <v>41224</v>
      </c>
      <c r="AA705" s="4" t="s">
        <v>171</v>
      </c>
      <c r="AB705" s="3" t="str">
        <f>HYPERLINK("https://sitebase.nzcomms.co.nz/spm/spmcandidateview/CAN-064-007-D/","CAN-064-007-D")</f>
        <v>CAN-064-007-D</v>
      </c>
      <c r="AC705" s="4" t="b">
        <v>0</v>
      </c>
      <c r="AD705" s="4" t="b">
        <v>0</v>
      </c>
      <c r="AE705" s="5">
        <v>40325</v>
      </c>
      <c r="AF705" s="5">
        <v>40325</v>
      </c>
      <c r="AG705" s="4" t="b">
        <v>0</v>
      </c>
      <c r="AH705" s="4" t="s">
        <v>2250</v>
      </c>
      <c r="AI705" s="5">
        <v>41017</v>
      </c>
      <c r="AJ705" s="5">
        <v>41017</v>
      </c>
      <c r="AK705" s="5">
        <v>41038</v>
      </c>
      <c r="AL705" s="5">
        <v>41038</v>
      </c>
      <c r="AM705" s="5">
        <v>41060</v>
      </c>
      <c r="AN705" s="5">
        <v>41059</v>
      </c>
      <c r="AO705" s="4">
        <v>2</v>
      </c>
      <c r="AP705" s="5">
        <v>41060</v>
      </c>
      <c r="AQ705" s="5">
        <v>41164</v>
      </c>
      <c r="AR705" s="5">
        <v>41117</v>
      </c>
      <c r="AS705" s="5">
        <v>41117</v>
      </c>
      <c r="AT705" s="5">
        <v>41151</v>
      </c>
      <c r="AU705" s="5">
        <v>41142</v>
      </c>
      <c r="AV705" s="4">
        <v>1</v>
      </c>
      <c r="AW705" s="4"/>
      <c r="AX705" s="5">
        <v>41142</v>
      </c>
      <c r="AY705" s="4" t="s">
        <v>172</v>
      </c>
      <c r="AZ705" s="5">
        <v>41117</v>
      </c>
      <c r="BA705" s="5">
        <v>41101</v>
      </c>
      <c r="BB705" s="5">
        <v>41162</v>
      </c>
      <c r="BC705" s="5">
        <v>41163</v>
      </c>
      <c r="BD705" s="4">
        <v>1</v>
      </c>
      <c r="BE705" s="4"/>
      <c r="BF705" s="4"/>
      <c r="BG705" s="4"/>
      <c r="BH705" s="4"/>
      <c r="BI705" s="5">
        <v>41215</v>
      </c>
      <c r="BJ705" s="5">
        <v>41212</v>
      </c>
      <c r="BK705" s="4">
        <v>1</v>
      </c>
      <c r="BL705" s="4"/>
      <c r="BM705" s="5">
        <v>41215</v>
      </c>
      <c r="BN705" s="5">
        <v>41212</v>
      </c>
      <c r="BO705" s="5">
        <v>41205</v>
      </c>
      <c r="BP705" s="4"/>
      <c r="BQ705" s="4"/>
      <c r="BR705" s="5">
        <v>41165</v>
      </c>
      <c r="BS705" s="4"/>
      <c r="BT705" s="5">
        <v>41193</v>
      </c>
      <c r="BU705" s="5">
        <v>41193</v>
      </c>
      <c r="BV705" s="5">
        <v>41229</v>
      </c>
      <c r="BW705" s="5">
        <v>41246</v>
      </c>
      <c r="BX705" s="5">
        <v>41227</v>
      </c>
      <c r="BY705" s="5">
        <v>41235</v>
      </c>
      <c r="BZ705" s="5">
        <v>41239</v>
      </c>
      <c r="CA705" s="4"/>
      <c r="CB705" s="4"/>
      <c r="CC705" s="4"/>
      <c r="CD705" s="4"/>
      <c r="CE705" s="4"/>
      <c r="CF705" s="4"/>
      <c r="CG705" s="4"/>
      <c r="CH705" s="4"/>
      <c r="CI705" s="5">
        <v>41240</v>
      </c>
      <c r="CJ705" s="5">
        <v>41255</v>
      </c>
      <c r="CK705" s="5">
        <v>41247</v>
      </c>
      <c r="CL705" s="5">
        <v>41269</v>
      </c>
      <c r="CM705" s="5">
        <v>41260</v>
      </c>
      <c r="CN705" s="5">
        <v>41471</v>
      </c>
      <c r="CO705" s="5">
        <v>41465</v>
      </c>
      <c r="CP705" s="4" t="s">
        <v>2251</v>
      </c>
      <c r="CQ705" s="4"/>
      <c r="CR705" s="5">
        <v>41239</v>
      </c>
      <c r="CS705" s="5">
        <v>41149</v>
      </c>
      <c r="CT705" s="5">
        <v>41149</v>
      </c>
      <c r="CU705" s="5">
        <v>41213</v>
      </c>
      <c r="CV705" s="5">
        <v>41193</v>
      </c>
      <c r="CW705" s="5">
        <v>41207</v>
      </c>
      <c r="CX705" s="5">
        <v>41205</v>
      </c>
      <c r="CY705" s="5">
        <v>41228</v>
      </c>
      <c r="CZ705" s="5">
        <v>41232</v>
      </c>
      <c r="DA705" s="5">
        <v>41246</v>
      </c>
      <c r="DB705" s="5">
        <v>41246</v>
      </c>
      <c r="DC705" s="5">
        <v>41030</v>
      </c>
      <c r="DD705" s="4" t="s">
        <v>586</v>
      </c>
      <c r="DE705" s="4" t="s">
        <v>2245</v>
      </c>
      <c r="DF705" s="4"/>
      <c r="DG705" s="4"/>
      <c r="DH705" s="4" t="s">
        <v>174</v>
      </c>
      <c r="DI705" s="5">
        <v>41226</v>
      </c>
      <c r="DJ705" s="4" t="b">
        <v>1</v>
      </c>
      <c r="DK705" s="5">
        <v>41165</v>
      </c>
      <c r="DL705" s="4">
        <v>2370007</v>
      </c>
      <c r="DM705" s="4">
        <v>5648952</v>
      </c>
      <c r="DN705" s="4" t="s">
        <v>2252</v>
      </c>
      <c r="DO705" s="4"/>
      <c r="DP705" s="4"/>
      <c r="DQ705" s="4" t="s">
        <v>148</v>
      </c>
      <c r="DR705" s="4"/>
      <c r="DS705" s="4"/>
      <c r="DT705" s="4"/>
      <c r="DU705" s="4"/>
      <c r="DV705" s="4"/>
      <c r="DW705" s="4"/>
      <c r="DX705" s="4"/>
      <c r="DY705" s="4"/>
      <c r="DZ705" s="4"/>
      <c r="EA705" s="4"/>
      <c r="EB705" s="4"/>
      <c r="EC705" s="4"/>
      <c r="ED705" s="4"/>
      <c r="EE705" s="4"/>
      <c r="EF705" s="4"/>
      <c r="EG705" s="5">
        <v>41253</v>
      </c>
      <c r="EH705" s="5">
        <v>41250</v>
      </c>
      <c r="EI705" s="5">
        <v>41038</v>
      </c>
    </row>
    <row r="706" spans="1:139" hidden="1" x14ac:dyDescent="0.2">
      <c r="A706" t="str">
        <f>VLOOKUP(B706,Sheet1!$A$1:$B$18,2,FALSE)</f>
        <v>South Island</v>
      </c>
      <c r="B706" t="str">
        <f>LEFT(D706,3)</f>
        <v>CAN</v>
      </c>
      <c r="C706" s="2">
        <v>688</v>
      </c>
      <c r="D706" s="3" t="str">
        <f>HYPERLINK("https://sitebase.nzcomms.co.nz/spm/spmnominalview/CAN-064-006/","CAN-064-006")</f>
        <v>CAN-064-006</v>
      </c>
      <c r="E706" s="4" t="s">
        <v>2253</v>
      </c>
      <c r="F706" s="3" t="str">
        <f>HYPERLINK("https://sitebase.nzcomms.co.nz/spm/spmcandidateview/CAN-064-006-B/","CAN-064-006-B")</f>
        <v>CAN-064-006-B</v>
      </c>
      <c r="G706" s="4" t="s">
        <v>2254</v>
      </c>
      <c r="H706" s="4" t="s">
        <v>2229</v>
      </c>
      <c r="I706" s="4">
        <v>4</v>
      </c>
      <c r="J706" s="4" t="s">
        <v>180</v>
      </c>
      <c r="K706" s="4" t="s">
        <v>141</v>
      </c>
      <c r="L706" s="4" t="s">
        <v>189</v>
      </c>
      <c r="M706" s="4" t="s">
        <v>190</v>
      </c>
      <c r="N706" s="4" t="s">
        <v>274</v>
      </c>
      <c r="O706" s="4"/>
      <c r="P706" s="4" t="s">
        <v>182</v>
      </c>
      <c r="Q706" s="4" t="s">
        <v>192</v>
      </c>
      <c r="R706" s="4">
        <v>15</v>
      </c>
      <c r="S706" s="4">
        <v>15</v>
      </c>
      <c r="T706" s="4">
        <v>2</v>
      </c>
      <c r="U706" s="4">
        <v>-44.371096860000002</v>
      </c>
      <c r="V706" s="4">
        <v>171.24316984000001</v>
      </c>
      <c r="W706" s="5">
        <v>40325</v>
      </c>
      <c r="X706" s="5">
        <v>40917</v>
      </c>
      <c r="Y706" s="5">
        <v>40353</v>
      </c>
      <c r="Z706" s="5">
        <v>41197</v>
      </c>
      <c r="AA706" s="4" t="s">
        <v>1125</v>
      </c>
      <c r="AB706" s="3" t="str">
        <f>HYPERLINK("https://sitebase.nzcomms.co.nz/spm/spmcandidateview/CAN-064-016-A/","CAN-064-016-A")</f>
        <v>CAN-064-016-A</v>
      </c>
      <c r="AC706" s="4" t="b">
        <v>0</v>
      </c>
      <c r="AD706" s="4" t="b">
        <v>0</v>
      </c>
      <c r="AE706" s="5">
        <v>40325</v>
      </c>
      <c r="AF706" s="5">
        <v>40325</v>
      </c>
      <c r="AG706" s="4" t="b">
        <v>0</v>
      </c>
      <c r="AH706" s="4"/>
      <c r="AI706" s="5">
        <v>40989</v>
      </c>
      <c r="AJ706" s="5">
        <v>40989</v>
      </c>
      <c r="AK706" s="5">
        <v>41015</v>
      </c>
      <c r="AL706" s="5">
        <v>41011</v>
      </c>
      <c r="AM706" s="5">
        <v>41051</v>
      </c>
      <c r="AN706" s="5">
        <v>41052</v>
      </c>
      <c r="AO706" s="4">
        <v>2</v>
      </c>
      <c r="AP706" s="5">
        <v>41051</v>
      </c>
      <c r="AQ706" s="5">
        <v>41121</v>
      </c>
      <c r="AR706" s="5">
        <v>41072</v>
      </c>
      <c r="AS706" s="5">
        <v>41065</v>
      </c>
      <c r="AT706" s="5">
        <v>41072</v>
      </c>
      <c r="AU706" s="5">
        <v>41074</v>
      </c>
      <c r="AV706" s="4"/>
      <c r="AW706" s="4"/>
      <c r="AX706" s="5">
        <v>41075</v>
      </c>
      <c r="AY706" s="4" t="s">
        <v>203</v>
      </c>
      <c r="AZ706" s="5">
        <v>41082</v>
      </c>
      <c r="BA706" s="5">
        <v>41084</v>
      </c>
      <c r="BB706" s="5">
        <v>41115</v>
      </c>
      <c r="BC706" s="5">
        <v>41108</v>
      </c>
      <c r="BD706" s="4">
        <v>1</v>
      </c>
      <c r="BE706" s="4"/>
      <c r="BF706" s="4"/>
      <c r="BG706" s="4"/>
      <c r="BH706" s="4"/>
      <c r="BI706" s="5">
        <v>41185</v>
      </c>
      <c r="BJ706" s="5">
        <v>41187</v>
      </c>
      <c r="BK706" s="4">
        <v>1</v>
      </c>
      <c r="BL706" s="4"/>
      <c r="BM706" s="5">
        <v>41185</v>
      </c>
      <c r="BN706" s="5">
        <v>41187</v>
      </c>
      <c r="BO706" s="5">
        <v>41186</v>
      </c>
      <c r="BP706" s="4"/>
      <c r="BQ706" s="4"/>
      <c r="BR706" s="5">
        <v>41159</v>
      </c>
      <c r="BS706" s="4"/>
      <c r="BT706" s="5">
        <v>41186</v>
      </c>
      <c r="BU706" s="5">
        <v>41186</v>
      </c>
      <c r="BV706" s="5">
        <v>41222</v>
      </c>
      <c r="BW706" s="5">
        <v>41221</v>
      </c>
      <c r="BX706" s="5">
        <v>41201</v>
      </c>
      <c r="BY706" s="5">
        <v>41240</v>
      </c>
      <c r="BZ706" s="5">
        <v>41240</v>
      </c>
      <c r="CA706" s="4"/>
      <c r="CB706" s="4"/>
      <c r="CC706" s="4"/>
      <c r="CD706" s="5">
        <v>41004</v>
      </c>
      <c r="CE706" s="4"/>
      <c r="CF706" s="4"/>
      <c r="CG706" s="4"/>
      <c r="CH706" s="4"/>
      <c r="CI706" s="5">
        <v>41248</v>
      </c>
      <c r="CJ706" s="5">
        <v>41255</v>
      </c>
      <c r="CK706" s="5">
        <v>41249</v>
      </c>
      <c r="CL706" s="5">
        <v>41269</v>
      </c>
      <c r="CM706" s="5">
        <v>41264</v>
      </c>
      <c r="CN706" s="5">
        <v>41465</v>
      </c>
      <c r="CO706" s="5">
        <v>41460</v>
      </c>
      <c r="CP706" s="4" t="s">
        <v>2255</v>
      </c>
      <c r="CQ706" s="4"/>
      <c r="CR706" s="5">
        <v>41246</v>
      </c>
      <c r="CS706" s="5">
        <v>41149</v>
      </c>
      <c r="CT706" s="5">
        <v>41149</v>
      </c>
      <c r="CU706" s="5">
        <v>41193</v>
      </c>
      <c r="CV706" s="5">
        <v>41192</v>
      </c>
      <c r="CW706" s="5">
        <v>41180</v>
      </c>
      <c r="CX706" s="5">
        <v>41186</v>
      </c>
      <c r="CY706" s="5">
        <v>41249</v>
      </c>
      <c r="CZ706" s="5">
        <v>41249</v>
      </c>
      <c r="DA706" s="5">
        <v>41246</v>
      </c>
      <c r="DB706" s="5">
        <v>41246</v>
      </c>
      <c r="DC706" s="5">
        <v>41030</v>
      </c>
      <c r="DD706" s="4" t="s">
        <v>586</v>
      </c>
      <c r="DE706" s="4" t="s">
        <v>2245</v>
      </c>
      <c r="DF706" s="5">
        <v>41243</v>
      </c>
      <c r="DG706" s="5">
        <v>41248</v>
      </c>
      <c r="DH706" s="4" t="s">
        <v>174</v>
      </c>
      <c r="DI706" s="5">
        <v>41201</v>
      </c>
      <c r="DJ706" s="4" t="b">
        <v>1</v>
      </c>
      <c r="DK706" s="5">
        <v>41159</v>
      </c>
      <c r="DL706" s="4">
        <v>2369978</v>
      </c>
      <c r="DM706" s="4">
        <v>5647018</v>
      </c>
      <c r="DN706" s="4" t="s">
        <v>2256</v>
      </c>
      <c r="DO706" s="4"/>
      <c r="DP706" s="4" t="s">
        <v>2257</v>
      </c>
      <c r="DQ706" s="4" t="s">
        <v>148</v>
      </c>
      <c r="DR706" s="4"/>
      <c r="DS706" s="4"/>
      <c r="DT706" s="4"/>
      <c r="DU706" s="4"/>
      <c r="DV706" s="4"/>
      <c r="DW706" s="4"/>
      <c r="DX706" s="4"/>
      <c r="DY706" s="5">
        <v>41186</v>
      </c>
      <c r="DZ706" s="4"/>
      <c r="EA706" s="4"/>
      <c r="EB706" s="4"/>
      <c r="EC706" s="4"/>
      <c r="ED706" s="4"/>
      <c r="EE706" s="4"/>
      <c r="EF706" s="4"/>
      <c r="EG706" s="5">
        <v>41255</v>
      </c>
      <c r="EH706" s="5">
        <v>41255</v>
      </c>
      <c r="EI706" s="5">
        <v>41011</v>
      </c>
    </row>
    <row r="707" spans="1:139" hidden="1" x14ac:dyDescent="0.2">
      <c r="A707" t="str">
        <f>VLOOKUP(B707,Sheet1!$A$1:$B$18,2,FALSE)</f>
        <v>South Island</v>
      </c>
      <c r="B707" t="str">
        <f>LEFT(D707,3)</f>
        <v>WST</v>
      </c>
      <c r="C707" s="2">
        <v>1719</v>
      </c>
      <c r="D707" s="3" t="str">
        <f>HYPERLINK("https://sitebase.nzcomms.co.nz/spm/spmnominalview/WST-056-004/","WST-056-004")</f>
        <v>WST-056-004</v>
      </c>
      <c r="E707" s="4" t="s">
        <v>5180</v>
      </c>
      <c r="F707" s="3" t="str">
        <f>HYPERLINK("https://sitebase.nzcomms.co.nz/spm/spmcandidateview/WST-056-004-A/","WST-056-004-A")</f>
        <v>WST-056-004-A</v>
      </c>
      <c r="G707" s="4" t="s">
        <v>5180</v>
      </c>
      <c r="H707" s="4" t="s">
        <v>5167</v>
      </c>
      <c r="I707" s="4">
        <v>4</v>
      </c>
      <c r="J707" s="4" t="s">
        <v>180</v>
      </c>
      <c r="K707" s="4" t="s">
        <v>141</v>
      </c>
      <c r="L707" s="4" t="s">
        <v>142</v>
      </c>
      <c r="M707" s="4" t="s">
        <v>324</v>
      </c>
      <c r="N707" s="4"/>
      <c r="O707" s="4"/>
      <c r="P707" s="4"/>
      <c r="Q707" s="4" t="s">
        <v>142</v>
      </c>
      <c r="R707" s="4"/>
      <c r="S707" s="4"/>
      <c r="T707" s="4"/>
      <c r="U707" s="4">
        <v>-42.449007160000001</v>
      </c>
      <c r="V707" s="4">
        <v>171.21084225000001</v>
      </c>
      <c r="W707" s="4"/>
      <c r="X707" s="4"/>
      <c r="Y707" s="4"/>
      <c r="Z707" s="4"/>
      <c r="AA707" s="4"/>
      <c r="AB707" s="4"/>
      <c r="AC707" s="4" t="b">
        <v>0</v>
      </c>
      <c r="AD707" s="4" t="b">
        <v>0</v>
      </c>
      <c r="AE707" s="4"/>
      <c r="AF707" s="4"/>
      <c r="AG707" s="4" t="b">
        <v>0</v>
      </c>
      <c r="AH707" s="4"/>
      <c r="AI707" s="5">
        <v>41124</v>
      </c>
      <c r="AJ707" s="5">
        <v>41124</v>
      </c>
      <c r="AK707" s="5">
        <v>41138</v>
      </c>
      <c r="AL707" s="5">
        <v>41144</v>
      </c>
      <c r="AM707" s="5">
        <v>41138</v>
      </c>
      <c r="AN707" s="5">
        <v>41158</v>
      </c>
      <c r="AO707" s="4">
        <v>1</v>
      </c>
      <c r="AP707" s="5">
        <v>41144</v>
      </c>
      <c r="AQ707" s="5">
        <v>41158</v>
      </c>
      <c r="AR707" s="5">
        <v>41138</v>
      </c>
      <c r="AS707" s="5">
        <v>41144</v>
      </c>
      <c r="AT707" s="5">
        <v>41138</v>
      </c>
      <c r="AU707" s="5">
        <v>41144</v>
      </c>
      <c r="AV707" s="4"/>
      <c r="AW707" s="4"/>
      <c r="AX707" s="5">
        <v>41358</v>
      </c>
      <c r="AY707" s="4" t="s">
        <v>172</v>
      </c>
      <c r="AZ707" s="5">
        <v>41182</v>
      </c>
      <c r="BA707" s="5">
        <v>41166</v>
      </c>
      <c r="BB707" s="5">
        <v>41182</v>
      </c>
      <c r="BC707" s="5">
        <v>41166</v>
      </c>
      <c r="BD707" s="4">
        <v>1</v>
      </c>
      <c r="BE707" s="4"/>
      <c r="BF707" s="5">
        <v>41155</v>
      </c>
      <c r="BG707" s="4"/>
      <c r="BH707" s="4"/>
      <c r="BI707" s="4"/>
      <c r="BJ707" s="4"/>
      <c r="BK707" s="4"/>
      <c r="BL707" s="4"/>
      <c r="BM707" s="4"/>
      <c r="BN707" s="4"/>
      <c r="BO707" s="4"/>
      <c r="BP707" s="4"/>
      <c r="BQ707" s="4"/>
      <c r="BR707" s="4"/>
      <c r="BS707" s="4"/>
      <c r="BT707" s="5">
        <v>41208</v>
      </c>
      <c r="BU707" s="5">
        <v>41208</v>
      </c>
      <c r="BV707" s="5">
        <v>41208</v>
      </c>
      <c r="BW707" s="5">
        <v>41208</v>
      </c>
      <c r="BX707" s="5">
        <v>41208</v>
      </c>
      <c r="BY707" s="5">
        <v>41222</v>
      </c>
      <c r="BZ707" s="5">
        <v>41229</v>
      </c>
      <c r="CA707" s="4"/>
      <c r="CB707" s="4"/>
      <c r="CC707" s="4"/>
      <c r="CD707" s="4"/>
      <c r="CE707" s="4"/>
      <c r="CF707" s="4"/>
      <c r="CG707" s="4"/>
      <c r="CH707" s="4"/>
      <c r="CI707" s="5">
        <v>41229</v>
      </c>
      <c r="CJ707" s="5">
        <v>41255</v>
      </c>
      <c r="CK707" s="5">
        <v>41236</v>
      </c>
      <c r="CL707" s="5">
        <v>41255</v>
      </c>
      <c r="CM707" s="5">
        <v>41250</v>
      </c>
      <c r="CN707" s="5">
        <v>41481</v>
      </c>
      <c r="CO707" s="5">
        <v>41472</v>
      </c>
      <c r="CP707" s="4" t="s">
        <v>5181</v>
      </c>
      <c r="CQ707" s="4" t="s">
        <v>205</v>
      </c>
      <c r="CR707" s="5">
        <v>41222</v>
      </c>
      <c r="CS707" s="4"/>
      <c r="CT707" s="4"/>
      <c r="CU707" s="4"/>
      <c r="CV707" s="4"/>
      <c r="CW707" s="4"/>
      <c r="CX707" s="4"/>
      <c r="CY707" s="5">
        <v>41192</v>
      </c>
      <c r="CZ707" s="5">
        <v>41208</v>
      </c>
      <c r="DA707" s="4"/>
      <c r="DB707" s="4"/>
      <c r="DC707" s="4"/>
      <c r="DD707" s="4"/>
      <c r="DE707" s="4" t="s">
        <v>1982</v>
      </c>
      <c r="DF707" s="5">
        <v>41192</v>
      </c>
      <c r="DG707" s="5">
        <v>41228</v>
      </c>
      <c r="DH707" s="4" t="s">
        <v>174</v>
      </c>
      <c r="DI707" s="5">
        <v>41192</v>
      </c>
      <c r="DJ707" s="4" t="b">
        <v>0</v>
      </c>
      <c r="DK707" s="4"/>
      <c r="DL707" s="4">
        <v>2362829</v>
      </c>
      <c r="DM707" s="4">
        <v>5860452</v>
      </c>
      <c r="DN707" s="4" t="s">
        <v>5182</v>
      </c>
      <c r="DO707" s="4"/>
      <c r="DP707" s="4" t="s">
        <v>5183</v>
      </c>
      <c r="DQ707" s="4" t="s">
        <v>328</v>
      </c>
      <c r="DR707" s="4"/>
      <c r="DS707" s="4"/>
      <c r="DT707" s="4"/>
      <c r="DU707" s="4"/>
      <c r="DV707" s="4"/>
      <c r="DW707" s="4"/>
      <c r="DX707" s="4"/>
      <c r="DY707" s="4"/>
      <c r="DZ707" s="4"/>
      <c r="EA707" s="4"/>
      <c r="EB707" s="4"/>
      <c r="EC707" s="4"/>
      <c r="ED707" s="4"/>
      <c r="EE707" s="4"/>
      <c r="EF707" s="4"/>
      <c r="EG707" s="5">
        <v>41222</v>
      </c>
      <c r="EH707" s="5">
        <v>41213</v>
      </c>
      <c r="EI707" s="4"/>
    </row>
    <row r="708" spans="1:139" hidden="1" x14ac:dyDescent="0.2">
      <c r="A708" t="str">
        <f>VLOOKUP(B708,Sheet1!$A$1:$B$18,2,FALSE)</f>
        <v>South Island</v>
      </c>
      <c r="B708" t="str">
        <f>LEFT(D708,3)</f>
        <v>CAN</v>
      </c>
      <c r="C708" s="2">
        <v>642</v>
      </c>
      <c r="D708" s="3" t="str">
        <f>HYPERLINK("https://sitebase.nzcomms.co.nz/spm/spmnominalview/CAN-059-005/","CAN-059-005")</f>
        <v>CAN-059-005</v>
      </c>
      <c r="E708" s="4" t="s">
        <v>2069</v>
      </c>
      <c r="F708" s="3" t="str">
        <f>HYPERLINK("https://sitebase.nzcomms.co.nz/spm/spmcandidateview/CAN-059-005-B/","CAN-059-005-B")</f>
        <v>CAN-059-005-B</v>
      </c>
      <c r="G708" s="4" t="s">
        <v>2070</v>
      </c>
      <c r="H708" s="4" t="s">
        <v>2053</v>
      </c>
      <c r="I708" s="4">
        <v>8</v>
      </c>
      <c r="J708" s="4" t="s">
        <v>180</v>
      </c>
      <c r="K708" s="4" t="s">
        <v>141</v>
      </c>
      <c r="L708" s="4" t="s">
        <v>150</v>
      </c>
      <c r="M708" s="4" t="s">
        <v>190</v>
      </c>
      <c r="N708" s="4" t="s">
        <v>291</v>
      </c>
      <c r="O708" s="4"/>
      <c r="P708" s="4" t="s">
        <v>169</v>
      </c>
      <c r="Q708" s="4" t="s">
        <v>192</v>
      </c>
      <c r="R708" s="4">
        <v>25</v>
      </c>
      <c r="S708" s="4">
        <v>25</v>
      </c>
      <c r="T708" s="4">
        <v>1</v>
      </c>
      <c r="U708" s="4">
        <v>-43.300354849999998</v>
      </c>
      <c r="V708" s="4">
        <v>172.59717397</v>
      </c>
      <c r="W708" s="4"/>
      <c r="X708" s="4"/>
      <c r="Y708" s="4"/>
      <c r="Z708" s="4"/>
      <c r="AA708" s="4" t="s">
        <v>171</v>
      </c>
      <c r="AB708" s="3" t="str">
        <f>HYPERLINK("https://sitebase.nzcomms.co.nz/spm/spmcandidateview/CAN-059-006-D/","CAN-059-006-D")</f>
        <v>CAN-059-006-D</v>
      </c>
      <c r="AC708" s="4" t="b">
        <v>0</v>
      </c>
      <c r="AD708" s="4" t="b">
        <v>0</v>
      </c>
      <c r="AE708" s="4"/>
      <c r="AF708" s="4"/>
      <c r="AG708" s="4" t="b">
        <v>0</v>
      </c>
      <c r="AH708" s="4" t="s">
        <v>2071</v>
      </c>
      <c r="AI708" s="5">
        <v>40955</v>
      </c>
      <c r="AJ708" s="5">
        <v>40955</v>
      </c>
      <c r="AK708" s="5">
        <v>40991</v>
      </c>
      <c r="AL708" s="5">
        <v>40989</v>
      </c>
      <c r="AM708" s="5">
        <v>41061</v>
      </c>
      <c r="AN708" s="5">
        <v>41037</v>
      </c>
      <c r="AO708" s="4">
        <v>2</v>
      </c>
      <c r="AP708" s="5">
        <v>41061</v>
      </c>
      <c r="AQ708" s="5">
        <v>41059</v>
      </c>
      <c r="AR708" s="5">
        <v>41103</v>
      </c>
      <c r="AS708" s="5">
        <v>41103</v>
      </c>
      <c r="AT708" s="5">
        <v>41122</v>
      </c>
      <c r="AU708" s="5">
        <v>41127</v>
      </c>
      <c r="AV708" s="4">
        <v>2</v>
      </c>
      <c r="AW708" s="4"/>
      <c r="AX708" s="5">
        <v>41127</v>
      </c>
      <c r="AY708" s="4" t="s">
        <v>1847</v>
      </c>
      <c r="AZ708" s="5">
        <v>41096</v>
      </c>
      <c r="BA708" s="5">
        <v>41096</v>
      </c>
      <c r="BB708" s="5">
        <v>41131</v>
      </c>
      <c r="BC708" s="5">
        <v>41120</v>
      </c>
      <c r="BD708" s="4">
        <v>2</v>
      </c>
      <c r="BE708" s="4"/>
      <c r="BF708" s="4"/>
      <c r="BG708" s="4"/>
      <c r="BH708" s="4"/>
      <c r="BI708" s="5">
        <v>41185</v>
      </c>
      <c r="BJ708" s="5">
        <v>41194</v>
      </c>
      <c r="BK708" s="4">
        <v>1</v>
      </c>
      <c r="BL708" s="4"/>
      <c r="BM708" s="5">
        <v>41185</v>
      </c>
      <c r="BN708" s="5">
        <v>41194</v>
      </c>
      <c r="BO708" s="5">
        <v>41187</v>
      </c>
      <c r="BP708" s="4"/>
      <c r="BQ708" s="4"/>
      <c r="BR708" s="5">
        <v>41165</v>
      </c>
      <c r="BS708" s="4"/>
      <c r="BT708" s="5">
        <v>41191</v>
      </c>
      <c r="BU708" s="5">
        <v>41191</v>
      </c>
      <c r="BV708" s="5">
        <v>41233</v>
      </c>
      <c r="BW708" s="5">
        <v>41226</v>
      </c>
      <c r="BX708" s="5">
        <v>41212</v>
      </c>
      <c r="BY708" s="5">
        <v>41227</v>
      </c>
      <c r="BZ708" s="5">
        <v>41226</v>
      </c>
      <c r="CA708" s="4"/>
      <c r="CB708" s="4"/>
      <c r="CC708" s="4"/>
      <c r="CD708" s="4"/>
      <c r="CE708" s="4"/>
      <c r="CF708" s="4"/>
      <c r="CG708" s="4"/>
      <c r="CH708" s="4"/>
      <c r="CI708" s="5">
        <v>41233</v>
      </c>
      <c r="CJ708" s="5">
        <v>41257</v>
      </c>
      <c r="CK708" s="5">
        <v>41247</v>
      </c>
      <c r="CL708" s="5">
        <v>41257</v>
      </c>
      <c r="CM708" s="5">
        <v>41261</v>
      </c>
      <c r="CN708" s="5">
        <v>41485</v>
      </c>
      <c r="CO708" s="5">
        <v>41472</v>
      </c>
      <c r="CP708" s="4" t="s">
        <v>2072</v>
      </c>
      <c r="CQ708" s="4"/>
      <c r="CR708" s="5">
        <v>41227</v>
      </c>
      <c r="CS708" s="5">
        <v>41128</v>
      </c>
      <c r="CT708" s="5">
        <v>41128</v>
      </c>
      <c r="CU708" s="5">
        <v>41229</v>
      </c>
      <c r="CV708" s="5">
        <v>41191</v>
      </c>
      <c r="CW708" s="5">
        <v>41204</v>
      </c>
      <c r="CX708" s="5">
        <v>41187</v>
      </c>
      <c r="CY708" s="5">
        <v>41222</v>
      </c>
      <c r="CZ708" s="5">
        <v>41226</v>
      </c>
      <c r="DA708" s="5">
        <v>41243</v>
      </c>
      <c r="DB708" s="5">
        <v>41239</v>
      </c>
      <c r="DC708" s="4"/>
      <c r="DD708" s="4" t="s">
        <v>586</v>
      </c>
      <c r="DE708" s="4" t="s">
        <v>2054</v>
      </c>
      <c r="DF708" s="4"/>
      <c r="DG708" s="4"/>
      <c r="DH708" s="4" t="s">
        <v>174</v>
      </c>
      <c r="DI708" s="5">
        <v>41211</v>
      </c>
      <c r="DJ708" s="4" t="b">
        <v>1</v>
      </c>
      <c r="DK708" s="5">
        <v>41165</v>
      </c>
      <c r="DL708" s="4">
        <v>2477326</v>
      </c>
      <c r="DM708" s="4">
        <v>5767373</v>
      </c>
      <c r="DN708" s="4" t="s">
        <v>2073</v>
      </c>
      <c r="DO708" s="4"/>
      <c r="DP708" s="4" t="s">
        <v>2074</v>
      </c>
      <c r="DQ708" s="4" t="s">
        <v>148</v>
      </c>
      <c r="DR708" s="4"/>
      <c r="DS708" s="4"/>
      <c r="DT708" s="5">
        <v>42115</v>
      </c>
      <c r="DU708" s="4"/>
      <c r="DV708" s="4"/>
      <c r="DW708" s="4"/>
      <c r="DX708" s="4"/>
      <c r="DY708" s="4"/>
      <c r="DZ708" s="4"/>
      <c r="EA708" s="4"/>
      <c r="EB708" s="4"/>
      <c r="EC708" s="4"/>
      <c r="ED708" s="4"/>
      <c r="EE708" s="4"/>
      <c r="EF708" s="4"/>
      <c r="EG708" s="5">
        <v>41255</v>
      </c>
      <c r="EH708" s="5">
        <v>41255</v>
      </c>
      <c r="EI708" s="4"/>
    </row>
    <row r="709" spans="1:139" hidden="1" x14ac:dyDescent="0.2">
      <c r="A709" t="str">
        <f>VLOOKUP(B709,Sheet1!$A$1:$B$18,2,FALSE)</f>
        <v>South Island</v>
      </c>
      <c r="B709" t="str">
        <f>LEFT(D709,3)</f>
        <v>CAN</v>
      </c>
      <c r="C709" s="2">
        <v>643</v>
      </c>
      <c r="D709" s="3" t="str">
        <f>HYPERLINK("https://sitebase.nzcomms.co.nz/spm/spmnominalview/CAN-059-006/","CAN-059-006")</f>
        <v>CAN-059-006</v>
      </c>
      <c r="E709" s="4" t="s">
        <v>2075</v>
      </c>
      <c r="F709" s="3" t="str">
        <f>HYPERLINK("https://sitebase.nzcomms.co.nz/spm/spmcandidateview/CAN-059-006-D/","CAN-059-006-D")</f>
        <v>CAN-059-006-D</v>
      </c>
      <c r="G709" s="4" t="s">
        <v>2076</v>
      </c>
      <c r="H709" s="4" t="s">
        <v>2053</v>
      </c>
      <c r="I709" s="4">
        <v>8</v>
      </c>
      <c r="J709" s="4" t="s">
        <v>180</v>
      </c>
      <c r="K709" s="4" t="s">
        <v>141</v>
      </c>
      <c r="L709" s="4" t="s">
        <v>150</v>
      </c>
      <c r="M709" s="4" t="s">
        <v>190</v>
      </c>
      <c r="N709" s="4" t="s">
        <v>1557</v>
      </c>
      <c r="O709" s="4"/>
      <c r="P709" s="4" t="s">
        <v>182</v>
      </c>
      <c r="Q709" s="4"/>
      <c r="R709" s="4"/>
      <c r="S709" s="4">
        <v>28</v>
      </c>
      <c r="T709" s="4">
        <v>1</v>
      </c>
      <c r="U709" s="4">
        <v>-43.32615672</v>
      </c>
      <c r="V709" s="4">
        <v>172.60086211000001</v>
      </c>
      <c r="W709" s="4"/>
      <c r="X709" s="4"/>
      <c r="Y709" s="4"/>
      <c r="Z709" s="4"/>
      <c r="AA709" s="4" t="s">
        <v>171</v>
      </c>
      <c r="AB709" s="3" t="str">
        <f>HYPERLINK("https://sitebase.nzcomms.co.nz/spm/spmcandidateview/CAN-059-008-A/","CAN-059-008-A")</f>
        <v>CAN-059-008-A</v>
      </c>
      <c r="AC709" s="4" t="b">
        <v>0</v>
      </c>
      <c r="AD709" s="4" t="b">
        <v>0</v>
      </c>
      <c r="AE709" s="4"/>
      <c r="AF709" s="4"/>
      <c r="AG709" s="4" t="b">
        <v>0</v>
      </c>
      <c r="AH709" s="4"/>
      <c r="AI709" s="4"/>
      <c r="AJ709" s="5">
        <v>41031</v>
      </c>
      <c r="AK709" s="5">
        <v>41050</v>
      </c>
      <c r="AL709" s="5">
        <v>41050</v>
      </c>
      <c r="AM709" s="5">
        <v>41059</v>
      </c>
      <c r="AN709" s="5">
        <v>41086</v>
      </c>
      <c r="AO709" s="4">
        <v>1</v>
      </c>
      <c r="AP709" s="5">
        <v>41059</v>
      </c>
      <c r="AQ709" s="5">
        <v>41086</v>
      </c>
      <c r="AR709" s="5">
        <v>41103</v>
      </c>
      <c r="AS709" s="5">
        <v>41103</v>
      </c>
      <c r="AT709" s="5">
        <v>41110</v>
      </c>
      <c r="AU709" s="5">
        <v>41110</v>
      </c>
      <c r="AV709" s="4">
        <v>1</v>
      </c>
      <c r="AW709" s="4"/>
      <c r="AX709" s="5">
        <v>41110</v>
      </c>
      <c r="AY709" s="4" t="s">
        <v>1847</v>
      </c>
      <c r="AZ709" s="5">
        <v>41096</v>
      </c>
      <c r="BA709" s="5">
        <v>41096</v>
      </c>
      <c r="BB709" s="5">
        <v>41131</v>
      </c>
      <c r="BC709" s="5">
        <v>41120</v>
      </c>
      <c r="BD709" s="4">
        <v>1</v>
      </c>
      <c r="BE709" s="4"/>
      <c r="BF709" s="4"/>
      <c r="BG709" s="4"/>
      <c r="BH709" s="4"/>
      <c r="BI709" s="5">
        <v>41180</v>
      </c>
      <c r="BJ709" s="5">
        <v>41190</v>
      </c>
      <c r="BK709" s="4">
        <v>2</v>
      </c>
      <c r="BL709" s="4">
        <v>1</v>
      </c>
      <c r="BM709" s="5">
        <v>41180</v>
      </c>
      <c r="BN709" s="5">
        <v>41534</v>
      </c>
      <c r="BO709" s="5">
        <v>41187</v>
      </c>
      <c r="BP709" s="4"/>
      <c r="BQ709" s="4"/>
      <c r="BR709" s="5">
        <v>41164</v>
      </c>
      <c r="BS709" s="4"/>
      <c r="BT709" s="5">
        <v>41186</v>
      </c>
      <c r="BU709" s="5">
        <v>41186</v>
      </c>
      <c r="BV709" s="5">
        <v>41228</v>
      </c>
      <c r="BW709" s="5">
        <v>41225</v>
      </c>
      <c r="BX709" s="5">
        <v>41213</v>
      </c>
      <c r="BY709" s="5">
        <v>41227</v>
      </c>
      <c r="BZ709" s="5">
        <v>41227</v>
      </c>
      <c r="CA709" s="4"/>
      <c r="CB709" s="4"/>
      <c r="CC709" s="4"/>
      <c r="CD709" s="4"/>
      <c r="CE709" s="4"/>
      <c r="CF709" s="4"/>
      <c r="CG709" s="4"/>
      <c r="CH709" s="4"/>
      <c r="CI709" s="5">
        <v>41228</v>
      </c>
      <c r="CJ709" s="5">
        <v>41257</v>
      </c>
      <c r="CK709" s="5">
        <v>41239</v>
      </c>
      <c r="CL709" s="5">
        <v>41257</v>
      </c>
      <c r="CM709" s="5">
        <v>41261</v>
      </c>
      <c r="CN709" s="5">
        <v>41537</v>
      </c>
      <c r="CO709" s="5">
        <v>41547</v>
      </c>
      <c r="CP709" s="4" t="s">
        <v>2077</v>
      </c>
      <c r="CQ709" s="4"/>
      <c r="CR709" s="5">
        <v>41227</v>
      </c>
      <c r="CS709" s="5">
        <v>41128</v>
      </c>
      <c r="CT709" s="5">
        <v>41128</v>
      </c>
      <c r="CU709" s="5">
        <v>41197</v>
      </c>
      <c r="CV709" s="5">
        <v>41214</v>
      </c>
      <c r="CW709" s="5">
        <v>41197</v>
      </c>
      <c r="CX709" s="5">
        <v>41187</v>
      </c>
      <c r="CY709" s="5">
        <v>41225</v>
      </c>
      <c r="CZ709" s="5">
        <v>41222</v>
      </c>
      <c r="DA709" s="5">
        <v>41243</v>
      </c>
      <c r="DB709" s="5">
        <v>41234</v>
      </c>
      <c r="DC709" s="4"/>
      <c r="DD709" s="4" t="s">
        <v>206</v>
      </c>
      <c r="DE709" s="4" t="s">
        <v>2054</v>
      </c>
      <c r="DF709" s="4"/>
      <c r="DG709" s="4"/>
      <c r="DH709" s="4" t="s">
        <v>174</v>
      </c>
      <c r="DI709" s="5">
        <v>41209</v>
      </c>
      <c r="DJ709" s="4" t="b">
        <v>1</v>
      </c>
      <c r="DK709" s="5">
        <v>41164</v>
      </c>
      <c r="DL709" s="4">
        <v>2477639</v>
      </c>
      <c r="DM709" s="4">
        <v>5764508</v>
      </c>
      <c r="DN709" s="4" t="s">
        <v>2078</v>
      </c>
      <c r="DO709" s="4"/>
      <c r="DP709" s="4" t="s">
        <v>2079</v>
      </c>
      <c r="DQ709" s="4" t="s">
        <v>148</v>
      </c>
      <c r="DR709" s="4"/>
      <c r="DS709" s="4"/>
      <c r="DT709" s="5">
        <v>42115</v>
      </c>
      <c r="DU709" s="4"/>
      <c r="DV709" s="4"/>
      <c r="DW709" s="4"/>
      <c r="DX709" s="4"/>
      <c r="DY709" s="4"/>
      <c r="DZ709" s="4"/>
      <c r="EA709" s="4"/>
      <c r="EB709" s="4"/>
      <c r="EC709" s="4"/>
      <c r="ED709" s="4"/>
      <c r="EE709" s="4"/>
      <c r="EF709" s="4"/>
      <c r="EG709" s="5">
        <v>41257</v>
      </c>
      <c r="EH709" s="5">
        <v>41257</v>
      </c>
      <c r="EI709" s="4"/>
    </row>
    <row r="710" spans="1:139" hidden="1" x14ac:dyDescent="0.2">
      <c r="A710" t="str">
        <f>VLOOKUP(B710,Sheet1!$A$1:$B$18,2,FALSE)</f>
        <v>South Island</v>
      </c>
      <c r="B710" t="str">
        <f>LEFT(D710,3)</f>
        <v>CAN</v>
      </c>
      <c r="C710" s="2">
        <v>684</v>
      </c>
      <c r="D710" s="3" t="str">
        <f>HYPERLINK("https://sitebase.nzcomms.co.nz/spm/spmnominalview/CAN-064-002/","CAN-064-002")</f>
        <v>CAN-064-002</v>
      </c>
      <c r="E710" s="4" t="s">
        <v>2230</v>
      </c>
      <c r="F710" s="3" t="str">
        <f>HYPERLINK("https://sitebase.nzcomms.co.nz/spm/spmcandidateview/CAN-064-002-D/","CAN-064-002-D")</f>
        <v>CAN-064-002-D</v>
      </c>
      <c r="G710" s="4" t="s">
        <v>2231</v>
      </c>
      <c r="H710" s="4" t="s">
        <v>2229</v>
      </c>
      <c r="I710" s="4">
        <v>4</v>
      </c>
      <c r="J710" s="4" t="s">
        <v>180</v>
      </c>
      <c r="K710" s="4" t="s">
        <v>141</v>
      </c>
      <c r="L710" s="4" t="s">
        <v>150</v>
      </c>
      <c r="M710" s="4" t="s">
        <v>190</v>
      </c>
      <c r="N710" s="4" t="s">
        <v>167</v>
      </c>
      <c r="O710" s="4"/>
      <c r="P710" s="4" t="s">
        <v>169</v>
      </c>
      <c r="Q710" s="4" t="s">
        <v>170</v>
      </c>
      <c r="R710" s="4">
        <v>20</v>
      </c>
      <c r="S710" s="4">
        <v>20</v>
      </c>
      <c r="T710" s="4">
        <v>1</v>
      </c>
      <c r="U710" s="4">
        <v>-44.187016110000002</v>
      </c>
      <c r="V710" s="4">
        <v>171.12973173</v>
      </c>
      <c r="W710" s="4"/>
      <c r="X710" s="5">
        <v>40931</v>
      </c>
      <c r="Y710" s="4"/>
      <c r="Z710" s="5">
        <v>41155</v>
      </c>
      <c r="AA710" s="4" t="s">
        <v>171</v>
      </c>
      <c r="AB710" s="3" t="str">
        <f>HYPERLINK("https://sitebase.nzcomms.co.nz/spm/spmcandidateview/CAN-064-005-D/","CAN-064-005-D")</f>
        <v>CAN-064-005-D</v>
      </c>
      <c r="AC710" s="4" t="b">
        <v>0</v>
      </c>
      <c r="AD710" s="4" t="b">
        <v>0</v>
      </c>
      <c r="AE710" s="4"/>
      <c r="AF710" s="4"/>
      <c r="AG710" s="4" t="b">
        <v>0</v>
      </c>
      <c r="AH710" s="4" t="s">
        <v>2232</v>
      </c>
      <c r="AI710" s="5">
        <v>40962</v>
      </c>
      <c r="AJ710" s="5">
        <v>40962</v>
      </c>
      <c r="AK710" s="5">
        <v>40969</v>
      </c>
      <c r="AL710" s="5">
        <v>40973</v>
      </c>
      <c r="AM710" s="5">
        <v>41004</v>
      </c>
      <c r="AN710" s="5">
        <v>41012</v>
      </c>
      <c r="AO710" s="4">
        <v>2</v>
      </c>
      <c r="AP710" s="5">
        <v>41004</v>
      </c>
      <c r="AQ710" s="5">
        <v>41031</v>
      </c>
      <c r="AR710" s="5">
        <v>41030</v>
      </c>
      <c r="AS710" s="5">
        <v>41031</v>
      </c>
      <c r="AT710" s="5">
        <v>41089</v>
      </c>
      <c r="AU710" s="5">
        <v>41099</v>
      </c>
      <c r="AV710" s="4">
        <v>1</v>
      </c>
      <c r="AW710" s="5">
        <v>41110</v>
      </c>
      <c r="AX710" s="5">
        <v>41127</v>
      </c>
      <c r="AY710" s="4" t="s">
        <v>198</v>
      </c>
      <c r="AZ710" s="5">
        <v>41038</v>
      </c>
      <c r="BA710" s="5">
        <v>41036</v>
      </c>
      <c r="BB710" s="5">
        <v>41073</v>
      </c>
      <c r="BC710" s="5">
        <v>41057</v>
      </c>
      <c r="BD710" s="4">
        <v>2</v>
      </c>
      <c r="BE710" s="4"/>
      <c r="BF710" s="4"/>
      <c r="BG710" s="5">
        <v>41138</v>
      </c>
      <c r="BH710" s="4"/>
      <c r="BI710" s="5">
        <v>41117</v>
      </c>
      <c r="BJ710" s="5">
        <v>41149</v>
      </c>
      <c r="BK710" s="4">
        <v>1</v>
      </c>
      <c r="BL710" s="4"/>
      <c r="BM710" s="5">
        <v>41117</v>
      </c>
      <c r="BN710" s="5">
        <v>41149</v>
      </c>
      <c r="BO710" s="5">
        <v>41137</v>
      </c>
      <c r="BP710" s="4"/>
      <c r="BQ710" s="4"/>
      <c r="BR710" s="4"/>
      <c r="BS710" s="4"/>
      <c r="BT710" s="5">
        <v>41141</v>
      </c>
      <c r="BU710" s="5">
        <v>41141</v>
      </c>
      <c r="BV710" s="5">
        <v>41180</v>
      </c>
      <c r="BW710" s="5">
        <v>41179</v>
      </c>
      <c r="BX710" s="5">
        <v>41159</v>
      </c>
      <c r="BY710" s="5">
        <v>41238</v>
      </c>
      <c r="BZ710" s="5">
        <v>41239</v>
      </c>
      <c r="CA710" s="4"/>
      <c r="CB710" s="4"/>
      <c r="CC710" s="4"/>
      <c r="CD710" s="4"/>
      <c r="CE710" s="4"/>
      <c r="CF710" s="4"/>
      <c r="CG710" s="4"/>
      <c r="CH710" s="4"/>
      <c r="CI710" s="5">
        <v>41240</v>
      </c>
      <c r="CJ710" s="5">
        <v>41257</v>
      </c>
      <c r="CK710" s="5">
        <v>41246</v>
      </c>
      <c r="CL710" s="5">
        <v>41257</v>
      </c>
      <c r="CM710" s="5">
        <v>41255</v>
      </c>
      <c r="CN710" s="5">
        <v>41467</v>
      </c>
      <c r="CO710" s="5">
        <v>41465</v>
      </c>
      <c r="CP710" s="4" t="s">
        <v>2233</v>
      </c>
      <c r="CQ710" s="4"/>
      <c r="CR710" s="5">
        <v>41239</v>
      </c>
      <c r="CS710" s="5">
        <v>41082</v>
      </c>
      <c r="CT710" s="5">
        <v>41088</v>
      </c>
      <c r="CU710" s="5">
        <v>41156</v>
      </c>
      <c r="CV710" s="5">
        <v>41156</v>
      </c>
      <c r="CW710" s="5">
        <v>41139</v>
      </c>
      <c r="CX710" s="5">
        <v>41137</v>
      </c>
      <c r="CY710" s="5">
        <v>41180</v>
      </c>
      <c r="CZ710" s="5">
        <v>41179</v>
      </c>
      <c r="DA710" s="5">
        <v>41241</v>
      </c>
      <c r="DB710" s="5">
        <v>41241</v>
      </c>
      <c r="DC710" s="5">
        <v>40953</v>
      </c>
      <c r="DD710" s="4" t="s">
        <v>586</v>
      </c>
      <c r="DE710" s="4" t="s">
        <v>2217</v>
      </c>
      <c r="DF710" s="4"/>
      <c r="DG710" s="4"/>
      <c r="DH710" s="4" t="s">
        <v>174</v>
      </c>
      <c r="DI710" s="5">
        <v>41164</v>
      </c>
      <c r="DJ710" s="4" t="b">
        <v>0</v>
      </c>
      <c r="DK710" s="4"/>
      <c r="DL710" s="4">
        <v>2360481</v>
      </c>
      <c r="DM710" s="4">
        <v>5667270</v>
      </c>
      <c r="DN710" s="4" t="s">
        <v>2234</v>
      </c>
      <c r="DO710" s="4"/>
      <c r="DP710" s="4" t="s">
        <v>2235</v>
      </c>
      <c r="DQ710" s="4" t="s">
        <v>148</v>
      </c>
      <c r="DR710" s="4"/>
      <c r="DS710" s="4"/>
      <c r="DT710" s="4"/>
      <c r="DU710" s="4"/>
      <c r="DV710" s="4"/>
      <c r="DW710" s="4"/>
      <c r="DX710" s="4"/>
      <c r="DY710" s="4"/>
      <c r="DZ710" s="4"/>
      <c r="EA710" s="4"/>
      <c r="EB710" s="4"/>
      <c r="EC710" s="4"/>
      <c r="ED710" s="4"/>
      <c r="EE710" s="4"/>
      <c r="EF710" s="4"/>
      <c r="EG710" s="5">
        <v>41246</v>
      </c>
      <c r="EH710" s="5">
        <v>41247</v>
      </c>
      <c r="EI710" s="5">
        <v>40973</v>
      </c>
    </row>
    <row r="711" spans="1:139" hidden="1" x14ac:dyDescent="0.2">
      <c r="A711" t="str">
        <f>VLOOKUP(B711,Sheet1!$A$1:$B$18,2,FALSE)</f>
        <v>South Island</v>
      </c>
      <c r="B711" t="str">
        <f>LEFT(D711,3)</f>
        <v>CAN</v>
      </c>
      <c r="C711" s="2">
        <v>686</v>
      </c>
      <c r="D711" s="3" t="str">
        <f>HYPERLINK("https://sitebase.nzcomms.co.nz/spm/spmnominalview/CAN-064-004/","CAN-064-004")</f>
        <v>CAN-064-004</v>
      </c>
      <c r="E711" s="4" t="s">
        <v>2241</v>
      </c>
      <c r="F711" s="3" t="str">
        <f>HYPERLINK("https://sitebase.nzcomms.co.nz/spm/spmcandidateview/CAN-064-004-A/","CAN-064-004-A")</f>
        <v>CAN-064-004-A</v>
      </c>
      <c r="G711" s="4" t="s">
        <v>2242</v>
      </c>
      <c r="H711" s="4" t="s">
        <v>2229</v>
      </c>
      <c r="I711" s="4">
        <v>4</v>
      </c>
      <c r="J711" s="4" t="s">
        <v>180</v>
      </c>
      <c r="K711" s="4" t="s">
        <v>141</v>
      </c>
      <c r="L711" s="4" t="s">
        <v>150</v>
      </c>
      <c r="M711" s="4" t="s">
        <v>190</v>
      </c>
      <c r="N711" s="4" t="s">
        <v>1557</v>
      </c>
      <c r="O711" s="4"/>
      <c r="P711" s="4" t="s">
        <v>182</v>
      </c>
      <c r="Q711" s="4" t="s">
        <v>192</v>
      </c>
      <c r="R711" s="4">
        <v>25</v>
      </c>
      <c r="S711" s="4">
        <v>25</v>
      </c>
      <c r="T711" s="4">
        <v>1</v>
      </c>
      <c r="U711" s="4">
        <v>-44.24274089</v>
      </c>
      <c r="V711" s="4">
        <v>171.27944403000001</v>
      </c>
      <c r="W711" s="4"/>
      <c r="X711" s="5">
        <v>40891</v>
      </c>
      <c r="Y711" s="4"/>
      <c r="Z711" s="5">
        <v>41187</v>
      </c>
      <c r="AA711" s="4" t="s">
        <v>171</v>
      </c>
      <c r="AB711" s="3" t="str">
        <f>HYPERLINK("https://sitebase.nzcomms.co.nz/spm/spmcandidateview/CAN-064-002-D/","CAN-064-002-D")</f>
        <v>CAN-064-002-D</v>
      </c>
      <c r="AC711" s="4" t="b">
        <v>0</v>
      </c>
      <c r="AD711" s="4" t="b">
        <v>0</v>
      </c>
      <c r="AE711" s="4"/>
      <c r="AF711" s="4"/>
      <c r="AG711" s="4" t="b">
        <v>0</v>
      </c>
      <c r="AH711" s="4" t="s">
        <v>2243</v>
      </c>
      <c r="AI711" s="5">
        <v>40962</v>
      </c>
      <c r="AJ711" s="5">
        <v>40962</v>
      </c>
      <c r="AK711" s="5">
        <v>40968</v>
      </c>
      <c r="AL711" s="5">
        <v>40974</v>
      </c>
      <c r="AM711" s="5">
        <v>41003</v>
      </c>
      <c r="AN711" s="5">
        <v>41003</v>
      </c>
      <c r="AO711" s="4">
        <v>2</v>
      </c>
      <c r="AP711" s="5">
        <v>41003</v>
      </c>
      <c r="AQ711" s="5">
        <v>41004</v>
      </c>
      <c r="AR711" s="5">
        <v>41086</v>
      </c>
      <c r="AS711" s="5">
        <v>41086</v>
      </c>
      <c r="AT711" s="5">
        <v>41117</v>
      </c>
      <c r="AU711" s="5">
        <v>41114</v>
      </c>
      <c r="AV711" s="4"/>
      <c r="AW711" s="4"/>
      <c r="AX711" s="5">
        <v>41114</v>
      </c>
      <c r="AY711" s="4" t="s">
        <v>198</v>
      </c>
      <c r="AZ711" s="5">
        <v>41075</v>
      </c>
      <c r="BA711" s="5">
        <v>41073</v>
      </c>
      <c r="BB711" s="5">
        <v>41103</v>
      </c>
      <c r="BC711" s="5">
        <v>41100</v>
      </c>
      <c r="BD711" s="4">
        <v>2</v>
      </c>
      <c r="BE711" s="4"/>
      <c r="BF711" s="4"/>
      <c r="BG711" s="4"/>
      <c r="BH711" s="4"/>
      <c r="BI711" s="5">
        <v>41184</v>
      </c>
      <c r="BJ711" s="5">
        <v>41184</v>
      </c>
      <c r="BK711" s="4">
        <v>1</v>
      </c>
      <c r="BL711" s="4"/>
      <c r="BM711" s="5">
        <v>41184</v>
      </c>
      <c r="BN711" s="5">
        <v>41184</v>
      </c>
      <c r="BO711" s="5">
        <v>41169</v>
      </c>
      <c r="BP711" s="4"/>
      <c r="BQ711" s="4"/>
      <c r="BR711" s="5">
        <v>41149</v>
      </c>
      <c r="BS711" s="4"/>
      <c r="BT711" s="5">
        <v>41177</v>
      </c>
      <c r="BU711" s="5">
        <v>41171</v>
      </c>
      <c r="BV711" s="5">
        <v>41206</v>
      </c>
      <c r="BW711" s="5">
        <v>41208</v>
      </c>
      <c r="BX711" s="5">
        <v>41199</v>
      </c>
      <c r="BY711" s="5">
        <v>41237</v>
      </c>
      <c r="BZ711" s="5">
        <v>41240</v>
      </c>
      <c r="CA711" s="4"/>
      <c r="CB711" s="4"/>
      <c r="CC711" s="4"/>
      <c r="CD711" s="4"/>
      <c r="CE711" s="4"/>
      <c r="CF711" s="4"/>
      <c r="CG711" s="4"/>
      <c r="CH711" s="4"/>
      <c r="CI711" s="5">
        <v>41246</v>
      </c>
      <c r="CJ711" s="5">
        <v>41257</v>
      </c>
      <c r="CK711" s="5">
        <v>41248</v>
      </c>
      <c r="CL711" s="5">
        <v>41271</v>
      </c>
      <c r="CM711" s="5">
        <v>41261</v>
      </c>
      <c r="CN711" s="5">
        <v>41465</v>
      </c>
      <c r="CO711" s="5">
        <v>41451</v>
      </c>
      <c r="CP711" s="4" t="s">
        <v>2244</v>
      </c>
      <c r="CQ711" s="4"/>
      <c r="CR711" s="5">
        <v>41246</v>
      </c>
      <c r="CS711" s="5">
        <v>41108</v>
      </c>
      <c r="CT711" s="5">
        <v>41108</v>
      </c>
      <c r="CU711" s="5">
        <v>41170</v>
      </c>
      <c r="CV711" s="5">
        <v>41171</v>
      </c>
      <c r="CW711" s="5">
        <v>41170</v>
      </c>
      <c r="CX711" s="5">
        <v>41169</v>
      </c>
      <c r="CY711" s="5">
        <v>41200</v>
      </c>
      <c r="CZ711" s="5">
        <v>41213</v>
      </c>
      <c r="DA711" s="5">
        <v>41246</v>
      </c>
      <c r="DB711" s="5">
        <v>41246</v>
      </c>
      <c r="DC711" s="5">
        <v>40970</v>
      </c>
      <c r="DD711" s="4" t="s">
        <v>206</v>
      </c>
      <c r="DE711" s="4" t="s">
        <v>2245</v>
      </c>
      <c r="DF711" s="4"/>
      <c r="DG711" s="4"/>
      <c r="DH711" s="4" t="s">
        <v>174</v>
      </c>
      <c r="DI711" s="5">
        <v>41187</v>
      </c>
      <c r="DJ711" s="4" t="b">
        <v>1</v>
      </c>
      <c r="DK711" s="5">
        <v>41149</v>
      </c>
      <c r="DL711" s="4">
        <v>2372575</v>
      </c>
      <c r="DM711" s="4">
        <v>5661337</v>
      </c>
      <c r="DN711" s="4" t="s">
        <v>2246</v>
      </c>
      <c r="DO711" s="4"/>
      <c r="DP711" s="4" t="s">
        <v>2247</v>
      </c>
      <c r="DQ711" s="4" t="s">
        <v>148</v>
      </c>
      <c r="DR711" s="4"/>
      <c r="DS711" s="4"/>
      <c r="DT711" s="4"/>
      <c r="DU711" s="4"/>
      <c r="DV711" s="4"/>
      <c r="DW711" s="4"/>
      <c r="DX711" s="4"/>
      <c r="DY711" s="4"/>
      <c r="DZ711" s="4"/>
      <c r="EA711" s="4"/>
      <c r="EB711" s="4"/>
      <c r="EC711" s="4"/>
      <c r="ED711" s="4"/>
      <c r="EE711" s="4"/>
      <c r="EF711" s="4"/>
      <c r="EG711" s="5">
        <v>41250</v>
      </c>
      <c r="EH711" s="5">
        <v>41250</v>
      </c>
      <c r="EI711" s="5">
        <v>40974</v>
      </c>
    </row>
    <row r="712" spans="1:139" hidden="1" x14ac:dyDescent="0.2">
      <c r="A712" t="str">
        <f>VLOOKUP(B712,Sheet1!$A$1:$B$18,2,FALSE)</f>
        <v>South Island</v>
      </c>
      <c r="B712" t="str">
        <f>LEFT(D712,3)</f>
        <v>CAN</v>
      </c>
      <c r="C712" s="2">
        <v>690</v>
      </c>
      <c r="D712" s="3" t="str">
        <f>HYPERLINK("https://sitebase.nzcomms.co.nz/spm/spmnominalview/CAN-064-008/","CAN-064-008")</f>
        <v>CAN-064-008</v>
      </c>
      <c r="E712" s="4" t="s">
        <v>2262</v>
      </c>
      <c r="F712" s="3" t="str">
        <f>HYPERLINK("https://sitebase.nzcomms.co.nz/spm/spmcandidateview/CAN-064-008-C/","CAN-064-008-C")</f>
        <v>CAN-064-008-C</v>
      </c>
      <c r="G712" s="4" t="s">
        <v>2263</v>
      </c>
      <c r="H712" s="4" t="s">
        <v>2229</v>
      </c>
      <c r="I712" s="4">
        <v>4</v>
      </c>
      <c r="J712" s="4" t="s">
        <v>180</v>
      </c>
      <c r="K712" s="4" t="s">
        <v>141</v>
      </c>
      <c r="L712" s="4" t="s">
        <v>150</v>
      </c>
      <c r="M712" s="4" t="s">
        <v>190</v>
      </c>
      <c r="N712" s="4" t="s">
        <v>1572</v>
      </c>
      <c r="O712" s="4"/>
      <c r="P712" s="4" t="s">
        <v>182</v>
      </c>
      <c r="Q712" s="4" t="s">
        <v>192</v>
      </c>
      <c r="R712" s="4">
        <v>25</v>
      </c>
      <c r="S712" s="4">
        <v>25</v>
      </c>
      <c r="T712" s="4">
        <v>1</v>
      </c>
      <c r="U712" s="4">
        <v>-44.425560140000002</v>
      </c>
      <c r="V712" s="4">
        <v>171.24397224000001</v>
      </c>
      <c r="W712" s="5">
        <v>40325</v>
      </c>
      <c r="X712" s="5">
        <v>40898</v>
      </c>
      <c r="Y712" s="5">
        <v>40353</v>
      </c>
      <c r="Z712" s="5">
        <v>41152</v>
      </c>
      <c r="AA712" s="4" t="s">
        <v>171</v>
      </c>
      <c r="AB712" s="3" t="str">
        <f>HYPERLINK("https://sitebase.nzcomms.co.nz/spm/spmcandidateview/CAN-064-007-D/","CAN-064-007-D")</f>
        <v>CAN-064-007-D</v>
      </c>
      <c r="AC712" s="4" t="b">
        <v>0</v>
      </c>
      <c r="AD712" s="4" t="b">
        <v>0</v>
      </c>
      <c r="AE712" s="5">
        <v>40325</v>
      </c>
      <c r="AF712" s="5">
        <v>40325</v>
      </c>
      <c r="AG712" s="4" t="b">
        <v>0</v>
      </c>
      <c r="AH712" s="4" t="s">
        <v>2232</v>
      </c>
      <c r="AI712" s="5">
        <v>40989</v>
      </c>
      <c r="AJ712" s="5">
        <v>40988</v>
      </c>
      <c r="AK712" s="5">
        <v>40997</v>
      </c>
      <c r="AL712" s="5">
        <v>40997</v>
      </c>
      <c r="AM712" s="5">
        <v>41047</v>
      </c>
      <c r="AN712" s="5">
        <v>41050</v>
      </c>
      <c r="AO712" s="4">
        <v>2</v>
      </c>
      <c r="AP712" s="5">
        <v>41047</v>
      </c>
      <c r="AQ712" s="5">
        <v>41060</v>
      </c>
      <c r="AR712" s="5">
        <v>41065</v>
      </c>
      <c r="AS712" s="5">
        <v>41061</v>
      </c>
      <c r="AT712" s="5">
        <v>41157</v>
      </c>
      <c r="AU712" s="5">
        <v>41158</v>
      </c>
      <c r="AV712" s="4">
        <v>1</v>
      </c>
      <c r="AW712" s="4"/>
      <c r="AX712" s="5">
        <v>41158</v>
      </c>
      <c r="AY712" s="4" t="s">
        <v>198</v>
      </c>
      <c r="AZ712" s="5">
        <v>41066</v>
      </c>
      <c r="BA712" s="5">
        <v>41066</v>
      </c>
      <c r="BB712" s="5">
        <v>41102</v>
      </c>
      <c r="BC712" s="5">
        <v>41082</v>
      </c>
      <c r="BD712" s="4">
        <v>2</v>
      </c>
      <c r="BE712" s="4"/>
      <c r="BF712" s="4"/>
      <c r="BG712" s="5">
        <v>41155</v>
      </c>
      <c r="BH712" s="4"/>
      <c r="BI712" s="5">
        <v>41158</v>
      </c>
      <c r="BJ712" s="5">
        <v>41176</v>
      </c>
      <c r="BK712" s="4">
        <v>1</v>
      </c>
      <c r="BL712" s="4"/>
      <c r="BM712" s="4"/>
      <c r="BN712" s="5">
        <v>41176</v>
      </c>
      <c r="BO712" s="5">
        <v>41156</v>
      </c>
      <c r="BP712" s="4"/>
      <c r="BQ712" s="4"/>
      <c r="BR712" s="4"/>
      <c r="BS712" s="4"/>
      <c r="BT712" s="5">
        <v>41158</v>
      </c>
      <c r="BU712" s="5">
        <v>41158</v>
      </c>
      <c r="BV712" s="5">
        <v>41215</v>
      </c>
      <c r="BW712" s="5">
        <v>41218</v>
      </c>
      <c r="BX712" s="5">
        <v>41180</v>
      </c>
      <c r="BY712" s="5">
        <v>41214</v>
      </c>
      <c r="BZ712" s="5">
        <v>41214</v>
      </c>
      <c r="CA712" s="4"/>
      <c r="CB712" s="4"/>
      <c r="CC712" s="4"/>
      <c r="CD712" s="5">
        <v>41078</v>
      </c>
      <c r="CE712" s="4"/>
      <c r="CF712" s="4"/>
      <c r="CG712" s="4"/>
      <c r="CH712" s="4"/>
      <c r="CI712" s="5">
        <v>41222</v>
      </c>
      <c r="CJ712" s="5">
        <v>41257</v>
      </c>
      <c r="CK712" s="5">
        <v>41249</v>
      </c>
      <c r="CL712" s="5">
        <v>41257</v>
      </c>
      <c r="CM712" s="5">
        <v>41261</v>
      </c>
      <c r="CN712" s="5">
        <v>41544</v>
      </c>
      <c r="CO712" s="5">
        <v>41537</v>
      </c>
      <c r="CP712" s="4" t="s">
        <v>2264</v>
      </c>
      <c r="CQ712" s="4"/>
      <c r="CR712" s="5">
        <v>41222</v>
      </c>
      <c r="CS712" s="5">
        <v>41108</v>
      </c>
      <c r="CT712" s="5">
        <v>41108</v>
      </c>
      <c r="CU712" s="5">
        <v>41164</v>
      </c>
      <c r="CV712" s="5">
        <v>41169</v>
      </c>
      <c r="CW712" s="5">
        <v>41156</v>
      </c>
      <c r="CX712" s="5">
        <v>41156</v>
      </c>
      <c r="CY712" s="5">
        <v>41214</v>
      </c>
      <c r="CZ712" s="5">
        <v>41214</v>
      </c>
      <c r="DA712" s="5">
        <v>41223</v>
      </c>
      <c r="DB712" s="5">
        <v>41225</v>
      </c>
      <c r="DC712" s="5">
        <v>40953</v>
      </c>
      <c r="DD712" s="4" t="s">
        <v>586</v>
      </c>
      <c r="DE712" s="4" t="s">
        <v>2245</v>
      </c>
      <c r="DF712" s="4"/>
      <c r="DG712" s="4"/>
      <c r="DH712" s="4" t="s">
        <v>174</v>
      </c>
      <c r="DI712" s="5">
        <v>41179</v>
      </c>
      <c r="DJ712" s="4" t="b">
        <v>0</v>
      </c>
      <c r="DK712" s="4"/>
      <c r="DL712" s="4">
        <v>2370169</v>
      </c>
      <c r="DM712" s="4">
        <v>5640969</v>
      </c>
      <c r="DN712" s="4" t="s">
        <v>2265</v>
      </c>
      <c r="DO712" s="4"/>
      <c r="DP712" s="4" t="s">
        <v>2235</v>
      </c>
      <c r="DQ712" s="4" t="s">
        <v>148</v>
      </c>
      <c r="DR712" s="4"/>
      <c r="DS712" s="4"/>
      <c r="DT712" s="4"/>
      <c r="DU712" s="4"/>
      <c r="DV712" s="4"/>
      <c r="DW712" s="4"/>
      <c r="DX712" s="4"/>
      <c r="DY712" s="4"/>
      <c r="DZ712" s="4"/>
      <c r="EA712" s="4"/>
      <c r="EB712" s="4"/>
      <c r="EC712" s="4"/>
      <c r="ED712" s="4"/>
      <c r="EE712" s="4"/>
      <c r="EF712" s="4"/>
      <c r="EG712" s="5">
        <v>41256</v>
      </c>
      <c r="EH712" s="5">
        <v>41257</v>
      </c>
      <c r="EI712" s="5">
        <v>40997</v>
      </c>
    </row>
    <row r="713" spans="1:139" hidden="1" x14ac:dyDescent="0.2">
      <c r="A713" t="str">
        <f>VLOOKUP(B713,Sheet1!$A$1:$B$18,2,FALSE)</f>
        <v>South Island</v>
      </c>
      <c r="B713" t="str">
        <f>LEFT(D713,3)</f>
        <v>WST</v>
      </c>
      <c r="C713" s="2">
        <v>1717</v>
      </c>
      <c r="D713" s="3" t="str">
        <f>HYPERLINK("https://sitebase.nzcomms.co.nz/spm/spmnominalview/WST-056-002/","WST-056-002")</f>
        <v>WST-056-002</v>
      </c>
      <c r="E713" s="4" t="s">
        <v>5170</v>
      </c>
      <c r="F713" s="3" t="str">
        <f>HYPERLINK("https://sitebase.nzcomms.co.nz/spm/spmcandidateview/WST-056-002-B/","WST-056-002-B")</f>
        <v>WST-056-002-B</v>
      </c>
      <c r="G713" s="4" t="s">
        <v>5171</v>
      </c>
      <c r="H713" s="4" t="s">
        <v>5167</v>
      </c>
      <c r="I713" s="4">
        <v>4</v>
      </c>
      <c r="J713" s="4" t="s">
        <v>180</v>
      </c>
      <c r="K713" s="4" t="s">
        <v>141</v>
      </c>
      <c r="L713" s="4" t="s">
        <v>150</v>
      </c>
      <c r="M713" s="4" t="s">
        <v>190</v>
      </c>
      <c r="N713" s="4" t="s">
        <v>291</v>
      </c>
      <c r="O713" s="4"/>
      <c r="P713" s="4" t="s">
        <v>182</v>
      </c>
      <c r="Q713" s="4" t="s">
        <v>192</v>
      </c>
      <c r="R713" s="4"/>
      <c r="S713" s="4"/>
      <c r="T713" s="4"/>
      <c r="U713" s="4">
        <v>-42.450041120000002</v>
      </c>
      <c r="V713" s="4">
        <v>171.20334761999999</v>
      </c>
      <c r="W713" s="4"/>
      <c r="X713" s="4"/>
      <c r="Y713" s="4"/>
      <c r="Z713" s="4"/>
      <c r="AA713" s="4"/>
      <c r="AB713" s="4"/>
      <c r="AC713" s="4" t="b">
        <v>0</v>
      </c>
      <c r="AD713" s="4" t="b">
        <v>0</v>
      </c>
      <c r="AE713" s="4"/>
      <c r="AF713" s="4"/>
      <c r="AG713" s="4" t="b">
        <v>0</v>
      </c>
      <c r="AH713" s="4"/>
      <c r="AI713" s="5">
        <v>40976</v>
      </c>
      <c r="AJ713" s="5">
        <v>40975</v>
      </c>
      <c r="AK713" s="5">
        <v>40983</v>
      </c>
      <c r="AL713" s="5">
        <v>40982</v>
      </c>
      <c r="AM713" s="5">
        <v>41040</v>
      </c>
      <c r="AN713" s="5">
        <v>41039</v>
      </c>
      <c r="AO713" s="4">
        <v>3</v>
      </c>
      <c r="AP713" s="5">
        <v>41040</v>
      </c>
      <c r="AQ713" s="5">
        <v>41187</v>
      </c>
      <c r="AR713" s="4"/>
      <c r="AS713" s="5">
        <v>41001</v>
      </c>
      <c r="AT713" s="5">
        <v>41094</v>
      </c>
      <c r="AU713" s="5">
        <v>41087</v>
      </c>
      <c r="AV713" s="4">
        <v>1</v>
      </c>
      <c r="AW713" s="4"/>
      <c r="AX713" s="5">
        <v>41087</v>
      </c>
      <c r="AY713" s="4" t="s">
        <v>172</v>
      </c>
      <c r="AZ713" s="5">
        <v>41094</v>
      </c>
      <c r="BA713" s="5">
        <v>41094</v>
      </c>
      <c r="BB713" s="5">
        <v>41120</v>
      </c>
      <c r="BC713" s="5">
        <v>41102</v>
      </c>
      <c r="BD713" s="4">
        <v>2</v>
      </c>
      <c r="BE713" s="4"/>
      <c r="BF713" s="5">
        <v>41102</v>
      </c>
      <c r="BG713" s="4"/>
      <c r="BH713" s="4"/>
      <c r="BI713" s="5">
        <v>41205</v>
      </c>
      <c r="BJ713" s="5">
        <v>41201</v>
      </c>
      <c r="BK713" s="4">
        <v>1</v>
      </c>
      <c r="BL713" s="4"/>
      <c r="BM713" s="5">
        <v>41205</v>
      </c>
      <c r="BN713" s="5">
        <v>41201</v>
      </c>
      <c r="BO713" s="4"/>
      <c r="BP713" s="4"/>
      <c r="BQ713" s="4"/>
      <c r="BR713" s="5">
        <v>41166</v>
      </c>
      <c r="BS713" s="4"/>
      <c r="BT713" s="5">
        <v>41206</v>
      </c>
      <c r="BU713" s="5">
        <v>41206</v>
      </c>
      <c r="BV713" s="5">
        <v>41243</v>
      </c>
      <c r="BW713" s="5">
        <v>41257</v>
      </c>
      <c r="BX713" s="5">
        <v>41243</v>
      </c>
      <c r="BY713" s="5">
        <v>41248</v>
      </c>
      <c r="BZ713" s="5">
        <v>41258</v>
      </c>
      <c r="CA713" s="4"/>
      <c r="CB713" s="5">
        <v>41258</v>
      </c>
      <c r="CC713" s="4"/>
      <c r="CD713" s="4"/>
      <c r="CE713" s="4"/>
      <c r="CF713" s="4"/>
      <c r="CG713" s="4"/>
      <c r="CH713" s="4"/>
      <c r="CI713" s="5">
        <v>41258</v>
      </c>
      <c r="CJ713" s="5">
        <v>41262</v>
      </c>
      <c r="CK713" s="5">
        <v>41262</v>
      </c>
      <c r="CL713" s="5">
        <v>41276</v>
      </c>
      <c r="CM713" s="5">
        <v>41264</v>
      </c>
      <c r="CN713" s="5">
        <v>41436</v>
      </c>
      <c r="CO713" s="5">
        <v>41425</v>
      </c>
      <c r="CP713" s="4" t="s">
        <v>5172</v>
      </c>
      <c r="CQ713" s="4"/>
      <c r="CR713" s="5">
        <v>41243</v>
      </c>
      <c r="CS713" s="5">
        <v>41149</v>
      </c>
      <c r="CT713" s="5">
        <v>41149</v>
      </c>
      <c r="CU713" s="5">
        <v>41227</v>
      </c>
      <c r="CV713" s="5">
        <v>41225</v>
      </c>
      <c r="CW713" s="5">
        <v>41227</v>
      </c>
      <c r="CX713" s="4"/>
      <c r="CY713" s="5">
        <v>41241</v>
      </c>
      <c r="CZ713" s="5">
        <v>41256</v>
      </c>
      <c r="DA713" s="5">
        <v>41260</v>
      </c>
      <c r="DB713" s="5">
        <v>41260</v>
      </c>
      <c r="DC713" s="5">
        <v>41007</v>
      </c>
      <c r="DD713" s="4" t="s">
        <v>206</v>
      </c>
      <c r="DE713" s="4" t="s">
        <v>5151</v>
      </c>
      <c r="DF713" s="5">
        <v>41243</v>
      </c>
      <c r="DG713" s="5">
        <v>41258</v>
      </c>
      <c r="DH713" s="4" t="s">
        <v>174</v>
      </c>
      <c r="DI713" s="5">
        <v>41239</v>
      </c>
      <c r="DJ713" s="4" t="b">
        <v>1</v>
      </c>
      <c r="DK713" s="5">
        <v>41166</v>
      </c>
      <c r="DL713" s="4">
        <v>2362215</v>
      </c>
      <c r="DM713" s="4">
        <v>5860324</v>
      </c>
      <c r="DN713" s="4" t="s">
        <v>5173</v>
      </c>
      <c r="DO713" s="4"/>
      <c r="DP713" s="4" t="s">
        <v>5174</v>
      </c>
      <c r="DQ713" s="4" t="s">
        <v>148</v>
      </c>
      <c r="DR713" s="4"/>
      <c r="DS713" s="4"/>
      <c r="DT713" s="4"/>
      <c r="DU713" s="4"/>
      <c r="DV713" s="4"/>
      <c r="DW713" s="4"/>
      <c r="DX713" s="4"/>
      <c r="DY713" s="4"/>
      <c r="DZ713" s="4"/>
      <c r="EA713" s="4"/>
      <c r="EB713" s="4"/>
      <c r="EC713" s="4"/>
      <c r="ED713" s="4"/>
      <c r="EE713" s="4"/>
      <c r="EF713" s="4"/>
      <c r="EG713" s="5">
        <v>41257</v>
      </c>
      <c r="EH713" s="5">
        <v>41261</v>
      </c>
      <c r="EI713" s="4"/>
    </row>
    <row r="714" spans="1:139" hidden="1" x14ac:dyDescent="0.2">
      <c r="A714" t="str">
        <f>VLOOKUP(B714,Sheet1!$A$1:$B$18,2,FALSE)</f>
        <v>South Island</v>
      </c>
      <c r="B714" t="str">
        <f>LEFT(D714,3)</f>
        <v>WST</v>
      </c>
      <c r="C714" s="2">
        <v>1710</v>
      </c>
      <c r="D714" s="3" t="str">
        <f>HYPERLINK("https://sitebase.nzcomms.co.nz/spm/spmnominalview/WST-055-001/","WST-055-001")</f>
        <v>WST-055-001</v>
      </c>
      <c r="E714" s="4" t="s">
        <v>5148</v>
      </c>
      <c r="F714" s="3" t="str">
        <f>HYPERLINK("https://sitebase.nzcomms.co.nz/spm/spmcandidateview/WST-055-001-A/","WST-055-001-A")</f>
        <v>WST-055-001-A</v>
      </c>
      <c r="G714" s="4" t="s">
        <v>1183</v>
      </c>
      <c r="H714" s="4" t="s">
        <v>5149</v>
      </c>
      <c r="I714" s="4">
        <v>4</v>
      </c>
      <c r="J714" s="4" t="s">
        <v>180</v>
      </c>
      <c r="K714" s="4" t="s">
        <v>141</v>
      </c>
      <c r="L714" s="4" t="s">
        <v>150</v>
      </c>
      <c r="M714" s="4" t="s">
        <v>190</v>
      </c>
      <c r="N714" s="4" t="s">
        <v>1557</v>
      </c>
      <c r="O714" s="4"/>
      <c r="P714" s="4" t="s">
        <v>182</v>
      </c>
      <c r="Q714" s="4" t="s">
        <v>192</v>
      </c>
      <c r="R714" s="4">
        <v>25</v>
      </c>
      <c r="S714" s="4">
        <v>25</v>
      </c>
      <c r="T714" s="4"/>
      <c r="U714" s="4">
        <v>-41.756822739999997</v>
      </c>
      <c r="V714" s="4">
        <v>171.59789065999999</v>
      </c>
      <c r="W714" s="4"/>
      <c r="X714" s="4"/>
      <c r="Y714" s="4"/>
      <c r="Z714" s="4"/>
      <c r="AA714" s="4"/>
      <c r="AB714" s="4"/>
      <c r="AC714" s="4" t="b">
        <v>0</v>
      </c>
      <c r="AD714" s="4" t="b">
        <v>0</v>
      </c>
      <c r="AE714" s="4"/>
      <c r="AF714" s="4"/>
      <c r="AG714" s="4" t="b">
        <v>0</v>
      </c>
      <c r="AH714" s="4"/>
      <c r="AI714" s="5">
        <v>40976</v>
      </c>
      <c r="AJ714" s="5">
        <v>40976</v>
      </c>
      <c r="AK714" s="5">
        <v>40983</v>
      </c>
      <c r="AL714" s="5">
        <v>40982</v>
      </c>
      <c r="AM714" s="5">
        <v>41042</v>
      </c>
      <c r="AN714" s="5">
        <v>41045</v>
      </c>
      <c r="AO714" s="4">
        <v>2</v>
      </c>
      <c r="AP714" s="5">
        <v>41042</v>
      </c>
      <c r="AQ714" s="5">
        <v>41072</v>
      </c>
      <c r="AR714" s="4"/>
      <c r="AS714" s="5">
        <v>40973</v>
      </c>
      <c r="AT714" s="5">
        <v>41157</v>
      </c>
      <c r="AU714" s="5">
        <v>41156</v>
      </c>
      <c r="AV714" s="4">
        <v>2</v>
      </c>
      <c r="AW714" s="4"/>
      <c r="AX714" s="5">
        <v>41156</v>
      </c>
      <c r="AY714" s="4" t="s">
        <v>172</v>
      </c>
      <c r="AZ714" s="5">
        <v>41142</v>
      </c>
      <c r="BA714" s="5">
        <v>41138</v>
      </c>
      <c r="BB714" s="5">
        <v>41173</v>
      </c>
      <c r="BC714" s="5">
        <v>41159</v>
      </c>
      <c r="BD714" s="4">
        <v>2</v>
      </c>
      <c r="BE714" s="4"/>
      <c r="BF714" s="5">
        <v>41159</v>
      </c>
      <c r="BG714" s="4"/>
      <c r="BH714" s="4"/>
      <c r="BI714" s="5">
        <v>41218</v>
      </c>
      <c r="BJ714" s="5">
        <v>41232</v>
      </c>
      <c r="BK714" s="4">
        <v>1</v>
      </c>
      <c r="BL714" s="4"/>
      <c r="BM714" s="5">
        <v>41218</v>
      </c>
      <c r="BN714" s="5">
        <v>41232</v>
      </c>
      <c r="BO714" s="5">
        <v>41224</v>
      </c>
      <c r="BP714" s="4"/>
      <c r="BQ714" s="4"/>
      <c r="BR714" s="5">
        <v>41166</v>
      </c>
      <c r="BS714" s="4"/>
      <c r="BT714" s="5">
        <v>41211</v>
      </c>
      <c r="BU714" s="5">
        <v>41214</v>
      </c>
      <c r="BV714" s="5">
        <v>41254</v>
      </c>
      <c r="BW714" s="5">
        <v>41257</v>
      </c>
      <c r="BX714" s="5">
        <v>41249</v>
      </c>
      <c r="BY714" s="5">
        <v>41253</v>
      </c>
      <c r="BZ714" s="5">
        <v>41257</v>
      </c>
      <c r="CA714" s="4"/>
      <c r="CB714" s="5">
        <v>41257</v>
      </c>
      <c r="CC714" s="4"/>
      <c r="CD714" s="4"/>
      <c r="CE714" s="4"/>
      <c r="CF714" s="4"/>
      <c r="CG714" s="4"/>
      <c r="CH714" s="4"/>
      <c r="CI714" s="5">
        <v>41257</v>
      </c>
      <c r="CJ714" s="5">
        <v>41263</v>
      </c>
      <c r="CK714" s="5">
        <v>41263</v>
      </c>
      <c r="CL714" s="5">
        <v>41276</v>
      </c>
      <c r="CM714" s="5">
        <v>41263</v>
      </c>
      <c r="CN714" s="5">
        <v>41530</v>
      </c>
      <c r="CO714" s="5">
        <v>41527</v>
      </c>
      <c r="CP714" s="4" t="s">
        <v>5150</v>
      </c>
      <c r="CQ714" s="4"/>
      <c r="CR714" s="5">
        <v>41256</v>
      </c>
      <c r="CS714" s="5">
        <v>41163</v>
      </c>
      <c r="CT714" s="5">
        <v>41163</v>
      </c>
      <c r="CU714" s="5">
        <v>41194</v>
      </c>
      <c r="CV714" s="4"/>
      <c r="CW714" s="5">
        <v>41221</v>
      </c>
      <c r="CX714" s="5">
        <v>41224</v>
      </c>
      <c r="CY714" s="5">
        <v>41250</v>
      </c>
      <c r="CZ714" s="5">
        <v>41254</v>
      </c>
      <c r="DA714" s="5">
        <v>41261</v>
      </c>
      <c r="DB714" s="5">
        <v>41260</v>
      </c>
      <c r="DC714" s="5">
        <v>40931</v>
      </c>
      <c r="DD714" s="4" t="s">
        <v>206</v>
      </c>
      <c r="DE714" s="4" t="s">
        <v>5151</v>
      </c>
      <c r="DF714" s="5">
        <v>41249</v>
      </c>
      <c r="DG714" s="5">
        <v>41249</v>
      </c>
      <c r="DH714" s="4" t="s">
        <v>174</v>
      </c>
      <c r="DI714" s="5">
        <v>41249</v>
      </c>
      <c r="DJ714" s="4" t="b">
        <v>1</v>
      </c>
      <c r="DK714" s="5">
        <v>41166</v>
      </c>
      <c r="DL714" s="4">
        <v>2393387</v>
      </c>
      <c r="DM714" s="4">
        <v>5937937</v>
      </c>
      <c r="DN714" s="4" t="s">
        <v>5152</v>
      </c>
      <c r="DO714" s="4"/>
      <c r="DP714" s="4" t="s">
        <v>5153</v>
      </c>
      <c r="DQ714" s="4" t="s">
        <v>148</v>
      </c>
      <c r="DR714" s="4"/>
      <c r="DS714" s="4"/>
      <c r="DT714" s="4"/>
      <c r="DU714" s="4"/>
      <c r="DV714" s="4"/>
      <c r="DW714" s="4"/>
      <c r="DX714" s="4"/>
      <c r="DY714" s="4"/>
      <c r="DZ714" s="4"/>
      <c r="EA714" s="4"/>
      <c r="EB714" s="4"/>
      <c r="EC714" s="4"/>
      <c r="ED714" s="4"/>
      <c r="EE714" s="4"/>
      <c r="EF714" s="4"/>
      <c r="EG714" s="5">
        <v>41257</v>
      </c>
      <c r="EH714" s="5">
        <v>41261</v>
      </c>
      <c r="EI714" s="4"/>
    </row>
    <row r="715" spans="1:139" hidden="1" x14ac:dyDescent="0.2">
      <c r="A715" t="str">
        <f>VLOOKUP(B715,Sheet1!$A$1:$B$18,2,FALSE)</f>
        <v>South Island</v>
      </c>
      <c r="B715" t="str">
        <f>LEFT(D715,3)</f>
        <v>MBN</v>
      </c>
      <c r="C715" s="2">
        <v>1019</v>
      </c>
      <c r="D715" s="3" t="str">
        <f>HYPERLINK("https://sitebase.nzcomms.co.nz/spm/spmnominalview/MBN-052-015/","MBN-052-015")</f>
        <v>MBN-052-015</v>
      </c>
      <c r="E715" s="4" t="s">
        <v>3138</v>
      </c>
      <c r="F715" s="3" t="str">
        <f>HYPERLINK("https://sitebase.nzcomms.co.nz/spm/spmcandidateview/MBN-052-015-D/","MBN-052-015-D")</f>
        <v>MBN-052-015-D</v>
      </c>
      <c r="G715" s="4" t="s">
        <v>3139</v>
      </c>
      <c r="H715" s="4" t="s">
        <v>3096</v>
      </c>
      <c r="I715" s="4">
        <v>7</v>
      </c>
      <c r="J715" s="4" t="s">
        <v>1633</v>
      </c>
      <c r="K715" s="4" t="s">
        <v>141</v>
      </c>
      <c r="L715" s="4" t="s">
        <v>150</v>
      </c>
      <c r="M715" s="4" t="s">
        <v>190</v>
      </c>
      <c r="N715" s="4" t="s">
        <v>730</v>
      </c>
      <c r="O715" s="4"/>
      <c r="P715" s="4" t="s">
        <v>169</v>
      </c>
      <c r="Q715" s="4" t="s">
        <v>170</v>
      </c>
      <c r="R715" s="4">
        <v>24</v>
      </c>
      <c r="S715" s="4">
        <v>25</v>
      </c>
      <c r="T715" s="4">
        <v>2</v>
      </c>
      <c r="U715" s="4">
        <v>-41.32044921</v>
      </c>
      <c r="V715" s="4">
        <v>173.21637131</v>
      </c>
      <c r="W715" s="4"/>
      <c r="X715" s="4"/>
      <c r="Y715" s="4"/>
      <c r="Z715" s="4"/>
      <c r="AA715" s="4" t="s">
        <v>145</v>
      </c>
      <c r="AB715" s="3" t="str">
        <f>HYPERLINK("https://sitebase.nzcomms.co.nz/spm/spmcandidateview/MBN-052-003-B/","MBN-052-003-B")</f>
        <v>MBN-052-003-B</v>
      </c>
      <c r="AC715" s="4" t="b">
        <v>0</v>
      </c>
      <c r="AD715" s="4" t="b">
        <v>0</v>
      </c>
      <c r="AE715" s="4"/>
      <c r="AF715" s="4"/>
      <c r="AG715" s="4" t="b">
        <v>0</v>
      </c>
      <c r="AH715" s="4"/>
      <c r="AI715" s="5">
        <v>40777</v>
      </c>
      <c r="AJ715" s="5">
        <v>40777</v>
      </c>
      <c r="AK715" s="5">
        <v>40784</v>
      </c>
      <c r="AL715" s="5">
        <v>40778</v>
      </c>
      <c r="AM715" s="5">
        <v>40795</v>
      </c>
      <c r="AN715" s="5">
        <v>40798</v>
      </c>
      <c r="AO715" s="4">
        <v>1</v>
      </c>
      <c r="AP715" s="5">
        <v>40795</v>
      </c>
      <c r="AQ715" s="5">
        <v>40798</v>
      </c>
      <c r="AR715" s="5">
        <v>40826</v>
      </c>
      <c r="AS715" s="5">
        <v>40807</v>
      </c>
      <c r="AT715" s="5">
        <v>40841</v>
      </c>
      <c r="AU715" s="5">
        <v>40809</v>
      </c>
      <c r="AV715" s="4">
        <v>1</v>
      </c>
      <c r="AW715" s="4"/>
      <c r="AX715" s="5">
        <v>40809</v>
      </c>
      <c r="AY715" s="4" t="s">
        <v>247</v>
      </c>
      <c r="AZ715" s="5">
        <v>40805</v>
      </c>
      <c r="BA715" s="5">
        <v>40805</v>
      </c>
      <c r="BB715" s="5">
        <v>40848</v>
      </c>
      <c r="BC715" s="5">
        <v>40819</v>
      </c>
      <c r="BD715" s="4">
        <v>1</v>
      </c>
      <c r="BE715" s="4"/>
      <c r="BF715" s="5">
        <v>40819</v>
      </c>
      <c r="BG715" s="4"/>
      <c r="BH715" s="4"/>
      <c r="BI715" s="5">
        <v>40865</v>
      </c>
      <c r="BJ715" s="5">
        <v>40872</v>
      </c>
      <c r="BK715" s="4">
        <v>1</v>
      </c>
      <c r="BL715" s="4"/>
      <c r="BM715" s="5">
        <v>40865</v>
      </c>
      <c r="BN715" s="5">
        <v>40872</v>
      </c>
      <c r="BO715" s="5">
        <v>40877</v>
      </c>
      <c r="BP715" s="4"/>
      <c r="BQ715" s="4"/>
      <c r="BR715" s="4"/>
      <c r="BS715" s="4"/>
      <c r="BT715" s="5">
        <v>40877</v>
      </c>
      <c r="BU715" s="5">
        <v>40877</v>
      </c>
      <c r="BV715" s="5">
        <v>40984</v>
      </c>
      <c r="BW715" s="5">
        <v>40966</v>
      </c>
      <c r="BX715" s="5">
        <v>40885</v>
      </c>
      <c r="BY715" s="5">
        <v>40891</v>
      </c>
      <c r="BZ715" s="5">
        <v>40898</v>
      </c>
      <c r="CA715" s="4"/>
      <c r="CB715" s="4"/>
      <c r="CC715" s="4"/>
      <c r="CD715" s="4"/>
      <c r="CE715" s="4"/>
      <c r="CF715" s="4"/>
      <c r="CG715" s="4"/>
      <c r="CH715" s="4"/>
      <c r="CI715" s="5">
        <v>40898</v>
      </c>
      <c r="CJ715" s="5">
        <v>41264</v>
      </c>
      <c r="CK715" s="5">
        <v>40898</v>
      </c>
      <c r="CL715" s="5">
        <v>40983</v>
      </c>
      <c r="CM715" s="5">
        <v>40987</v>
      </c>
      <c r="CN715" s="5">
        <v>41534</v>
      </c>
      <c r="CO715" s="5">
        <v>41628</v>
      </c>
      <c r="CP715" s="4" t="s">
        <v>3140</v>
      </c>
      <c r="CQ715" s="4"/>
      <c r="CR715" s="5">
        <v>40891</v>
      </c>
      <c r="CS715" s="5">
        <v>40875</v>
      </c>
      <c r="CT715" s="5">
        <v>40875</v>
      </c>
      <c r="CU715" s="5">
        <v>40883</v>
      </c>
      <c r="CV715" s="5">
        <v>40884</v>
      </c>
      <c r="CW715" s="5">
        <v>40877</v>
      </c>
      <c r="CX715" s="5">
        <v>40877</v>
      </c>
      <c r="CY715" s="5">
        <v>40893</v>
      </c>
      <c r="CZ715" s="5">
        <v>40889</v>
      </c>
      <c r="DA715" s="5">
        <v>40939</v>
      </c>
      <c r="DB715" s="5">
        <v>40900</v>
      </c>
      <c r="DC715" s="4"/>
      <c r="DD715" s="4"/>
      <c r="DE715" s="4"/>
      <c r="DF715" s="4"/>
      <c r="DG715" s="4"/>
      <c r="DH715" s="4" t="s">
        <v>174</v>
      </c>
      <c r="DI715" s="5">
        <v>40885</v>
      </c>
      <c r="DJ715" s="4" t="b">
        <v>0</v>
      </c>
      <c r="DK715" s="4"/>
      <c r="DL715" s="4">
        <v>2528102</v>
      </c>
      <c r="DM715" s="4">
        <v>5987348</v>
      </c>
      <c r="DN715" s="4" t="s">
        <v>3141</v>
      </c>
      <c r="DO715" s="4"/>
      <c r="DP715" s="4"/>
      <c r="DQ715" s="4" t="s">
        <v>148</v>
      </c>
      <c r="DR715" s="4"/>
      <c r="DS715" s="4"/>
      <c r="DT715" s="4"/>
      <c r="DU715" s="4"/>
      <c r="DV715" s="4"/>
      <c r="DW715" s="4"/>
      <c r="DX715" s="4"/>
      <c r="DY715" s="4"/>
      <c r="DZ715" s="4"/>
      <c r="EA715" s="4"/>
      <c r="EB715" s="4"/>
      <c r="EC715" s="4"/>
      <c r="ED715" s="4"/>
      <c r="EE715" s="4"/>
      <c r="EF715" s="4"/>
      <c r="EG715" s="5">
        <v>40967</v>
      </c>
      <c r="EH715" s="5">
        <v>40973</v>
      </c>
      <c r="EI715" s="5">
        <v>40778</v>
      </c>
    </row>
    <row r="716" spans="1:139" hidden="1" x14ac:dyDescent="0.2">
      <c r="A716" t="str">
        <f>VLOOKUP(B716,Sheet1!$A$1:$B$18,2,FALSE)</f>
        <v>South Island</v>
      </c>
      <c r="B716" t="str">
        <f>LEFT(D716,3)</f>
        <v>CAN</v>
      </c>
      <c r="C716" s="2">
        <v>691</v>
      </c>
      <c r="D716" s="3" t="str">
        <f>HYPERLINK("https://sitebase.nzcomms.co.nz/spm/spmnominalview/CAN-064-009/","CAN-064-009")</f>
        <v>CAN-064-009</v>
      </c>
      <c r="E716" s="4" t="s">
        <v>2266</v>
      </c>
      <c r="F716" s="3" t="str">
        <f>HYPERLINK("https://sitebase.nzcomms.co.nz/spm/spmcandidateview/CAN-064-009-C/","CAN-064-009-C")</f>
        <v>CAN-064-009-C</v>
      </c>
      <c r="G716" s="4" t="s">
        <v>2267</v>
      </c>
      <c r="H716" s="4" t="s">
        <v>2229</v>
      </c>
      <c r="I716" s="4">
        <v>4</v>
      </c>
      <c r="J716" s="4" t="s">
        <v>180</v>
      </c>
      <c r="K716" s="4" t="s">
        <v>141</v>
      </c>
      <c r="L716" s="4" t="s">
        <v>189</v>
      </c>
      <c r="M716" s="4" t="s">
        <v>190</v>
      </c>
      <c r="N716" s="4" t="s">
        <v>2268</v>
      </c>
      <c r="O716" s="4"/>
      <c r="P716" s="4" t="s">
        <v>182</v>
      </c>
      <c r="Q716" s="4" t="s">
        <v>192</v>
      </c>
      <c r="R716" s="4">
        <v>17.5</v>
      </c>
      <c r="S716" s="4">
        <v>18</v>
      </c>
      <c r="T716" s="4">
        <v>1</v>
      </c>
      <c r="U716" s="4">
        <v>-44.390571139999999</v>
      </c>
      <c r="V716" s="4">
        <v>171.22674358</v>
      </c>
      <c r="W716" s="5">
        <v>40325</v>
      </c>
      <c r="X716" s="5">
        <v>40919</v>
      </c>
      <c r="Y716" s="5">
        <v>40353</v>
      </c>
      <c r="Z716" s="5">
        <v>41197</v>
      </c>
      <c r="AA716" s="4" t="s">
        <v>145</v>
      </c>
      <c r="AB716" s="3" t="str">
        <f>HYPERLINK("https://sitebase.nzcomms.co.nz/spm/spmcandidateview/CAN-064-016-A/","CAN-064-016-A")</f>
        <v>CAN-064-016-A</v>
      </c>
      <c r="AC716" s="4" t="b">
        <v>0</v>
      </c>
      <c r="AD716" s="4" t="b">
        <v>0</v>
      </c>
      <c r="AE716" s="5">
        <v>40325</v>
      </c>
      <c r="AF716" s="5">
        <v>40325</v>
      </c>
      <c r="AG716" s="4" t="b">
        <v>0</v>
      </c>
      <c r="AH716" s="4"/>
      <c r="AI716" s="5">
        <v>40989</v>
      </c>
      <c r="AJ716" s="5">
        <v>40988</v>
      </c>
      <c r="AK716" s="5">
        <v>40997</v>
      </c>
      <c r="AL716" s="5">
        <v>40998</v>
      </c>
      <c r="AM716" s="5">
        <v>41044</v>
      </c>
      <c r="AN716" s="5">
        <v>41045</v>
      </c>
      <c r="AO716" s="4">
        <v>1</v>
      </c>
      <c r="AP716" s="5">
        <v>41044</v>
      </c>
      <c r="AQ716" s="5">
        <v>41045</v>
      </c>
      <c r="AR716" s="5">
        <v>41068</v>
      </c>
      <c r="AS716" s="5">
        <v>41065</v>
      </c>
      <c r="AT716" s="5">
        <v>41071</v>
      </c>
      <c r="AU716" s="5">
        <v>41071</v>
      </c>
      <c r="AV716" s="4">
        <v>1</v>
      </c>
      <c r="AW716" s="4"/>
      <c r="AX716" s="5">
        <v>41073</v>
      </c>
      <c r="AY716" s="4" t="s">
        <v>198</v>
      </c>
      <c r="AZ716" s="5">
        <v>41068</v>
      </c>
      <c r="BA716" s="5">
        <v>41065</v>
      </c>
      <c r="BB716" s="5">
        <v>41095</v>
      </c>
      <c r="BC716" s="5">
        <v>41082</v>
      </c>
      <c r="BD716" s="4">
        <v>1</v>
      </c>
      <c r="BE716" s="4"/>
      <c r="BF716" s="4"/>
      <c r="BG716" s="5">
        <v>41143</v>
      </c>
      <c r="BH716" s="4"/>
      <c r="BI716" s="4"/>
      <c r="BJ716" s="5">
        <v>41185</v>
      </c>
      <c r="BK716" s="4">
        <v>1</v>
      </c>
      <c r="BL716" s="4"/>
      <c r="BM716" s="5">
        <v>41185</v>
      </c>
      <c r="BN716" s="5">
        <v>41185</v>
      </c>
      <c r="BO716" s="5">
        <v>41178</v>
      </c>
      <c r="BP716" s="4"/>
      <c r="BQ716" s="4"/>
      <c r="BR716" s="5">
        <v>41149</v>
      </c>
      <c r="BS716" s="4"/>
      <c r="BT716" s="5">
        <v>41186</v>
      </c>
      <c r="BU716" s="5">
        <v>41177</v>
      </c>
      <c r="BV716" s="5">
        <v>41211</v>
      </c>
      <c r="BW716" s="5">
        <v>41211</v>
      </c>
      <c r="BX716" s="5">
        <v>41197</v>
      </c>
      <c r="BY716" s="5">
        <v>41216</v>
      </c>
      <c r="BZ716" s="5">
        <v>41218</v>
      </c>
      <c r="CA716" s="4"/>
      <c r="CB716" s="4"/>
      <c r="CC716" s="4"/>
      <c r="CD716" s="4"/>
      <c r="CE716" s="4"/>
      <c r="CF716" s="4"/>
      <c r="CG716" s="4"/>
      <c r="CH716" s="4"/>
      <c r="CI716" s="5">
        <v>41225</v>
      </c>
      <c r="CJ716" s="5">
        <v>41289</v>
      </c>
      <c r="CK716" s="5">
        <v>41288</v>
      </c>
      <c r="CL716" s="5">
        <v>41291</v>
      </c>
      <c r="CM716" s="5">
        <v>41291</v>
      </c>
      <c r="CN716" s="5">
        <v>41465</v>
      </c>
      <c r="CO716" s="5">
        <v>41452</v>
      </c>
      <c r="CP716" s="4" t="s">
        <v>2269</v>
      </c>
      <c r="CQ716" s="4"/>
      <c r="CR716" s="5">
        <v>41221</v>
      </c>
      <c r="CS716" s="5">
        <v>41127</v>
      </c>
      <c r="CT716" s="5">
        <v>41127</v>
      </c>
      <c r="CU716" s="5">
        <v>41170</v>
      </c>
      <c r="CV716" s="5">
        <v>41170</v>
      </c>
      <c r="CW716" s="5">
        <v>41178</v>
      </c>
      <c r="CX716" s="5">
        <v>41178</v>
      </c>
      <c r="CY716" s="5">
        <v>41260</v>
      </c>
      <c r="CZ716" s="5">
        <v>41262</v>
      </c>
      <c r="DA716" s="5">
        <v>41225</v>
      </c>
      <c r="DB716" s="5">
        <v>41226</v>
      </c>
      <c r="DC716" s="5">
        <v>40953</v>
      </c>
      <c r="DD716" s="4" t="s">
        <v>206</v>
      </c>
      <c r="DE716" s="4" t="s">
        <v>2245</v>
      </c>
      <c r="DF716" s="5">
        <v>41215</v>
      </c>
      <c r="DG716" s="5">
        <v>41215</v>
      </c>
      <c r="DH716" s="4" t="s">
        <v>174</v>
      </c>
      <c r="DI716" s="5">
        <v>41197</v>
      </c>
      <c r="DJ716" s="4" t="b">
        <v>1</v>
      </c>
      <c r="DK716" s="5">
        <v>41149</v>
      </c>
      <c r="DL716" s="4">
        <v>2368715</v>
      </c>
      <c r="DM716" s="4">
        <v>5644827</v>
      </c>
      <c r="DN716" s="4" t="s">
        <v>2270</v>
      </c>
      <c r="DO716" s="4"/>
      <c r="DP716" s="4" t="s">
        <v>2271</v>
      </c>
      <c r="DQ716" s="4" t="s">
        <v>148</v>
      </c>
      <c r="DR716" s="4"/>
      <c r="DS716" s="4"/>
      <c r="DT716" s="4"/>
      <c r="DU716" s="4"/>
      <c r="DV716" s="4"/>
      <c r="DW716" s="4"/>
      <c r="DX716" s="4"/>
      <c r="DY716" s="4"/>
      <c r="DZ716" s="4"/>
      <c r="EA716" s="4"/>
      <c r="EB716" s="4"/>
      <c r="EC716" s="4"/>
      <c r="ED716" s="4"/>
      <c r="EE716" s="4"/>
      <c r="EF716" s="4"/>
      <c r="EG716" s="5">
        <v>41261</v>
      </c>
      <c r="EH716" s="5">
        <v>41264</v>
      </c>
      <c r="EI716" s="5">
        <v>40998</v>
      </c>
    </row>
    <row r="717" spans="1:139" hidden="1" x14ac:dyDescent="0.2">
      <c r="A717" t="str">
        <f>VLOOKUP(B717,Sheet1!$A$1:$B$18,2,FALSE)</f>
        <v>South Island</v>
      </c>
      <c r="B717" t="str">
        <f>LEFT(D717,3)</f>
        <v>CAN</v>
      </c>
      <c r="C717" s="2">
        <v>692</v>
      </c>
      <c r="D717" s="3" t="str">
        <f>HYPERLINK("https://sitebase.nzcomms.co.nz/spm/spmnominalview/CAN-064-010/","CAN-064-010")</f>
        <v>CAN-064-010</v>
      </c>
      <c r="E717" s="4" t="s">
        <v>2272</v>
      </c>
      <c r="F717" s="3" t="str">
        <f>HYPERLINK("https://sitebase.nzcomms.co.nz/spm/spmcandidateview/CAN-064-010-E/","CAN-064-010-E")</f>
        <v>CAN-064-010-E</v>
      </c>
      <c r="G717" s="4" t="s">
        <v>2273</v>
      </c>
      <c r="H717" s="4" t="s">
        <v>2229</v>
      </c>
      <c r="I717" s="4">
        <v>4</v>
      </c>
      <c r="J717" s="4" t="s">
        <v>180</v>
      </c>
      <c r="K717" s="4" t="s">
        <v>141</v>
      </c>
      <c r="L717" s="4" t="s">
        <v>189</v>
      </c>
      <c r="M717" s="4" t="s">
        <v>190</v>
      </c>
      <c r="N717" s="4" t="s">
        <v>274</v>
      </c>
      <c r="O717" s="4"/>
      <c r="P717" s="4" t="s">
        <v>182</v>
      </c>
      <c r="Q717" s="4" t="s">
        <v>192</v>
      </c>
      <c r="R717" s="4">
        <v>15</v>
      </c>
      <c r="S717" s="4">
        <v>15</v>
      </c>
      <c r="T717" s="4">
        <v>1</v>
      </c>
      <c r="U717" s="4">
        <v>-44.385236280000001</v>
      </c>
      <c r="V717" s="4">
        <v>171.24241658</v>
      </c>
      <c r="W717" s="4"/>
      <c r="X717" s="5">
        <v>40918</v>
      </c>
      <c r="Y717" s="4"/>
      <c r="Z717" s="5">
        <v>41236</v>
      </c>
      <c r="AA717" s="4" t="s">
        <v>145</v>
      </c>
      <c r="AB717" s="3" t="str">
        <f>HYPERLINK("https://sitebase.nzcomms.co.nz/spm/spmcandidateview/CAN-064-016-A/","CAN-064-016-A")</f>
        <v>CAN-064-016-A</v>
      </c>
      <c r="AC717" s="4" t="b">
        <v>0</v>
      </c>
      <c r="AD717" s="4" t="b">
        <v>0</v>
      </c>
      <c r="AE717" s="4"/>
      <c r="AF717" s="4"/>
      <c r="AG717" s="4" t="b">
        <v>0</v>
      </c>
      <c r="AH717" s="4"/>
      <c r="AI717" s="5">
        <v>41017</v>
      </c>
      <c r="AJ717" s="5">
        <v>41017</v>
      </c>
      <c r="AK717" s="5">
        <v>41030</v>
      </c>
      <c r="AL717" s="5">
        <v>41025</v>
      </c>
      <c r="AM717" s="5">
        <v>41052</v>
      </c>
      <c r="AN717" s="5">
        <v>41053</v>
      </c>
      <c r="AO717" s="4">
        <v>2</v>
      </c>
      <c r="AP717" s="5">
        <v>41052</v>
      </c>
      <c r="AQ717" s="5">
        <v>41156</v>
      </c>
      <c r="AR717" s="5">
        <v>41076</v>
      </c>
      <c r="AS717" s="5">
        <v>41065</v>
      </c>
      <c r="AT717" s="5">
        <v>41071</v>
      </c>
      <c r="AU717" s="5">
        <v>41074</v>
      </c>
      <c r="AV717" s="4">
        <v>1</v>
      </c>
      <c r="AW717" s="4"/>
      <c r="AX717" s="5">
        <v>41075</v>
      </c>
      <c r="AY717" s="4" t="s">
        <v>198</v>
      </c>
      <c r="AZ717" s="5">
        <v>41102</v>
      </c>
      <c r="BA717" s="5">
        <v>41100</v>
      </c>
      <c r="BB717" s="5">
        <v>41164</v>
      </c>
      <c r="BC717" s="5">
        <v>41159</v>
      </c>
      <c r="BD717" s="4">
        <v>2</v>
      </c>
      <c r="BE717" s="4"/>
      <c r="BF717" s="4"/>
      <c r="BG717" s="4"/>
      <c r="BH717" s="4"/>
      <c r="BI717" s="5">
        <v>41225</v>
      </c>
      <c r="BJ717" s="5">
        <v>41225</v>
      </c>
      <c r="BK717" s="4">
        <v>1</v>
      </c>
      <c r="BL717" s="4"/>
      <c r="BM717" s="5">
        <v>41225</v>
      </c>
      <c r="BN717" s="5">
        <v>41225</v>
      </c>
      <c r="BO717" s="5">
        <v>41214</v>
      </c>
      <c r="BP717" s="4"/>
      <c r="BQ717" s="4"/>
      <c r="BR717" s="5">
        <v>41165</v>
      </c>
      <c r="BS717" s="4"/>
      <c r="BT717" s="5">
        <v>41215</v>
      </c>
      <c r="BU717" s="5">
        <v>41214</v>
      </c>
      <c r="BV717" s="5">
        <v>41250</v>
      </c>
      <c r="BW717" s="5">
        <v>41255</v>
      </c>
      <c r="BX717" s="5">
        <v>41232</v>
      </c>
      <c r="BY717" s="5">
        <v>41248</v>
      </c>
      <c r="BZ717" s="5">
        <v>41250</v>
      </c>
      <c r="CA717" s="4"/>
      <c r="CB717" s="4"/>
      <c r="CC717" s="4"/>
      <c r="CD717" s="4"/>
      <c r="CE717" s="4"/>
      <c r="CF717" s="4"/>
      <c r="CG717" s="4"/>
      <c r="CH717" s="4"/>
      <c r="CI717" s="5">
        <v>41255</v>
      </c>
      <c r="CJ717" s="5">
        <v>41289</v>
      </c>
      <c r="CK717" s="5">
        <v>41260</v>
      </c>
      <c r="CL717" s="5">
        <v>41289</v>
      </c>
      <c r="CM717" s="5">
        <v>41263</v>
      </c>
      <c r="CN717" s="5">
        <v>41519</v>
      </c>
      <c r="CO717" s="5">
        <v>41533</v>
      </c>
      <c r="CP717" s="4" t="s">
        <v>2274</v>
      </c>
      <c r="CQ717" s="4"/>
      <c r="CR717" s="5">
        <v>41255</v>
      </c>
      <c r="CS717" s="5">
        <v>41156</v>
      </c>
      <c r="CT717" s="5">
        <v>41156</v>
      </c>
      <c r="CU717" s="5">
        <v>41229</v>
      </c>
      <c r="CV717" s="5">
        <v>41227</v>
      </c>
      <c r="CW717" s="5">
        <v>41214</v>
      </c>
      <c r="CX717" s="5">
        <v>41214</v>
      </c>
      <c r="CY717" s="5">
        <v>41247</v>
      </c>
      <c r="CZ717" s="5">
        <v>41250</v>
      </c>
      <c r="DA717" s="5">
        <v>41250</v>
      </c>
      <c r="DB717" s="5">
        <v>41257</v>
      </c>
      <c r="DC717" s="5">
        <v>41030</v>
      </c>
      <c r="DD717" s="4" t="s">
        <v>573</v>
      </c>
      <c r="DE717" s="4" t="s">
        <v>2245</v>
      </c>
      <c r="DF717" s="5">
        <v>41236</v>
      </c>
      <c r="DG717" s="5">
        <v>41246</v>
      </c>
      <c r="DH717" s="4" t="s">
        <v>174</v>
      </c>
      <c r="DI717" s="5">
        <v>41230</v>
      </c>
      <c r="DJ717" s="4" t="b">
        <v>1</v>
      </c>
      <c r="DK717" s="5">
        <v>41165</v>
      </c>
      <c r="DL717" s="4">
        <v>2369951</v>
      </c>
      <c r="DM717" s="4">
        <v>5645446</v>
      </c>
      <c r="DN717" s="4" t="s">
        <v>2275</v>
      </c>
      <c r="DO717" s="4"/>
      <c r="DP717" s="4" t="s">
        <v>2276</v>
      </c>
      <c r="DQ717" s="4" t="s">
        <v>148</v>
      </c>
      <c r="DR717" s="4"/>
      <c r="DS717" s="4"/>
      <c r="DT717" s="4"/>
      <c r="DU717" s="4"/>
      <c r="DV717" s="4"/>
      <c r="DW717" s="4"/>
      <c r="DX717" s="4"/>
      <c r="DY717" s="4"/>
      <c r="DZ717" s="4"/>
      <c r="EA717" s="4"/>
      <c r="EB717" s="4"/>
      <c r="EC717" s="4"/>
      <c r="ED717" s="4"/>
      <c r="EE717" s="4"/>
      <c r="EF717" s="4"/>
      <c r="EG717" s="5">
        <v>41261</v>
      </c>
      <c r="EH717" s="5">
        <v>41257</v>
      </c>
      <c r="EI717" s="5">
        <v>41025</v>
      </c>
    </row>
    <row r="718" spans="1:139" hidden="1" x14ac:dyDescent="0.2">
      <c r="A718" t="str">
        <f>VLOOKUP(B718,Sheet1!$A$1:$B$18,2,FALSE)</f>
        <v>South Island</v>
      </c>
      <c r="B718" t="str">
        <f>LEFT(D718,3)</f>
        <v>CAN</v>
      </c>
      <c r="C718" s="2">
        <v>667</v>
      </c>
      <c r="D718" s="3" t="str">
        <f>HYPERLINK("https://sitebase.nzcomms.co.nz/spm/spmnominalview/CAN-062-013/","CAN-062-013")</f>
        <v>CAN-062-013</v>
      </c>
      <c r="E718" s="4" t="s">
        <v>2164</v>
      </c>
      <c r="F718" s="3" t="str">
        <f>HYPERLINK("https://sitebase.nzcomms.co.nz/spm/spmcandidateview/CAN-062-013-A/","CAN-062-013-A")</f>
        <v>CAN-062-013-A</v>
      </c>
      <c r="G718" s="4" t="s">
        <v>2165</v>
      </c>
      <c r="H718" s="4" t="s">
        <v>2111</v>
      </c>
      <c r="I718" s="4">
        <v>8</v>
      </c>
      <c r="J718" s="4" t="s">
        <v>180</v>
      </c>
      <c r="K718" s="4" t="s">
        <v>141</v>
      </c>
      <c r="L718" s="4" t="s">
        <v>150</v>
      </c>
      <c r="M718" s="4" t="s">
        <v>190</v>
      </c>
      <c r="N718" s="4" t="s">
        <v>291</v>
      </c>
      <c r="O718" s="4"/>
      <c r="P718" s="4" t="s">
        <v>182</v>
      </c>
      <c r="Q718" s="4" t="s">
        <v>192</v>
      </c>
      <c r="R718" s="4">
        <v>20</v>
      </c>
      <c r="S718" s="4">
        <v>20</v>
      </c>
      <c r="T718" s="4">
        <v>1</v>
      </c>
      <c r="U718" s="4">
        <v>-43.580486659999998</v>
      </c>
      <c r="V718" s="4">
        <v>172.51340273</v>
      </c>
      <c r="W718" s="4"/>
      <c r="X718" s="5">
        <v>40931</v>
      </c>
      <c r="Y718" s="4"/>
      <c r="Z718" s="4"/>
      <c r="AA718" s="4" t="s">
        <v>145</v>
      </c>
      <c r="AB718" s="3" t="str">
        <f>HYPERLINK("https://sitebase.nzcomms.co.nz/spm/spmcandidateview/CHC-060-114-A/","CHC-060-114-A")</f>
        <v>CHC-060-114-A</v>
      </c>
      <c r="AC718" s="4" t="b">
        <v>0</v>
      </c>
      <c r="AD718" s="4" t="b">
        <v>0</v>
      </c>
      <c r="AE718" s="4"/>
      <c r="AF718" s="4"/>
      <c r="AG718" s="4" t="b">
        <v>0</v>
      </c>
      <c r="AH718" s="4"/>
      <c r="AI718" s="5">
        <v>40953</v>
      </c>
      <c r="AJ718" s="5">
        <v>40953</v>
      </c>
      <c r="AK718" s="5">
        <v>40961</v>
      </c>
      <c r="AL718" s="5">
        <v>40961</v>
      </c>
      <c r="AM718" s="5">
        <v>41061</v>
      </c>
      <c r="AN718" s="5">
        <v>41066</v>
      </c>
      <c r="AO718" s="4">
        <v>3</v>
      </c>
      <c r="AP718" s="5">
        <v>41061</v>
      </c>
      <c r="AQ718" s="5">
        <v>41138</v>
      </c>
      <c r="AR718" s="5">
        <v>41138</v>
      </c>
      <c r="AS718" s="5">
        <v>41137</v>
      </c>
      <c r="AT718" s="5">
        <v>41166</v>
      </c>
      <c r="AU718" s="5">
        <v>41166</v>
      </c>
      <c r="AV718" s="4">
        <v>2</v>
      </c>
      <c r="AW718" s="4"/>
      <c r="AX718" s="5">
        <v>41166</v>
      </c>
      <c r="AY718" s="4" t="s">
        <v>172</v>
      </c>
      <c r="AZ718" s="5">
        <v>41145</v>
      </c>
      <c r="BA718" s="5">
        <v>41130</v>
      </c>
      <c r="BB718" s="5">
        <v>41162</v>
      </c>
      <c r="BC718" s="5">
        <v>41144</v>
      </c>
      <c r="BD718" s="4">
        <v>3</v>
      </c>
      <c r="BE718" s="4"/>
      <c r="BF718" s="4"/>
      <c r="BG718" s="4"/>
      <c r="BH718" s="4"/>
      <c r="BI718" s="5">
        <v>41207</v>
      </c>
      <c r="BJ718" s="5">
        <v>41256</v>
      </c>
      <c r="BK718" s="4">
        <v>1</v>
      </c>
      <c r="BL718" s="4"/>
      <c r="BM718" s="5">
        <v>41207</v>
      </c>
      <c r="BN718" s="5">
        <v>41256</v>
      </c>
      <c r="BO718" s="5">
        <v>41227</v>
      </c>
      <c r="BP718" s="4"/>
      <c r="BQ718" s="4"/>
      <c r="BR718" s="5">
        <v>41179</v>
      </c>
      <c r="BS718" s="4"/>
      <c r="BT718" s="5">
        <v>41233</v>
      </c>
      <c r="BU718" s="5">
        <v>41233</v>
      </c>
      <c r="BV718" s="5">
        <v>41257</v>
      </c>
      <c r="BW718" s="5">
        <v>41262</v>
      </c>
      <c r="BX718" s="5">
        <v>41253</v>
      </c>
      <c r="BY718" s="5">
        <v>41285</v>
      </c>
      <c r="BZ718" s="5">
        <v>41285</v>
      </c>
      <c r="CA718" s="4"/>
      <c r="CB718" s="4"/>
      <c r="CC718" s="4"/>
      <c r="CD718" s="4"/>
      <c r="CE718" s="4"/>
      <c r="CF718" s="4"/>
      <c r="CG718" s="4"/>
      <c r="CH718" s="4"/>
      <c r="CI718" s="5">
        <v>41296</v>
      </c>
      <c r="CJ718" s="5">
        <v>41299</v>
      </c>
      <c r="CK718" s="5">
        <v>41298</v>
      </c>
      <c r="CL718" s="5">
        <v>41327</v>
      </c>
      <c r="CM718" s="5">
        <v>41330</v>
      </c>
      <c r="CN718" s="5">
        <v>41551</v>
      </c>
      <c r="CO718" s="5">
        <v>41568</v>
      </c>
      <c r="CP718" s="4" t="s">
        <v>2166</v>
      </c>
      <c r="CQ718" s="4"/>
      <c r="CR718" s="5">
        <v>41288</v>
      </c>
      <c r="CS718" s="5">
        <v>41156</v>
      </c>
      <c r="CT718" s="5">
        <v>41156</v>
      </c>
      <c r="CU718" s="5">
        <v>41234</v>
      </c>
      <c r="CV718" s="5">
        <v>41239</v>
      </c>
      <c r="CW718" s="5">
        <v>41228</v>
      </c>
      <c r="CX718" s="5">
        <v>41227</v>
      </c>
      <c r="CY718" s="5">
        <v>41285</v>
      </c>
      <c r="CZ718" s="5">
        <v>41285</v>
      </c>
      <c r="DA718" s="5">
        <v>41298</v>
      </c>
      <c r="DB718" s="5">
        <v>41297</v>
      </c>
      <c r="DC718" s="4"/>
      <c r="DD718" s="4"/>
      <c r="DE718" s="4" t="s">
        <v>2054</v>
      </c>
      <c r="DF718" s="5">
        <v>41249</v>
      </c>
      <c r="DG718" s="5">
        <v>41283</v>
      </c>
      <c r="DH718" s="4" t="s">
        <v>174</v>
      </c>
      <c r="DI718" s="5">
        <v>41251</v>
      </c>
      <c r="DJ718" s="4" t="b">
        <v>1</v>
      </c>
      <c r="DK718" s="5">
        <v>41179</v>
      </c>
      <c r="DL718" s="4">
        <v>2470710</v>
      </c>
      <c r="DM718" s="4">
        <v>5736215</v>
      </c>
      <c r="DN718" s="4" t="s">
        <v>2167</v>
      </c>
      <c r="DO718" s="4"/>
      <c r="DP718" s="4" t="s">
        <v>2168</v>
      </c>
      <c r="DQ718" s="4" t="s">
        <v>148</v>
      </c>
      <c r="DR718" s="4"/>
      <c r="DS718" s="4"/>
      <c r="DT718" s="5">
        <v>42292</v>
      </c>
      <c r="DU718" s="4"/>
      <c r="DV718" s="4"/>
      <c r="DW718" s="4"/>
      <c r="DX718" s="4"/>
      <c r="DY718" s="4"/>
      <c r="DZ718" s="4"/>
      <c r="EA718" s="4"/>
      <c r="EB718" s="4"/>
      <c r="EC718" s="4"/>
      <c r="ED718" s="4"/>
      <c r="EE718" s="4"/>
      <c r="EF718" s="4"/>
      <c r="EG718" s="5">
        <v>41313</v>
      </c>
      <c r="EH718" s="5">
        <v>41320</v>
      </c>
      <c r="EI718" s="4"/>
    </row>
    <row r="719" spans="1:139" hidden="1" x14ac:dyDescent="0.2">
      <c r="A719" t="str">
        <f>VLOOKUP(B719,Sheet1!$A$1:$B$18,2,FALSE)</f>
        <v>South Island</v>
      </c>
      <c r="B719" t="str">
        <f>LEFT(D719,3)</f>
        <v>CAN</v>
      </c>
      <c r="C719" s="2">
        <v>693</v>
      </c>
      <c r="D719" s="3" t="str">
        <f>HYPERLINK("https://sitebase.nzcomms.co.nz/spm/spmnominalview/CAN-064-011/","CAN-064-011")</f>
        <v>CAN-064-011</v>
      </c>
      <c r="E719" s="4" t="s">
        <v>2277</v>
      </c>
      <c r="F719" s="3" t="str">
        <f>HYPERLINK("https://sitebase.nzcomms.co.nz/spm/spmcandidateview/CAN-064-011-D/","CAN-064-011-D")</f>
        <v>CAN-064-011-D</v>
      </c>
      <c r="G719" s="4" t="s">
        <v>2278</v>
      </c>
      <c r="H719" s="4" t="s">
        <v>2229</v>
      </c>
      <c r="I719" s="4">
        <v>4</v>
      </c>
      <c r="J719" s="4" t="s">
        <v>180</v>
      </c>
      <c r="K719" s="4" t="s">
        <v>141</v>
      </c>
      <c r="L719" s="4" t="s">
        <v>189</v>
      </c>
      <c r="M719" s="4" t="s">
        <v>190</v>
      </c>
      <c r="N719" s="4" t="s">
        <v>2268</v>
      </c>
      <c r="O719" s="4"/>
      <c r="P719" s="4" t="s">
        <v>182</v>
      </c>
      <c r="Q719" s="4" t="s">
        <v>192</v>
      </c>
      <c r="R719" s="4">
        <v>18</v>
      </c>
      <c r="S719" s="4">
        <v>18</v>
      </c>
      <c r="T719" s="4">
        <v>1</v>
      </c>
      <c r="U719" s="4">
        <v>-44.383639279999997</v>
      </c>
      <c r="V719" s="4">
        <v>171.21021617</v>
      </c>
      <c r="W719" s="5">
        <v>40325</v>
      </c>
      <c r="X719" s="5">
        <v>40918</v>
      </c>
      <c r="Y719" s="5">
        <v>40353</v>
      </c>
      <c r="Z719" s="5">
        <v>41206</v>
      </c>
      <c r="AA719" s="4" t="s">
        <v>145</v>
      </c>
      <c r="AB719" s="3" t="str">
        <f>HYPERLINK("https://sitebase.nzcomms.co.nz/spm/spmcandidateview/CAN-064-016-A/","CAN-064-016-A")</f>
        <v>CAN-064-016-A</v>
      </c>
      <c r="AC719" s="4" t="b">
        <v>0</v>
      </c>
      <c r="AD719" s="4" t="b">
        <v>0</v>
      </c>
      <c r="AE719" s="5">
        <v>40325</v>
      </c>
      <c r="AF719" s="5">
        <v>40325</v>
      </c>
      <c r="AG719" s="4" t="b">
        <v>0</v>
      </c>
      <c r="AH719" s="4"/>
      <c r="AI719" s="5">
        <v>40989</v>
      </c>
      <c r="AJ719" s="5">
        <v>40989</v>
      </c>
      <c r="AK719" s="5">
        <v>40996</v>
      </c>
      <c r="AL719" s="5">
        <v>40996</v>
      </c>
      <c r="AM719" s="5">
        <v>41060</v>
      </c>
      <c r="AN719" s="5">
        <v>41060</v>
      </c>
      <c r="AO719" s="4">
        <v>1</v>
      </c>
      <c r="AP719" s="5">
        <v>41060</v>
      </c>
      <c r="AQ719" s="5">
        <v>41060</v>
      </c>
      <c r="AR719" s="5">
        <v>41082</v>
      </c>
      <c r="AS719" s="5">
        <v>41065</v>
      </c>
      <c r="AT719" s="5">
        <v>41082</v>
      </c>
      <c r="AU719" s="5">
        <v>41074</v>
      </c>
      <c r="AV719" s="4">
        <v>1</v>
      </c>
      <c r="AW719" s="4"/>
      <c r="AX719" s="5">
        <v>41075</v>
      </c>
      <c r="AY719" s="4" t="s">
        <v>198</v>
      </c>
      <c r="AZ719" s="5">
        <v>41068</v>
      </c>
      <c r="BA719" s="5">
        <v>41071</v>
      </c>
      <c r="BB719" s="5">
        <v>41102</v>
      </c>
      <c r="BC719" s="5">
        <v>41095</v>
      </c>
      <c r="BD719" s="4">
        <v>1</v>
      </c>
      <c r="BE719" s="4"/>
      <c r="BF719" s="4"/>
      <c r="BG719" s="5">
        <v>41145</v>
      </c>
      <c r="BH719" s="4"/>
      <c r="BI719" s="5">
        <v>41184</v>
      </c>
      <c r="BJ719" s="5">
        <v>41185</v>
      </c>
      <c r="BK719" s="4">
        <v>1</v>
      </c>
      <c r="BL719" s="4"/>
      <c r="BM719" s="5">
        <v>41184</v>
      </c>
      <c r="BN719" s="5">
        <v>41185</v>
      </c>
      <c r="BO719" s="5">
        <v>41185</v>
      </c>
      <c r="BP719" s="4"/>
      <c r="BQ719" s="4"/>
      <c r="BR719" s="5">
        <v>41149</v>
      </c>
      <c r="BS719" s="4"/>
      <c r="BT719" s="5">
        <v>41177</v>
      </c>
      <c r="BU719" s="5">
        <v>41177</v>
      </c>
      <c r="BV719" s="5">
        <v>41205</v>
      </c>
      <c r="BW719" s="5">
        <v>41206</v>
      </c>
      <c r="BX719" s="5">
        <v>41199</v>
      </c>
      <c r="BY719" s="5">
        <v>41285</v>
      </c>
      <c r="BZ719" s="5">
        <v>41285</v>
      </c>
      <c r="CA719" s="4"/>
      <c r="CB719" s="4"/>
      <c r="CC719" s="4"/>
      <c r="CD719" s="4"/>
      <c r="CE719" s="4"/>
      <c r="CF719" s="4"/>
      <c r="CG719" s="4"/>
      <c r="CH719" s="4"/>
      <c r="CI719" s="5">
        <v>41289</v>
      </c>
      <c r="CJ719" s="5">
        <v>41299</v>
      </c>
      <c r="CK719" s="5">
        <v>41295</v>
      </c>
      <c r="CL719" s="5">
        <v>41327</v>
      </c>
      <c r="CM719" s="5">
        <v>41330</v>
      </c>
      <c r="CN719" s="5">
        <v>41446</v>
      </c>
      <c r="CO719" s="5">
        <v>41444</v>
      </c>
      <c r="CP719" s="4" t="s">
        <v>2279</v>
      </c>
      <c r="CQ719" s="4"/>
      <c r="CR719" s="5">
        <v>41289</v>
      </c>
      <c r="CS719" s="5">
        <v>41113</v>
      </c>
      <c r="CT719" s="5">
        <v>41113</v>
      </c>
      <c r="CU719" s="5">
        <v>41170</v>
      </c>
      <c r="CV719" s="5">
        <v>41170</v>
      </c>
      <c r="CW719" s="5">
        <v>41170</v>
      </c>
      <c r="CX719" s="5">
        <v>41185</v>
      </c>
      <c r="CY719" s="5">
        <v>41250</v>
      </c>
      <c r="CZ719" s="5">
        <v>41262</v>
      </c>
      <c r="DA719" s="5">
        <v>41292</v>
      </c>
      <c r="DB719" s="5">
        <v>41291</v>
      </c>
      <c r="DC719" s="5">
        <v>40953</v>
      </c>
      <c r="DD719" s="4" t="s">
        <v>206</v>
      </c>
      <c r="DE719" s="4" t="s">
        <v>2245</v>
      </c>
      <c r="DF719" s="5">
        <v>41284</v>
      </c>
      <c r="DG719" s="5">
        <v>41284</v>
      </c>
      <c r="DH719" s="4" t="s">
        <v>174</v>
      </c>
      <c r="DI719" s="5">
        <v>41199</v>
      </c>
      <c r="DJ719" s="4" t="b">
        <v>1</v>
      </c>
      <c r="DK719" s="5">
        <v>41149</v>
      </c>
      <c r="DL719" s="4">
        <v>2367382</v>
      </c>
      <c r="DM719" s="4">
        <v>5645569</v>
      </c>
      <c r="DN719" s="4" t="s">
        <v>2280</v>
      </c>
      <c r="DO719" s="4"/>
      <c r="DP719" s="4" t="s">
        <v>2281</v>
      </c>
      <c r="DQ719" s="4" t="s">
        <v>148</v>
      </c>
      <c r="DR719" s="4"/>
      <c r="DS719" s="4"/>
      <c r="DT719" s="4"/>
      <c r="DU719" s="4"/>
      <c r="DV719" s="4"/>
      <c r="DW719" s="4"/>
      <c r="DX719" s="4"/>
      <c r="DY719" s="4"/>
      <c r="DZ719" s="4"/>
      <c r="EA719" s="4"/>
      <c r="EB719" s="4"/>
      <c r="EC719" s="4"/>
      <c r="ED719" s="4"/>
      <c r="EE719" s="4"/>
      <c r="EF719" s="4"/>
      <c r="EG719" s="5">
        <v>41313</v>
      </c>
      <c r="EH719" s="5">
        <v>41316</v>
      </c>
      <c r="EI719" s="5">
        <v>40996</v>
      </c>
    </row>
    <row r="720" spans="1:139" hidden="1" x14ac:dyDescent="0.2">
      <c r="A720" t="str">
        <f>VLOOKUP(B720,Sheet1!$A$1:$B$18,2,FALSE)</f>
        <v>South Island</v>
      </c>
      <c r="B720" t="str">
        <f>LEFT(D720,3)</f>
        <v>MBN</v>
      </c>
      <c r="C720" s="2">
        <v>1021</v>
      </c>
      <c r="D720" s="3" t="str">
        <f>HYPERLINK("https://sitebase.nzcomms.co.nz/spm/spmnominalview/MBN-052-017/","MBN-052-017")</f>
        <v>MBN-052-017</v>
      </c>
      <c r="E720" s="4" t="s">
        <v>3147</v>
      </c>
      <c r="F720" s="3" t="str">
        <f>HYPERLINK("https://sitebase.nzcomms.co.nz/spm/spmcandidateview/MBN-052-017-B/","MBN-052-017-B")</f>
        <v>MBN-052-017-B</v>
      </c>
      <c r="G720" s="4" t="s">
        <v>3148</v>
      </c>
      <c r="H720" s="4" t="s">
        <v>3096</v>
      </c>
      <c r="I720" s="4">
        <v>7</v>
      </c>
      <c r="J720" s="4" t="s">
        <v>180</v>
      </c>
      <c r="K720" s="4" t="s">
        <v>141</v>
      </c>
      <c r="L720" s="4" t="s">
        <v>150</v>
      </c>
      <c r="M720" s="4" t="s">
        <v>190</v>
      </c>
      <c r="N720" s="4" t="s">
        <v>2268</v>
      </c>
      <c r="O720" s="4"/>
      <c r="P720" s="4" t="s">
        <v>169</v>
      </c>
      <c r="Q720" s="4" t="s">
        <v>192</v>
      </c>
      <c r="R720" s="4">
        <v>14.7</v>
      </c>
      <c r="S720" s="4">
        <v>16.3</v>
      </c>
      <c r="T720" s="4">
        <v>1</v>
      </c>
      <c r="U720" s="4">
        <v>-41.254245070000003</v>
      </c>
      <c r="V720" s="4">
        <v>173.28408877000001</v>
      </c>
      <c r="W720" s="4"/>
      <c r="X720" s="4"/>
      <c r="Y720" s="4"/>
      <c r="Z720" s="4"/>
      <c r="AA720" s="4" t="s">
        <v>171</v>
      </c>
      <c r="AB720" s="3" t="str">
        <f>HYPERLINK("https://sitebase.nzcomms.co.nz/spm/spmcandidateview/MBN-052-003-B/","MBN-052-003-B")</f>
        <v>MBN-052-003-B</v>
      </c>
      <c r="AC720" s="4" t="b">
        <v>0</v>
      </c>
      <c r="AD720" s="4" t="b">
        <v>0</v>
      </c>
      <c r="AE720" s="4"/>
      <c r="AF720" s="4"/>
      <c r="AG720" s="4" t="b">
        <v>0</v>
      </c>
      <c r="AH720" s="4"/>
      <c r="AI720" s="5">
        <v>41078</v>
      </c>
      <c r="AJ720" s="5">
        <v>41078</v>
      </c>
      <c r="AK720" s="5">
        <v>41085</v>
      </c>
      <c r="AL720" s="5">
        <v>41082</v>
      </c>
      <c r="AM720" s="5">
        <v>41124</v>
      </c>
      <c r="AN720" s="5">
        <v>41127</v>
      </c>
      <c r="AO720" s="4">
        <v>1</v>
      </c>
      <c r="AP720" s="5">
        <v>41124</v>
      </c>
      <c r="AQ720" s="5">
        <v>41127</v>
      </c>
      <c r="AR720" s="5">
        <v>41138</v>
      </c>
      <c r="AS720" s="5">
        <v>41138</v>
      </c>
      <c r="AT720" s="5">
        <v>41173</v>
      </c>
      <c r="AU720" s="5">
        <v>41171</v>
      </c>
      <c r="AV720" s="4">
        <v>1</v>
      </c>
      <c r="AW720" s="5">
        <v>41173</v>
      </c>
      <c r="AX720" s="5">
        <v>41171</v>
      </c>
      <c r="AY720" s="4" t="s">
        <v>172</v>
      </c>
      <c r="AZ720" s="5">
        <v>41124</v>
      </c>
      <c r="BA720" s="5">
        <v>41128</v>
      </c>
      <c r="BB720" s="5">
        <v>41166</v>
      </c>
      <c r="BC720" s="5">
        <v>41162</v>
      </c>
      <c r="BD720" s="4">
        <v>1</v>
      </c>
      <c r="BE720" s="5">
        <v>41166</v>
      </c>
      <c r="BF720" s="5">
        <v>41166</v>
      </c>
      <c r="BG720" s="4"/>
      <c r="BH720" s="4"/>
      <c r="BI720" s="5">
        <v>41227</v>
      </c>
      <c r="BJ720" s="5">
        <v>41226</v>
      </c>
      <c r="BK720" s="4">
        <v>1</v>
      </c>
      <c r="BL720" s="4"/>
      <c r="BM720" s="5">
        <v>41227</v>
      </c>
      <c r="BN720" s="5">
        <v>41226</v>
      </c>
      <c r="BO720" s="4"/>
      <c r="BP720" s="4"/>
      <c r="BQ720" s="4"/>
      <c r="BR720" s="5">
        <v>41184</v>
      </c>
      <c r="BS720" s="4"/>
      <c r="BT720" s="5">
        <v>41213</v>
      </c>
      <c r="BU720" s="5">
        <v>41212</v>
      </c>
      <c r="BV720" s="5">
        <v>41246</v>
      </c>
      <c r="BW720" s="5">
        <v>41246</v>
      </c>
      <c r="BX720" s="5">
        <v>41247</v>
      </c>
      <c r="BY720" s="5">
        <v>41249</v>
      </c>
      <c r="BZ720" s="5">
        <v>41249</v>
      </c>
      <c r="CA720" s="4"/>
      <c r="CB720" s="4"/>
      <c r="CC720" s="4"/>
      <c r="CD720" s="4"/>
      <c r="CE720" s="4"/>
      <c r="CF720" s="4"/>
      <c r="CG720" s="4"/>
      <c r="CH720" s="4"/>
      <c r="CI720" s="5">
        <v>41260</v>
      </c>
      <c r="CJ720" s="5">
        <v>41299</v>
      </c>
      <c r="CK720" s="5">
        <v>41298</v>
      </c>
      <c r="CL720" s="5">
        <v>41289</v>
      </c>
      <c r="CM720" s="5">
        <v>41263</v>
      </c>
      <c r="CN720" s="5">
        <v>41527</v>
      </c>
      <c r="CO720" s="5">
        <v>41565</v>
      </c>
      <c r="CP720" s="4" t="s">
        <v>3149</v>
      </c>
      <c r="CQ720" s="4"/>
      <c r="CR720" s="5">
        <v>41250</v>
      </c>
      <c r="CS720" s="4"/>
      <c r="CT720" s="4"/>
      <c r="CU720" s="4"/>
      <c r="CV720" s="4"/>
      <c r="CW720" s="5">
        <v>41229</v>
      </c>
      <c r="CX720" s="4"/>
      <c r="CY720" s="5">
        <v>41249</v>
      </c>
      <c r="CZ720" s="4"/>
      <c r="DA720" s="5">
        <v>41260</v>
      </c>
      <c r="DB720" s="5">
        <v>41261</v>
      </c>
      <c r="DC720" s="5">
        <v>41081</v>
      </c>
      <c r="DD720" s="4" t="s">
        <v>206</v>
      </c>
      <c r="DE720" s="4" t="s">
        <v>3057</v>
      </c>
      <c r="DF720" s="4"/>
      <c r="DG720" s="4"/>
      <c r="DH720" s="4" t="s">
        <v>174</v>
      </c>
      <c r="DI720" s="5">
        <v>41247</v>
      </c>
      <c r="DJ720" s="4" t="b">
        <v>1</v>
      </c>
      <c r="DK720" s="5">
        <v>41184</v>
      </c>
      <c r="DL720" s="4">
        <v>2533795</v>
      </c>
      <c r="DM720" s="4">
        <v>5994684</v>
      </c>
      <c r="DN720" s="4" t="s">
        <v>3150</v>
      </c>
      <c r="DO720" s="4"/>
      <c r="DP720" s="4"/>
      <c r="DQ720" s="4" t="s">
        <v>148</v>
      </c>
      <c r="DR720" s="4"/>
      <c r="DS720" s="4"/>
      <c r="DT720" s="4"/>
      <c r="DU720" s="4"/>
      <c r="DV720" s="4"/>
      <c r="DW720" s="4"/>
      <c r="DX720" s="4"/>
      <c r="DY720" s="4"/>
      <c r="DZ720" s="4"/>
      <c r="EA720" s="4"/>
      <c r="EB720" s="4"/>
      <c r="EC720" s="4"/>
      <c r="ED720" s="4"/>
      <c r="EE720" s="4"/>
      <c r="EF720" s="4"/>
      <c r="EG720" s="5">
        <v>41262</v>
      </c>
      <c r="EH720" s="5">
        <v>41262</v>
      </c>
      <c r="EI720" s="5">
        <v>41082</v>
      </c>
    </row>
    <row r="721" spans="1:139" hidden="1" x14ac:dyDescent="0.2">
      <c r="A721" t="str">
        <f>VLOOKUP(B721,Sheet1!$A$1:$B$18,2,FALSE)</f>
        <v>South Island</v>
      </c>
      <c r="B721" t="str">
        <f>LEFT(D721,3)</f>
        <v>CAN</v>
      </c>
      <c r="C721" s="2">
        <v>696</v>
      </c>
      <c r="D721" s="3" t="str">
        <f>HYPERLINK("https://sitebase.nzcomms.co.nz/spm/spmnominalview/CAN-064-014/","CAN-064-014")</f>
        <v>CAN-064-014</v>
      </c>
      <c r="E721" s="4" t="s">
        <v>2285</v>
      </c>
      <c r="F721" s="3" t="str">
        <f>HYPERLINK("https://sitebase.nzcomms.co.nz/spm/spmcandidateview/CAN-064-014-A/","CAN-064-014-A")</f>
        <v>CAN-064-014-A</v>
      </c>
      <c r="G721" s="4" t="s">
        <v>2286</v>
      </c>
      <c r="H721" s="4" t="s">
        <v>2229</v>
      </c>
      <c r="I721" s="4">
        <v>4</v>
      </c>
      <c r="J721" s="4" t="s">
        <v>180</v>
      </c>
      <c r="K721" s="4" t="s">
        <v>141</v>
      </c>
      <c r="L721" s="4" t="s">
        <v>189</v>
      </c>
      <c r="M721" s="4" t="s">
        <v>190</v>
      </c>
      <c r="N721" s="4" t="s">
        <v>1158</v>
      </c>
      <c r="O721" s="4"/>
      <c r="P721" s="4" t="s">
        <v>182</v>
      </c>
      <c r="Q721" s="4" t="s">
        <v>192</v>
      </c>
      <c r="R721" s="4">
        <v>12.5</v>
      </c>
      <c r="S721" s="4">
        <v>12.5</v>
      </c>
      <c r="T721" s="4">
        <v>1</v>
      </c>
      <c r="U721" s="4">
        <v>-44.402891429999997</v>
      </c>
      <c r="V721" s="4">
        <v>171.23009579000001</v>
      </c>
      <c r="W721" s="4"/>
      <c r="X721" s="5">
        <v>41454</v>
      </c>
      <c r="Y721" s="4"/>
      <c r="Z721" s="5">
        <v>41152</v>
      </c>
      <c r="AA721" s="4" t="s">
        <v>171</v>
      </c>
      <c r="AB721" s="3" t="str">
        <f>HYPERLINK("https://sitebase.nzcomms.co.nz/spm/spmcandidateview/CAN-064-007-D/","CAN-064-007-D")</f>
        <v>CAN-064-007-D</v>
      </c>
      <c r="AC721" s="4" t="b">
        <v>0</v>
      </c>
      <c r="AD721" s="4" t="b">
        <v>0</v>
      </c>
      <c r="AE721" s="4"/>
      <c r="AF721" s="4"/>
      <c r="AG721" s="4" t="b">
        <v>0</v>
      </c>
      <c r="AH721" s="4" t="s">
        <v>2287</v>
      </c>
      <c r="AI721" s="5">
        <v>40989</v>
      </c>
      <c r="AJ721" s="5">
        <v>40988</v>
      </c>
      <c r="AK721" s="5">
        <v>40996</v>
      </c>
      <c r="AL721" s="5">
        <v>40997</v>
      </c>
      <c r="AM721" s="5">
        <v>41044</v>
      </c>
      <c r="AN721" s="5">
        <v>41050</v>
      </c>
      <c r="AO721" s="4">
        <v>2</v>
      </c>
      <c r="AP721" s="5">
        <v>41044</v>
      </c>
      <c r="AQ721" s="5">
        <v>41075</v>
      </c>
      <c r="AR721" s="5">
        <v>41072</v>
      </c>
      <c r="AS721" s="5">
        <v>41065</v>
      </c>
      <c r="AT721" s="5">
        <v>41072</v>
      </c>
      <c r="AU721" s="5">
        <v>41074</v>
      </c>
      <c r="AV721" s="4">
        <v>1</v>
      </c>
      <c r="AW721" s="4"/>
      <c r="AX721" s="5">
        <v>41075</v>
      </c>
      <c r="AY721" s="4" t="s">
        <v>198</v>
      </c>
      <c r="AZ721" s="5">
        <v>41068</v>
      </c>
      <c r="BA721" s="5">
        <v>41071</v>
      </c>
      <c r="BB721" s="5">
        <v>41102</v>
      </c>
      <c r="BC721" s="5">
        <v>41095</v>
      </c>
      <c r="BD721" s="4">
        <v>2</v>
      </c>
      <c r="BE721" s="4"/>
      <c r="BF721" s="4"/>
      <c r="BG721" s="5">
        <v>41143</v>
      </c>
      <c r="BH721" s="4"/>
      <c r="BI721" s="5">
        <v>41180</v>
      </c>
      <c r="BJ721" s="5">
        <v>41178</v>
      </c>
      <c r="BK721" s="4">
        <v>1</v>
      </c>
      <c r="BL721" s="4"/>
      <c r="BM721" s="5">
        <v>41180</v>
      </c>
      <c r="BN721" s="5">
        <v>41178</v>
      </c>
      <c r="BO721" s="5">
        <v>41169</v>
      </c>
      <c r="BP721" s="4"/>
      <c r="BQ721" s="4"/>
      <c r="BR721" s="5">
        <v>41141</v>
      </c>
      <c r="BS721" s="4"/>
      <c r="BT721" s="5">
        <v>41177</v>
      </c>
      <c r="BU721" s="5">
        <v>41177</v>
      </c>
      <c r="BV721" s="5">
        <v>41290</v>
      </c>
      <c r="BW721" s="5">
        <v>41292</v>
      </c>
      <c r="BX721" s="5">
        <v>41255</v>
      </c>
      <c r="BY721" s="5">
        <v>41291</v>
      </c>
      <c r="BZ721" s="5">
        <v>41292</v>
      </c>
      <c r="CA721" s="4"/>
      <c r="CB721" s="4"/>
      <c r="CC721" s="4"/>
      <c r="CD721" s="5">
        <v>41078</v>
      </c>
      <c r="CE721" s="4"/>
      <c r="CF721" s="4"/>
      <c r="CG721" s="4"/>
      <c r="CH721" s="4"/>
      <c r="CI721" s="5">
        <v>41297</v>
      </c>
      <c r="CJ721" s="5">
        <v>41303</v>
      </c>
      <c r="CK721" s="5">
        <v>41303</v>
      </c>
      <c r="CL721" s="5">
        <v>41317</v>
      </c>
      <c r="CM721" s="5">
        <v>41316</v>
      </c>
      <c r="CN721" s="5">
        <v>41436</v>
      </c>
      <c r="CO721" s="5">
        <v>41431</v>
      </c>
      <c r="CP721" s="4" t="s">
        <v>2288</v>
      </c>
      <c r="CQ721" s="4"/>
      <c r="CR721" s="5">
        <v>41294</v>
      </c>
      <c r="CS721" s="5">
        <v>41113</v>
      </c>
      <c r="CT721" s="5">
        <v>41113</v>
      </c>
      <c r="CU721" s="5">
        <v>41170</v>
      </c>
      <c r="CV721" s="5">
        <v>41173</v>
      </c>
      <c r="CW721" s="5">
        <v>41170</v>
      </c>
      <c r="CX721" s="5">
        <v>41169</v>
      </c>
      <c r="CY721" s="5">
        <v>41290</v>
      </c>
      <c r="CZ721" s="5">
        <v>41292</v>
      </c>
      <c r="DA721" s="5">
        <v>41296</v>
      </c>
      <c r="DB721" s="5">
        <v>41296</v>
      </c>
      <c r="DC721" s="5">
        <v>40953</v>
      </c>
      <c r="DD721" s="4" t="s">
        <v>206</v>
      </c>
      <c r="DE721" s="4" t="s">
        <v>2245</v>
      </c>
      <c r="DF721" s="4"/>
      <c r="DG721" s="4"/>
      <c r="DH721" s="4" t="s">
        <v>174</v>
      </c>
      <c r="DI721" s="5">
        <v>41253</v>
      </c>
      <c r="DJ721" s="4" t="b">
        <v>1</v>
      </c>
      <c r="DK721" s="5">
        <v>41141</v>
      </c>
      <c r="DL721" s="4">
        <v>2369011</v>
      </c>
      <c r="DM721" s="4">
        <v>5643464</v>
      </c>
      <c r="DN721" s="4" t="s">
        <v>2289</v>
      </c>
      <c r="DO721" s="4"/>
      <c r="DP721" s="4" t="s">
        <v>2290</v>
      </c>
      <c r="DQ721" s="4" t="s">
        <v>148</v>
      </c>
      <c r="DR721" s="4"/>
      <c r="DS721" s="4"/>
      <c r="DT721" s="4"/>
      <c r="DU721" s="4"/>
      <c r="DV721" s="4"/>
      <c r="DW721" s="4"/>
      <c r="DX721" s="4"/>
      <c r="DY721" s="4"/>
      <c r="DZ721" s="4"/>
      <c r="EA721" s="4"/>
      <c r="EB721" s="4"/>
      <c r="EC721" s="4"/>
      <c r="ED721" s="4"/>
      <c r="EE721" s="4"/>
      <c r="EF721" s="4"/>
      <c r="EG721" s="5">
        <v>41297</v>
      </c>
      <c r="EH721" s="5">
        <v>41303</v>
      </c>
      <c r="EI721" s="5">
        <v>40997</v>
      </c>
    </row>
    <row r="722" spans="1:139" hidden="1" x14ac:dyDescent="0.2">
      <c r="A722" t="str">
        <f>VLOOKUP(B722,Sheet1!$A$1:$B$18,2,FALSE)</f>
        <v>South Island</v>
      </c>
      <c r="B722" t="str">
        <f>LEFT(D722,3)</f>
        <v>CAN</v>
      </c>
      <c r="C722" s="2">
        <v>666</v>
      </c>
      <c r="D722" s="3" t="str">
        <f>HYPERLINK("https://sitebase.nzcomms.co.nz/spm/spmnominalview/CAN-062-012/","CAN-062-012")</f>
        <v>CAN-062-012</v>
      </c>
      <c r="E722" s="4" t="s">
        <v>2159</v>
      </c>
      <c r="F722" s="3" t="str">
        <f>HYPERLINK("https://sitebase.nzcomms.co.nz/spm/spmcandidateview/CAN-062-012-A/","CAN-062-012-A")</f>
        <v>CAN-062-012-A</v>
      </c>
      <c r="G722" s="4" t="s">
        <v>2160</v>
      </c>
      <c r="H722" s="4" t="s">
        <v>2111</v>
      </c>
      <c r="I722" s="4">
        <v>8</v>
      </c>
      <c r="J722" s="4" t="s">
        <v>180</v>
      </c>
      <c r="K722" s="4" t="s">
        <v>141</v>
      </c>
      <c r="L722" s="4" t="s">
        <v>181</v>
      </c>
      <c r="M722" s="4" t="s">
        <v>166</v>
      </c>
      <c r="N722" s="4" t="s">
        <v>181</v>
      </c>
      <c r="O722" s="4"/>
      <c r="P722" s="4" t="s">
        <v>182</v>
      </c>
      <c r="Q722" s="4" t="s">
        <v>192</v>
      </c>
      <c r="R722" s="4">
        <v>37</v>
      </c>
      <c r="S722" s="4">
        <v>37</v>
      </c>
      <c r="T722" s="4">
        <v>1</v>
      </c>
      <c r="U722" s="4">
        <v>-43.691147469999997</v>
      </c>
      <c r="V722" s="4">
        <v>172.11984588999999</v>
      </c>
      <c r="W722" s="4"/>
      <c r="X722" s="5">
        <v>40898</v>
      </c>
      <c r="Y722" s="4"/>
      <c r="Z722" s="4"/>
      <c r="AA722" s="4" t="s">
        <v>145</v>
      </c>
      <c r="AB722" s="3" t="str">
        <f>HYPERLINK("https://sitebase.nzcomms.co.nz/spm/spmcandidateview/CHC-060-114-A/","CHC-060-114-A")</f>
        <v>CHC-060-114-A</v>
      </c>
      <c r="AC722" s="4" t="b">
        <v>0</v>
      </c>
      <c r="AD722" s="4" t="b">
        <v>0</v>
      </c>
      <c r="AE722" s="4"/>
      <c r="AF722" s="4"/>
      <c r="AG722" s="4" t="b">
        <v>0</v>
      </c>
      <c r="AH722" s="4"/>
      <c r="AI722" s="5">
        <v>40953</v>
      </c>
      <c r="AJ722" s="5">
        <v>40953</v>
      </c>
      <c r="AK722" s="5">
        <v>40961</v>
      </c>
      <c r="AL722" s="5">
        <v>40961</v>
      </c>
      <c r="AM722" s="5">
        <v>41055</v>
      </c>
      <c r="AN722" s="5">
        <v>41060</v>
      </c>
      <c r="AO722" s="4">
        <v>2</v>
      </c>
      <c r="AP722" s="5">
        <v>41055</v>
      </c>
      <c r="AQ722" s="5">
        <v>41087</v>
      </c>
      <c r="AR722" s="5">
        <v>41131</v>
      </c>
      <c r="AS722" s="5">
        <v>41137</v>
      </c>
      <c r="AT722" s="5">
        <v>41166</v>
      </c>
      <c r="AU722" s="5">
        <v>41165</v>
      </c>
      <c r="AV722" s="4">
        <v>1</v>
      </c>
      <c r="AW722" s="4"/>
      <c r="AX722" s="5">
        <v>41165</v>
      </c>
      <c r="AY722" s="4" t="s">
        <v>183</v>
      </c>
      <c r="AZ722" s="5">
        <v>41162</v>
      </c>
      <c r="BA722" s="5">
        <v>41162</v>
      </c>
      <c r="BB722" s="5">
        <v>41197</v>
      </c>
      <c r="BC722" s="5">
        <v>41186</v>
      </c>
      <c r="BD722" s="4">
        <v>2</v>
      </c>
      <c r="BE722" s="4"/>
      <c r="BF722" s="4"/>
      <c r="BG722" s="4"/>
      <c r="BH722" s="4"/>
      <c r="BI722" s="5">
        <v>41207</v>
      </c>
      <c r="BJ722" s="5">
        <v>41263</v>
      </c>
      <c r="BK722" s="4">
        <v>1</v>
      </c>
      <c r="BL722" s="4"/>
      <c r="BM722" s="5">
        <v>41207</v>
      </c>
      <c r="BN722" s="5">
        <v>41263</v>
      </c>
      <c r="BO722" s="5">
        <v>41222</v>
      </c>
      <c r="BP722" s="4"/>
      <c r="BQ722" s="4"/>
      <c r="BR722" s="4"/>
      <c r="BS722" s="4"/>
      <c r="BT722" s="5">
        <v>41246</v>
      </c>
      <c r="BU722" s="5">
        <v>41246</v>
      </c>
      <c r="BV722" s="5">
        <v>41264</v>
      </c>
      <c r="BW722" s="5">
        <v>41264</v>
      </c>
      <c r="BX722" s="5">
        <v>41250</v>
      </c>
      <c r="BY722" s="5">
        <v>41263</v>
      </c>
      <c r="BZ722" s="5">
        <v>41261</v>
      </c>
      <c r="CA722" s="4"/>
      <c r="CB722" s="4"/>
      <c r="CC722" s="4"/>
      <c r="CD722" s="5">
        <v>41073</v>
      </c>
      <c r="CE722" s="4"/>
      <c r="CF722" s="4"/>
      <c r="CG722" s="4"/>
      <c r="CH722" s="4"/>
      <c r="CI722" s="5">
        <v>41292</v>
      </c>
      <c r="CJ722" s="5">
        <v>41304</v>
      </c>
      <c r="CK722" s="5">
        <v>41299</v>
      </c>
      <c r="CL722" s="5">
        <v>41317</v>
      </c>
      <c r="CM722" s="5">
        <v>41323</v>
      </c>
      <c r="CN722" s="5">
        <v>41530</v>
      </c>
      <c r="CO722" s="5">
        <v>41513</v>
      </c>
      <c r="CP722" s="4" t="s">
        <v>2161</v>
      </c>
      <c r="CQ722" s="4"/>
      <c r="CR722" s="5">
        <v>41289</v>
      </c>
      <c r="CS722" s="5">
        <v>41156</v>
      </c>
      <c r="CT722" s="5">
        <v>41156</v>
      </c>
      <c r="CU722" s="5">
        <v>41222</v>
      </c>
      <c r="CV722" s="5">
        <v>41233</v>
      </c>
      <c r="CW722" s="5">
        <v>41222</v>
      </c>
      <c r="CX722" s="5">
        <v>41222</v>
      </c>
      <c r="CY722" s="5">
        <v>41255</v>
      </c>
      <c r="CZ722" s="5">
        <v>41253</v>
      </c>
      <c r="DA722" s="5">
        <v>41298</v>
      </c>
      <c r="DB722" s="5">
        <v>41297</v>
      </c>
      <c r="DC722" s="4"/>
      <c r="DD722" s="4" t="s">
        <v>586</v>
      </c>
      <c r="DE722" s="4" t="s">
        <v>2054</v>
      </c>
      <c r="DF722" s="5">
        <v>41249</v>
      </c>
      <c r="DG722" s="5">
        <v>41263</v>
      </c>
      <c r="DH722" s="4" t="s">
        <v>174</v>
      </c>
      <c r="DI722" s="5">
        <v>41250</v>
      </c>
      <c r="DJ722" s="4" t="b">
        <v>1</v>
      </c>
      <c r="DK722" s="4"/>
      <c r="DL722" s="4">
        <v>2439054</v>
      </c>
      <c r="DM722" s="4">
        <v>5723662</v>
      </c>
      <c r="DN722" s="4" t="s">
        <v>2162</v>
      </c>
      <c r="DO722" s="4"/>
      <c r="DP722" s="4" t="s">
        <v>2163</v>
      </c>
      <c r="DQ722" s="4" t="s">
        <v>148</v>
      </c>
      <c r="DR722" s="4"/>
      <c r="DS722" s="4"/>
      <c r="DT722" s="4"/>
      <c r="DU722" s="4"/>
      <c r="DV722" s="4"/>
      <c r="DW722" s="4"/>
      <c r="DX722" s="4"/>
      <c r="DY722" s="4"/>
      <c r="DZ722" s="4"/>
      <c r="EA722" s="4"/>
      <c r="EB722" s="4"/>
      <c r="EC722" s="4"/>
      <c r="ED722" s="4"/>
      <c r="EE722" s="4"/>
      <c r="EF722" s="4"/>
      <c r="EG722" s="5">
        <v>41305</v>
      </c>
      <c r="EH722" s="5">
        <v>41309</v>
      </c>
      <c r="EI722" s="4"/>
    </row>
    <row r="723" spans="1:139" hidden="1" x14ac:dyDescent="0.2">
      <c r="A723" t="str">
        <f>VLOOKUP(B723,Sheet1!$A$1:$B$18,2,FALSE)</f>
        <v>South Island</v>
      </c>
      <c r="B723" t="str">
        <f>LEFT(D723,3)</f>
        <v>CAN</v>
      </c>
      <c r="C723" s="2">
        <v>658</v>
      </c>
      <c r="D723" s="3" t="str">
        <f>HYPERLINK("https://sitebase.nzcomms.co.nz/spm/spmnominalview/CAN-062-004/","CAN-062-004")</f>
        <v>CAN-062-004</v>
      </c>
      <c r="E723" s="4" t="s">
        <v>2123</v>
      </c>
      <c r="F723" s="3" t="str">
        <f>HYPERLINK("https://sitebase.nzcomms.co.nz/spm/spmcandidateview/CAN-062-004-C/","CAN-062-004-C")</f>
        <v>CAN-062-004-C</v>
      </c>
      <c r="G723" s="4" t="s">
        <v>2124</v>
      </c>
      <c r="H723" s="4" t="s">
        <v>2111</v>
      </c>
      <c r="I723" s="4">
        <v>8</v>
      </c>
      <c r="J723" s="4" t="s">
        <v>180</v>
      </c>
      <c r="K723" s="4" t="s">
        <v>141</v>
      </c>
      <c r="L723" s="4" t="s">
        <v>150</v>
      </c>
      <c r="M723" s="4" t="s">
        <v>190</v>
      </c>
      <c r="N723" s="4" t="s">
        <v>346</v>
      </c>
      <c r="O723" s="4"/>
      <c r="P723" s="4" t="s">
        <v>182</v>
      </c>
      <c r="Q723" s="4" t="s">
        <v>192</v>
      </c>
      <c r="R723" s="4"/>
      <c r="S723" s="4">
        <v>30</v>
      </c>
      <c r="T723" s="4">
        <v>1</v>
      </c>
      <c r="U723" s="4">
        <v>-43.763905809999997</v>
      </c>
      <c r="V723" s="4">
        <v>172.30109924999999</v>
      </c>
      <c r="W723" s="4"/>
      <c r="X723" s="4"/>
      <c r="Y723" s="4"/>
      <c r="Z723" s="4"/>
      <c r="AA723" s="4" t="s">
        <v>171</v>
      </c>
      <c r="AB723" s="3" t="str">
        <f>HYPERLINK("https://sitebase.nzcomms.co.nz/spm/spmcandidateview/CAN-062-012-A/","CAN-062-012-A")</f>
        <v>CAN-062-012-A</v>
      </c>
      <c r="AC723" s="4" t="b">
        <v>0</v>
      </c>
      <c r="AD723" s="4" t="b">
        <v>0</v>
      </c>
      <c r="AE723" s="4"/>
      <c r="AF723" s="4"/>
      <c r="AG723" s="4" t="b">
        <v>0</v>
      </c>
      <c r="AH723" s="4" t="s">
        <v>2125</v>
      </c>
      <c r="AI723" s="5">
        <v>40968</v>
      </c>
      <c r="AJ723" s="5">
        <v>40968</v>
      </c>
      <c r="AK723" s="5">
        <v>40974</v>
      </c>
      <c r="AL723" s="5">
        <v>40976</v>
      </c>
      <c r="AM723" s="5">
        <v>41053</v>
      </c>
      <c r="AN723" s="5">
        <v>41054</v>
      </c>
      <c r="AO723" s="4">
        <v>1</v>
      </c>
      <c r="AP723" s="5">
        <v>41053</v>
      </c>
      <c r="AQ723" s="5">
        <v>41054</v>
      </c>
      <c r="AR723" s="5">
        <v>41068</v>
      </c>
      <c r="AS723" s="5">
        <v>41067</v>
      </c>
      <c r="AT723" s="5">
        <v>41075</v>
      </c>
      <c r="AU723" s="5">
        <v>41075</v>
      </c>
      <c r="AV723" s="4">
        <v>1</v>
      </c>
      <c r="AW723" s="4"/>
      <c r="AX723" s="5">
        <v>41075</v>
      </c>
      <c r="AY723" s="4" t="s">
        <v>1847</v>
      </c>
      <c r="AZ723" s="5">
        <v>41067</v>
      </c>
      <c r="BA723" s="5">
        <v>41068</v>
      </c>
      <c r="BB723" s="5">
        <v>41105</v>
      </c>
      <c r="BC723" s="5">
        <v>41099</v>
      </c>
      <c r="BD723" s="4">
        <v>1</v>
      </c>
      <c r="BE723" s="4"/>
      <c r="BF723" s="4"/>
      <c r="BG723" s="4"/>
      <c r="BH723" s="4"/>
      <c r="BI723" s="5">
        <v>41207</v>
      </c>
      <c r="BJ723" s="5">
        <v>41222</v>
      </c>
      <c r="BK723" s="4">
        <v>1</v>
      </c>
      <c r="BL723" s="4"/>
      <c r="BM723" s="5">
        <v>41207</v>
      </c>
      <c r="BN723" s="5">
        <v>41222</v>
      </c>
      <c r="BO723" s="5">
        <v>41235</v>
      </c>
      <c r="BP723" s="4"/>
      <c r="BQ723" s="4"/>
      <c r="BR723" s="5">
        <v>41179</v>
      </c>
      <c r="BS723" s="4"/>
      <c r="BT723" s="5">
        <v>41226</v>
      </c>
      <c r="BU723" s="5">
        <v>41225</v>
      </c>
      <c r="BV723" s="5">
        <v>41255</v>
      </c>
      <c r="BW723" s="5">
        <v>41262</v>
      </c>
      <c r="BX723" s="5">
        <v>41251</v>
      </c>
      <c r="BY723" s="5">
        <v>41281</v>
      </c>
      <c r="BZ723" s="5">
        <v>41264</v>
      </c>
      <c r="CA723" s="4"/>
      <c r="CB723" s="4"/>
      <c r="CC723" s="4"/>
      <c r="CD723" s="4"/>
      <c r="CE723" s="4"/>
      <c r="CF723" s="4"/>
      <c r="CG723" s="4"/>
      <c r="CH723" s="4"/>
      <c r="CI723" s="5">
        <v>41295</v>
      </c>
      <c r="CJ723" s="5">
        <v>41312</v>
      </c>
      <c r="CK723" s="5">
        <v>41312</v>
      </c>
      <c r="CL723" s="5">
        <v>41327</v>
      </c>
      <c r="CM723" s="5">
        <v>41330</v>
      </c>
      <c r="CN723" s="5">
        <v>41530</v>
      </c>
      <c r="CO723" s="5">
        <v>41527</v>
      </c>
      <c r="CP723" s="4" t="s">
        <v>2126</v>
      </c>
      <c r="CQ723" s="4"/>
      <c r="CR723" s="5">
        <v>41290</v>
      </c>
      <c r="CS723" s="5">
        <v>41156</v>
      </c>
      <c r="CT723" s="5">
        <v>41156</v>
      </c>
      <c r="CU723" s="5">
        <v>41228</v>
      </c>
      <c r="CV723" s="5">
        <v>41239</v>
      </c>
      <c r="CW723" s="5">
        <v>41227</v>
      </c>
      <c r="CX723" s="5">
        <v>41235</v>
      </c>
      <c r="CY723" s="5">
        <v>41256</v>
      </c>
      <c r="CZ723" s="5">
        <v>41271</v>
      </c>
      <c r="DA723" s="5">
        <v>41299</v>
      </c>
      <c r="DB723" s="5">
        <v>41302</v>
      </c>
      <c r="DC723" s="4"/>
      <c r="DD723" s="4" t="s">
        <v>586</v>
      </c>
      <c r="DE723" s="4" t="s">
        <v>2054</v>
      </c>
      <c r="DF723" s="4"/>
      <c r="DG723" s="4"/>
      <c r="DH723" s="4" t="s">
        <v>174</v>
      </c>
      <c r="DI723" s="5">
        <v>41249</v>
      </c>
      <c r="DJ723" s="4" t="b">
        <v>1</v>
      </c>
      <c r="DK723" s="5">
        <v>41179</v>
      </c>
      <c r="DL723" s="4">
        <v>2453733</v>
      </c>
      <c r="DM723" s="4">
        <v>5715716</v>
      </c>
      <c r="DN723" s="4" t="s">
        <v>2127</v>
      </c>
      <c r="DO723" s="4"/>
      <c r="DP723" s="4" t="s">
        <v>2128</v>
      </c>
      <c r="DQ723" s="4" t="s">
        <v>148</v>
      </c>
      <c r="DR723" s="4"/>
      <c r="DS723" s="4"/>
      <c r="DT723" s="4"/>
      <c r="DU723" s="4"/>
      <c r="DV723" s="4"/>
      <c r="DW723" s="4"/>
      <c r="DX723" s="4"/>
      <c r="DY723" s="4"/>
      <c r="DZ723" s="4"/>
      <c r="EA723" s="4"/>
      <c r="EB723" s="4"/>
      <c r="EC723" s="4"/>
      <c r="ED723" s="4"/>
      <c r="EE723" s="4"/>
      <c r="EF723" s="4"/>
      <c r="EG723" s="5">
        <v>41282</v>
      </c>
      <c r="EH723" s="5">
        <v>41317</v>
      </c>
      <c r="EI723" s="4"/>
    </row>
    <row r="724" spans="1:139" hidden="1" x14ac:dyDescent="0.2">
      <c r="A724" t="str">
        <f>VLOOKUP(B724,Sheet1!$A$1:$B$18,2,FALSE)</f>
        <v>South Island</v>
      </c>
      <c r="B724" t="str">
        <f>LEFT(D724,3)</f>
        <v>CAN</v>
      </c>
      <c r="C724" s="2">
        <v>719</v>
      </c>
      <c r="D724" s="3" t="str">
        <f>HYPERLINK("https://sitebase.nzcomms.co.nz/spm/spmnominalview/CAN-068-004/","CAN-068-004")</f>
        <v>CAN-068-004</v>
      </c>
      <c r="E724" s="4" t="s">
        <v>2341</v>
      </c>
      <c r="F724" s="3" t="str">
        <f>HYPERLINK("https://sitebase.nzcomms.co.nz/spm/spmcandidateview/CAN-068-004-A/","CAN-068-004-A")</f>
        <v>CAN-068-004-A</v>
      </c>
      <c r="G724" s="4" t="s">
        <v>2337</v>
      </c>
      <c r="H724" s="4" t="s">
        <v>2335</v>
      </c>
      <c r="I724" s="4">
        <v>4</v>
      </c>
      <c r="J724" s="4" t="s">
        <v>180</v>
      </c>
      <c r="K724" s="4" t="s">
        <v>141</v>
      </c>
      <c r="L724" s="4" t="s">
        <v>142</v>
      </c>
      <c r="M724" s="4" t="s">
        <v>190</v>
      </c>
      <c r="N724" s="4" t="s">
        <v>142</v>
      </c>
      <c r="O724" s="4"/>
      <c r="P724" s="4" t="s">
        <v>182</v>
      </c>
      <c r="Q724" s="4" t="s">
        <v>142</v>
      </c>
      <c r="R724" s="4">
        <v>20</v>
      </c>
      <c r="S724" s="4">
        <v>20</v>
      </c>
      <c r="T724" s="4"/>
      <c r="U724" s="4">
        <v>-45.116560999999997</v>
      </c>
      <c r="V724" s="4">
        <v>170.96826616999999</v>
      </c>
      <c r="W724" s="4"/>
      <c r="X724" s="4"/>
      <c r="Y724" s="4"/>
      <c r="Z724" s="4"/>
      <c r="AA724" s="4" t="s">
        <v>145</v>
      </c>
      <c r="AB724" s="3" t="str">
        <f>HYPERLINK("https://sitebase.nzcomms.co.nz/spm/spmcandidateview/CAN-064-016-A/","CAN-064-016-A")</f>
        <v>CAN-064-016-A</v>
      </c>
      <c r="AC724" s="4" t="b">
        <v>0</v>
      </c>
      <c r="AD724" s="4" t="b">
        <v>0</v>
      </c>
      <c r="AE724" s="4"/>
      <c r="AF724" s="4"/>
      <c r="AG724" s="4" t="b">
        <v>0</v>
      </c>
      <c r="AH724" s="4"/>
      <c r="AI724" s="5">
        <v>40990</v>
      </c>
      <c r="AJ724" s="5">
        <v>40990</v>
      </c>
      <c r="AK724" s="5">
        <v>41030</v>
      </c>
      <c r="AL724" s="5">
        <v>41030</v>
      </c>
      <c r="AM724" s="5">
        <v>41061</v>
      </c>
      <c r="AN724" s="5">
        <v>41072</v>
      </c>
      <c r="AO724" s="4">
        <v>3</v>
      </c>
      <c r="AP724" s="5">
        <v>41071</v>
      </c>
      <c r="AQ724" s="5">
        <v>42222</v>
      </c>
      <c r="AR724" s="4"/>
      <c r="AS724" s="5">
        <v>41017</v>
      </c>
      <c r="AT724" s="5">
        <v>41151</v>
      </c>
      <c r="AU724" s="5">
        <v>41131</v>
      </c>
      <c r="AV724" s="4">
        <v>1</v>
      </c>
      <c r="AW724" s="4"/>
      <c r="AX724" s="5">
        <v>41180</v>
      </c>
      <c r="AY724" s="4" t="s">
        <v>172</v>
      </c>
      <c r="AZ724" s="5">
        <v>41068</v>
      </c>
      <c r="BA724" s="5">
        <v>41073</v>
      </c>
      <c r="BB724" s="5">
        <v>41103</v>
      </c>
      <c r="BC724" s="5">
        <v>41085</v>
      </c>
      <c r="BD724" s="4">
        <v>1</v>
      </c>
      <c r="BE724" s="4"/>
      <c r="BF724" s="4"/>
      <c r="BG724" s="4"/>
      <c r="BH724" s="4"/>
      <c r="BI724" s="5">
        <v>41183</v>
      </c>
      <c r="BJ724" s="5">
        <v>41184</v>
      </c>
      <c r="BK724" s="4">
        <v>4</v>
      </c>
      <c r="BL724" s="4"/>
      <c r="BM724" s="5">
        <v>41183</v>
      </c>
      <c r="BN724" s="5">
        <v>42282</v>
      </c>
      <c r="BO724" s="5">
        <v>41200</v>
      </c>
      <c r="BP724" s="4"/>
      <c r="BQ724" s="4"/>
      <c r="BR724" s="4"/>
      <c r="BS724" s="4"/>
      <c r="BT724" s="5">
        <v>41219</v>
      </c>
      <c r="BU724" s="5">
        <v>41219</v>
      </c>
      <c r="BV724" s="5">
        <v>41299</v>
      </c>
      <c r="BW724" s="5">
        <v>41299</v>
      </c>
      <c r="BX724" s="5">
        <v>41234</v>
      </c>
      <c r="BY724" s="5">
        <v>41298</v>
      </c>
      <c r="BZ724" s="5">
        <v>41301</v>
      </c>
      <c r="CA724" s="4"/>
      <c r="CB724" s="4"/>
      <c r="CC724" s="4"/>
      <c r="CD724" s="4"/>
      <c r="CE724" s="4"/>
      <c r="CF724" s="4"/>
      <c r="CG724" s="4"/>
      <c r="CH724" s="4"/>
      <c r="CI724" s="5">
        <v>41306</v>
      </c>
      <c r="CJ724" s="5">
        <v>41317</v>
      </c>
      <c r="CK724" s="5">
        <v>41318</v>
      </c>
      <c r="CL724" s="5">
        <v>41323</v>
      </c>
      <c r="CM724" s="5">
        <v>41323</v>
      </c>
      <c r="CN724" s="5">
        <v>41509</v>
      </c>
      <c r="CO724" s="5">
        <v>41498</v>
      </c>
      <c r="CP724" s="4" t="s">
        <v>2342</v>
      </c>
      <c r="CQ724" s="4" t="s">
        <v>230</v>
      </c>
      <c r="CR724" s="5">
        <v>41299</v>
      </c>
      <c r="CS724" s="5">
        <v>41149</v>
      </c>
      <c r="CT724" s="5">
        <v>41149</v>
      </c>
      <c r="CU724" s="5">
        <v>41192</v>
      </c>
      <c r="CV724" s="5">
        <v>41193</v>
      </c>
      <c r="CW724" s="5">
        <v>41192</v>
      </c>
      <c r="CX724" s="5">
        <v>41200</v>
      </c>
      <c r="CY724" s="5">
        <v>41253</v>
      </c>
      <c r="CZ724" s="5">
        <v>41263</v>
      </c>
      <c r="DA724" s="5">
        <v>41303</v>
      </c>
      <c r="DB724" s="5">
        <v>41306</v>
      </c>
      <c r="DC724" s="4"/>
      <c r="DD724" s="4"/>
      <c r="DE724" s="4" t="s">
        <v>2343</v>
      </c>
      <c r="DF724" s="5">
        <v>41234</v>
      </c>
      <c r="DG724" s="5">
        <v>41234</v>
      </c>
      <c r="DH724" s="4" t="s">
        <v>174</v>
      </c>
      <c r="DI724" s="5">
        <v>41234</v>
      </c>
      <c r="DJ724" s="4" t="b">
        <v>0</v>
      </c>
      <c r="DK724" s="4"/>
      <c r="DL724" s="4">
        <v>2350087</v>
      </c>
      <c r="DM724" s="4">
        <v>5563707</v>
      </c>
      <c r="DN724" s="4" t="s">
        <v>2344</v>
      </c>
      <c r="DO724" s="4"/>
      <c r="DP724" s="4" t="s">
        <v>2345</v>
      </c>
      <c r="DQ724" s="4" t="s">
        <v>148</v>
      </c>
      <c r="DR724" s="4"/>
      <c r="DS724" s="4"/>
      <c r="DT724" s="5">
        <v>42297</v>
      </c>
      <c r="DU724" s="4"/>
      <c r="DV724" s="4"/>
      <c r="DW724" s="4"/>
      <c r="DX724" s="4"/>
      <c r="DY724" s="4"/>
      <c r="DZ724" s="4"/>
      <c r="EA724" s="4"/>
      <c r="EB724" s="4"/>
      <c r="EC724" s="4"/>
      <c r="ED724" s="4"/>
      <c r="EE724" s="4"/>
      <c r="EF724" s="4"/>
      <c r="EG724" s="5">
        <v>41305</v>
      </c>
      <c r="EH724" s="5">
        <v>41309</v>
      </c>
      <c r="EI724" s="4"/>
    </row>
    <row r="725" spans="1:139" hidden="1" x14ac:dyDescent="0.2">
      <c r="A725" t="str">
        <f>VLOOKUP(B725,Sheet1!$A$1:$B$18,2,FALSE)</f>
        <v>South Island</v>
      </c>
      <c r="B725" t="str">
        <f>LEFT(D725,3)</f>
        <v>CAN</v>
      </c>
      <c r="C725" s="2">
        <v>724</v>
      </c>
      <c r="D725" s="3" t="str">
        <f>HYPERLINK("https://sitebase.nzcomms.co.nz/spm/spmnominalview/CAN-068-009/","CAN-068-009")</f>
        <v>CAN-068-009</v>
      </c>
      <c r="E725" s="4" t="s">
        <v>2346</v>
      </c>
      <c r="F725" s="3" t="str">
        <f>HYPERLINK("https://sitebase.nzcomms.co.nz/spm/spmcandidateview/CAN-068-009-A/","CAN-068-009-A")</f>
        <v>CAN-068-009-A</v>
      </c>
      <c r="G725" s="4" t="s">
        <v>2347</v>
      </c>
      <c r="H725" s="4" t="s">
        <v>2335</v>
      </c>
      <c r="I725" s="4">
        <v>4</v>
      </c>
      <c r="J725" s="4" t="s">
        <v>180</v>
      </c>
      <c r="K725" s="4" t="s">
        <v>141</v>
      </c>
      <c r="L725" s="4" t="s">
        <v>189</v>
      </c>
      <c r="M725" s="4" t="s">
        <v>190</v>
      </c>
      <c r="N725" s="4" t="s">
        <v>2348</v>
      </c>
      <c r="O725" s="4"/>
      <c r="P725" s="4" t="s">
        <v>182</v>
      </c>
      <c r="Q725" s="4" t="s">
        <v>192</v>
      </c>
      <c r="R725" s="4">
        <v>15</v>
      </c>
      <c r="S725" s="4">
        <v>15</v>
      </c>
      <c r="T725" s="4"/>
      <c r="U725" s="4">
        <v>-45.094480959999999</v>
      </c>
      <c r="V725" s="4">
        <v>170.97237683</v>
      </c>
      <c r="W725" s="4"/>
      <c r="X725" s="4"/>
      <c r="Y725" s="4"/>
      <c r="Z725" s="4"/>
      <c r="AA725" s="4"/>
      <c r="AB725" s="4"/>
      <c r="AC725" s="4" t="b">
        <v>0</v>
      </c>
      <c r="AD725" s="4" t="b">
        <v>0</v>
      </c>
      <c r="AE725" s="4"/>
      <c r="AF725" s="4"/>
      <c r="AG725" s="4" t="b">
        <v>0</v>
      </c>
      <c r="AH725" s="4"/>
      <c r="AI725" s="5">
        <v>40990</v>
      </c>
      <c r="AJ725" s="5">
        <v>40990</v>
      </c>
      <c r="AK725" s="5">
        <v>40995</v>
      </c>
      <c r="AL725" s="5">
        <v>40995</v>
      </c>
      <c r="AM725" s="5">
        <v>41088</v>
      </c>
      <c r="AN725" s="5">
        <v>41124</v>
      </c>
      <c r="AO725" s="4">
        <v>5</v>
      </c>
      <c r="AP725" s="5">
        <v>41121</v>
      </c>
      <c r="AQ725" s="5">
        <v>42132</v>
      </c>
      <c r="AR725" s="5">
        <v>41159</v>
      </c>
      <c r="AS725" s="5">
        <v>41001</v>
      </c>
      <c r="AT725" s="5">
        <v>41169</v>
      </c>
      <c r="AU725" s="5">
        <v>41166</v>
      </c>
      <c r="AV725" s="4">
        <v>1</v>
      </c>
      <c r="AW725" s="4"/>
      <c r="AX725" s="5">
        <v>41166</v>
      </c>
      <c r="AY725" s="4" t="s">
        <v>183</v>
      </c>
      <c r="AZ725" s="5">
        <v>41163</v>
      </c>
      <c r="BA725" s="5">
        <v>42167</v>
      </c>
      <c r="BB725" s="5">
        <v>41208</v>
      </c>
      <c r="BC725" s="5">
        <v>42167</v>
      </c>
      <c r="BD725" s="4">
        <v>5</v>
      </c>
      <c r="BE725" s="4"/>
      <c r="BF725" s="4"/>
      <c r="BG725" s="4"/>
      <c r="BH725" s="4"/>
      <c r="BI725" s="5">
        <v>41241</v>
      </c>
      <c r="BJ725" s="5">
        <v>41243</v>
      </c>
      <c r="BK725" s="4">
        <v>1</v>
      </c>
      <c r="BL725" s="4"/>
      <c r="BM725" s="5">
        <v>41241</v>
      </c>
      <c r="BN725" s="5">
        <v>41243</v>
      </c>
      <c r="BO725" s="5">
        <v>41244</v>
      </c>
      <c r="BP725" s="4"/>
      <c r="BQ725" s="4"/>
      <c r="BR725" s="5">
        <v>41219</v>
      </c>
      <c r="BS725" s="4"/>
      <c r="BT725" s="5">
        <v>41281</v>
      </c>
      <c r="BU725" s="5">
        <v>41282</v>
      </c>
      <c r="BV725" s="5">
        <v>41292</v>
      </c>
      <c r="BW725" s="5">
        <v>41292</v>
      </c>
      <c r="BX725" s="5">
        <v>41292</v>
      </c>
      <c r="BY725" s="5">
        <v>41296</v>
      </c>
      <c r="BZ725" s="5">
        <v>41296</v>
      </c>
      <c r="CA725" s="4"/>
      <c r="CB725" s="4"/>
      <c r="CC725" s="4"/>
      <c r="CD725" s="4"/>
      <c r="CE725" s="4"/>
      <c r="CF725" s="4"/>
      <c r="CG725" s="4"/>
      <c r="CH725" s="4"/>
      <c r="CI725" s="5">
        <v>41305</v>
      </c>
      <c r="CJ725" s="5">
        <v>41318</v>
      </c>
      <c r="CK725" s="5">
        <v>41317</v>
      </c>
      <c r="CL725" s="5">
        <v>41326</v>
      </c>
      <c r="CM725" s="5">
        <v>41326</v>
      </c>
      <c r="CN725" s="5">
        <v>41551</v>
      </c>
      <c r="CO725" s="5">
        <v>41626</v>
      </c>
      <c r="CP725" s="4" t="s">
        <v>2349</v>
      </c>
      <c r="CQ725" s="4"/>
      <c r="CR725" s="5">
        <v>41305</v>
      </c>
      <c r="CS725" s="5">
        <v>41149</v>
      </c>
      <c r="CT725" s="5">
        <v>41149</v>
      </c>
      <c r="CU725" s="5">
        <v>41192</v>
      </c>
      <c r="CV725" s="5">
        <v>41241</v>
      </c>
      <c r="CW725" s="5">
        <v>41192</v>
      </c>
      <c r="CX725" s="5">
        <v>41244</v>
      </c>
      <c r="CY725" s="5">
        <v>41299</v>
      </c>
      <c r="CZ725" s="4"/>
      <c r="DA725" s="5">
        <v>41302</v>
      </c>
      <c r="DB725" s="5">
        <v>41313</v>
      </c>
      <c r="DC725" s="5">
        <v>41007</v>
      </c>
      <c r="DD725" s="4" t="s">
        <v>206</v>
      </c>
      <c r="DE725" s="4" t="s">
        <v>2343</v>
      </c>
      <c r="DF725" s="5">
        <v>41261</v>
      </c>
      <c r="DG725" s="5">
        <v>41303</v>
      </c>
      <c r="DH725" s="4" t="s">
        <v>174</v>
      </c>
      <c r="DI725" s="5">
        <v>41292</v>
      </c>
      <c r="DJ725" s="4" t="b">
        <v>1</v>
      </c>
      <c r="DK725" s="5">
        <v>41218</v>
      </c>
      <c r="DL725" s="4">
        <v>2350351</v>
      </c>
      <c r="DM725" s="4">
        <v>5566168</v>
      </c>
      <c r="DN725" s="4" t="s">
        <v>2350</v>
      </c>
      <c r="DO725" s="4"/>
      <c r="DP725" s="4"/>
      <c r="DQ725" s="4" t="s">
        <v>148</v>
      </c>
      <c r="DR725" s="4"/>
      <c r="DS725" s="4"/>
      <c r="DT725" s="5">
        <v>42297</v>
      </c>
      <c r="DU725" s="4"/>
      <c r="DV725" s="4"/>
      <c r="DW725" s="4"/>
      <c r="DX725" s="4"/>
      <c r="DY725" s="5">
        <v>41221</v>
      </c>
      <c r="DZ725" s="4"/>
      <c r="EA725" s="4"/>
      <c r="EB725" s="4"/>
      <c r="EC725" s="4"/>
      <c r="ED725" s="4"/>
      <c r="EE725" s="4"/>
      <c r="EF725" s="4"/>
      <c r="EG725" s="5">
        <v>41313</v>
      </c>
      <c r="EH725" s="5">
        <v>41312</v>
      </c>
      <c r="EI725" s="4"/>
    </row>
    <row r="726" spans="1:139" hidden="1" x14ac:dyDescent="0.2">
      <c r="A726" t="str">
        <f>VLOOKUP(B726,Sheet1!$A$1:$B$18,2,FALSE)</f>
        <v>South Island</v>
      </c>
      <c r="B726" t="str">
        <f>LEFT(D726,3)</f>
        <v>CAN</v>
      </c>
      <c r="C726" s="2">
        <v>685</v>
      </c>
      <c r="D726" s="3" t="str">
        <f>HYPERLINK("https://sitebase.nzcomms.co.nz/spm/spmnominalview/CAN-064-003/","CAN-064-003")</f>
        <v>CAN-064-003</v>
      </c>
      <c r="E726" s="4" t="s">
        <v>2236</v>
      </c>
      <c r="F726" s="3" t="str">
        <f>HYPERLINK("https://sitebase.nzcomms.co.nz/spm/spmcandidateview/CAN-064-003-B/","CAN-064-003-B")</f>
        <v>CAN-064-003-B</v>
      </c>
      <c r="G726" s="4" t="s">
        <v>2237</v>
      </c>
      <c r="H726" s="4" t="s">
        <v>2229</v>
      </c>
      <c r="I726" s="4">
        <v>4</v>
      </c>
      <c r="J726" s="4" t="s">
        <v>180</v>
      </c>
      <c r="K726" s="4" t="s">
        <v>141</v>
      </c>
      <c r="L726" s="4" t="s">
        <v>142</v>
      </c>
      <c r="M726" s="4" t="s">
        <v>166</v>
      </c>
      <c r="N726" s="4" t="s">
        <v>142</v>
      </c>
      <c r="O726" s="4"/>
      <c r="P726" s="4" t="s">
        <v>182</v>
      </c>
      <c r="Q726" s="4" t="s">
        <v>142</v>
      </c>
      <c r="R726" s="4"/>
      <c r="S726" s="4">
        <v>40</v>
      </c>
      <c r="T726" s="4">
        <v>2</v>
      </c>
      <c r="U726" s="4">
        <v>-44.09009614</v>
      </c>
      <c r="V726" s="4">
        <v>171.27243913999999</v>
      </c>
      <c r="W726" s="4"/>
      <c r="X726" s="5">
        <v>40918</v>
      </c>
      <c r="Y726" s="4"/>
      <c r="Z726" s="5">
        <v>41152</v>
      </c>
      <c r="AA726" s="4" t="s">
        <v>171</v>
      </c>
      <c r="AB726" s="3" t="str">
        <f>HYPERLINK("https://sitebase.nzcomms.co.nz/spm/spmcandidateview/CAN-063-006-A/","CAN-063-006-A")</f>
        <v>CAN-063-006-A</v>
      </c>
      <c r="AC726" s="4" t="b">
        <v>0</v>
      </c>
      <c r="AD726" s="4" t="b">
        <v>0</v>
      </c>
      <c r="AE726" s="4"/>
      <c r="AF726" s="4"/>
      <c r="AG726" s="4" t="b">
        <v>0</v>
      </c>
      <c r="AH726" s="4"/>
      <c r="AI726" s="5">
        <v>41017</v>
      </c>
      <c r="AJ726" s="5">
        <v>41017</v>
      </c>
      <c r="AK726" s="5">
        <v>41027</v>
      </c>
      <c r="AL726" s="5">
        <v>41030</v>
      </c>
      <c r="AM726" s="5">
        <v>41059</v>
      </c>
      <c r="AN726" s="5">
        <v>41060</v>
      </c>
      <c r="AO726" s="4">
        <v>2</v>
      </c>
      <c r="AP726" s="5">
        <v>41059</v>
      </c>
      <c r="AQ726" s="5">
        <v>41103</v>
      </c>
      <c r="AR726" s="5">
        <v>41151</v>
      </c>
      <c r="AS726" s="5">
        <v>41155</v>
      </c>
      <c r="AT726" s="5">
        <v>41215</v>
      </c>
      <c r="AU726" s="5">
        <v>41212</v>
      </c>
      <c r="AV726" s="4"/>
      <c r="AW726" s="4"/>
      <c r="AX726" s="5">
        <v>41226</v>
      </c>
      <c r="AY726" s="4" t="s">
        <v>198</v>
      </c>
      <c r="AZ726" s="5">
        <v>41117</v>
      </c>
      <c r="BA726" s="5">
        <v>41121</v>
      </c>
      <c r="BB726" s="5">
        <v>41151</v>
      </c>
      <c r="BC726" s="5">
        <v>41148</v>
      </c>
      <c r="BD726" s="4">
        <v>2</v>
      </c>
      <c r="BE726" s="4"/>
      <c r="BF726" s="4"/>
      <c r="BG726" s="4"/>
      <c r="BH726" s="4"/>
      <c r="BI726" s="5">
        <v>41240</v>
      </c>
      <c r="BJ726" s="5">
        <v>41250</v>
      </c>
      <c r="BK726" s="4">
        <v>1</v>
      </c>
      <c r="BL726" s="4"/>
      <c r="BM726" s="5">
        <v>41240</v>
      </c>
      <c r="BN726" s="5">
        <v>41250</v>
      </c>
      <c r="BO726" s="5">
        <v>41290</v>
      </c>
      <c r="BP726" s="4"/>
      <c r="BQ726" s="4"/>
      <c r="BR726" s="4"/>
      <c r="BS726" s="4"/>
      <c r="BT726" s="5">
        <v>41255</v>
      </c>
      <c r="BU726" s="5">
        <v>41262</v>
      </c>
      <c r="BV726" s="5">
        <v>41297</v>
      </c>
      <c r="BW726" s="5">
        <v>41301</v>
      </c>
      <c r="BX726" s="5">
        <v>41263</v>
      </c>
      <c r="BY726" s="5">
        <v>41305</v>
      </c>
      <c r="BZ726" s="5">
        <v>41307</v>
      </c>
      <c r="CA726" s="4"/>
      <c r="CB726" s="4"/>
      <c r="CC726" s="4"/>
      <c r="CD726" s="4"/>
      <c r="CE726" s="4"/>
      <c r="CF726" s="4"/>
      <c r="CG726" s="4"/>
      <c r="CH726" s="4"/>
      <c r="CI726" s="5">
        <v>41307</v>
      </c>
      <c r="CJ726" s="5">
        <v>41319</v>
      </c>
      <c r="CK726" s="5">
        <v>41319</v>
      </c>
      <c r="CL726" s="5">
        <v>41340</v>
      </c>
      <c r="CM726" s="5">
        <v>41340</v>
      </c>
      <c r="CN726" s="5">
        <v>41499</v>
      </c>
      <c r="CO726" s="5">
        <v>41502</v>
      </c>
      <c r="CP726" s="4" t="s">
        <v>2238</v>
      </c>
      <c r="CQ726" s="4" t="s">
        <v>230</v>
      </c>
      <c r="CR726" s="5">
        <v>41305</v>
      </c>
      <c r="CS726" s="5">
        <v>41156</v>
      </c>
      <c r="CT726" s="5">
        <v>41156</v>
      </c>
      <c r="CU726" s="5">
        <v>41232</v>
      </c>
      <c r="CV726" s="5">
        <v>41239</v>
      </c>
      <c r="CW726" s="5">
        <v>41257</v>
      </c>
      <c r="CX726" s="5">
        <v>41290</v>
      </c>
      <c r="CY726" s="5">
        <v>41305</v>
      </c>
      <c r="CZ726" s="5">
        <v>41312</v>
      </c>
      <c r="DA726" s="5">
        <v>41315</v>
      </c>
      <c r="DB726" s="5">
        <v>41317</v>
      </c>
      <c r="DC726" s="5">
        <v>41030</v>
      </c>
      <c r="DD726" s="4" t="s">
        <v>586</v>
      </c>
      <c r="DE726" s="4" t="s">
        <v>2217</v>
      </c>
      <c r="DF726" s="4"/>
      <c r="DG726" s="4"/>
      <c r="DH726" s="4" t="s">
        <v>174</v>
      </c>
      <c r="DI726" s="5">
        <v>41255</v>
      </c>
      <c r="DJ726" s="4" t="b">
        <v>0</v>
      </c>
      <c r="DK726" s="4"/>
      <c r="DL726" s="4">
        <v>2371665</v>
      </c>
      <c r="DM726" s="4">
        <v>5678282</v>
      </c>
      <c r="DN726" s="4" t="s">
        <v>2239</v>
      </c>
      <c r="DO726" s="4"/>
      <c r="DP726" s="4" t="s">
        <v>2240</v>
      </c>
      <c r="DQ726" s="4" t="s">
        <v>148</v>
      </c>
      <c r="DR726" s="4"/>
      <c r="DS726" s="4"/>
      <c r="DT726" s="4"/>
      <c r="DU726" s="4"/>
      <c r="DV726" s="4"/>
      <c r="DW726" s="4"/>
      <c r="DX726" s="4"/>
      <c r="DY726" s="4"/>
      <c r="DZ726" s="4"/>
      <c r="EA726" s="4"/>
      <c r="EB726" s="4"/>
      <c r="EC726" s="4"/>
      <c r="ED726" s="4"/>
      <c r="EE726" s="4"/>
      <c r="EF726" s="4"/>
      <c r="EG726" s="5">
        <v>41313</v>
      </c>
      <c r="EH726" s="5">
        <v>41317</v>
      </c>
      <c r="EI726" s="5">
        <v>41030</v>
      </c>
    </row>
    <row r="727" spans="1:139" hidden="1" x14ac:dyDescent="0.2">
      <c r="A727">
        <f>VLOOKUP(B727,Sheet1!$A$1:$B$18,2,FALSE)</f>
        <v>0</v>
      </c>
      <c r="B727" t="str">
        <f>LEFT(D727,3)</f>
        <v>CHC</v>
      </c>
      <c r="C727" s="2">
        <v>726</v>
      </c>
      <c r="D727" s="3" t="str">
        <f>HYPERLINK("https://sitebase.nzcomms.co.nz/spm/spmnominalview/CHC-060-001/","CHC-060-001")</f>
        <v>CHC-060-001</v>
      </c>
      <c r="E727" s="4" t="s">
        <v>2352</v>
      </c>
      <c r="F727" s="3" t="str">
        <f>HYPERLINK("https://sitebase.nzcomms.co.nz/spm/spmcandidateview/CHC-060-001-G/","CHC-060-001-G")</f>
        <v>CHC-060-001-G</v>
      </c>
      <c r="G727" s="4" t="s">
        <v>2352</v>
      </c>
      <c r="H727" s="4" t="s">
        <v>2353</v>
      </c>
      <c r="I727" s="4"/>
      <c r="J727" s="4" t="s">
        <v>139</v>
      </c>
      <c r="K727" s="4" t="s">
        <v>141</v>
      </c>
      <c r="L727" s="4" t="s">
        <v>181</v>
      </c>
      <c r="M727" s="4" t="s">
        <v>442</v>
      </c>
      <c r="N727" s="4" t="s">
        <v>364</v>
      </c>
      <c r="O727" s="4" t="s">
        <v>144</v>
      </c>
      <c r="P727" s="4"/>
      <c r="Q727" s="4"/>
      <c r="R727" s="4">
        <v>11.7</v>
      </c>
      <c r="S727" s="4">
        <v>11.7</v>
      </c>
      <c r="T727" s="4"/>
      <c r="U727" s="4">
        <v>-43.536909540000003</v>
      </c>
      <c r="V727" s="4">
        <v>172.63393468999999</v>
      </c>
      <c r="W727" s="4"/>
      <c r="X727" s="4"/>
      <c r="Y727" s="4"/>
      <c r="Z727" s="4"/>
      <c r="AA727" s="4" t="s">
        <v>217</v>
      </c>
      <c r="AB727" s="4" t="s">
        <v>2354</v>
      </c>
      <c r="AC727" s="4"/>
      <c r="AD727" s="4"/>
      <c r="AE727" s="4"/>
      <c r="AF727" s="4"/>
      <c r="AG727" s="4"/>
      <c r="AH727" s="4" t="s">
        <v>2355</v>
      </c>
      <c r="AI727" s="4"/>
      <c r="AJ727" s="4"/>
      <c r="AK727" s="4"/>
      <c r="AL727" s="4"/>
      <c r="AM727" s="4"/>
      <c r="AN727" s="5">
        <v>39311</v>
      </c>
      <c r="AO727" s="4">
        <v>5</v>
      </c>
      <c r="AP727" s="5">
        <v>39384</v>
      </c>
      <c r="AQ727" s="5">
        <v>40675</v>
      </c>
      <c r="AR727" s="4"/>
      <c r="AS727" s="4"/>
      <c r="AT727" s="5">
        <v>39360</v>
      </c>
      <c r="AU727" s="5">
        <v>39360</v>
      </c>
      <c r="AV727" s="4">
        <v>4</v>
      </c>
      <c r="AW727" s="5">
        <v>39360</v>
      </c>
      <c r="AX727" s="5">
        <v>39360</v>
      </c>
      <c r="AY727" s="4"/>
      <c r="AZ727" s="4"/>
      <c r="BA727" s="4"/>
      <c r="BB727" s="4"/>
      <c r="BC727" s="4"/>
      <c r="BD727" s="4"/>
      <c r="BE727" s="5">
        <v>39688</v>
      </c>
      <c r="BF727" s="5">
        <v>39680</v>
      </c>
      <c r="BG727" s="4"/>
      <c r="BH727" s="5">
        <v>39468</v>
      </c>
      <c r="BI727" s="4"/>
      <c r="BJ727" s="5">
        <v>39508</v>
      </c>
      <c r="BK727" s="4">
        <v>3</v>
      </c>
      <c r="BL727" s="4">
        <v>4</v>
      </c>
      <c r="BM727" s="5">
        <v>39566</v>
      </c>
      <c r="BN727" s="5">
        <v>39566</v>
      </c>
      <c r="BO727" s="4"/>
      <c r="BP727" s="4"/>
      <c r="BQ727" s="4"/>
      <c r="BR727" s="4"/>
      <c r="BS727" s="4"/>
      <c r="BT727" s="4"/>
      <c r="BU727" s="5">
        <v>39588</v>
      </c>
      <c r="BV727" s="5">
        <v>39598</v>
      </c>
      <c r="BW727" s="5">
        <v>39598</v>
      </c>
      <c r="BX727" s="4"/>
      <c r="BY727" s="5">
        <v>39623</v>
      </c>
      <c r="BZ727" s="5">
        <v>39640</v>
      </c>
      <c r="CA727" s="4"/>
      <c r="CB727" s="4"/>
      <c r="CC727" s="4"/>
      <c r="CD727" s="4"/>
      <c r="CE727" s="4"/>
      <c r="CF727" s="4"/>
      <c r="CG727" s="4"/>
      <c r="CH727" s="4"/>
      <c r="CI727" s="5">
        <v>39806</v>
      </c>
      <c r="CJ727" s="5">
        <v>39813</v>
      </c>
      <c r="CK727" s="5">
        <v>39806</v>
      </c>
      <c r="CL727" s="4"/>
      <c r="CM727" s="4"/>
      <c r="CN727" s="4"/>
      <c r="CO727" s="4"/>
      <c r="CP727" s="4"/>
      <c r="CQ727" s="4"/>
      <c r="CR727" s="5">
        <v>39799</v>
      </c>
      <c r="CS727" s="4"/>
      <c r="CT727" s="4"/>
      <c r="CU727" s="4"/>
      <c r="CV727" s="4"/>
      <c r="CW727" s="4"/>
      <c r="CX727" s="4"/>
      <c r="CY727" s="4"/>
      <c r="CZ727" s="4"/>
      <c r="DA727" s="4"/>
      <c r="DB727" s="4"/>
      <c r="DC727" s="4"/>
      <c r="DD727" s="4"/>
      <c r="DE727" s="4"/>
      <c r="DF727" s="4"/>
      <c r="DG727" s="4"/>
      <c r="DH727" s="4"/>
      <c r="DI727" s="4"/>
      <c r="DJ727" s="4" t="b">
        <v>0</v>
      </c>
      <c r="DK727" s="4"/>
      <c r="DL727" s="4">
        <v>2480424</v>
      </c>
      <c r="DM727" s="4">
        <v>5741106</v>
      </c>
      <c r="DN727" s="4" t="s">
        <v>2356</v>
      </c>
      <c r="DO727" s="4"/>
      <c r="DP727" s="4"/>
      <c r="DQ727" s="4" t="s">
        <v>148</v>
      </c>
      <c r="DR727" s="4"/>
      <c r="DS727" s="4"/>
      <c r="DT727" s="5">
        <v>42298</v>
      </c>
      <c r="DU727" s="4"/>
      <c r="DV727" s="4"/>
      <c r="DW727" s="4"/>
      <c r="DX727" s="4"/>
      <c r="DY727" s="4"/>
      <c r="DZ727" s="5">
        <v>39554</v>
      </c>
      <c r="EA727" s="4"/>
      <c r="EB727" s="4"/>
      <c r="EC727" s="4"/>
      <c r="ED727" s="4"/>
      <c r="EE727" s="4"/>
      <c r="EF727" s="4"/>
      <c r="EG727" s="4"/>
      <c r="EH727" s="4"/>
      <c r="EI727" s="5">
        <v>39287</v>
      </c>
    </row>
    <row r="728" spans="1:139" hidden="1" x14ac:dyDescent="0.2">
      <c r="A728">
        <f>VLOOKUP(B728,Sheet1!$A$1:$B$18,2,FALSE)</f>
        <v>0</v>
      </c>
      <c r="B728" t="str">
        <f>LEFT(D728,3)</f>
        <v>CHC</v>
      </c>
      <c r="C728" s="2">
        <v>727</v>
      </c>
      <c r="D728" s="3" t="str">
        <f>HYPERLINK("https://sitebase.nzcomms.co.nz/spm/spmnominalview/CHC-060-002/","CHC-060-002")</f>
        <v>CHC-060-002</v>
      </c>
      <c r="E728" s="4"/>
      <c r="F728" s="3" t="str">
        <f>HYPERLINK("https://sitebase.nzcomms.co.nz/spm/spmcandidateview/CHC-060-002-C/","CHC-060-002-C")</f>
        <v>CHC-060-002-C</v>
      </c>
      <c r="G728" s="4" t="s">
        <v>2357</v>
      </c>
      <c r="H728" s="4" t="s">
        <v>2353</v>
      </c>
      <c r="I728" s="4"/>
      <c r="J728" s="4" t="s">
        <v>139</v>
      </c>
      <c r="K728" s="4" t="s">
        <v>141</v>
      </c>
      <c r="L728" s="4" t="s">
        <v>181</v>
      </c>
      <c r="M728" s="4" t="s">
        <v>442</v>
      </c>
      <c r="N728" s="4" t="s">
        <v>364</v>
      </c>
      <c r="O728" s="4" t="s">
        <v>144</v>
      </c>
      <c r="P728" s="4"/>
      <c r="Q728" s="4" t="s">
        <v>170</v>
      </c>
      <c r="R728" s="4">
        <v>21.8</v>
      </c>
      <c r="S728" s="4">
        <v>21.8</v>
      </c>
      <c r="T728" s="4"/>
      <c r="U728" s="4">
        <v>-43.533879910000003</v>
      </c>
      <c r="V728" s="4">
        <v>172.63507867999999</v>
      </c>
      <c r="W728" s="4"/>
      <c r="X728" s="4"/>
      <c r="Y728" s="4"/>
      <c r="Z728" s="4"/>
      <c r="AA728" s="4" t="s">
        <v>217</v>
      </c>
      <c r="AB728" s="4" t="s">
        <v>2358</v>
      </c>
      <c r="AC728" s="4"/>
      <c r="AD728" s="4"/>
      <c r="AE728" s="4"/>
      <c r="AF728" s="4"/>
      <c r="AG728" s="4"/>
      <c r="AH728" s="4" t="s">
        <v>2359</v>
      </c>
      <c r="AI728" s="4"/>
      <c r="AJ728" s="4"/>
      <c r="AK728" s="4"/>
      <c r="AL728" s="4"/>
      <c r="AM728" s="4"/>
      <c r="AN728" s="5">
        <v>39556</v>
      </c>
      <c r="AO728" s="4">
        <v>3</v>
      </c>
      <c r="AP728" s="5">
        <v>39771</v>
      </c>
      <c r="AQ728" s="5">
        <v>39982</v>
      </c>
      <c r="AR728" s="4"/>
      <c r="AS728" s="4"/>
      <c r="AT728" s="5">
        <v>39849</v>
      </c>
      <c r="AU728" s="5">
        <v>39853</v>
      </c>
      <c r="AV728" s="4">
        <v>2</v>
      </c>
      <c r="AW728" s="5">
        <v>39849</v>
      </c>
      <c r="AX728" s="5">
        <v>39853</v>
      </c>
      <c r="AY728" s="4"/>
      <c r="AZ728" s="4"/>
      <c r="BA728" s="4"/>
      <c r="BB728" s="4"/>
      <c r="BC728" s="4"/>
      <c r="BD728" s="4"/>
      <c r="BE728" s="5">
        <v>39794</v>
      </c>
      <c r="BF728" s="5">
        <v>39794</v>
      </c>
      <c r="BG728" s="4"/>
      <c r="BH728" s="5">
        <v>39566</v>
      </c>
      <c r="BI728" s="4"/>
      <c r="BJ728" s="5">
        <v>39627</v>
      </c>
      <c r="BK728" s="4">
        <v>3</v>
      </c>
      <c r="BL728" s="4">
        <v>3</v>
      </c>
      <c r="BM728" s="5">
        <v>39840</v>
      </c>
      <c r="BN728" s="5">
        <v>39983</v>
      </c>
      <c r="BO728" s="4"/>
      <c r="BP728" s="4"/>
      <c r="BQ728" s="4"/>
      <c r="BR728" s="4"/>
      <c r="BS728" s="4"/>
      <c r="BT728" s="5">
        <v>39867</v>
      </c>
      <c r="BU728" s="5">
        <v>39877</v>
      </c>
      <c r="BV728" s="5">
        <v>39903</v>
      </c>
      <c r="BW728" s="5">
        <v>39903</v>
      </c>
      <c r="BX728" s="4"/>
      <c r="BY728" s="5">
        <v>39962</v>
      </c>
      <c r="BZ728" s="5">
        <v>39955</v>
      </c>
      <c r="CA728" s="4"/>
      <c r="CB728" s="4"/>
      <c r="CC728" s="4"/>
      <c r="CD728" s="4"/>
      <c r="CE728" s="4"/>
      <c r="CF728" s="4"/>
      <c r="CG728" s="4"/>
      <c r="CH728" s="4"/>
      <c r="CI728" s="5">
        <v>39960</v>
      </c>
      <c r="CJ728" s="5">
        <v>39962</v>
      </c>
      <c r="CK728" s="4"/>
      <c r="CL728" s="4"/>
      <c r="CM728" s="4"/>
      <c r="CN728" s="4"/>
      <c r="CO728" s="4"/>
      <c r="CP728" s="4" t="s">
        <v>2360</v>
      </c>
      <c r="CQ728" s="4"/>
      <c r="CR728" s="5">
        <v>39962</v>
      </c>
      <c r="CS728" s="4"/>
      <c r="CT728" s="4"/>
      <c r="CU728" s="4"/>
      <c r="CV728" s="4"/>
      <c r="CW728" s="4"/>
      <c r="CX728" s="4"/>
      <c r="CY728" s="4"/>
      <c r="CZ728" s="4"/>
      <c r="DA728" s="4"/>
      <c r="DB728" s="4"/>
      <c r="DC728" s="4"/>
      <c r="DD728" s="4"/>
      <c r="DE728" s="4"/>
      <c r="DF728" s="4"/>
      <c r="DG728" s="4"/>
      <c r="DH728" s="4" t="s">
        <v>174</v>
      </c>
      <c r="DI728" s="4"/>
      <c r="DJ728" s="4" t="b">
        <v>0</v>
      </c>
      <c r="DK728" s="4"/>
      <c r="DL728" s="4">
        <v>2480515</v>
      </c>
      <c r="DM728" s="4">
        <v>5741443</v>
      </c>
      <c r="DN728" s="4" t="s">
        <v>2361</v>
      </c>
      <c r="DO728" s="4"/>
      <c r="DP728" s="4"/>
      <c r="DQ728" s="4" t="s">
        <v>148</v>
      </c>
      <c r="DR728" s="4"/>
      <c r="DS728" s="4"/>
      <c r="DT728" s="4"/>
      <c r="DU728" s="4"/>
      <c r="DV728" s="5">
        <v>41980</v>
      </c>
      <c r="DW728" s="4"/>
      <c r="DX728" s="4"/>
      <c r="DY728" s="5">
        <v>39874</v>
      </c>
      <c r="DZ728" s="5">
        <v>39854</v>
      </c>
      <c r="EA728" s="4"/>
      <c r="EB728" s="4"/>
      <c r="EC728" s="4"/>
      <c r="ED728" s="4"/>
      <c r="EE728" s="4"/>
      <c r="EF728" s="4"/>
      <c r="EG728" s="4"/>
      <c r="EH728" s="4"/>
      <c r="EI728" s="5">
        <v>39511</v>
      </c>
    </row>
    <row r="729" spans="1:139" hidden="1" x14ac:dyDescent="0.2">
      <c r="A729">
        <f>VLOOKUP(B729,Sheet1!$A$1:$B$18,2,FALSE)</f>
        <v>0</v>
      </c>
      <c r="B729" t="str">
        <f>LEFT(D729,3)</f>
        <v>CHC</v>
      </c>
      <c r="C729" s="2">
        <v>728</v>
      </c>
      <c r="D729" s="3" t="str">
        <f>HYPERLINK("https://sitebase.nzcomms.co.nz/spm/spmnominalview/CHC-060-003/","CHC-060-003")</f>
        <v>CHC-060-003</v>
      </c>
      <c r="E729" s="4"/>
      <c r="F729" s="4"/>
      <c r="G729" s="4"/>
      <c r="H729" s="4" t="s">
        <v>2353</v>
      </c>
      <c r="I729" s="4"/>
      <c r="J729" s="4" t="s">
        <v>139</v>
      </c>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row>
    <row r="730" spans="1:139" hidden="1" x14ac:dyDescent="0.2">
      <c r="A730">
        <f>VLOOKUP(B730,Sheet1!$A$1:$B$18,2,FALSE)</f>
        <v>0</v>
      </c>
      <c r="B730" t="str">
        <f>LEFT(D730,3)</f>
        <v>CHC</v>
      </c>
      <c r="C730" s="2">
        <v>729</v>
      </c>
      <c r="D730" s="3" t="str">
        <f>HYPERLINK("https://sitebase.nzcomms.co.nz/spm/spmnominalview/CHC-060-004/","CHC-060-004")</f>
        <v>CHC-060-004</v>
      </c>
      <c r="E730" s="4"/>
      <c r="F730" s="3" t="str">
        <f>HYPERLINK("https://sitebase.nzcomms.co.nz/spm/spmcandidateview/CHC-060-004-C/","CHC-060-004-C")</f>
        <v>CHC-060-004-C</v>
      </c>
      <c r="G730" s="4" t="s">
        <v>2362</v>
      </c>
      <c r="H730" s="4" t="s">
        <v>2353</v>
      </c>
      <c r="I730" s="4"/>
      <c r="J730" s="4" t="s">
        <v>139</v>
      </c>
      <c r="K730" s="4" t="s">
        <v>141</v>
      </c>
      <c r="L730" s="4" t="s">
        <v>150</v>
      </c>
      <c r="M730" s="4" t="s">
        <v>143</v>
      </c>
      <c r="N730" s="4" t="s">
        <v>156</v>
      </c>
      <c r="O730" s="4" t="s">
        <v>144</v>
      </c>
      <c r="P730" s="4"/>
      <c r="Q730" s="4"/>
      <c r="R730" s="4">
        <v>25</v>
      </c>
      <c r="S730" s="4">
        <v>25</v>
      </c>
      <c r="T730" s="4"/>
      <c r="U730" s="4">
        <v>-43.540666659999999</v>
      </c>
      <c r="V730" s="4">
        <v>172.64963809</v>
      </c>
      <c r="W730" s="4"/>
      <c r="X730" s="4"/>
      <c r="Y730" s="4"/>
      <c r="Z730" s="4"/>
      <c r="AA730" s="4" t="s">
        <v>1125</v>
      </c>
      <c r="AB730" s="4" t="s">
        <v>2363</v>
      </c>
      <c r="AC730" s="4"/>
      <c r="AD730" s="4"/>
      <c r="AE730" s="4"/>
      <c r="AF730" s="4"/>
      <c r="AG730" s="4"/>
      <c r="AH730" s="4" t="s">
        <v>2364</v>
      </c>
      <c r="AI730" s="4"/>
      <c r="AJ730" s="4"/>
      <c r="AK730" s="4"/>
      <c r="AL730" s="4"/>
      <c r="AM730" s="4"/>
      <c r="AN730" s="5">
        <v>39337</v>
      </c>
      <c r="AO730" s="4">
        <v>9</v>
      </c>
      <c r="AP730" s="5">
        <v>39384</v>
      </c>
      <c r="AQ730" s="5">
        <v>41453</v>
      </c>
      <c r="AR730" s="4"/>
      <c r="AS730" s="4"/>
      <c r="AT730" s="5">
        <v>39629</v>
      </c>
      <c r="AU730" s="5">
        <v>39629</v>
      </c>
      <c r="AV730" s="4">
        <v>4</v>
      </c>
      <c r="AW730" s="5">
        <v>39629</v>
      </c>
      <c r="AX730" s="5">
        <v>39629</v>
      </c>
      <c r="AY730" s="4"/>
      <c r="AZ730" s="4"/>
      <c r="BA730" s="4"/>
      <c r="BB730" s="4"/>
      <c r="BC730" s="4"/>
      <c r="BD730" s="4"/>
      <c r="BE730" s="5">
        <v>39527</v>
      </c>
      <c r="BF730" s="5">
        <v>39527</v>
      </c>
      <c r="BG730" s="4"/>
      <c r="BH730" s="5">
        <v>39538</v>
      </c>
      <c r="BI730" s="4"/>
      <c r="BJ730" s="5">
        <v>39587</v>
      </c>
      <c r="BK730" s="4">
        <v>6</v>
      </c>
      <c r="BL730" s="4"/>
      <c r="BM730" s="5">
        <v>39647</v>
      </c>
      <c r="BN730" s="5">
        <v>40834</v>
      </c>
      <c r="BO730" s="4"/>
      <c r="BP730" s="4"/>
      <c r="BQ730" s="4"/>
      <c r="BR730" s="4"/>
      <c r="BS730" s="4"/>
      <c r="BT730" s="4"/>
      <c r="BU730" s="5">
        <v>39668</v>
      </c>
      <c r="BV730" s="5">
        <v>39751</v>
      </c>
      <c r="BW730" s="5">
        <v>39751</v>
      </c>
      <c r="BX730" s="4"/>
      <c r="BY730" s="5">
        <v>39766</v>
      </c>
      <c r="BZ730" s="5">
        <v>39766</v>
      </c>
      <c r="CA730" s="4"/>
      <c r="CB730" s="4"/>
      <c r="CC730" s="4"/>
      <c r="CD730" s="4"/>
      <c r="CE730" s="4"/>
      <c r="CF730" s="4"/>
      <c r="CG730" s="4"/>
      <c r="CH730" s="4"/>
      <c r="CI730" s="5">
        <v>39793</v>
      </c>
      <c r="CJ730" s="5">
        <v>39811</v>
      </c>
      <c r="CK730" s="5">
        <v>39793</v>
      </c>
      <c r="CL730" s="4"/>
      <c r="CM730" s="4"/>
      <c r="CN730" s="4"/>
      <c r="CO730" s="4"/>
      <c r="CP730" s="4"/>
      <c r="CQ730" s="4"/>
      <c r="CR730" s="5">
        <v>39797</v>
      </c>
      <c r="CS730" s="4"/>
      <c r="CT730" s="4"/>
      <c r="CU730" s="4"/>
      <c r="CV730" s="4"/>
      <c r="CW730" s="4"/>
      <c r="CX730" s="4"/>
      <c r="CY730" s="4"/>
      <c r="CZ730" s="4"/>
      <c r="DA730" s="4"/>
      <c r="DB730" s="4"/>
      <c r="DC730" s="4"/>
      <c r="DD730" s="4"/>
      <c r="DE730" s="4"/>
      <c r="DF730" s="4"/>
      <c r="DG730" s="4"/>
      <c r="DH730" s="4"/>
      <c r="DI730" s="4"/>
      <c r="DJ730" s="4" t="b">
        <v>0</v>
      </c>
      <c r="DK730" s="4"/>
      <c r="DL730" s="4">
        <v>2481695</v>
      </c>
      <c r="DM730" s="4">
        <v>5740694</v>
      </c>
      <c r="DN730" s="4" t="s">
        <v>2365</v>
      </c>
      <c r="DO730" s="4"/>
      <c r="DP730" s="4"/>
      <c r="DQ730" s="4" t="s">
        <v>148</v>
      </c>
      <c r="DR730" s="4"/>
      <c r="DS730" s="4"/>
      <c r="DT730" s="5">
        <v>42306</v>
      </c>
      <c r="DU730" s="4"/>
      <c r="DV730" s="4"/>
      <c r="DW730" s="4"/>
      <c r="DX730" s="4"/>
      <c r="DY730" s="4"/>
      <c r="DZ730" s="5">
        <v>39661</v>
      </c>
      <c r="EA730" s="4"/>
      <c r="EB730" s="4"/>
      <c r="EC730" s="4"/>
      <c r="ED730" s="4"/>
      <c r="EE730" s="4"/>
      <c r="EF730" s="4"/>
      <c r="EG730" s="4"/>
      <c r="EH730" s="4"/>
      <c r="EI730" s="5">
        <v>39308</v>
      </c>
    </row>
    <row r="731" spans="1:139" hidden="1" x14ac:dyDescent="0.2">
      <c r="A731">
        <f>VLOOKUP(B731,Sheet1!$A$1:$B$18,2,FALSE)</f>
        <v>0</v>
      </c>
      <c r="B731" t="str">
        <f>LEFT(D731,3)</f>
        <v>CHC</v>
      </c>
      <c r="C731" s="2">
        <v>730</v>
      </c>
      <c r="D731" s="3" t="str">
        <f>HYPERLINK("https://sitebase.nzcomms.co.nz/spm/spmnominalview/CHC-060-005/","CHC-060-005")</f>
        <v>CHC-060-005</v>
      </c>
      <c r="E731" s="4"/>
      <c r="F731" s="3" t="str">
        <f>HYPERLINK("https://sitebase.nzcomms.co.nz/spm/spmcandidateview/CHC-060-005-D/","CHC-060-005-D")</f>
        <v>CHC-060-005-D</v>
      </c>
      <c r="G731" s="4" t="s">
        <v>2366</v>
      </c>
      <c r="H731" s="4" t="s">
        <v>2353</v>
      </c>
      <c r="I731" s="4"/>
      <c r="J731" s="4" t="s">
        <v>139</v>
      </c>
      <c r="K731" s="4" t="s">
        <v>141</v>
      </c>
      <c r="L731" s="4" t="s">
        <v>150</v>
      </c>
      <c r="M731" s="4" t="s">
        <v>143</v>
      </c>
      <c r="N731" s="4" t="s">
        <v>291</v>
      </c>
      <c r="O731" s="4" t="s">
        <v>144</v>
      </c>
      <c r="P731" s="4"/>
      <c r="Q731" s="4"/>
      <c r="R731" s="4">
        <v>20</v>
      </c>
      <c r="S731" s="4">
        <v>20</v>
      </c>
      <c r="T731" s="4"/>
      <c r="U731" s="4">
        <v>-43.534335249999998</v>
      </c>
      <c r="V731" s="4">
        <v>172.65131987999999</v>
      </c>
      <c r="W731" s="4"/>
      <c r="X731" s="4"/>
      <c r="Y731" s="4"/>
      <c r="Z731" s="4"/>
      <c r="AA731" s="4" t="s">
        <v>217</v>
      </c>
      <c r="AB731" s="4" t="s">
        <v>2367</v>
      </c>
      <c r="AC731" s="4"/>
      <c r="AD731" s="4"/>
      <c r="AE731" s="4"/>
      <c r="AF731" s="4"/>
      <c r="AG731" s="4"/>
      <c r="AH731" s="4" t="s">
        <v>2368</v>
      </c>
      <c r="AI731" s="4"/>
      <c r="AJ731" s="4"/>
      <c r="AK731" s="4"/>
      <c r="AL731" s="4"/>
      <c r="AM731" s="5">
        <v>39330</v>
      </c>
      <c r="AN731" s="5">
        <v>39330</v>
      </c>
      <c r="AO731" s="4">
        <v>7</v>
      </c>
      <c r="AP731" s="5">
        <v>39384</v>
      </c>
      <c r="AQ731" s="5">
        <v>42250</v>
      </c>
      <c r="AR731" s="4"/>
      <c r="AS731" s="4"/>
      <c r="AT731" s="5">
        <v>39689</v>
      </c>
      <c r="AU731" s="5">
        <v>39689</v>
      </c>
      <c r="AV731" s="4">
        <v>5</v>
      </c>
      <c r="AW731" s="5">
        <v>39689</v>
      </c>
      <c r="AX731" s="5">
        <v>39689</v>
      </c>
      <c r="AY731" s="4"/>
      <c r="AZ731" s="5">
        <v>39668</v>
      </c>
      <c r="BA731" s="4"/>
      <c r="BB731" s="4"/>
      <c r="BC731" s="4"/>
      <c r="BD731" s="4"/>
      <c r="BE731" s="5">
        <v>39696</v>
      </c>
      <c r="BF731" s="5">
        <v>39696</v>
      </c>
      <c r="BG731" s="4"/>
      <c r="BH731" s="5">
        <v>39538</v>
      </c>
      <c r="BI731" s="4"/>
      <c r="BJ731" s="5">
        <v>39686</v>
      </c>
      <c r="BK731" s="4">
        <v>1</v>
      </c>
      <c r="BL731" s="4">
        <v>5</v>
      </c>
      <c r="BM731" s="5">
        <v>39686</v>
      </c>
      <c r="BN731" s="5">
        <v>39686</v>
      </c>
      <c r="BO731" s="5">
        <v>39778</v>
      </c>
      <c r="BP731" s="4"/>
      <c r="BQ731" s="4"/>
      <c r="BR731" s="4"/>
      <c r="BS731" s="4"/>
      <c r="BT731" s="4"/>
      <c r="BU731" s="5">
        <v>39734</v>
      </c>
      <c r="BV731" s="5">
        <v>39794</v>
      </c>
      <c r="BW731" s="5">
        <v>39797</v>
      </c>
      <c r="BX731" s="4"/>
      <c r="BY731" s="5">
        <v>39806</v>
      </c>
      <c r="BZ731" s="5">
        <v>39804</v>
      </c>
      <c r="CA731" s="4"/>
      <c r="CB731" s="4"/>
      <c r="CC731" s="4"/>
      <c r="CD731" s="4"/>
      <c r="CE731" s="4"/>
      <c r="CF731" s="4"/>
      <c r="CG731" s="4"/>
      <c r="CH731" s="4"/>
      <c r="CI731" s="5">
        <v>39804</v>
      </c>
      <c r="CJ731" s="5">
        <v>39813</v>
      </c>
      <c r="CK731" s="5">
        <v>39804</v>
      </c>
      <c r="CL731" s="4"/>
      <c r="CM731" s="4"/>
      <c r="CN731" s="4"/>
      <c r="CO731" s="4"/>
      <c r="CP731" s="4"/>
      <c r="CQ731" s="4"/>
      <c r="CR731" s="5">
        <v>39805</v>
      </c>
      <c r="CS731" s="4"/>
      <c r="CT731" s="4"/>
      <c r="CU731" s="4"/>
      <c r="CV731" s="4"/>
      <c r="CW731" s="4"/>
      <c r="CX731" s="5">
        <v>39778</v>
      </c>
      <c r="CY731" s="4"/>
      <c r="CZ731" s="4"/>
      <c r="DA731" s="4"/>
      <c r="DB731" s="4"/>
      <c r="DC731" s="4"/>
      <c r="DD731" s="4"/>
      <c r="DE731" s="4"/>
      <c r="DF731" s="4"/>
      <c r="DG731" s="4"/>
      <c r="DH731" s="4"/>
      <c r="DI731" s="4"/>
      <c r="DJ731" s="4" t="b">
        <v>0</v>
      </c>
      <c r="DK731" s="4"/>
      <c r="DL731" s="4">
        <v>2481828</v>
      </c>
      <c r="DM731" s="4">
        <v>5741398</v>
      </c>
      <c r="DN731" s="4" t="s">
        <v>2369</v>
      </c>
      <c r="DO731" s="4"/>
      <c r="DP731" s="4"/>
      <c r="DQ731" s="4" t="s">
        <v>148</v>
      </c>
      <c r="DR731" s="4"/>
      <c r="DS731" s="4"/>
      <c r="DT731" s="5">
        <v>42298</v>
      </c>
      <c r="DU731" s="4"/>
      <c r="DV731" s="4"/>
      <c r="DW731" s="4"/>
      <c r="DX731" s="4"/>
      <c r="DY731" s="4"/>
      <c r="DZ731" s="5">
        <v>39701</v>
      </c>
      <c r="EA731" s="4"/>
      <c r="EB731" s="4"/>
      <c r="EC731" s="4"/>
      <c r="ED731" s="4"/>
      <c r="EE731" s="4"/>
      <c r="EF731" s="4"/>
      <c r="EG731" s="4"/>
      <c r="EH731" s="4"/>
      <c r="EI731" s="5">
        <v>39287</v>
      </c>
    </row>
    <row r="732" spans="1:139" hidden="1" x14ac:dyDescent="0.2">
      <c r="A732">
        <f>VLOOKUP(B732,Sheet1!$A$1:$B$18,2,FALSE)</f>
        <v>0</v>
      </c>
      <c r="B732" t="str">
        <f>LEFT(D732,3)</f>
        <v>CHC</v>
      </c>
      <c r="C732" s="2">
        <v>731</v>
      </c>
      <c r="D732" s="3" t="str">
        <f>HYPERLINK("https://sitebase.nzcomms.co.nz/spm/spmnominalview/CHC-060-006/","CHC-060-006")</f>
        <v>CHC-060-006</v>
      </c>
      <c r="E732" s="4"/>
      <c r="F732" s="4"/>
      <c r="G732" s="4"/>
      <c r="H732" s="4" t="s">
        <v>2353</v>
      </c>
      <c r="I732" s="4"/>
      <c r="J732" s="4" t="s">
        <v>139</v>
      </c>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row>
    <row r="733" spans="1:139" hidden="1" x14ac:dyDescent="0.2">
      <c r="A733">
        <f>VLOOKUP(B733,Sheet1!$A$1:$B$18,2,FALSE)</f>
        <v>0</v>
      </c>
      <c r="B733" t="str">
        <f>LEFT(D733,3)</f>
        <v>CHC</v>
      </c>
      <c r="C733" s="2">
        <v>732</v>
      </c>
      <c r="D733" s="3" t="str">
        <f>HYPERLINK("https://sitebase.nzcomms.co.nz/spm/spmnominalview/CHC-060-007/","CHC-060-007")</f>
        <v>CHC-060-007</v>
      </c>
      <c r="E733" s="4"/>
      <c r="F733" s="4"/>
      <c r="G733" s="4"/>
      <c r="H733" s="4" t="s">
        <v>2353</v>
      </c>
      <c r="I733" s="4"/>
      <c r="J733" s="4" t="s">
        <v>139</v>
      </c>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row>
    <row r="734" spans="1:139" hidden="1" x14ac:dyDescent="0.2">
      <c r="A734">
        <f>VLOOKUP(B734,Sheet1!$A$1:$B$18,2,FALSE)</f>
        <v>0</v>
      </c>
      <c r="B734" t="str">
        <f>LEFT(D734,3)</f>
        <v>CHC</v>
      </c>
      <c r="C734" s="2">
        <v>733</v>
      </c>
      <c r="D734" s="3" t="str">
        <f>HYPERLINK("https://sitebase.nzcomms.co.nz/spm/spmnominalview/CHC-060-008/","CHC-060-008")</f>
        <v>CHC-060-008</v>
      </c>
      <c r="E734" s="4"/>
      <c r="F734" s="3" t="str">
        <f>HYPERLINK("https://sitebase.nzcomms.co.nz/spm/spmcandidateview/CHC-060-008-H/","CHC-060-008-H")</f>
        <v>CHC-060-008-H</v>
      </c>
      <c r="G734" s="4" t="s">
        <v>2370</v>
      </c>
      <c r="H734" s="4" t="s">
        <v>2353</v>
      </c>
      <c r="I734" s="4"/>
      <c r="J734" s="4" t="s">
        <v>139</v>
      </c>
      <c r="K734" s="4" t="s">
        <v>141</v>
      </c>
      <c r="L734" s="4" t="s">
        <v>150</v>
      </c>
      <c r="M734" s="4" t="s">
        <v>143</v>
      </c>
      <c r="N734" s="4" t="s">
        <v>291</v>
      </c>
      <c r="O734" s="4" t="s">
        <v>144</v>
      </c>
      <c r="P734" s="4"/>
      <c r="Q734" s="4"/>
      <c r="R734" s="4">
        <v>20</v>
      </c>
      <c r="S734" s="4">
        <v>20</v>
      </c>
      <c r="T734" s="4"/>
      <c r="U734" s="4">
        <v>-43.52356434</v>
      </c>
      <c r="V734" s="4">
        <v>172.64058295000001</v>
      </c>
      <c r="W734" s="4"/>
      <c r="X734" s="4"/>
      <c r="Y734" s="4"/>
      <c r="Z734" s="4"/>
      <c r="AA734" s="4" t="s">
        <v>171</v>
      </c>
      <c r="AB734" s="3" t="str">
        <f>HYPERLINK("https://sitebase.nzcomms.co.nz/spm/spmcandidateview/CHC-060-005-D/","CHC-060-005-D")</f>
        <v>CHC-060-005-D</v>
      </c>
      <c r="AC734" s="4"/>
      <c r="AD734" s="4"/>
      <c r="AE734" s="4"/>
      <c r="AF734" s="4"/>
      <c r="AG734" s="4"/>
      <c r="AH734" s="4" t="s">
        <v>2371</v>
      </c>
      <c r="AI734" s="4"/>
      <c r="AJ734" s="4"/>
      <c r="AK734" s="4"/>
      <c r="AL734" s="4"/>
      <c r="AM734" s="4"/>
      <c r="AN734" s="5">
        <v>39773</v>
      </c>
      <c r="AO734" s="4">
        <v>1</v>
      </c>
      <c r="AP734" s="5">
        <v>39776</v>
      </c>
      <c r="AQ734" s="5">
        <v>39773</v>
      </c>
      <c r="AR734" s="4"/>
      <c r="AS734" s="4"/>
      <c r="AT734" s="5">
        <v>39806</v>
      </c>
      <c r="AU734" s="5">
        <v>39805</v>
      </c>
      <c r="AV734" s="4">
        <v>1</v>
      </c>
      <c r="AW734" s="5">
        <v>39806</v>
      </c>
      <c r="AX734" s="5">
        <v>39806</v>
      </c>
      <c r="AY734" s="4"/>
      <c r="AZ734" s="5">
        <v>39780</v>
      </c>
      <c r="BA734" s="4"/>
      <c r="BB734" s="4"/>
      <c r="BC734" s="4"/>
      <c r="BD734" s="4"/>
      <c r="BE734" s="5">
        <v>39829</v>
      </c>
      <c r="BF734" s="5">
        <v>39829</v>
      </c>
      <c r="BG734" s="5">
        <v>39887</v>
      </c>
      <c r="BH734" s="5">
        <v>39794</v>
      </c>
      <c r="BI734" s="4"/>
      <c r="BJ734" s="5">
        <v>39875</v>
      </c>
      <c r="BK734" s="4">
        <v>1</v>
      </c>
      <c r="BL734" s="4">
        <v>1</v>
      </c>
      <c r="BM734" s="5">
        <v>39877</v>
      </c>
      <c r="BN734" s="5">
        <v>39875</v>
      </c>
      <c r="BO734" s="5">
        <v>39849</v>
      </c>
      <c r="BP734" s="4"/>
      <c r="BQ734" s="4"/>
      <c r="BR734" s="4"/>
      <c r="BS734" s="4"/>
      <c r="BT734" s="5">
        <v>39881</v>
      </c>
      <c r="BU734" s="5">
        <v>39882</v>
      </c>
      <c r="BV734" s="5">
        <v>39906</v>
      </c>
      <c r="BW734" s="5">
        <v>39906</v>
      </c>
      <c r="BX734" s="4"/>
      <c r="BY734" s="5">
        <v>39920</v>
      </c>
      <c r="BZ734" s="5">
        <v>39920</v>
      </c>
      <c r="CA734" s="4"/>
      <c r="CB734" s="4"/>
      <c r="CC734" s="4"/>
      <c r="CD734" s="4"/>
      <c r="CE734" s="4"/>
      <c r="CF734" s="4"/>
      <c r="CG734" s="4"/>
      <c r="CH734" s="4"/>
      <c r="CI734" s="5">
        <v>39930</v>
      </c>
      <c r="CJ734" s="5">
        <v>39929</v>
      </c>
      <c r="CK734" s="5">
        <v>39930</v>
      </c>
      <c r="CL734" s="4"/>
      <c r="CM734" s="4"/>
      <c r="CN734" s="4"/>
      <c r="CO734" s="4"/>
      <c r="CP734" s="4" t="s">
        <v>2372</v>
      </c>
      <c r="CQ734" s="4"/>
      <c r="CR734" s="5">
        <v>39929</v>
      </c>
      <c r="CS734" s="4"/>
      <c r="CT734" s="4"/>
      <c r="CU734" s="4"/>
      <c r="CV734" s="4"/>
      <c r="CW734" s="5">
        <v>39881</v>
      </c>
      <c r="CX734" s="5">
        <v>39849</v>
      </c>
      <c r="CY734" s="4"/>
      <c r="CZ734" s="4"/>
      <c r="DA734" s="4"/>
      <c r="DB734" s="4"/>
      <c r="DC734" s="4"/>
      <c r="DD734" s="4"/>
      <c r="DE734" s="4"/>
      <c r="DF734" s="4"/>
      <c r="DG734" s="4"/>
      <c r="DH734" s="4"/>
      <c r="DI734" s="4"/>
      <c r="DJ734" s="4" t="b">
        <v>0</v>
      </c>
      <c r="DK734" s="4"/>
      <c r="DL734" s="4">
        <v>2480955</v>
      </c>
      <c r="DM734" s="4">
        <v>5742591</v>
      </c>
      <c r="DN734" s="4" t="s">
        <v>2373</v>
      </c>
      <c r="DO734" s="4"/>
      <c r="DP734" s="4"/>
      <c r="DQ734" s="4" t="s">
        <v>148</v>
      </c>
      <c r="DR734" s="4"/>
      <c r="DS734" s="4"/>
      <c r="DT734" s="5">
        <v>42298</v>
      </c>
      <c r="DU734" s="4"/>
      <c r="DV734" s="4"/>
      <c r="DW734" s="4"/>
      <c r="DX734" s="4"/>
      <c r="DY734" s="5">
        <v>39877</v>
      </c>
      <c r="DZ734" s="5">
        <v>39878</v>
      </c>
      <c r="EA734" s="4"/>
      <c r="EB734" s="4"/>
      <c r="EC734" s="4"/>
      <c r="ED734" s="4"/>
      <c r="EE734" s="4"/>
      <c r="EF734" s="4"/>
      <c r="EG734" s="4"/>
      <c r="EH734" s="4"/>
      <c r="EI734" s="5">
        <v>39755</v>
      </c>
    </row>
    <row r="735" spans="1:139" hidden="1" x14ac:dyDescent="0.2">
      <c r="A735">
        <f>VLOOKUP(B735,Sheet1!$A$1:$B$18,2,FALSE)</f>
        <v>0</v>
      </c>
      <c r="B735" t="str">
        <f>LEFT(D735,3)</f>
        <v>CHC</v>
      </c>
      <c r="C735" s="2">
        <v>734</v>
      </c>
      <c r="D735" s="3" t="str">
        <f>HYPERLINK("https://sitebase.nzcomms.co.nz/spm/spmnominalview/CHC-060-009/","CHC-060-009")</f>
        <v>CHC-060-009</v>
      </c>
      <c r="E735" s="4"/>
      <c r="F735" s="4"/>
      <c r="G735" s="4"/>
      <c r="H735" s="4" t="s">
        <v>2353</v>
      </c>
      <c r="I735" s="4">
        <v>8</v>
      </c>
      <c r="J735" s="4" t="s">
        <v>139</v>
      </c>
      <c r="K735" s="4"/>
      <c r="L735" s="4"/>
      <c r="M735" s="4"/>
      <c r="N735" s="4"/>
      <c r="O735" s="4"/>
      <c r="P735" s="4"/>
      <c r="Q735" s="4"/>
      <c r="R735" s="4"/>
      <c r="S735" s="4"/>
      <c r="T735" s="4"/>
      <c r="U735" s="4"/>
      <c r="V735" s="4"/>
      <c r="W735" s="4"/>
      <c r="X735" s="4"/>
      <c r="Y735" s="4"/>
      <c r="Z735" s="4"/>
      <c r="AA735" s="4"/>
      <c r="AB735" s="4"/>
      <c r="AC735" s="4"/>
      <c r="AD735" s="4"/>
      <c r="AE735" s="4"/>
      <c r="AF735" s="4"/>
      <c r="AG735" s="4" t="b">
        <v>0</v>
      </c>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t="s">
        <v>2374</v>
      </c>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row>
    <row r="736" spans="1:139" hidden="1" x14ac:dyDescent="0.2">
      <c r="A736">
        <f>VLOOKUP(B736,Sheet1!$A$1:$B$18,2,FALSE)</f>
        <v>0</v>
      </c>
      <c r="B736" t="str">
        <f>LEFT(D736,3)</f>
        <v>CHC</v>
      </c>
      <c r="C736" s="2">
        <v>735</v>
      </c>
      <c r="D736" s="3" t="str">
        <f>HYPERLINK("https://sitebase.nzcomms.co.nz/spm/spmnominalview/CHC-060-010/","CHC-060-010")</f>
        <v>CHC-060-010</v>
      </c>
      <c r="E736" s="4" t="s">
        <v>2375</v>
      </c>
      <c r="F736" s="3" t="str">
        <f>HYPERLINK("https://sitebase.nzcomms.co.nz/spm/spmcandidateview/CHC-060-010-A/","CHC-060-010-A")</f>
        <v>CHC-060-010-A</v>
      </c>
      <c r="G736" s="4" t="s">
        <v>2375</v>
      </c>
      <c r="H736" s="4" t="s">
        <v>2353</v>
      </c>
      <c r="I736" s="4"/>
      <c r="J736" s="4" t="s">
        <v>139</v>
      </c>
      <c r="K736" s="4" t="s">
        <v>141</v>
      </c>
      <c r="L736" s="4" t="s">
        <v>181</v>
      </c>
      <c r="M736" s="4" t="s">
        <v>378</v>
      </c>
      <c r="N736" s="4" t="s">
        <v>364</v>
      </c>
      <c r="O736" s="4" t="s">
        <v>144</v>
      </c>
      <c r="P736" s="4"/>
      <c r="Q736" s="4"/>
      <c r="R736" s="4">
        <v>19.2</v>
      </c>
      <c r="S736" s="4">
        <v>19.2</v>
      </c>
      <c r="T736" s="4"/>
      <c r="U736" s="4">
        <v>-43.530502499999997</v>
      </c>
      <c r="V736" s="4">
        <v>172.59923570000001</v>
      </c>
      <c r="W736" s="4"/>
      <c r="X736" s="4"/>
      <c r="Y736" s="4"/>
      <c r="Z736" s="4"/>
      <c r="AA736" s="4" t="s">
        <v>217</v>
      </c>
      <c r="AB736" s="4" t="s">
        <v>2376</v>
      </c>
      <c r="AC736" s="4"/>
      <c r="AD736" s="4"/>
      <c r="AE736" s="4"/>
      <c r="AF736" s="4"/>
      <c r="AG736" s="4"/>
      <c r="AH736" s="4" t="s">
        <v>2377</v>
      </c>
      <c r="AI736" s="4"/>
      <c r="AJ736" s="4"/>
      <c r="AK736" s="4"/>
      <c r="AL736" s="4"/>
      <c r="AM736" s="4"/>
      <c r="AN736" s="5">
        <v>39365</v>
      </c>
      <c r="AO736" s="4">
        <v>5</v>
      </c>
      <c r="AP736" s="5">
        <v>39385</v>
      </c>
      <c r="AQ736" s="5">
        <v>41954</v>
      </c>
      <c r="AR736" s="4"/>
      <c r="AS736" s="4"/>
      <c r="AT736" s="5">
        <v>39629</v>
      </c>
      <c r="AU736" s="5">
        <v>39625</v>
      </c>
      <c r="AV736" s="4">
        <v>4</v>
      </c>
      <c r="AW736" s="5">
        <v>39629</v>
      </c>
      <c r="AX736" s="5">
        <v>39625</v>
      </c>
      <c r="AY736" s="4"/>
      <c r="AZ736" s="4"/>
      <c r="BA736" s="4"/>
      <c r="BB736" s="4"/>
      <c r="BC736" s="4"/>
      <c r="BD736" s="4"/>
      <c r="BE736" s="5">
        <v>39527</v>
      </c>
      <c r="BF736" s="5">
        <v>39527</v>
      </c>
      <c r="BG736" s="4"/>
      <c r="BH736" s="5">
        <v>39519</v>
      </c>
      <c r="BI736" s="4"/>
      <c r="BJ736" s="5">
        <v>39629</v>
      </c>
      <c r="BK736" s="4">
        <v>3</v>
      </c>
      <c r="BL736" s="4"/>
      <c r="BM736" s="5">
        <v>39629</v>
      </c>
      <c r="BN736" s="4"/>
      <c r="BO736" s="4"/>
      <c r="BP736" s="4"/>
      <c r="BQ736" s="4"/>
      <c r="BR736" s="4"/>
      <c r="BS736" s="4"/>
      <c r="BT736" s="4"/>
      <c r="BU736" s="4"/>
      <c r="BV736" s="5">
        <v>39675</v>
      </c>
      <c r="BW736" s="4"/>
      <c r="BX736" s="4"/>
      <c r="BY736" s="5">
        <v>39689</v>
      </c>
      <c r="BZ736" s="5">
        <v>39688</v>
      </c>
      <c r="CA736" s="4"/>
      <c r="CB736" s="4"/>
      <c r="CC736" s="4"/>
      <c r="CD736" s="4"/>
      <c r="CE736" s="4"/>
      <c r="CF736" s="4"/>
      <c r="CG736" s="4"/>
      <c r="CH736" s="4"/>
      <c r="CI736" s="5">
        <v>39798</v>
      </c>
      <c r="CJ736" s="5">
        <v>39871</v>
      </c>
      <c r="CK736" s="5">
        <v>39798</v>
      </c>
      <c r="CL736" s="4"/>
      <c r="CM736" s="4"/>
      <c r="CN736" s="4"/>
      <c r="CO736" s="4"/>
      <c r="CP736" s="4" t="s">
        <v>2378</v>
      </c>
      <c r="CQ736" s="4"/>
      <c r="CR736" s="5">
        <v>39871</v>
      </c>
      <c r="CS736" s="4"/>
      <c r="CT736" s="4"/>
      <c r="CU736" s="4"/>
      <c r="CV736" s="4"/>
      <c r="CW736" s="4"/>
      <c r="CX736" s="4"/>
      <c r="CY736" s="4"/>
      <c r="CZ736" s="4"/>
      <c r="DA736" s="4"/>
      <c r="DB736" s="4"/>
      <c r="DC736" s="4"/>
      <c r="DD736" s="4"/>
      <c r="DE736" s="4"/>
      <c r="DF736" s="4"/>
      <c r="DG736" s="4"/>
      <c r="DH736" s="4"/>
      <c r="DI736" s="4"/>
      <c r="DJ736" s="4" t="b">
        <v>0</v>
      </c>
      <c r="DK736" s="4"/>
      <c r="DL736" s="4">
        <v>2477616</v>
      </c>
      <c r="DM736" s="4">
        <v>5741805</v>
      </c>
      <c r="DN736" s="4" t="s">
        <v>2379</v>
      </c>
      <c r="DO736" s="4"/>
      <c r="DP736" s="4"/>
      <c r="DQ736" s="4" t="s">
        <v>148</v>
      </c>
      <c r="DR736" s="4"/>
      <c r="DS736" s="4"/>
      <c r="DT736" s="5">
        <v>41901</v>
      </c>
      <c r="DU736" s="4"/>
      <c r="DV736" s="4"/>
      <c r="DW736" s="4"/>
      <c r="DX736" s="4"/>
      <c r="DY736" s="4"/>
      <c r="DZ736" s="5">
        <v>39630</v>
      </c>
      <c r="EA736" s="4"/>
      <c r="EB736" s="4"/>
      <c r="EC736" s="4"/>
      <c r="ED736" s="4"/>
      <c r="EE736" s="4"/>
      <c r="EF736" s="4"/>
      <c r="EG736" s="4"/>
      <c r="EH736" s="4"/>
      <c r="EI736" s="5">
        <v>39308</v>
      </c>
    </row>
    <row r="737" spans="1:139" hidden="1" x14ac:dyDescent="0.2">
      <c r="A737">
        <f>VLOOKUP(B737,Sheet1!$A$1:$B$18,2,FALSE)</f>
        <v>0</v>
      </c>
      <c r="B737" t="str">
        <f>LEFT(D737,3)</f>
        <v>CHC</v>
      </c>
      <c r="C737" s="2">
        <v>736</v>
      </c>
      <c r="D737" s="3" t="str">
        <f>HYPERLINK("https://sitebase.nzcomms.co.nz/spm/spmnominalview/CHC-060-011/","CHC-060-011")</f>
        <v>CHC-060-011</v>
      </c>
      <c r="E737" s="4" t="s">
        <v>2380</v>
      </c>
      <c r="F737" s="3" t="str">
        <f>HYPERLINK("https://sitebase.nzcomms.co.nz/spm/spmcandidateview/CHC-060-011-K/","CHC-060-011-K")</f>
        <v>CHC-060-011-K</v>
      </c>
      <c r="G737" s="4" t="s">
        <v>2380</v>
      </c>
      <c r="H737" s="4" t="s">
        <v>2353</v>
      </c>
      <c r="I737" s="4"/>
      <c r="J737" s="4" t="s">
        <v>139</v>
      </c>
      <c r="K737" s="4" t="s">
        <v>141</v>
      </c>
      <c r="L737" s="4" t="s">
        <v>150</v>
      </c>
      <c r="M737" s="4" t="s">
        <v>354</v>
      </c>
      <c r="N737" s="4" t="s">
        <v>291</v>
      </c>
      <c r="O737" s="4" t="s">
        <v>144</v>
      </c>
      <c r="P737" s="4"/>
      <c r="Q737" s="4"/>
      <c r="R737" s="4">
        <v>20</v>
      </c>
      <c r="S737" s="4">
        <v>20</v>
      </c>
      <c r="T737" s="4"/>
      <c r="U737" s="4">
        <v>-43.541169660000001</v>
      </c>
      <c r="V737" s="4">
        <v>172.60479534000001</v>
      </c>
      <c r="W737" s="4"/>
      <c r="X737" s="4"/>
      <c r="Y737" s="4"/>
      <c r="Z737" s="4"/>
      <c r="AA737" s="4" t="s">
        <v>171</v>
      </c>
      <c r="AB737" s="3" t="str">
        <f>HYPERLINK("https://sitebase.nzcomms.co.nz/spm/spmcandidateview/CHC-060-062-D/","CHC-060-062-D")</f>
        <v>CHC-060-062-D</v>
      </c>
      <c r="AC737" s="4"/>
      <c r="AD737" s="4"/>
      <c r="AE737" s="4"/>
      <c r="AF737" s="4"/>
      <c r="AG737" s="4"/>
      <c r="AH737" s="4" t="s">
        <v>2381</v>
      </c>
      <c r="AI737" s="4"/>
      <c r="AJ737" s="4"/>
      <c r="AK737" s="4"/>
      <c r="AL737" s="4"/>
      <c r="AM737" s="4"/>
      <c r="AN737" s="5">
        <v>39703</v>
      </c>
      <c r="AO737" s="4">
        <v>3</v>
      </c>
      <c r="AP737" s="5">
        <v>39716</v>
      </c>
      <c r="AQ737" s="5">
        <v>42251</v>
      </c>
      <c r="AR737" s="4"/>
      <c r="AS737" s="4"/>
      <c r="AT737" s="5">
        <v>39715</v>
      </c>
      <c r="AU737" s="5">
        <v>39716</v>
      </c>
      <c r="AV737" s="4">
        <v>1</v>
      </c>
      <c r="AW737" s="5">
        <v>39715</v>
      </c>
      <c r="AX737" s="5">
        <v>39716</v>
      </c>
      <c r="AY737" s="4"/>
      <c r="AZ737" s="5">
        <v>39707</v>
      </c>
      <c r="BA737" s="4"/>
      <c r="BB737" s="4"/>
      <c r="BC737" s="4"/>
      <c r="BD737" s="4"/>
      <c r="BE737" s="5">
        <v>39724</v>
      </c>
      <c r="BF737" s="5">
        <v>39724</v>
      </c>
      <c r="BG737" s="4"/>
      <c r="BH737" s="5">
        <v>39713</v>
      </c>
      <c r="BI737" s="4"/>
      <c r="BJ737" s="5">
        <v>39738</v>
      </c>
      <c r="BK737" s="4">
        <v>3</v>
      </c>
      <c r="BL737" s="4"/>
      <c r="BM737" s="5">
        <v>39738</v>
      </c>
      <c r="BN737" s="5">
        <v>42040</v>
      </c>
      <c r="BO737" s="5">
        <v>39799</v>
      </c>
      <c r="BP737" s="4"/>
      <c r="BQ737" s="4"/>
      <c r="BR737" s="4"/>
      <c r="BS737" s="4"/>
      <c r="BT737" s="4"/>
      <c r="BU737" s="4"/>
      <c r="BV737" s="5">
        <v>39806</v>
      </c>
      <c r="BW737" s="4"/>
      <c r="BX737" s="4"/>
      <c r="BY737" s="5">
        <v>39836</v>
      </c>
      <c r="BZ737" s="5">
        <v>39829</v>
      </c>
      <c r="CA737" s="4"/>
      <c r="CB737" s="4"/>
      <c r="CC737" s="4"/>
      <c r="CD737" s="4"/>
      <c r="CE737" s="4"/>
      <c r="CF737" s="4"/>
      <c r="CG737" s="4"/>
      <c r="CH737" s="4"/>
      <c r="CI737" s="5">
        <v>39890</v>
      </c>
      <c r="CJ737" s="5">
        <v>39885</v>
      </c>
      <c r="CK737" s="5">
        <v>39890</v>
      </c>
      <c r="CL737" s="4"/>
      <c r="CM737" s="4"/>
      <c r="CN737" s="4"/>
      <c r="CO737" s="4"/>
      <c r="CP737" s="4"/>
      <c r="CQ737" s="4"/>
      <c r="CR737" s="5">
        <v>39885</v>
      </c>
      <c r="CS737" s="4"/>
      <c r="CT737" s="4"/>
      <c r="CU737" s="4"/>
      <c r="CV737" s="4"/>
      <c r="CW737" s="4"/>
      <c r="CX737" s="5">
        <v>39799</v>
      </c>
      <c r="CY737" s="4"/>
      <c r="CZ737" s="4"/>
      <c r="DA737" s="4"/>
      <c r="DB737" s="4"/>
      <c r="DC737" s="4"/>
      <c r="DD737" s="4"/>
      <c r="DE737" s="4"/>
      <c r="DF737" s="4"/>
      <c r="DG737" s="4"/>
      <c r="DH737" s="4"/>
      <c r="DI737" s="4"/>
      <c r="DJ737" s="4" t="b">
        <v>0</v>
      </c>
      <c r="DK737" s="4"/>
      <c r="DL737" s="4">
        <v>2478071</v>
      </c>
      <c r="DM737" s="4">
        <v>5740622</v>
      </c>
      <c r="DN737" s="4" t="s">
        <v>2382</v>
      </c>
      <c r="DO737" s="4"/>
      <c r="DP737" s="4"/>
      <c r="DQ737" s="4" t="s">
        <v>148</v>
      </c>
      <c r="DR737" s="4"/>
      <c r="DS737" s="4"/>
      <c r="DT737" s="5">
        <v>41901</v>
      </c>
      <c r="DU737" s="4"/>
      <c r="DV737" s="4"/>
      <c r="DW737" s="4"/>
      <c r="DX737" s="4"/>
      <c r="DY737" s="4"/>
      <c r="DZ737" s="5">
        <v>39766</v>
      </c>
      <c r="EA737" s="4"/>
      <c r="EB737" s="4"/>
      <c r="EC737" s="4"/>
      <c r="ED737" s="4"/>
      <c r="EE737" s="4"/>
      <c r="EF737" s="4"/>
      <c r="EG737" s="4"/>
      <c r="EH737" s="4"/>
      <c r="EI737" s="5">
        <v>39685</v>
      </c>
    </row>
    <row r="738" spans="1:139" hidden="1" x14ac:dyDescent="0.2">
      <c r="A738">
        <f>VLOOKUP(B738,Sheet1!$A$1:$B$18,2,FALSE)</f>
        <v>0</v>
      </c>
      <c r="B738" t="str">
        <f>LEFT(D738,3)</f>
        <v>CHC</v>
      </c>
      <c r="C738" s="2">
        <v>737</v>
      </c>
      <c r="D738" s="3" t="str">
        <f>HYPERLINK("https://sitebase.nzcomms.co.nz/spm/spmnominalview/CHC-060-012/","CHC-060-012")</f>
        <v>CHC-060-012</v>
      </c>
      <c r="E738" s="4" t="s">
        <v>2383</v>
      </c>
      <c r="F738" s="3" t="str">
        <f>HYPERLINK("https://sitebase.nzcomms.co.nz/spm/spmcandidateview/CHC-060-012-A/","CHC-060-012-A")</f>
        <v>CHC-060-012-A</v>
      </c>
      <c r="G738" s="4" t="s">
        <v>2383</v>
      </c>
      <c r="H738" s="4" t="s">
        <v>2353</v>
      </c>
      <c r="I738" s="4"/>
      <c r="J738" s="4" t="s">
        <v>139</v>
      </c>
      <c r="K738" s="4" t="s">
        <v>141</v>
      </c>
      <c r="L738" s="4" t="s">
        <v>150</v>
      </c>
      <c r="M738" s="4" t="s">
        <v>143</v>
      </c>
      <c r="N738" s="4" t="s">
        <v>291</v>
      </c>
      <c r="O738" s="4" t="s">
        <v>144</v>
      </c>
      <c r="P738" s="4"/>
      <c r="Q738" s="4"/>
      <c r="R738" s="4">
        <v>20</v>
      </c>
      <c r="S738" s="4">
        <v>20</v>
      </c>
      <c r="T738" s="4"/>
      <c r="U738" s="4">
        <v>-43.543187860000003</v>
      </c>
      <c r="V738" s="4">
        <v>172.62980139999999</v>
      </c>
      <c r="W738" s="4"/>
      <c r="X738" s="4"/>
      <c r="Y738" s="4"/>
      <c r="Z738" s="4"/>
      <c r="AA738" s="4" t="s">
        <v>171</v>
      </c>
      <c r="AB738" s="3" t="str">
        <f>HYPERLINK("https://sitebase.nzcomms.co.nz/spm/spmcandidateview/CHC-060-004-C/","CHC-060-004-C")</f>
        <v>CHC-060-004-C</v>
      </c>
      <c r="AC738" s="4"/>
      <c r="AD738" s="4"/>
      <c r="AE738" s="4"/>
      <c r="AF738" s="4"/>
      <c r="AG738" s="4"/>
      <c r="AH738" s="4"/>
      <c r="AI738" s="4"/>
      <c r="AJ738" s="4"/>
      <c r="AK738" s="4"/>
      <c r="AL738" s="4"/>
      <c r="AM738" s="4"/>
      <c r="AN738" s="5">
        <v>39353</v>
      </c>
      <c r="AO738" s="4">
        <v>5</v>
      </c>
      <c r="AP738" s="5">
        <v>39385</v>
      </c>
      <c r="AQ738" s="5">
        <v>42251</v>
      </c>
      <c r="AR738" s="4"/>
      <c r="AS738" s="4"/>
      <c r="AT738" s="5">
        <v>39599</v>
      </c>
      <c r="AU738" s="5">
        <v>39598</v>
      </c>
      <c r="AV738" s="4">
        <v>4</v>
      </c>
      <c r="AW738" s="5">
        <v>39599</v>
      </c>
      <c r="AX738" s="5">
        <v>39598</v>
      </c>
      <c r="AY738" s="4"/>
      <c r="AZ738" s="4"/>
      <c r="BA738" s="4"/>
      <c r="BB738" s="4"/>
      <c r="BC738" s="4"/>
      <c r="BD738" s="4"/>
      <c r="BE738" s="5">
        <v>39524</v>
      </c>
      <c r="BF738" s="5">
        <v>39524</v>
      </c>
      <c r="BG738" s="4"/>
      <c r="BH738" s="5">
        <v>39519</v>
      </c>
      <c r="BI738" s="4"/>
      <c r="BJ738" s="5">
        <v>39526</v>
      </c>
      <c r="BK738" s="4">
        <v>2</v>
      </c>
      <c r="BL738" s="4">
        <v>4</v>
      </c>
      <c r="BM738" s="5">
        <v>39673</v>
      </c>
      <c r="BN738" s="5">
        <v>39673</v>
      </c>
      <c r="BO738" s="4"/>
      <c r="BP738" s="4"/>
      <c r="BQ738" s="4"/>
      <c r="BR738" s="4"/>
      <c r="BS738" s="4"/>
      <c r="BT738" s="4"/>
      <c r="BU738" s="5">
        <v>39664</v>
      </c>
      <c r="BV738" s="5">
        <v>39721</v>
      </c>
      <c r="BW738" s="5">
        <v>39721</v>
      </c>
      <c r="BX738" s="4"/>
      <c r="BY738" s="5">
        <v>39731</v>
      </c>
      <c r="BZ738" s="5">
        <v>39738</v>
      </c>
      <c r="CA738" s="4"/>
      <c r="CB738" s="4"/>
      <c r="CC738" s="4"/>
      <c r="CD738" s="4"/>
      <c r="CE738" s="4"/>
      <c r="CF738" s="4"/>
      <c r="CG738" s="4"/>
      <c r="CH738" s="4"/>
      <c r="CI738" s="5">
        <v>39797</v>
      </c>
      <c r="CJ738" s="5">
        <v>39794</v>
      </c>
      <c r="CK738" s="5">
        <v>39797</v>
      </c>
      <c r="CL738" s="4"/>
      <c r="CM738" s="4"/>
      <c r="CN738" s="4"/>
      <c r="CO738" s="4"/>
      <c r="CP738" s="4"/>
      <c r="CQ738" s="4"/>
      <c r="CR738" s="5">
        <v>39794</v>
      </c>
      <c r="CS738" s="4"/>
      <c r="CT738" s="4"/>
      <c r="CU738" s="4"/>
      <c r="CV738" s="4"/>
      <c r="CW738" s="4"/>
      <c r="CX738" s="4"/>
      <c r="CY738" s="4"/>
      <c r="CZ738" s="4"/>
      <c r="DA738" s="4"/>
      <c r="DB738" s="4"/>
      <c r="DC738" s="4"/>
      <c r="DD738" s="4"/>
      <c r="DE738" s="4"/>
      <c r="DF738" s="4"/>
      <c r="DG738" s="4"/>
      <c r="DH738" s="4"/>
      <c r="DI738" s="4"/>
      <c r="DJ738" s="4" t="b">
        <v>0</v>
      </c>
      <c r="DK738" s="4"/>
      <c r="DL738" s="4">
        <v>2480093</v>
      </c>
      <c r="DM738" s="4">
        <v>5740407</v>
      </c>
      <c r="DN738" s="4" t="s">
        <v>2384</v>
      </c>
      <c r="DO738" s="4"/>
      <c r="DP738" s="4"/>
      <c r="DQ738" s="4" t="s">
        <v>148</v>
      </c>
      <c r="DR738" s="4"/>
      <c r="DS738" s="4"/>
      <c r="DT738" s="5">
        <v>42306</v>
      </c>
      <c r="DU738" s="4"/>
      <c r="DV738" s="4"/>
      <c r="DW738" s="4"/>
      <c r="DX738" s="4"/>
      <c r="DY738" s="4"/>
      <c r="DZ738" s="5">
        <v>39661</v>
      </c>
      <c r="EA738" s="4"/>
      <c r="EB738" s="4"/>
      <c r="EC738" s="4"/>
      <c r="ED738" s="4"/>
      <c r="EE738" s="4"/>
      <c r="EF738" s="4"/>
      <c r="EG738" s="4"/>
      <c r="EH738" s="4"/>
      <c r="EI738" s="5">
        <v>39332</v>
      </c>
    </row>
    <row r="739" spans="1:139" hidden="1" x14ac:dyDescent="0.2">
      <c r="A739">
        <f>VLOOKUP(B739,Sheet1!$A$1:$B$18,2,FALSE)</f>
        <v>0</v>
      </c>
      <c r="B739" t="str">
        <f>LEFT(D739,3)</f>
        <v>CHC</v>
      </c>
      <c r="C739" s="2">
        <v>738</v>
      </c>
      <c r="D739" s="3" t="str">
        <f>HYPERLINK("https://sitebase.nzcomms.co.nz/spm/spmnominalview/CHC-060-013/","CHC-060-013")</f>
        <v>CHC-060-013</v>
      </c>
      <c r="E739" s="4"/>
      <c r="F739" s="3" t="str">
        <f>HYPERLINK("https://sitebase.nzcomms.co.nz/spm/spmcandidateview/CHC-060-013-A/","CHC-060-013-A")</f>
        <v>CHC-060-013-A</v>
      </c>
      <c r="G739" s="4" t="s">
        <v>2385</v>
      </c>
      <c r="H739" s="4" t="s">
        <v>2353</v>
      </c>
      <c r="I739" s="4"/>
      <c r="J739" s="4" t="s">
        <v>139</v>
      </c>
      <c r="K739" s="4" t="s">
        <v>141</v>
      </c>
      <c r="L739" s="4" t="s">
        <v>150</v>
      </c>
      <c r="M739" s="4" t="s">
        <v>143</v>
      </c>
      <c r="N739" s="4" t="s">
        <v>291</v>
      </c>
      <c r="O739" s="4" t="s">
        <v>144</v>
      </c>
      <c r="P739" s="4"/>
      <c r="Q739" s="4"/>
      <c r="R739" s="4">
        <v>20</v>
      </c>
      <c r="S739" s="4">
        <v>20</v>
      </c>
      <c r="T739" s="4"/>
      <c r="U739" s="4">
        <v>-43.532868819999997</v>
      </c>
      <c r="V739" s="4">
        <v>172.67303984</v>
      </c>
      <c r="W739" s="4"/>
      <c r="X739" s="4"/>
      <c r="Y739" s="4"/>
      <c r="Z739" s="4"/>
      <c r="AA739" s="4" t="s">
        <v>217</v>
      </c>
      <c r="AB739" s="4" t="s">
        <v>2367</v>
      </c>
      <c r="AC739" s="4" t="b">
        <v>0</v>
      </c>
      <c r="AD739" s="4" t="b">
        <v>0</v>
      </c>
      <c r="AE739" s="4"/>
      <c r="AF739" s="4"/>
      <c r="AG739" s="4" t="b">
        <v>0</v>
      </c>
      <c r="AH739" s="4" t="s">
        <v>2364</v>
      </c>
      <c r="AI739" s="4"/>
      <c r="AJ739" s="4"/>
      <c r="AK739" s="4"/>
      <c r="AL739" s="4"/>
      <c r="AM739" s="5">
        <v>39353</v>
      </c>
      <c r="AN739" s="5">
        <v>39353</v>
      </c>
      <c r="AO739" s="4">
        <v>5</v>
      </c>
      <c r="AP739" s="5">
        <v>40841</v>
      </c>
      <c r="AQ739" s="5">
        <v>42250</v>
      </c>
      <c r="AR739" s="4"/>
      <c r="AS739" s="4"/>
      <c r="AT739" s="5">
        <v>39599</v>
      </c>
      <c r="AU739" s="5">
        <v>39577</v>
      </c>
      <c r="AV739" s="4">
        <v>3</v>
      </c>
      <c r="AW739" s="5">
        <v>39599</v>
      </c>
      <c r="AX739" s="5">
        <v>39577</v>
      </c>
      <c r="AY739" s="4" t="s">
        <v>172</v>
      </c>
      <c r="AZ739" s="4"/>
      <c r="BA739" s="5">
        <v>39688</v>
      </c>
      <c r="BB739" s="4"/>
      <c r="BC739" s="5">
        <v>39709</v>
      </c>
      <c r="BD739" s="4">
        <v>4</v>
      </c>
      <c r="BE739" s="4"/>
      <c r="BF739" s="5">
        <v>39709</v>
      </c>
      <c r="BG739" s="4"/>
      <c r="BH739" s="5">
        <v>39479</v>
      </c>
      <c r="BI739" s="4"/>
      <c r="BJ739" s="5">
        <v>39526</v>
      </c>
      <c r="BK739" s="4">
        <v>5</v>
      </c>
      <c r="BL739" s="4"/>
      <c r="BM739" s="5">
        <v>39668</v>
      </c>
      <c r="BN739" s="5">
        <v>40843</v>
      </c>
      <c r="BO739" s="4"/>
      <c r="BP739" s="4"/>
      <c r="BQ739" s="4"/>
      <c r="BR739" s="4"/>
      <c r="BS739" s="4"/>
      <c r="BT739" s="4"/>
      <c r="BU739" s="5">
        <v>39743</v>
      </c>
      <c r="BV739" s="5">
        <v>39799</v>
      </c>
      <c r="BW739" s="5">
        <v>39798</v>
      </c>
      <c r="BX739" s="4"/>
      <c r="BY739" s="5">
        <v>39806</v>
      </c>
      <c r="BZ739" s="5">
        <v>39806</v>
      </c>
      <c r="CA739" s="4"/>
      <c r="CB739" s="4"/>
      <c r="CC739" s="4"/>
      <c r="CD739" s="4"/>
      <c r="CE739" s="4"/>
      <c r="CF739" s="4"/>
      <c r="CG739" s="4"/>
      <c r="CH739" s="4"/>
      <c r="CI739" s="5">
        <v>39806</v>
      </c>
      <c r="CJ739" s="5">
        <v>39813</v>
      </c>
      <c r="CK739" s="5">
        <v>39806</v>
      </c>
      <c r="CL739" s="4"/>
      <c r="CM739" s="4"/>
      <c r="CN739" s="4"/>
      <c r="CO739" s="4"/>
      <c r="CP739" s="4" t="s">
        <v>2386</v>
      </c>
      <c r="CQ739" s="4"/>
      <c r="CR739" s="5">
        <v>39813</v>
      </c>
      <c r="CS739" s="4"/>
      <c r="CT739" s="4"/>
      <c r="CU739" s="4"/>
      <c r="CV739" s="4"/>
      <c r="CW739" s="4"/>
      <c r="CX739" s="4"/>
      <c r="CY739" s="4"/>
      <c r="CZ739" s="4"/>
      <c r="DA739" s="4"/>
      <c r="DB739" s="4"/>
      <c r="DC739" s="4"/>
      <c r="DD739" s="4"/>
      <c r="DE739" s="4"/>
      <c r="DF739" s="4"/>
      <c r="DG739" s="4"/>
      <c r="DH739" s="4"/>
      <c r="DI739" s="4"/>
      <c r="DJ739" s="4" t="b">
        <v>0</v>
      </c>
      <c r="DK739" s="4"/>
      <c r="DL739" s="4">
        <v>2483583</v>
      </c>
      <c r="DM739" s="4">
        <v>5741568</v>
      </c>
      <c r="DN739" s="4" t="s">
        <v>2387</v>
      </c>
      <c r="DO739" s="4"/>
      <c r="DP739" s="4" t="s">
        <v>2388</v>
      </c>
      <c r="DQ739" s="4" t="s">
        <v>148</v>
      </c>
      <c r="DR739" s="4"/>
      <c r="DS739" s="4"/>
      <c r="DT739" s="5">
        <v>42292</v>
      </c>
      <c r="DU739" s="4"/>
      <c r="DV739" s="4"/>
      <c r="DW739" s="4"/>
      <c r="DX739" s="4"/>
      <c r="DY739" s="4"/>
      <c r="DZ739" s="5">
        <v>39741</v>
      </c>
      <c r="EA739" s="4"/>
      <c r="EB739" s="4"/>
      <c r="EC739" s="4"/>
      <c r="ED739" s="4"/>
      <c r="EE739" s="4"/>
      <c r="EF739" s="4"/>
      <c r="EG739" s="4"/>
      <c r="EH739" s="4"/>
      <c r="EI739" s="5">
        <v>39332</v>
      </c>
    </row>
    <row r="740" spans="1:139" hidden="1" x14ac:dyDescent="0.2">
      <c r="A740">
        <f>VLOOKUP(B740,Sheet1!$A$1:$B$18,2,FALSE)</f>
        <v>0</v>
      </c>
      <c r="B740" t="str">
        <f>LEFT(D740,3)</f>
        <v>CHC</v>
      </c>
      <c r="C740" s="2">
        <v>739</v>
      </c>
      <c r="D740" s="3" t="str">
        <f>HYPERLINK("https://sitebase.nzcomms.co.nz/spm/spmnominalview/CHC-060-014/","CHC-060-014")</f>
        <v>CHC-060-014</v>
      </c>
      <c r="E740" s="4"/>
      <c r="F740" s="3" t="str">
        <f>HYPERLINK("https://sitebase.nzcomms.co.nz/spm/spmcandidateview/CHC-060-014-F/","CHC-060-014-F")</f>
        <v>CHC-060-014-F</v>
      </c>
      <c r="G740" s="4" t="s">
        <v>2389</v>
      </c>
      <c r="H740" s="4" t="s">
        <v>2353</v>
      </c>
      <c r="I740" s="4"/>
      <c r="J740" s="4" t="s">
        <v>139</v>
      </c>
      <c r="K740" s="4" t="s">
        <v>141</v>
      </c>
      <c r="L740" s="4" t="s">
        <v>150</v>
      </c>
      <c r="M740" s="4" t="s">
        <v>354</v>
      </c>
      <c r="N740" s="4" t="s">
        <v>291</v>
      </c>
      <c r="O740" s="4" t="s">
        <v>356</v>
      </c>
      <c r="P740" s="4"/>
      <c r="Q740" s="4"/>
      <c r="R740" s="4">
        <v>20</v>
      </c>
      <c r="S740" s="4">
        <v>20</v>
      </c>
      <c r="T740" s="4"/>
      <c r="U740" s="4">
        <v>-43.53091483</v>
      </c>
      <c r="V740" s="4">
        <v>172.57614863000001</v>
      </c>
      <c r="W740" s="4"/>
      <c r="X740" s="4"/>
      <c r="Y740" s="4"/>
      <c r="Z740" s="4"/>
      <c r="AA740" s="4" t="s">
        <v>171</v>
      </c>
      <c r="AB740" s="3" t="str">
        <f>HYPERLINK("https://sitebase.nzcomms.co.nz/spm/spmcandidateview/CHC-060-011-K/","CHC-060-011-K")</f>
        <v>CHC-060-011-K</v>
      </c>
      <c r="AC740" s="4"/>
      <c r="AD740" s="4"/>
      <c r="AE740" s="4"/>
      <c r="AF740" s="4"/>
      <c r="AG740" s="4"/>
      <c r="AH740" s="4" t="s">
        <v>2390</v>
      </c>
      <c r="AI740" s="4"/>
      <c r="AJ740" s="4"/>
      <c r="AK740" s="4"/>
      <c r="AL740" s="4"/>
      <c r="AM740" s="4"/>
      <c r="AN740" s="5">
        <v>39681</v>
      </c>
      <c r="AO740" s="4">
        <v>2</v>
      </c>
      <c r="AP740" s="5">
        <v>39681</v>
      </c>
      <c r="AQ740" s="5">
        <v>39709</v>
      </c>
      <c r="AR740" s="4"/>
      <c r="AS740" s="4"/>
      <c r="AT740" s="5">
        <v>39972</v>
      </c>
      <c r="AU740" s="5">
        <v>39975</v>
      </c>
      <c r="AV740" s="4">
        <v>2</v>
      </c>
      <c r="AW740" s="5">
        <v>39972</v>
      </c>
      <c r="AX740" s="5">
        <v>39975</v>
      </c>
      <c r="AY740" s="4"/>
      <c r="AZ740" s="5">
        <v>39710</v>
      </c>
      <c r="BA740" s="4"/>
      <c r="BB740" s="5">
        <v>39717</v>
      </c>
      <c r="BC740" s="4"/>
      <c r="BD740" s="4"/>
      <c r="BE740" s="5">
        <v>39717</v>
      </c>
      <c r="BF740" s="5">
        <v>39717</v>
      </c>
      <c r="BG740" s="4"/>
      <c r="BH740" s="5">
        <v>39713</v>
      </c>
      <c r="BI740" s="4"/>
      <c r="BJ740" s="5">
        <v>39752</v>
      </c>
      <c r="BK740" s="4">
        <v>1</v>
      </c>
      <c r="BL740" s="4">
        <v>2</v>
      </c>
      <c r="BM740" s="5">
        <v>39752</v>
      </c>
      <c r="BN740" s="5">
        <v>39752</v>
      </c>
      <c r="BO740" s="5">
        <v>39856</v>
      </c>
      <c r="BP740" s="4"/>
      <c r="BQ740" s="4"/>
      <c r="BR740" s="4"/>
      <c r="BS740" s="4"/>
      <c r="BT740" s="5">
        <v>39972</v>
      </c>
      <c r="BU740" s="5">
        <v>39975</v>
      </c>
      <c r="BV740" s="5">
        <v>39993</v>
      </c>
      <c r="BW740" s="5">
        <v>39993</v>
      </c>
      <c r="BX740" s="4"/>
      <c r="BY740" s="5">
        <v>39994</v>
      </c>
      <c r="BZ740" s="5">
        <v>39994</v>
      </c>
      <c r="CA740" s="4"/>
      <c r="CB740" s="4"/>
      <c r="CC740" s="4"/>
      <c r="CD740" s="4"/>
      <c r="CE740" s="4"/>
      <c r="CF740" s="4"/>
      <c r="CG740" s="4"/>
      <c r="CH740" s="4"/>
      <c r="CI740" s="5">
        <v>39994</v>
      </c>
      <c r="CJ740" s="5">
        <v>39997</v>
      </c>
      <c r="CK740" s="5">
        <v>39994</v>
      </c>
      <c r="CL740" s="4"/>
      <c r="CM740" s="4"/>
      <c r="CN740" s="4"/>
      <c r="CO740" s="4"/>
      <c r="CP740" s="4"/>
      <c r="CQ740" s="4"/>
      <c r="CR740" s="5">
        <v>39997</v>
      </c>
      <c r="CS740" s="4"/>
      <c r="CT740" s="4"/>
      <c r="CU740" s="4"/>
      <c r="CV740" s="4"/>
      <c r="CW740" s="5">
        <v>39881</v>
      </c>
      <c r="CX740" s="5">
        <v>39856</v>
      </c>
      <c r="CY740" s="4"/>
      <c r="CZ740" s="4"/>
      <c r="DA740" s="4"/>
      <c r="DB740" s="4"/>
      <c r="DC740" s="4"/>
      <c r="DD740" s="4"/>
      <c r="DE740" s="4"/>
      <c r="DF740" s="4"/>
      <c r="DG740" s="4"/>
      <c r="DH740" s="4"/>
      <c r="DI740" s="4"/>
      <c r="DJ740" s="4" t="b">
        <v>0</v>
      </c>
      <c r="DK740" s="4"/>
      <c r="DL740" s="4">
        <v>2475750</v>
      </c>
      <c r="DM740" s="4">
        <v>5741750</v>
      </c>
      <c r="DN740" s="4" t="s">
        <v>2391</v>
      </c>
      <c r="DO740" s="4"/>
      <c r="DP740" s="4"/>
      <c r="DQ740" s="4" t="s">
        <v>148</v>
      </c>
      <c r="DR740" s="4"/>
      <c r="DS740" s="4"/>
      <c r="DT740" s="5">
        <v>41901</v>
      </c>
      <c r="DU740" s="4"/>
      <c r="DV740" s="4"/>
      <c r="DW740" s="4"/>
      <c r="DX740" s="4"/>
      <c r="DY740" s="5">
        <v>39975</v>
      </c>
      <c r="DZ740" s="5">
        <v>39975</v>
      </c>
      <c r="EA740" s="4"/>
      <c r="EB740" s="4"/>
      <c r="EC740" s="4"/>
      <c r="ED740" s="4"/>
      <c r="EE740" s="4"/>
      <c r="EF740" s="4"/>
      <c r="EG740" s="4"/>
      <c r="EH740" s="4"/>
      <c r="EI740" s="5">
        <v>39659</v>
      </c>
    </row>
    <row r="741" spans="1:139" hidden="1" x14ac:dyDescent="0.2">
      <c r="A741">
        <f>VLOOKUP(B741,Sheet1!$A$1:$B$18,2,FALSE)</f>
        <v>0</v>
      </c>
      <c r="B741" t="str">
        <f>LEFT(D741,3)</f>
        <v>CHC</v>
      </c>
      <c r="C741" s="2">
        <v>740</v>
      </c>
      <c r="D741" s="3" t="str">
        <f>HYPERLINK("https://sitebase.nzcomms.co.nz/spm/spmnominalview/CHC-060-015/","CHC-060-015")</f>
        <v>CHC-060-015</v>
      </c>
      <c r="E741" s="4"/>
      <c r="F741" s="3" t="str">
        <f>HYPERLINK("https://sitebase.nzcomms.co.nz/spm/spmcandidateview/CHC-060-015-A/","CHC-060-015-A")</f>
        <v>CHC-060-015-A</v>
      </c>
      <c r="G741" s="4" t="s">
        <v>999</v>
      </c>
      <c r="H741" s="4" t="s">
        <v>2353</v>
      </c>
      <c r="I741" s="4"/>
      <c r="J741" s="4" t="s">
        <v>139</v>
      </c>
      <c r="K741" s="4" t="s">
        <v>141</v>
      </c>
      <c r="L741" s="4" t="s">
        <v>150</v>
      </c>
      <c r="M741" s="4" t="s">
        <v>143</v>
      </c>
      <c r="N741" s="4" t="s">
        <v>291</v>
      </c>
      <c r="O741" s="4" t="s">
        <v>144</v>
      </c>
      <c r="P741" s="4"/>
      <c r="Q741" s="4"/>
      <c r="R741" s="4">
        <v>20</v>
      </c>
      <c r="S741" s="4">
        <v>20</v>
      </c>
      <c r="T741" s="4"/>
      <c r="U741" s="4">
        <v>-43.558686399999999</v>
      </c>
      <c r="V741" s="4">
        <v>172.67754264000001</v>
      </c>
      <c r="W741" s="4"/>
      <c r="X741" s="4"/>
      <c r="Y741" s="4"/>
      <c r="Z741" s="4"/>
      <c r="AA741" s="4" t="s">
        <v>217</v>
      </c>
      <c r="AB741" s="4" t="s">
        <v>2367</v>
      </c>
      <c r="AC741" s="4"/>
      <c r="AD741" s="4"/>
      <c r="AE741" s="4"/>
      <c r="AF741" s="4"/>
      <c r="AG741" s="4"/>
      <c r="AH741" s="4" t="s">
        <v>2392</v>
      </c>
      <c r="AI741" s="4"/>
      <c r="AJ741" s="4"/>
      <c r="AK741" s="4"/>
      <c r="AL741" s="4"/>
      <c r="AM741" s="4"/>
      <c r="AN741" s="5">
        <v>39330</v>
      </c>
      <c r="AO741" s="4">
        <v>3</v>
      </c>
      <c r="AP741" s="5">
        <v>39385</v>
      </c>
      <c r="AQ741" s="5">
        <v>39518</v>
      </c>
      <c r="AR741" s="4"/>
      <c r="AS741" s="4"/>
      <c r="AT741" s="5">
        <v>39400</v>
      </c>
      <c r="AU741" s="5">
        <v>39400</v>
      </c>
      <c r="AV741" s="4">
        <v>3</v>
      </c>
      <c r="AW741" s="5">
        <v>39400</v>
      </c>
      <c r="AX741" s="5">
        <v>39400</v>
      </c>
      <c r="AY741" s="4"/>
      <c r="AZ741" s="4"/>
      <c r="BA741" s="4"/>
      <c r="BB741" s="4"/>
      <c r="BC741" s="4"/>
      <c r="BD741" s="4"/>
      <c r="BE741" s="5">
        <v>39500</v>
      </c>
      <c r="BF741" s="5">
        <v>39500</v>
      </c>
      <c r="BG741" s="4"/>
      <c r="BH741" s="5">
        <v>39468</v>
      </c>
      <c r="BI741" s="4"/>
      <c r="BJ741" s="5">
        <v>39504</v>
      </c>
      <c r="BK741" s="4">
        <v>1</v>
      </c>
      <c r="BL741" s="4">
        <v>3</v>
      </c>
      <c r="BM741" s="5">
        <v>39504</v>
      </c>
      <c r="BN741" s="5">
        <v>39504</v>
      </c>
      <c r="BO741" s="4"/>
      <c r="BP741" s="4"/>
      <c r="BQ741" s="4"/>
      <c r="BR741" s="4"/>
      <c r="BS741" s="4"/>
      <c r="BT741" s="4"/>
      <c r="BU741" s="5">
        <v>39566</v>
      </c>
      <c r="BV741" s="5">
        <v>39542</v>
      </c>
      <c r="BW741" s="5">
        <v>39588</v>
      </c>
      <c r="BX741" s="4"/>
      <c r="BY741" s="5">
        <v>39572</v>
      </c>
      <c r="BZ741" s="5">
        <v>39590</v>
      </c>
      <c r="CA741" s="4"/>
      <c r="CB741" s="4"/>
      <c r="CC741" s="4"/>
      <c r="CD741" s="4"/>
      <c r="CE741" s="4"/>
      <c r="CF741" s="4"/>
      <c r="CG741" s="4"/>
      <c r="CH741" s="4"/>
      <c r="CI741" s="5">
        <v>39805</v>
      </c>
      <c r="CJ741" s="5">
        <v>39813</v>
      </c>
      <c r="CK741" s="5">
        <v>39805</v>
      </c>
      <c r="CL741" s="4"/>
      <c r="CM741" s="4"/>
      <c r="CN741" s="4"/>
      <c r="CO741" s="4"/>
      <c r="CP741" s="4"/>
      <c r="CQ741" s="4"/>
      <c r="CR741" s="5">
        <v>39813</v>
      </c>
      <c r="CS741" s="4"/>
      <c r="CT741" s="4"/>
      <c r="CU741" s="4"/>
      <c r="CV741" s="4"/>
      <c r="CW741" s="4"/>
      <c r="CX741" s="4"/>
      <c r="CY741" s="4"/>
      <c r="CZ741" s="4"/>
      <c r="DA741" s="4"/>
      <c r="DB741" s="4"/>
      <c r="DC741" s="4"/>
      <c r="DD741" s="4"/>
      <c r="DE741" s="4"/>
      <c r="DF741" s="4"/>
      <c r="DG741" s="4"/>
      <c r="DH741" s="4"/>
      <c r="DI741" s="4"/>
      <c r="DJ741" s="4" t="b">
        <v>0</v>
      </c>
      <c r="DK741" s="4"/>
      <c r="DL741" s="4">
        <v>2483958</v>
      </c>
      <c r="DM741" s="4">
        <v>5738701</v>
      </c>
      <c r="DN741" s="4" t="s">
        <v>2393</v>
      </c>
      <c r="DO741" s="4"/>
      <c r="DP741" s="4"/>
      <c r="DQ741" s="4" t="s">
        <v>148</v>
      </c>
      <c r="DR741" s="4"/>
      <c r="DS741" s="4"/>
      <c r="DT741" s="4"/>
      <c r="DU741" s="4"/>
      <c r="DV741" s="4"/>
      <c r="DW741" s="4"/>
      <c r="DX741" s="4"/>
      <c r="DY741" s="4"/>
      <c r="DZ741" s="5">
        <v>39507</v>
      </c>
      <c r="EA741" s="4"/>
      <c r="EB741" s="4"/>
      <c r="EC741" s="4"/>
      <c r="ED741" s="4"/>
      <c r="EE741" s="4"/>
      <c r="EF741" s="4"/>
      <c r="EG741" s="4"/>
      <c r="EH741" s="4"/>
      <c r="EI741" s="5">
        <v>39308</v>
      </c>
    </row>
    <row r="742" spans="1:139" hidden="1" x14ac:dyDescent="0.2">
      <c r="A742">
        <f>VLOOKUP(B742,Sheet1!$A$1:$B$18,2,FALSE)</f>
        <v>0</v>
      </c>
      <c r="B742" t="str">
        <f>LEFT(D742,3)</f>
        <v>CHC</v>
      </c>
      <c r="C742" s="2">
        <v>741</v>
      </c>
      <c r="D742" s="3" t="str">
        <f>HYPERLINK("https://sitebase.nzcomms.co.nz/spm/spmnominalview/CHC-060-016/","CHC-060-016")</f>
        <v>CHC-060-016</v>
      </c>
      <c r="E742" s="4"/>
      <c r="F742" s="3" t="str">
        <f>HYPERLINK("https://sitebase.nzcomms.co.nz/spm/spmcandidateview/CHC-060-016-A/","CHC-060-016-A")</f>
        <v>CHC-060-016-A</v>
      </c>
      <c r="G742" s="4" t="s">
        <v>2394</v>
      </c>
      <c r="H742" s="4" t="s">
        <v>2353</v>
      </c>
      <c r="I742" s="4"/>
      <c r="J742" s="4" t="s">
        <v>139</v>
      </c>
      <c r="K742" s="4" t="s">
        <v>141</v>
      </c>
      <c r="L742" s="4" t="s">
        <v>150</v>
      </c>
      <c r="M742" s="4" t="s">
        <v>143</v>
      </c>
      <c r="N742" s="4" t="s">
        <v>291</v>
      </c>
      <c r="O742" s="4" t="s">
        <v>144</v>
      </c>
      <c r="P742" s="4"/>
      <c r="Q742" s="4"/>
      <c r="R742" s="4">
        <v>20</v>
      </c>
      <c r="S742" s="4">
        <v>20</v>
      </c>
      <c r="T742" s="4"/>
      <c r="U742" s="4">
        <v>-43.538855060000003</v>
      </c>
      <c r="V742" s="4">
        <v>172.69635455</v>
      </c>
      <c r="W742" s="4"/>
      <c r="X742" s="4"/>
      <c r="Y742" s="4"/>
      <c r="Z742" s="4"/>
      <c r="AA742" s="4" t="s">
        <v>217</v>
      </c>
      <c r="AB742" s="4" t="s">
        <v>2395</v>
      </c>
      <c r="AC742" s="4"/>
      <c r="AD742" s="4"/>
      <c r="AE742" s="4"/>
      <c r="AF742" s="4"/>
      <c r="AG742" s="4"/>
      <c r="AH742" s="4" t="s">
        <v>2368</v>
      </c>
      <c r="AI742" s="4"/>
      <c r="AJ742" s="4"/>
      <c r="AK742" s="4"/>
      <c r="AL742" s="4"/>
      <c r="AM742" s="4"/>
      <c r="AN742" s="5">
        <v>39332</v>
      </c>
      <c r="AO742" s="4">
        <v>4</v>
      </c>
      <c r="AP742" s="5">
        <v>39385</v>
      </c>
      <c r="AQ742" s="5">
        <v>39518</v>
      </c>
      <c r="AR742" s="4"/>
      <c r="AS742" s="4"/>
      <c r="AT742" s="5">
        <v>39435</v>
      </c>
      <c r="AU742" s="5">
        <v>39435</v>
      </c>
      <c r="AV742" s="4">
        <v>4</v>
      </c>
      <c r="AW742" s="5">
        <v>39435</v>
      </c>
      <c r="AX742" s="5">
        <v>39435</v>
      </c>
      <c r="AY742" s="4"/>
      <c r="AZ742" s="4"/>
      <c r="BA742" s="4"/>
      <c r="BB742" s="4"/>
      <c r="BC742" s="4"/>
      <c r="BD742" s="4"/>
      <c r="BE742" s="5">
        <v>39568</v>
      </c>
      <c r="BF742" s="5">
        <v>39568</v>
      </c>
      <c r="BG742" s="4"/>
      <c r="BH742" s="5">
        <v>39468</v>
      </c>
      <c r="BI742" s="4"/>
      <c r="BJ742" s="5">
        <v>39504</v>
      </c>
      <c r="BK742" s="4">
        <v>1</v>
      </c>
      <c r="BL742" s="4">
        <v>4</v>
      </c>
      <c r="BM742" s="5">
        <v>39504</v>
      </c>
      <c r="BN742" s="5">
        <v>39504</v>
      </c>
      <c r="BO742" s="4"/>
      <c r="BP742" s="4"/>
      <c r="BQ742" s="4"/>
      <c r="BR742" s="4"/>
      <c r="BS742" s="4"/>
      <c r="BT742" s="4"/>
      <c r="BU742" s="5">
        <v>39598</v>
      </c>
      <c r="BV742" s="5">
        <v>39622</v>
      </c>
      <c r="BW742" s="5">
        <v>39629</v>
      </c>
      <c r="BX742" s="4"/>
      <c r="BY742" s="5">
        <v>39636</v>
      </c>
      <c r="BZ742" s="5">
        <v>39640</v>
      </c>
      <c r="CA742" s="4"/>
      <c r="CB742" s="4"/>
      <c r="CC742" s="4"/>
      <c r="CD742" s="4"/>
      <c r="CE742" s="4"/>
      <c r="CF742" s="4"/>
      <c r="CG742" s="4"/>
      <c r="CH742" s="4"/>
      <c r="CI742" s="5">
        <v>39801</v>
      </c>
      <c r="CJ742" s="5">
        <v>39871</v>
      </c>
      <c r="CK742" s="5">
        <v>39801</v>
      </c>
      <c r="CL742" s="4"/>
      <c r="CM742" s="4"/>
      <c r="CN742" s="4"/>
      <c r="CO742" s="4"/>
      <c r="CP742" s="4"/>
      <c r="CQ742" s="4"/>
      <c r="CR742" s="5">
        <v>39871</v>
      </c>
      <c r="CS742" s="4"/>
      <c r="CT742" s="4"/>
      <c r="CU742" s="4"/>
      <c r="CV742" s="4"/>
      <c r="CW742" s="4"/>
      <c r="CX742" s="4"/>
      <c r="CY742" s="4"/>
      <c r="CZ742" s="4"/>
      <c r="DA742" s="4"/>
      <c r="DB742" s="4"/>
      <c r="DC742" s="4"/>
      <c r="DD742" s="4"/>
      <c r="DE742" s="4"/>
      <c r="DF742" s="4"/>
      <c r="DG742" s="4"/>
      <c r="DH742" s="4"/>
      <c r="DI742" s="4"/>
      <c r="DJ742" s="4" t="b">
        <v>0</v>
      </c>
      <c r="DK742" s="4"/>
      <c r="DL742" s="4">
        <v>2485470</v>
      </c>
      <c r="DM742" s="4">
        <v>5740910</v>
      </c>
      <c r="DN742" s="4" t="s">
        <v>2396</v>
      </c>
      <c r="DO742" s="4"/>
      <c r="DP742" s="4"/>
      <c r="DQ742" s="4" t="s">
        <v>148</v>
      </c>
      <c r="DR742" s="4"/>
      <c r="DS742" s="4"/>
      <c r="DT742" s="5">
        <v>42292</v>
      </c>
      <c r="DU742" s="4"/>
      <c r="DV742" s="4"/>
      <c r="DW742" s="4"/>
      <c r="DX742" s="4"/>
      <c r="DY742" s="4"/>
      <c r="DZ742" s="5">
        <v>39569</v>
      </c>
      <c r="EA742" s="4"/>
      <c r="EB742" s="4"/>
      <c r="EC742" s="4"/>
      <c r="ED742" s="4"/>
      <c r="EE742" s="4"/>
      <c r="EF742" s="4"/>
      <c r="EG742" s="4"/>
      <c r="EH742" s="4"/>
      <c r="EI742" s="5">
        <v>39308</v>
      </c>
    </row>
    <row r="743" spans="1:139" hidden="1" x14ac:dyDescent="0.2">
      <c r="A743">
        <f>VLOOKUP(B743,Sheet1!$A$1:$B$18,2,FALSE)</f>
        <v>0</v>
      </c>
      <c r="B743" t="str">
        <f>LEFT(D743,3)</f>
        <v>CHC</v>
      </c>
      <c r="C743" s="2">
        <v>742</v>
      </c>
      <c r="D743" s="3" t="str">
        <f>HYPERLINK("https://sitebase.nzcomms.co.nz/spm/spmnominalview/CHC-060-017/","CHC-060-017")</f>
        <v>CHC-060-017</v>
      </c>
      <c r="E743" s="4"/>
      <c r="F743" s="3" t="str">
        <f>HYPERLINK("https://sitebase.nzcomms.co.nz/spm/spmcandidateview/CHC-060-017-H/","CHC-060-017-H")</f>
        <v>CHC-060-017-H</v>
      </c>
      <c r="G743" s="4" t="s">
        <v>2397</v>
      </c>
      <c r="H743" s="4" t="s">
        <v>2353</v>
      </c>
      <c r="I743" s="4"/>
      <c r="J743" s="4" t="s">
        <v>139</v>
      </c>
      <c r="K743" s="4" t="s">
        <v>141</v>
      </c>
      <c r="L743" s="4" t="s">
        <v>150</v>
      </c>
      <c r="M743" s="4" t="s">
        <v>354</v>
      </c>
      <c r="N743" s="4" t="s">
        <v>291</v>
      </c>
      <c r="O743" s="4" t="s">
        <v>144</v>
      </c>
      <c r="P743" s="4"/>
      <c r="Q743" s="4"/>
      <c r="R743" s="4">
        <v>20</v>
      </c>
      <c r="S743" s="4">
        <v>20</v>
      </c>
      <c r="T743" s="4"/>
      <c r="U743" s="4">
        <v>-43.539118190000003</v>
      </c>
      <c r="V743" s="4">
        <v>172.56743069000001</v>
      </c>
      <c r="W743" s="4"/>
      <c r="X743" s="4"/>
      <c r="Y743" s="4"/>
      <c r="Z743" s="4"/>
      <c r="AA743" s="4" t="s">
        <v>217</v>
      </c>
      <c r="AB743" s="4" t="s">
        <v>2398</v>
      </c>
      <c r="AC743" s="4"/>
      <c r="AD743" s="4"/>
      <c r="AE743" s="4"/>
      <c r="AF743" s="4"/>
      <c r="AG743" s="4"/>
      <c r="AH743" s="4" t="s">
        <v>2399</v>
      </c>
      <c r="AI743" s="4"/>
      <c r="AJ743" s="4"/>
      <c r="AK743" s="4"/>
      <c r="AL743" s="4"/>
      <c r="AM743" s="4"/>
      <c r="AN743" s="5">
        <v>39469</v>
      </c>
      <c r="AO743" s="4">
        <v>2</v>
      </c>
      <c r="AP743" s="5">
        <v>39469</v>
      </c>
      <c r="AQ743" s="5">
        <v>39518</v>
      </c>
      <c r="AR743" s="4"/>
      <c r="AS743" s="4"/>
      <c r="AT743" s="5">
        <v>39691</v>
      </c>
      <c r="AU743" s="5">
        <v>39717</v>
      </c>
      <c r="AV743" s="4">
        <v>2</v>
      </c>
      <c r="AW743" s="5">
        <v>39691</v>
      </c>
      <c r="AX743" s="5">
        <v>39717</v>
      </c>
      <c r="AY743" s="4"/>
      <c r="AZ743" s="4"/>
      <c r="BA743" s="4"/>
      <c r="BB743" s="4"/>
      <c r="BC743" s="4"/>
      <c r="BD743" s="4"/>
      <c r="BE743" s="5">
        <v>39500</v>
      </c>
      <c r="BF743" s="5">
        <v>39500</v>
      </c>
      <c r="BG743" s="4"/>
      <c r="BH743" s="5">
        <v>39496</v>
      </c>
      <c r="BI743" s="4"/>
      <c r="BJ743" s="5">
        <v>39526</v>
      </c>
      <c r="BK743" s="4">
        <v>2</v>
      </c>
      <c r="BL743" s="4">
        <v>2</v>
      </c>
      <c r="BM743" s="5">
        <v>39675</v>
      </c>
      <c r="BN743" s="5">
        <v>39675</v>
      </c>
      <c r="BO743" s="5">
        <v>39825</v>
      </c>
      <c r="BP743" s="4"/>
      <c r="BQ743" s="4"/>
      <c r="BR743" s="4"/>
      <c r="BS743" s="4"/>
      <c r="BT743" s="4"/>
      <c r="BU743" s="5">
        <v>39668</v>
      </c>
      <c r="BV743" s="5">
        <v>39829</v>
      </c>
      <c r="BW743" s="5">
        <v>39829</v>
      </c>
      <c r="BX743" s="4"/>
      <c r="BY743" s="5">
        <v>39843</v>
      </c>
      <c r="BZ743" s="5">
        <v>39846</v>
      </c>
      <c r="CA743" s="4"/>
      <c r="CB743" s="4"/>
      <c r="CC743" s="4"/>
      <c r="CD743" s="4"/>
      <c r="CE743" s="4"/>
      <c r="CF743" s="4"/>
      <c r="CG743" s="4"/>
      <c r="CH743" s="4"/>
      <c r="CI743" s="5">
        <v>39903</v>
      </c>
      <c r="CJ743" s="5">
        <v>39903</v>
      </c>
      <c r="CK743" s="5">
        <v>39903</v>
      </c>
      <c r="CL743" s="4"/>
      <c r="CM743" s="4"/>
      <c r="CN743" s="4"/>
      <c r="CO743" s="4"/>
      <c r="CP743" s="4"/>
      <c r="CQ743" s="4"/>
      <c r="CR743" s="5">
        <v>39903</v>
      </c>
      <c r="CS743" s="4"/>
      <c r="CT743" s="4"/>
      <c r="CU743" s="4"/>
      <c r="CV743" s="4"/>
      <c r="CW743" s="4"/>
      <c r="CX743" s="5">
        <v>39825</v>
      </c>
      <c r="CY743" s="4"/>
      <c r="CZ743" s="4"/>
      <c r="DA743" s="4"/>
      <c r="DB743" s="4"/>
      <c r="DC743" s="4"/>
      <c r="DD743" s="4"/>
      <c r="DE743" s="4"/>
      <c r="DF743" s="4"/>
      <c r="DG743" s="4"/>
      <c r="DH743" s="4"/>
      <c r="DI743" s="4"/>
      <c r="DJ743" s="4" t="b">
        <v>0</v>
      </c>
      <c r="DK743" s="4"/>
      <c r="DL743" s="4">
        <v>2475050</v>
      </c>
      <c r="DM743" s="4">
        <v>5740835</v>
      </c>
      <c r="DN743" s="4" t="s">
        <v>2400</v>
      </c>
      <c r="DO743" s="4"/>
      <c r="DP743" s="4"/>
      <c r="DQ743" s="4" t="s">
        <v>148</v>
      </c>
      <c r="DR743" s="4"/>
      <c r="DS743" s="4"/>
      <c r="DT743" s="5">
        <v>41901</v>
      </c>
      <c r="DU743" s="4"/>
      <c r="DV743" s="4"/>
      <c r="DW743" s="4"/>
      <c r="DX743" s="4"/>
      <c r="DY743" s="4"/>
      <c r="DZ743" s="5">
        <v>39721</v>
      </c>
      <c r="EA743" s="4"/>
      <c r="EB743" s="4"/>
      <c r="EC743" s="4"/>
      <c r="ED743" s="4"/>
      <c r="EE743" s="4"/>
      <c r="EF743" s="4"/>
      <c r="EG743" s="4"/>
      <c r="EH743" s="4"/>
      <c r="EI743" s="5">
        <v>39398</v>
      </c>
    </row>
    <row r="744" spans="1:139" hidden="1" x14ac:dyDescent="0.2">
      <c r="A744">
        <f>VLOOKUP(B744,Sheet1!$A$1:$B$18,2,FALSE)</f>
        <v>0</v>
      </c>
      <c r="B744" t="str">
        <f>LEFT(D744,3)</f>
        <v>CHC</v>
      </c>
      <c r="C744" s="2">
        <v>743</v>
      </c>
      <c r="D744" s="3" t="str">
        <f>HYPERLINK("https://sitebase.nzcomms.co.nz/spm/spmnominalview/CHC-060-018/","CHC-060-018")</f>
        <v>CHC-060-018</v>
      </c>
      <c r="E744" s="4"/>
      <c r="F744" s="3" t="str">
        <f>HYPERLINK("https://sitebase.nzcomms.co.nz/spm/spmcandidateview/CHC-060-018-F/","CHC-060-018-F")</f>
        <v>CHC-060-018-F</v>
      </c>
      <c r="G744" s="4" t="s">
        <v>2401</v>
      </c>
      <c r="H744" s="4" t="s">
        <v>2353</v>
      </c>
      <c r="I744" s="4"/>
      <c r="J744" s="4" t="s">
        <v>139</v>
      </c>
      <c r="K744" s="4" t="s">
        <v>141</v>
      </c>
      <c r="L744" s="4" t="s">
        <v>150</v>
      </c>
      <c r="M744" s="4" t="s">
        <v>143</v>
      </c>
      <c r="N744" s="4" t="s">
        <v>291</v>
      </c>
      <c r="O744" s="4" t="s">
        <v>144</v>
      </c>
      <c r="P744" s="4"/>
      <c r="Q744" s="4"/>
      <c r="R744" s="4">
        <v>20</v>
      </c>
      <c r="S744" s="4">
        <v>20</v>
      </c>
      <c r="T744" s="4"/>
      <c r="U744" s="4">
        <v>-43.54090343</v>
      </c>
      <c r="V744" s="4">
        <v>172.55407980000001</v>
      </c>
      <c r="W744" s="4"/>
      <c r="X744" s="4"/>
      <c r="Y744" s="4"/>
      <c r="Z744" s="4"/>
      <c r="AA744" s="4" t="s">
        <v>217</v>
      </c>
      <c r="AB744" s="4" t="s">
        <v>2376</v>
      </c>
      <c r="AC744" s="4"/>
      <c r="AD744" s="4"/>
      <c r="AE744" s="4"/>
      <c r="AF744" s="4"/>
      <c r="AG744" s="4"/>
      <c r="AH744" s="4" t="s">
        <v>2402</v>
      </c>
      <c r="AI744" s="4"/>
      <c r="AJ744" s="4"/>
      <c r="AK744" s="4"/>
      <c r="AL744" s="4"/>
      <c r="AM744" s="4"/>
      <c r="AN744" s="5">
        <v>39402</v>
      </c>
      <c r="AO744" s="4">
        <v>4</v>
      </c>
      <c r="AP744" s="5">
        <v>39469</v>
      </c>
      <c r="AQ744" s="5">
        <v>42250</v>
      </c>
      <c r="AR744" s="4"/>
      <c r="AS744" s="4"/>
      <c r="AT744" s="5">
        <v>39541</v>
      </c>
      <c r="AU744" s="5">
        <v>39541</v>
      </c>
      <c r="AV744" s="4">
        <v>3</v>
      </c>
      <c r="AW744" s="5">
        <v>39541</v>
      </c>
      <c r="AX744" s="5">
        <v>39541</v>
      </c>
      <c r="AY744" s="4"/>
      <c r="AZ744" s="4"/>
      <c r="BA744" s="4"/>
      <c r="BB744" s="4"/>
      <c r="BC744" s="4"/>
      <c r="BD744" s="4"/>
      <c r="BE744" s="5">
        <v>39496</v>
      </c>
      <c r="BF744" s="5">
        <v>39496</v>
      </c>
      <c r="BG744" s="4"/>
      <c r="BH744" s="5">
        <v>39510</v>
      </c>
      <c r="BI744" s="4"/>
      <c r="BJ744" s="5">
        <v>39568</v>
      </c>
      <c r="BK744" s="4">
        <v>1</v>
      </c>
      <c r="BL744" s="4">
        <v>3</v>
      </c>
      <c r="BM744" s="5">
        <v>39568</v>
      </c>
      <c r="BN744" s="5">
        <v>39568</v>
      </c>
      <c r="BO744" s="4"/>
      <c r="BP744" s="4"/>
      <c r="BQ744" s="4"/>
      <c r="BR744" s="4"/>
      <c r="BS744" s="4"/>
      <c r="BT744" s="4"/>
      <c r="BU744" s="5">
        <v>39598</v>
      </c>
      <c r="BV744" s="5">
        <v>39626</v>
      </c>
      <c r="BW744" s="5">
        <v>39629</v>
      </c>
      <c r="BX744" s="4"/>
      <c r="BY744" s="5">
        <v>39633</v>
      </c>
      <c r="BZ744" s="5">
        <v>39633</v>
      </c>
      <c r="CA744" s="4"/>
      <c r="CB744" s="4"/>
      <c r="CC744" s="4"/>
      <c r="CD744" s="4"/>
      <c r="CE744" s="4"/>
      <c r="CF744" s="4"/>
      <c r="CG744" s="4"/>
      <c r="CH744" s="4"/>
      <c r="CI744" s="5">
        <v>39902</v>
      </c>
      <c r="CJ744" s="5">
        <v>39903</v>
      </c>
      <c r="CK744" s="5">
        <v>39902</v>
      </c>
      <c r="CL744" s="4"/>
      <c r="CM744" s="4"/>
      <c r="CN744" s="4"/>
      <c r="CO744" s="4"/>
      <c r="CP744" s="4"/>
      <c r="CQ744" s="4"/>
      <c r="CR744" s="5">
        <v>39903</v>
      </c>
      <c r="CS744" s="4"/>
      <c r="CT744" s="4"/>
      <c r="CU744" s="4"/>
      <c r="CV744" s="4"/>
      <c r="CW744" s="4"/>
      <c r="CX744" s="4"/>
      <c r="CY744" s="4"/>
      <c r="CZ744" s="4"/>
      <c r="DA744" s="4"/>
      <c r="DB744" s="4"/>
      <c r="DC744" s="4"/>
      <c r="DD744" s="4"/>
      <c r="DE744" s="4"/>
      <c r="DF744" s="4"/>
      <c r="DG744" s="4"/>
      <c r="DH744" s="4"/>
      <c r="DI744" s="4"/>
      <c r="DJ744" s="4" t="b">
        <v>0</v>
      </c>
      <c r="DK744" s="4"/>
      <c r="DL744" s="4">
        <v>2473972</v>
      </c>
      <c r="DM744" s="4">
        <v>5740631</v>
      </c>
      <c r="DN744" s="4" t="s">
        <v>2403</v>
      </c>
      <c r="DO744" s="4"/>
      <c r="DP744" s="4"/>
      <c r="DQ744" s="4" t="s">
        <v>148</v>
      </c>
      <c r="DR744" s="4"/>
      <c r="DS744" s="4"/>
      <c r="DT744" s="5">
        <v>42313</v>
      </c>
      <c r="DU744" s="4"/>
      <c r="DV744" s="4"/>
      <c r="DW744" s="4"/>
      <c r="DX744" s="4"/>
      <c r="DY744" s="4"/>
      <c r="DZ744" s="5">
        <v>39569</v>
      </c>
      <c r="EA744" s="4"/>
      <c r="EB744" s="4"/>
      <c r="EC744" s="4"/>
      <c r="ED744" s="4"/>
      <c r="EE744" s="4"/>
      <c r="EF744" s="4"/>
      <c r="EG744" s="4"/>
      <c r="EH744" s="4"/>
      <c r="EI744" s="5">
        <v>39374</v>
      </c>
    </row>
    <row r="745" spans="1:139" hidden="1" x14ac:dyDescent="0.2">
      <c r="A745">
        <f>VLOOKUP(B745,Sheet1!$A$1:$B$18,2,FALSE)</f>
        <v>0</v>
      </c>
      <c r="B745" t="str">
        <f>LEFT(D745,3)</f>
        <v>CHC</v>
      </c>
      <c r="C745" s="2">
        <v>744</v>
      </c>
      <c r="D745" s="3" t="str">
        <f>HYPERLINK("https://sitebase.nzcomms.co.nz/spm/spmnominalview/CHC-060-019/","CHC-060-019")</f>
        <v>CHC-060-019</v>
      </c>
      <c r="E745" s="4"/>
      <c r="F745" s="3" t="str">
        <f>HYPERLINK("https://sitebase.nzcomms.co.nz/spm/spmcandidateview/CHC-060-019-B/","CHC-060-019-B")</f>
        <v>CHC-060-019-B</v>
      </c>
      <c r="G745" s="4" t="s">
        <v>2404</v>
      </c>
      <c r="H745" s="4" t="s">
        <v>2353</v>
      </c>
      <c r="I745" s="4"/>
      <c r="J745" s="4" t="s">
        <v>139</v>
      </c>
      <c r="K745" s="4" t="s">
        <v>141</v>
      </c>
      <c r="L745" s="4" t="s">
        <v>150</v>
      </c>
      <c r="M745" s="4" t="s">
        <v>143</v>
      </c>
      <c r="N745" s="4" t="s">
        <v>291</v>
      </c>
      <c r="O745" s="4" t="s">
        <v>144</v>
      </c>
      <c r="P745" s="4"/>
      <c r="Q745" s="4"/>
      <c r="R745" s="4">
        <v>20</v>
      </c>
      <c r="S745" s="4">
        <v>20</v>
      </c>
      <c r="T745" s="4"/>
      <c r="U745" s="4">
        <v>-43.5414593</v>
      </c>
      <c r="V745" s="4">
        <v>172.53087583999999</v>
      </c>
      <c r="W745" s="4"/>
      <c r="X745" s="4"/>
      <c r="Y745" s="4"/>
      <c r="Z745" s="4"/>
      <c r="AA745" s="4" t="s">
        <v>217</v>
      </c>
      <c r="AB745" s="4" t="s">
        <v>2405</v>
      </c>
      <c r="AC745" s="4"/>
      <c r="AD745" s="4"/>
      <c r="AE745" s="4"/>
      <c r="AF745" s="4"/>
      <c r="AG745" s="4"/>
      <c r="AH745" s="4" t="s">
        <v>2406</v>
      </c>
      <c r="AI745" s="4"/>
      <c r="AJ745" s="4"/>
      <c r="AK745" s="4"/>
      <c r="AL745" s="4"/>
      <c r="AM745" s="4"/>
      <c r="AN745" s="5">
        <v>39476</v>
      </c>
      <c r="AO745" s="4">
        <v>3</v>
      </c>
      <c r="AP745" s="5">
        <v>39385</v>
      </c>
      <c r="AQ745" s="5">
        <v>42250</v>
      </c>
      <c r="AR745" s="4"/>
      <c r="AS745" s="4"/>
      <c r="AT745" s="5">
        <v>39752</v>
      </c>
      <c r="AU745" s="5">
        <v>39745</v>
      </c>
      <c r="AV745" s="4">
        <v>2</v>
      </c>
      <c r="AW745" s="5">
        <v>39934</v>
      </c>
      <c r="AX745" s="5">
        <v>39896</v>
      </c>
      <c r="AY745" s="4"/>
      <c r="AZ745" s="4"/>
      <c r="BA745" s="4"/>
      <c r="BB745" s="4"/>
      <c r="BC745" s="4"/>
      <c r="BD745" s="4"/>
      <c r="BE745" s="5">
        <v>39715</v>
      </c>
      <c r="BF745" s="5">
        <v>39715</v>
      </c>
      <c r="BG745" s="4"/>
      <c r="BH745" s="5">
        <v>39538</v>
      </c>
      <c r="BI745" s="4"/>
      <c r="BJ745" s="5">
        <v>39602</v>
      </c>
      <c r="BK745" s="4">
        <v>2</v>
      </c>
      <c r="BL745" s="4">
        <v>2</v>
      </c>
      <c r="BM745" s="5">
        <v>39692</v>
      </c>
      <c r="BN745" s="5">
        <v>39692</v>
      </c>
      <c r="BO745" s="5">
        <v>39828</v>
      </c>
      <c r="BP745" s="4"/>
      <c r="BQ745" s="4"/>
      <c r="BR745" s="4"/>
      <c r="BS745" s="4"/>
      <c r="BT745" s="4"/>
      <c r="BU745" s="5">
        <v>39770</v>
      </c>
      <c r="BV745" s="5">
        <v>39835</v>
      </c>
      <c r="BW745" s="5">
        <v>39836</v>
      </c>
      <c r="BX745" s="4"/>
      <c r="BY745" s="5">
        <v>39848</v>
      </c>
      <c r="BZ745" s="5">
        <v>39846</v>
      </c>
      <c r="CA745" s="4"/>
      <c r="CB745" s="4"/>
      <c r="CC745" s="4"/>
      <c r="CD745" s="4"/>
      <c r="CE745" s="4"/>
      <c r="CF745" s="4"/>
      <c r="CG745" s="4"/>
      <c r="CH745" s="4"/>
      <c r="CI745" s="5">
        <v>39912</v>
      </c>
      <c r="CJ745" s="5">
        <v>39913</v>
      </c>
      <c r="CK745" s="5">
        <v>39912</v>
      </c>
      <c r="CL745" s="4"/>
      <c r="CM745" s="4"/>
      <c r="CN745" s="4"/>
      <c r="CO745" s="4"/>
      <c r="CP745" s="4"/>
      <c r="CQ745" s="4"/>
      <c r="CR745" s="5">
        <v>39913</v>
      </c>
      <c r="CS745" s="4"/>
      <c r="CT745" s="4"/>
      <c r="CU745" s="4"/>
      <c r="CV745" s="4"/>
      <c r="CW745" s="4"/>
      <c r="CX745" s="5">
        <v>39828</v>
      </c>
      <c r="CY745" s="4"/>
      <c r="CZ745" s="4"/>
      <c r="DA745" s="4"/>
      <c r="DB745" s="4"/>
      <c r="DC745" s="4"/>
      <c r="DD745" s="4"/>
      <c r="DE745" s="4"/>
      <c r="DF745" s="4"/>
      <c r="DG745" s="4"/>
      <c r="DH745" s="4"/>
      <c r="DI745" s="4"/>
      <c r="DJ745" s="4" t="b">
        <v>0</v>
      </c>
      <c r="DK745" s="4"/>
      <c r="DL745" s="4">
        <v>2472097</v>
      </c>
      <c r="DM745" s="4">
        <v>5740559</v>
      </c>
      <c r="DN745" s="4" t="s">
        <v>2407</v>
      </c>
      <c r="DO745" s="4"/>
      <c r="DP745" s="4"/>
      <c r="DQ745" s="4" t="s">
        <v>148</v>
      </c>
      <c r="DR745" s="4"/>
      <c r="DS745" s="4"/>
      <c r="DT745" s="5">
        <v>42313</v>
      </c>
      <c r="DU745" s="4"/>
      <c r="DV745" s="4"/>
      <c r="DW745" s="4"/>
      <c r="DX745" s="4"/>
      <c r="DY745" s="4"/>
      <c r="DZ745" s="5">
        <v>39766</v>
      </c>
      <c r="EA745" s="4"/>
      <c r="EB745" s="4"/>
      <c r="EC745" s="4"/>
      <c r="ED745" s="4"/>
      <c r="EE745" s="4"/>
      <c r="EF745" s="4"/>
      <c r="EG745" s="4"/>
      <c r="EH745" s="4"/>
      <c r="EI745" s="5">
        <v>39398</v>
      </c>
    </row>
    <row r="746" spans="1:139" hidden="1" x14ac:dyDescent="0.2">
      <c r="A746">
        <f>VLOOKUP(B746,Sheet1!$A$1:$B$18,2,FALSE)</f>
        <v>0</v>
      </c>
      <c r="B746" t="str">
        <f>LEFT(D746,3)</f>
        <v>CHC</v>
      </c>
      <c r="C746" s="2">
        <v>745</v>
      </c>
      <c r="D746" s="3" t="str">
        <f>HYPERLINK("https://sitebase.nzcomms.co.nz/spm/spmnominalview/CHC-060-020/","CHC-060-020")</f>
        <v>CHC-060-020</v>
      </c>
      <c r="E746" s="4"/>
      <c r="F746" s="3" t="str">
        <f>HYPERLINK("https://sitebase.nzcomms.co.nz/spm/spmcandidateview/CHC-060-020-A/","CHC-060-020-A")</f>
        <v>CHC-060-020-A</v>
      </c>
      <c r="G746" s="4" t="s">
        <v>2408</v>
      </c>
      <c r="H746" s="4" t="s">
        <v>2353</v>
      </c>
      <c r="I746" s="4"/>
      <c r="J746" s="4" t="s">
        <v>139</v>
      </c>
      <c r="K746" s="4" t="s">
        <v>141</v>
      </c>
      <c r="L746" s="4" t="s">
        <v>181</v>
      </c>
      <c r="M746" s="4" t="s">
        <v>378</v>
      </c>
      <c r="N746" s="4" t="s">
        <v>364</v>
      </c>
      <c r="O746" s="4" t="s">
        <v>144</v>
      </c>
      <c r="P746" s="4"/>
      <c r="Q746" s="4"/>
      <c r="R746" s="4">
        <v>29.5</v>
      </c>
      <c r="S746" s="4">
        <v>29.5</v>
      </c>
      <c r="T746" s="4"/>
      <c r="U746" s="4">
        <v>-43.521847700000002</v>
      </c>
      <c r="V746" s="4">
        <v>172.58264363999999</v>
      </c>
      <c r="W746" s="4"/>
      <c r="X746" s="4"/>
      <c r="Y746" s="4"/>
      <c r="Z746" s="4"/>
      <c r="AA746" s="4" t="s">
        <v>217</v>
      </c>
      <c r="AB746" s="4" t="s">
        <v>2376</v>
      </c>
      <c r="AC746" s="4"/>
      <c r="AD746" s="4"/>
      <c r="AE746" s="4"/>
      <c r="AF746" s="4"/>
      <c r="AG746" s="4"/>
      <c r="AH746" s="4" t="s">
        <v>2359</v>
      </c>
      <c r="AI746" s="4"/>
      <c r="AJ746" s="4"/>
      <c r="AK746" s="4"/>
      <c r="AL746" s="4"/>
      <c r="AM746" s="4"/>
      <c r="AN746" s="5">
        <v>39392</v>
      </c>
      <c r="AO746" s="4">
        <v>6</v>
      </c>
      <c r="AP746" s="5">
        <v>39708</v>
      </c>
      <c r="AQ746" s="5">
        <v>41557</v>
      </c>
      <c r="AR746" s="4"/>
      <c r="AS746" s="4"/>
      <c r="AT746" s="5">
        <v>39860</v>
      </c>
      <c r="AU746" s="5">
        <v>39855</v>
      </c>
      <c r="AV746" s="4">
        <v>4</v>
      </c>
      <c r="AW746" s="5">
        <v>39963</v>
      </c>
      <c r="AX746" s="5">
        <v>39955</v>
      </c>
      <c r="AY746" s="4"/>
      <c r="AZ746" s="5">
        <v>39744</v>
      </c>
      <c r="BA746" s="4"/>
      <c r="BB746" s="4"/>
      <c r="BC746" s="4"/>
      <c r="BD746" s="4"/>
      <c r="BE746" s="5">
        <v>39779</v>
      </c>
      <c r="BF746" s="5">
        <v>39779</v>
      </c>
      <c r="BG746" s="4"/>
      <c r="BH746" s="5">
        <v>39800</v>
      </c>
      <c r="BI746" s="4"/>
      <c r="BJ746" s="5">
        <v>39863</v>
      </c>
      <c r="BK746" s="4">
        <v>1</v>
      </c>
      <c r="BL746" s="4">
        <v>4</v>
      </c>
      <c r="BM746" s="5">
        <v>39863</v>
      </c>
      <c r="BN746" s="5">
        <v>39863</v>
      </c>
      <c r="BO746" s="4"/>
      <c r="BP746" s="4"/>
      <c r="BQ746" s="4"/>
      <c r="BR746" s="4"/>
      <c r="BS746" s="4"/>
      <c r="BT746" s="5">
        <v>39885</v>
      </c>
      <c r="BU746" s="5">
        <v>39885</v>
      </c>
      <c r="BV746" s="5">
        <v>39912</v>
      </c>
      <c r="BW746" s="5">
        <v>39912</v>
      </c>
      <c r="BX746" s="4"/>
      <c r="BY746" s="5">
        <v>39958</v>
      </c>
      <c r="BZ746" s="5">
        <v>39958</v>
      </c>
      <c r="CA746" s="4"/>
      <c r="CB746" s="4"/>
      <c r="CC746" s="4"/>
      <c r="CD746" s="4"/>
      <c r="CE746" s="4"/>
      <c r="CF746" s="4"/>
      <c r="CG746" s="4"/>
      <c r="CH746" s="4"/>
      <c r="CI746" s="5">
        <v>39960</v>
      </c>
      <c r="CJ746" s="5">
        <v>39963</v>
      </c>
      <c r="CK746" s="5">
        <v>39960</v>
      </c>
      <c r="CL746" s="4"/>
      <c r="CM746" s="4"/>
      <c r="CN746" s="4"/>
      <c r="CO746" s="4"/>
      <c r="CP746" s="4" t="s">
        <v>2409</v>
      </c>
      <c r="CQ746" s="4"/>
      <c r="CR746" s="5">
        <v>39963</v>
      </c>
      <c r="CS746" s="4"/>
      <c r="CT746" s="4"/>
      <c r="CU746" s="4"/>
      <c r="CV746" s="4"/>
      <c r="CW746" s="4"/>
      <c r="CX746" s="4"/>
      <c r="CY746" s="4"/>
      <c r="CZ746" s="4"/>
      <c r="DA746" s="4"/>
      <c r="DB746" s="4"/>
      <c r="DC746" s="4"/>
      <c r="DD746" s="4"/>
      <c r="DE746" s="4"/>
      <c r="DF746" s="4"/>
      <c r="DG746" s="4"/>
      <c r="DH746" s="4"/>
      <c r="DI746" s="4"/>
      <c r="DJ746" s="4" t="b">
        <v>0</v>
      </c>
      <c r="DK746" s="4"/>
      <c r="DL746" s="4">
        <v>2476270</v>
      </c>
      <c r="DM746" s="4">
        <v>5742760</v>
      </c>
      <c r="DN746" s="4" t="s">
        <v>2410</v>
      </c>
      <c r="DO746" s="4"/>
      <c r="DP746" s="4"/>
      <c r="DQ746" s="4" t="s">
        <v>148</v>
      </c>
      <c r="DR746" s="4"/>
      <c r="DS746" s="4"/>
      <c r="DT746" s="5">
        <v>41901</v>
      </c>
      <c r="DU746" s="4"/>
      <c r="DV746" s="4"/>
      <c r="DW746" s="4"/>
      <c r="DX746" s="4"/>
      <c r="DY746" s="5">
        <v>39878</v>
      </c>
      <c r="DZ746" s="5">
        <v>39878</v>
      </c>
      <c r="EA746" s="4"/>
      <c r="EB746" s="4"/>
      <c r="EC746" s="4"/>
      <c r="ED746" s="4"/>
      <c r="EE746" s="4"/>
      <c r="EF746" s="4"/>
      <c r="EG746" s="4"/>
      <c r="EH746" s="4"/>
      <c r="EI746" s="5">
        <v>39323</v>
      </c>
    </row>
    <row r="747" spans="1:139" hidden="1" x14ac:dyDescent="0.2">
      <c r="A747">
        <f>VLOOKUP(B747,Sheet1!$A$1:$B$18,2,FALSE)</f>
        <v>0</v>
      </c>
      <c r="B747" t="str">
        <f>LEFT(D747,3)</f>
        <v>CHC</v>
      </c>
      <c r="C747" s="2">
        <v>746</v>
      </c>
      <c r="D747" s="3" t="str">
        <f>HYPERLINK("https://sitebase.nzcomms.co.nz/spm/spmnominalview/CHC-060-021/","CHC-060-021")</f>
        <v>CHC-060-021</v>
      </c>
      <c r="E747" s="4"/>
      <c r="F747" s="3" t="str">
        <f>HYPERLINK("https://sitebase.nzcomms.co.nz/spm/spmcandidateview/CHC-060-021-A/","CHC-060-021-A")</f>
        <v>CHC-060-021-A</v>
      </c>
      <c r="G747" s="4" t="s">
        <v>513</v>
      </c>
      <c r="H747" s="4" t="s">
        <v>2353</v>
      </c>
      <c r="I747" s="4"/>
      <c r="J747" s="4" t="s">
        <v>139</v>
      </c>
      <c r="K747" s="4" t="s">
        <v>141</v>
      </c>
      <c r="L747" s="4" t="s">
        <v>150</v>
      </c>
      <c r="M747" s="4" t="s">
        <v>143</v>
      </c>
      <c r="N747" s="4" t="s">
        <v>291</v>
      </c>
      <c r="O747" s="4" t="s">
        <v>144</v>
      </c>
      <c r="P747" s="4"/>
      <c r="Q747" s="4"/>
      <c r="R747" s="4">
        <v>20</v>
      </c>
      <c r="S747" s="4">
        <v>20</v>
      </c>
      <c r="T747" s="4"/>
      <c r="U747" s="4">
        <v>-43.51594703</v>
      </c>
      <c r="V747" s="4">
        <v>172.69247379999999</v>
      </c>
      <c r="W747" s="4"/>
      <c r="X747" s="4"/>
      <c r="Y747" s="4"/>
      <c r="Z747" s="4"/>
      <c r="AA747" s="4"/>
      <c r="AB747" s="4"/>
      <c r="AC747" s="4" t="b">
        <v>0</v>
      </c>
      <c r="AD747" s="4" t="b">
        <v>0</v>
      </c>
      <c r="AE747" s="4"/>
      <c r="AF747" s="4"/>
      <c r="AG747" s="4" t="b">
        <v>0</v>
      </c>
      <c r="AH747" s="4"/>
      <c r="AI747" s="4"/>
      <c r="AJ747" s="4"/>
      <c r="AK747" s="4"/>
      <c r="AL747" s="4"/>
      <c r="AM747" s="4"/>
      <c r="AN747" s="5">
        <v>39406</v>
      </c>
      <c r="AO747" s="4">
        <v>2</v>
      </c>
      <c r="AP747" s="5">
        <v>39406</v>
      </c>
      <c r="AQ747" s="5">
        <v>39469</v>
      </c>
      <c r="AR747" s="4"/>
      <c r="AS747" s="4"/>
      <c r="AT747" s="5">
        <v>39778</v>
      </c>
      <c r="AU747" s="5">
        <v>39777</v>
      </c>
      <c r="AV747" s="4">
        <v>2</v>
      </c>
      <c r="AW747" s="5">
        <v>39778</v>
      </c>
      <c r="AX747" s="5">
        <v>39777</v>
      </c>
      <c r="AY747" s="4"/>
      <c r="AZ747" s="4"/>
      <c r="BA747" s="4"/>
      <c r="BB747" s="4"/>
      <c r="BC747" s="4"/>
      <c r="BD747" s="4"/>
      <c r="BE747" s="5">
        <v>39686</v>
      </c>
      <c r="BF747" s="5">
        <v>39750</v>
      </c>
      <c r="BG747" s="4"/>
      <c r="BH747" s="5">
        <v>39602</v>
      </c>
      <c r="BI747" s="4"/>
      <c r="BJ747" s="5">
        <v>39686</v>
      </c>
      <c r="BK747" s="4">
        <v>1</v>
      </c>
      <c r="BL747" s="4">
        <v>2</v>
      </c>
      <c r="BM747" s="5">
        <v>39686</v>
      </c>
      <c r="BN747" s="5">
        <v>39686</v>
      </c>
      <c r="BO747" s="5">
        <v>39829</v>
      </c>
      <c r="BP747" s="4"/>
      <c r="BQ747" s="4"/>
      <c r="BR747" s="4"/>
      <c r="BS747" s="4"/>
      <c r="BT747" s="4"/>
      <c r="BU747" s="5">
        <v>39804</v>
      </c>
      <c r="BV747" s="5">
        <v>39848</v>
      </c>
      <c r="BW747" s="5">
        <v>39848</v>
      </c>
      <c r="BX747" s="4"/>
      <c r="BY747" s="5">
        <v>39857</v>
      </c>
      <c r="BZ747" s="5">
        <v>39857</v>
      </c>
      <c r="CA747" s="4"/>
      <c r="CB747" s="4"/>
      <c r="CC747" s="4"/>
      <c r="CD747" s="4"/>
      <c r="CE747" s="4"/>
      <c r="CF747" s="4"/>
      <c r="CG747" s="4"/>
      <c r="CH747" s="4"/>
      <c r="CI747" s="5">
        <v>39871</v>
      </c>
      <c r="CJ747" s="5">
        <v>39871</v>
      </c>
      <c r="CK747" s="5">
        <v>39871</v>
      </c>
      <c r="CL747" s="4"/>
      <c r="CM747" s="4"/>
      <c r="CN747" s="4"/>
      <c r="CO747" s="4"/>
      <c r="CP747" s="4"/>
      <c r="CQ747" s="4"/>
      <c r="CR747" s="5">
        <v>39871</v>
      </c>
      <c r="CS747" s="4"/>
      <c r="CT747" s="4"/>
      <c r="CU747" s="4"/>
      <c r="CV747" s="4"/>
      <c r="CW747" s="5">
        <v>39825</v>
      </c>
      <c r="CX747" s="5">
        <v>39829</v>
      </c>
      <c r="CY747" s="4"/>
      <c r="CZ747" s="4"/>
      <c r="DA747" s="4"/>
      <c r="DB747" s="4"/>
      <c r="DC747" s="4"/>
      <c r="DD747" s="4"/>
      <c r="DE747" s="4"/>
      <c r="DF747" s="4"/>
      <c r="DG747" s="4"/>
      <c r="DH747" s="4"/>
      <c r="DI747" s="4"/>
      <c r="DJ747" s="4" t="b">
        <v>0</v>
      </c>
      <c r="DK747" s="4"/>
      <c r="DL747" s="4">
        <v>2485147</v>
      </c>
      <c r="DM747" s="4">
        <v>5743454</v>
      </c>
      <c r="DN747" s="4" t="s">
        <v>2411</v>
      </c>
      <c r="DO747" s="4"/>
      <c r="DP747" s="4"/>
      <c r="DQ747" s="4" t="s">
        <v>148</v>
      </c>
      <c r="DR747" s="4"/>
      <c r="DS747" s="4"/>
      <c r="DT747" s="4"/>
      <c r="DU747" s="4"/>
      <c r="DV747" s="4"/>
      <c r="DW747" s="4"/>
      <c r="DX747" s="4"/>
      <c r="DY747" s="4"/>
      <c r="DZ747" s="5">
        <v>39793</v>
      </c>
      <c r="EA747" s="4"/>
      <c r="EB747" s="4"/>
      <c r="EC747" s="4"/>
      <c r="ED747" s="4"/>
      <c r="EE747" s="4"/>
      <c r="EF747" s="4"/>
      <c r="EG747" s="4"/>
      <c r="EH747" s="4"/>
      <c r="EI747" s="5">
        <v>39367</v>
      </c>
    </row>
    <row r="748" spans="1:139" hidden="1" x14ac:dyDescent="0.2">
      <c r="A748">
        <f>VLOOKUP(B748,Sheet1!$A$1:$B$18,2,FALSE)</f>
        <v>0</v>
      </c>
      <c r="B748" t="str">
        <f>LEFT(D748,3)</f>
        <v>CHC</v>
      </c>
      <c r="C748" s="2">
        <v>747</v>
      </c>
      <c r="D748" s="3" t="str">
        <f>HYPERLINK("https://sitebase.nzcomms.co.nz/spm/spmnominalview/CHC-060-022/","CHC-060-022")</f>
        <v>CHC-060-022</v>
      </c>
      <c r="E748" s="4"/>
      <c r="F748" s="3" t="str">
        <f>HYPERLINK("https://sitebase.nzcomms.co.nz/spm/spmcandidateview/CHC-060-022-H/","CHC-060-022-H")</f>
        <v>CHC-060-022-H</v>
      </c>
      <c r="G748" s="4" t="s">
        <v>2412</v>
      </c>
      <c r="H748" s="4" t="s">
        <v>2353</v>
      </c>
      <c r="I748" s="4"/>
      <c r="J748" s="4" t="s">
        <v>139</v>
      </c>
      <c r="K748" s="4" t="s">
        <v>141</v>
      </c>
      <c r="L748" s="4" t="s">
        <v>150</v>
      </c>
      <c r="M748" s="4" t="s">
        <v>354</v>
      </c>
      <c r="N748" s="4" t="s">
        <v>2348</v>
      </c>
      <c r="O748" s="4" t="s">
        <v>144</v>
      </c>
      <c r="P748" s="4"/>
      <c r="Q748" s="4"/>
      <c r="R748" s="4">
        <v>15</v>
      </c>
      <c r="S748" s="4">
        <v>15</v>
      </c>
      <c r="T748" s="4"/>
      <c r="U748" s="4">
        <v>-43.509366020000002</v>
      </c>
      <c r="V748" s="4">
        <v>172.60633701</v>
      </c>
      <c r="W748" s="4"/>
      <c r="X748" s="4"/>
      <c r="Y748" s="4"/>
      <c r="Z748" s="4"/>
      <c r="AA748" s="4" t="s">
        <v>152</v>
      </c>
      <c r="AB748" s="3" t="str">
        <f>HYPERLINK("https://sitebase.nzcomms.co.nz/spm/spmcandidateview/CHC-060-063-B/","CHC-060-063-B")</f>
        <v>CHC-060-063-B</v>
      </c>
      <c r="AC748" s="4"/>
      <c r="AD748" s="4"/>
      <c r="AE748" s="4"/>
      <c r="AF748" s="4"/>
      <c r="AG748" s="4"/>
      <c r="AH748" s="4"/>
      <c r="AI748" s="4"/>
      <c r="AJ748" s="4"/>
      <c r="AK748" s="4"/>
      <c r="AL748" s="4"/>
      <c r="AM748" s="4"/>
      <c r="AN748" s="5">
        <v>39729</v>
      </c>
      <c r="AO748" s="4">
        <v>2</v>
      </c>
      <c r="AP748" s="5">
        <v>39735</v>
      </c>
      <c r="AQ748" s="5">
        <v>39735</v>
      </c>
      <c r="AR748" s="4"/>
      <c r="AS748" s="4"/>
      <c r="AT748" s="5">
        <v>39758</v>
      </c>
      <c r="AU748" s="5">
        <v>39758</v>
      </c>
      <c r="AV748" s="4">
        <v>2</v>
      </c>
      <c r="AW748" s="5">
        <v>39896</v>
      </c>
      <c r="AX748" s="5">
        <v>39896</v>
      </c>
      <c r="AY748" s="4"/>
      <c r="AZ748" s="5">
        <v>39729</v>
      </c>
      <c r="BA748" s="4"/>
      <c r="BB748" s="5">
        <v>39855</v>
      </c>
      <c r="BC748" s="4"/>
      <c r="BD748" s="4"/>
      <c r="BE748" s="5">
        <v>39855</v>
      </c>
      <c r="BF748" s="5">
        <v>39855</v>
      </c>
      <c r="BG748" s="4"/>
      <c r="BH748" s="5">
        <v>39772</v>
      </c>
      <c r="BI748" s="4"/>
      <c r="BJ748" s="5">
        <v>39843</v>
      </c>
      <c r="BK748" s="4">
        <v>1</v>
      </c>
      <c r="BL748" s="4">
        <v>2</v>
      </c>
      <c r="BM748" s="5">
        <v>39843</v>
      </c>
      <c r="BN748" s="5">
        <v>39843</v>
      </c>
      <c r="BO748" s="5">
        <v>39906</v>
      </c>
      <c r="BP748" s="4"/>
      <c r="BQ748" s="4"/>
      <c r="BR748" s="4"/>
      <c r="BS748" s="4"/>
      <c r="BT748" s="5">
        <v>39924</v>
      </c>
      <c r="BU748" s="5">
        <v>39924</v>
      </c>
      <c r="BV748" s="5">
        <v>39933</v>
      </c>
      <c r="BW748" s="5">
        <v>39930</v>
      </c>
      <c r="BX748" s="4"/>
      <c r="BY748" s="5">
        <v>39966</v>
      </c>
      <c r="BZ748" s="5">
        <v>39966</v>
      </c>
      <c r="CA748" s="4"/>
      <c r="CB748" s="4"/>
      <c r="CC748" s="4"/>
      <c r="CD748" s="4"/>
      <c r="CE748" s="4"/>
      <c r="CF748" s="4"/>
      <c r="CG748" s="4"/>
      <c r="CH748" s="4"/>
      <c r="CI748" s="5">
        <v>39969</v>
      </c>
      <c r="CJ748" s="5">
        <v>39969</v>
      </c>
      <c r="CK748" s="5">
        <v>39969</v>
      </c>
      <c r="CL748" s="4"/>
      <c r="CM748" s="4"/>
      <c r="CN748" s="4"/>
      <c r="CO748" s="4"/>
      <c r="CP748" s="4"/>
      <c r="CQ748" s="4"/>
      <c r="CR748" s="5">
        <v>39969</v>
      </c>
      <c r="CS748" s="4"/>
      <c r="CT748" s="4"/>
      <c r="CU748" s="4"/>
      <c r="CV748" s="4"/>
      <c r="CW748" s="5">
        <v>39909</v>
      </c>
      <c r="CX748" s="5">
        <v>39906</v>
      </c>
      <c r="CY748" s="4"/>
      <c r="CZ748" s="4"/>
      <c r="DA748" s="4"/>
      <c r="DB748" s="4"/>
      <c r="DC748" s="4"/>
      <c r="DD748" s="4"/>
      <c r="DE748" s="4"/>
      <c r="DF748" s="4"/>
      <c r="DG748" s="4"/>
      <c r="DH748" s="4"/>
      <c r="DI748" s="4"/>
      <c r="DJ748" s="4" t="b">
        <v>0</v>
      </c>
      <c r="DK748" s="4"/>
      <c r="DL748" s="4">
        <v>2478179</v>
      </c>
      <c r="DM748" s="4">
        <v>5744156</v>
      </c>
      <c r="DN748" s="4" t="s">
        <v>2413</v>
      </c>
      <c r="DO748" s="4"/>
      <c r="DP748" s="4"/>
      <c r="DQ748" s="4" t="s">
        <v>148</v>
      </c>
      <c r="DR748" s="4"/>
      <c r="DS748" s="4"/>
      <c r="DT748" s="5">
        <v>41901</v>
      </c>
      <c r="DU748" s="4"/>
      <c r="DV748" s="4"/>
      <c r="DW748" s="4"/>
      <c r="DX748" s="4"/>
      <c r="DY748" s="5">
        <v>39924</v>
      </c>
      <c r="DZ748" s="5">
        <v>39924</v>
      </c>
      <c r="EA748" s="4"/>
      <c r="EB748" s="4"/>
      <c r="EC748" s="4"/>
      <c r="ED748" s="4"/>
      <c r="EE748" s="4"/>
      <c r="EF748" s="4"/>
      <c r="EG748" s="4"/>
      <c r="EH748" s="4"/>
      <c r="EI748" s="5">
        <v>39706</v>
      </c>
    </row>
    <row r="749" spans="1:139" hidden="1" x14ac:dyDescent="0.2">
      <c r="A749">
        <f>VLOOKUP(B749,Sheet1!$A$1:$B$18,2,FALSE)</f>
        <v>0</v>
      </c>
      <c r="B749" t="str">
        <f>LEFT(D749,3)</f>
        <v>CHC</v>
      </c>
      <c r="C749" s="2">
        <v>748</v>
      </c>
      <c r="D749" s="3" t="str">
        <f>HYPERLINK("https://sitebase.nzcomms.co.nz/spm/spmnominalview/CHC-060-023/","CHC-060-023")</f>
        <v>CHC-060-023</v>
      </c>
      <c r="E749" s="4"/>
      <c r="F749" s="3" t="str">
        <f>HYPERLINK("https://sitebase.nzcomms.co.nz/spm/spmcandidateview/CHC-060-023-A/","CHC-060-023-A")</f>
        <v>CHC-060-023-A</v>
      </c>
      <c r="G749" s="4" t="s">
        <v>2414</v>
      </c>
      <c r="H749" s="4" t="s">
        <v>2353</v>
      </c>
      <c r="I749" s="4"/>
      <c r="J749" s="4" t="s">
        <v>139</v>
      </c>
      <c r="K749" s="4" t="s">
        <v>141</v>
      </c>
      <c r="L749" s="4" t="s">
        <v>181</v>
      </c>
      <c r="M749" s="4" t="s">
        <v>378</v>
      </c>
      <c r="N749" s="4" t="s">
        <v>364</v>
      </c>
      <c r="O749" s="4" t="s">
        <v>144</v>
      </c>
      <c r="P749" s="4"/>
      <c r="Q749" s="4"/>
      <c r="R749" s="4">
        <v>22.4</v>
      </c>
      <c r="S749" s="4">
        <v>22.4</v>
      </c>
      <c r="T749" s="4"/>
      <c r="U749" s="4">
        <v>-43.496164980000003</v>
      </c>
      <c r="V749" s="4">
        <v>172.60728773</v>
      </c>
      <c r="W749" s="4"/>
      <c r="X749" s="4"/>
      <c r="Y749" s="4"/>
      <c r="Z749" s="4"/>
      <c r="AA749" s="4"/>
      <c r="AB749" s="4"/>
      <c r="AC749" s="4" t="b">
        <v>0</v>
      </c>
      <c r="AD749" s="4" t="b">
        <v>0</v>
      </c>
      <c r="AE749" s="4"/>
      <c r="AF749" s="4"/>
      <c r="AG749" s="4" t="b">
        <v>0</v>
      </c>
      <c r="AH749" s="4"/>
      <c r="AI749" s="4"/>
      <c r="AJ749" s="4"/>
      <c r="AK749" s="4"/>
      <c r="AL749" s="4"/>
      <c r="AM749" s="5">
        <v>39353</v>
      </c>
      <c r="AN749" s="5">
        <v>39353</v>
      </c>
      <c r="AO749" s="4">
        <v>9</v>
      </c>
      <c r="AP749" s="5">
        <v>40877</v>
      </c>
      <c r="AQ749" s="5">
        <v>40816</v>
      </c>
      <c r="AR749" s="4"/>
      <c r="AS749" s="4"/>
      <c r="AT749" s="5">
        <v>39568</v>
      </c>
      <c r="AU749" s="5">
        <v>39568</v>
      </c>
      <c r="AV749" s="4">
        <v>6</v>
      </c>
      <c r="AW749" s="5">
        <v>40900</v>
      </c>
      <c r="AX749" s="4"/>
      <c r="AY749" s="4" t="s">
        <v>183</v>
      </c>
      <c r="AZ749" s="5">
        <v>39739</v>
      </c>
      <c r="BA749" s="5">
        <v>40813</v>
      </c>
      <c r="BB749" s="5">
        <v>39774</v>
      </c>
      <c r="BC749" s="5">
        <v>40833</v>
      </c>
      <c r="BD749" s="4">
        <v>9</v>
      </c>
      <c r="BE749" s="5">
        <v>40850</v>
      </c>
      <c r="BF749" s="5">
        <v>40823</v>
      </c>
      <c r="BG749" s="4"/>
      <c r="BH749" s="5">
        <v>39468</v>
      </c>
      <c r="BI749" s="5">
        <v>39686</v>
      </c>
      <c r="BJ749" s="5">
        <v>39686</v>
      </c>
      <c r="BK749" s="4">
        <v>3</v>
      </c>
      <c r="BL749" s="4">
        <v>6</v>
      </c>
      <c r="BM749" s="5">
        <v>40816</v>
      </c>
      <c r="BN749" s="5">
        <v>39668</v>
      </c>
      <c r="BO749" s="4"/>
      <c r="BP749" s="4"/>
      <c r="BQ749" s="4"/>
      <c r="BR749" s="4"/>
      <c r="BS749" s="4"/>
      <c r="BT749" s="4"/>
      <c r="BU749" s="5">
        <v>39671</v>
      </c>
      <c r="BV749" s="5">
        <v>39703</v>
      </c>
      <c r="BW749" s="5">
        <v>39703</v>
      </c>
      <c r="BX749" s="4"/>
      <c r="BY749" s="5">
        <v>39706</v>
      </c>
      <c r="BZ749" s="5">
        <v>39727</v>
      </c>
      <c r="CA749" s="4"/>
      <c r="CB749" s="4"/>
      <c r="CC749" s="4"/>
      <c r="CD749" s="4"/>
      <c r="CE749" s="4"/>
      <c r="CF749" s="4"/>
      <c r="CG749" s="4"/>
      <c r="CH749" s="4"/>
      <c r="CI749" s="5">
        <v>39799</v>
      </c>
      <c r="CJ749" s="5">
        <v>39812</v>
      </c>
      <c r="CK749" s="5">
        <v>39799</v>
      </c>
      <c r="CL749" s="4"/>
      <c r="CM749" s="4"/>
      <c r="CN749" s="4"/>
      <c r="CO749" s="4"/>
      <c r="CP749" s="4" t="s">
        <v>2415</v>
      </c>
      <c r="CQ749" s="4"/>
      <c r="CR749" s="5">
        <v>39798</v>
      </c>
      <c r="CS749" s="4"/>
      <c r="CT749" s="4"/>
      <c r="CU749" s="4"/>
      <c r="CV749" s="4"/>
      <c r="CW749" s="4"/>
      <c r="CX749" s="4"/>
      <c r="CY749" s="4"/>
      <c r="CZ749" s="4"/>
      <c r="DA749" s="4"/>
      <c r="DB749" s="4"/>
      <c r="DC749" s="4"/>
      <c r="DD749" s="4"/>
      <c r="DE749" s="4"/>
      <c r="DF749" s="4"/>
      <c r="DG749" s="4"/>
      <c r="DH749" s="4"/>
      <c r="DI749" s="4"/>
      <c r="DJ749" s="4" t="b">
        <v>0</v>
      </c>
      <c r="DK749" s="4"/>
      <c r="DL749" s="4">
        <v>2478249</v>
      </c>
      <c r="DM749" s="4">
        <v>5745623</v>
      </c>
      <c r="DN749" s="4" t="s">
        <v>2416</v>
      </c>
      <c r="DO749" s="4"/>
      <c r="DP749" s="4"/>
      <c r="DQ749" s="4" t="s">
        <v>148</v>
      </c>
      <c r="DR749" s="4"/>
      <c r="DS749" s="4"/>
      <c r="DT749" s="5">
        <v>41901</v>
      </c>
      <c r="DU749" s="4"/>
      <c r="DV749" s="4"/>
      <c r="DW749" s="4"/>
      <c r="DX749" s="4"/>
      <c r="DY749" s="4"/>
      <c r="DZ749" s="5">
        <v>39671</v>
      </c>
      <c r="EA749" s="4"/>
      <c r="EB749" s="4"/>
      <c r="EC749" s="4"/>
      <c r="ED749" s="4"/>
      <c r="EE749" s="4"/>
      <c r="EF749" s="4"/>
      <c r="EG749" s="4"/>
      <c r="EH749" s="4"/>
      <c r="EI749" s="5">
        <v>39332</v>
      </c>
    </row>
    <row r="750" spans="1:139" hidden="1" x14ac:dyDescent="0.2">
      <c r="A750">
        <f>VLOOKUP(B750,Sheet1!$A$1:$B$18,2,FALSE)</f>
        <v>0</v>
      </c>
      <c r="B750" t="str">
        <f>LEFT(D750,3)</f>
        <v>CHC</v>
      </c>
      <c r="C750" s="2">
        <v>749</v>
      </c>
      <c r="D750" s="3" t="str">
        <f>HYPERLINK("https://sitebase.nzcomms.co.nz/spm/spmnominalview/CHC-060-024/","CHC-060-024")</f>
        <v>CHC-060-024</v>
      </c>
      <c r="E750" s="4"/>
      <c r="F750" s="3" t="str">
        <f>HYPERLINK("https://sitebase.nzcomms.co.nz/spm/spmcandidateview/CHC-060-024-D/","CHC-060-024-D")</f>
        <v>CHC-060-024-D</v>
      </c>
      <c r="G750" s="4" t="s">
        <v>2417</v>
      </c>
      <c r="H750" s="4" t="s">
        <v>2353</v>
      </c>
      <c r="I750" s="4"/>
      <c r="J750" s="4" t="s">
        <v>139</v>
      </c>
      <c r="K750" s="4" t="s">
        <v>141</v>
      </c>
      <c r="L750" s="4" t="s">
        <v>142</v>
      </c>
      <c r="M750" s="4" t="s">
        <v>354</v>
      </c>
      <c r="N750" s="4" t="s">
        <v>142</v>
      </c>
      <c r="O750" s="4" t="s">
        <v>144</v>
      </c>
      <c r="P750" s="4"/>
      <c r="Q750" s="4" t="s">
        <v>142</v>
      </c>
      <c r="R750" s="4">
        <v>17</v>
      </c>
      <c r="S750" s="4">
        <v>17</v>
      </c>
      <c r="T750" s="4"/>
      <c r="U750" s="4">
        <v>-43.512025350000002</v>
      </c>
      <c r="V750" s="4">
        <v>172.62369566999999</v>
      </c>
      <c r="W750" s="4"/>
      <c r="X750" s="4"/>
      <c r="Y750" s="4"/>
      <c r="Z750" s="4"/>
      <c r="AA750" s="4" t="s">
        <v>171</v>
      </c>
      <c r="AB750" s="3" t="str">
        <f>HYPERLINK("https://sitebase.nzcomms.co.nz/spm/spmcandidateview/CHC-060-009-A/","CHC-060-009-A")</f>
        <v>CHC-060-009-A</v>
      </c>
      <c r="AC750" s="4"/>
      <c r="AD750" s="4"/>
      <c r="AE750" s="4"/>
      <c r="AF750" s="4"/>
      <c r="AG750" s="4"/>
      <c r="AH750" s="4" t="s">
        <v>2390</v>
      </c>
      <c r="AI750" s="4"/>
      <c r="AJ750" s="4"/>
      <c r="AK750" s="4"/>
      <c r="AL750" s="4"/>
      <c r="AM750" s="4"/>
      <c r="AN750" s="5">
        <v>39779</v>
      </c>
      <c r="AO750" s="4">
        <v>4</v>
      </c>
      <c r="AP750" s="5">
        <v>39833</v>
      </c>
      <c r="AQ750" s="5">
        <v>39954</v>
      </c>
      <c r="AR750" s="4"/>
      <c r="AS750" s="4"/>
      <c r="AT750" s="5">
        <v>39960</v>
      </c>
      <c r="AU750" s="5">
        <v>39959</v>
      </c>
      <c r="AV750" s="4">
        <v>3</v>
      </c>
      <c r="AW750" s="5">
        <v>40085</v>
      </c>
      <c r="AX750" s="5">
        <v>40043</v>
      </c>
      <c r="AY750" s="4"/>
      <c r="AZ750" s="5">
        <v>39832</v>
      </c>
      <c r="BA750" s="4"/>
      <c r="BB750" s="4"/>
      <c r="BC750" s="4"/>
      <c r="BD750" s="4"/>
      <c r="BE750" s="5">
        <v>39848</v>
      </c>
      <c r="BF750" s="5">
        <v>39848</v>
      </c>
      <c r="BG750" s="4"/>
      <c r="BH750" s="5">
        <v>39836</v>
      </c>
      <c r="BI750" s="4"/>
      <c r="BJ750" s="5">
        <v>39836</v>
      </c>
      <c r="BK750" s="4">
        <v>3</v>
      </c>
      <c r="BL750" s="4"/>
      <c r="BM750" s="5">
        <v>39878</v>
      </c>
      <c r="BN750" s="5">
        <v>39897</v>
      </c>
      <c r="BO750" s="4"/>
      <c r="BP750" s="4"/>
      <c r="BQ750" s="4"/>
      <c r="BR750" s="4"/>
      <c r="BS750" s="4"/>
      <c r="BT750" s="5">
        <v>39906</v>
      </c>
      <c r="BU750" s="5">
        <v>39906</v>
      </c>
      <c r="BV750" s="5">
        <v>39974</v>
      </c>
      <c r="BW750" s="5">
        <v>39976</v>
      </c>
      <c r="BX750" s="4"/>
      <c r="BY750" s="5">
        <v>39987</v>
      </c>
      <c r="BZ750" s="5">
        <v>39987</v>
      </c>
      <c r="CA750" s="4"/>
      <c r="CB750" s="4"/>
      <c r="CC750" s="4"/>
      <c r="CD750" s="4"/>
      <c r="CE750" s="4"/>
      <c r="CF750" s="4"/>
      <c r="CG750" s="4"/>
      <c r="CH750" s="4"/>
      <c r="CI750" s="5">
        <v>39989</v>
      </c>
      <c r="CJ750" s="5">
        <v>39993</v>
      </c>
      <c r="CK750" s="5">
        <v>39989</v>
      </c>
      <c r="CL750" s="4"/>
      <c r="CM750" s="4"/>
      <c r="CN750" s="4"/>
      <c r="CO750" s="4"/>
      <c r="CP750" s="4" t="s">
        <v>2418</v>
      </c>
      <c r="CQ750" s="4" t="s">
        <v>205</v>
      </c>
      <c r="CR750" s="5">
        <v>39994</v>
      </c>
      <c r="CS750" s="4"/>
      <c r="CT750" s="4"/>
      <c r="CU750" s="4"/>
      <c r="CV750" s="4"/>
      <c r="CW750" s="4"/>
      <c r="CX750" s="4"/>
      <c r="CY750" s="4"/>
      <c r="CZ750" s="4"/>
      <c r="DA750" s="4"/>
      <c r="DB750" s="4"/>
      <c r="DC750" s="4"/>
      <c r="DD750" s="4"/>
      <c r="DE750" s="4"/>
      <c r="DF750" s="4"/>
      <c r="DG750" s="4"/>
      <c r="DH750" s="4"/>
      <c r="DI750" s="4"/>
      <c r="DJ750" s="4" t="b">
        <v>0</v>
      </c>
      <c r="DK750" s="4"/>
      <c r="DL750" s="4">
        <v>2479584</v>
      </c>
      <c r="DM750" s="4">
        <v>5743867</v>
      </c>
      <c r="DN750" s="4" t="s">
        <v>2419</v>
      </c>
      <c r="DO750" s="4"/>
      <c r="DP750" s="4"/>
      <c r="DQ750" s="4" t="s">
        <v>148</v>
      </c>
      <c r="DR750" s="4"/>
      <c r="DS750" s="4"/>
      <c r="DT750" s="5">
        <v>41901</v>
      </c>
      <c r="DU750" s="4"/>
      <c r="DV750" s="4"/>
      <c r="DW750" s="4"/>
      <c r="DX750" s="4"/>
      <c r="DY750" s="5">
        <v>39917</v>
      </c>
      <c r="DZ750" s="5">
        <v>39906</v>
      </c>
      <c r="EA750" s="4"/>
      <c r="EB750" s="4"/>
      <c r="EC750" s="4"/>
      <c r="ED750" s="4"/>
      <c r="EE750" s="4"/>
      <c r="EF750" s="4"/>
      <c r="EG750" s="4"/>
      <c r="EH750" s="4"/>
      <c r="EI750" s="5">
        <v>39728</v>
      </c>
    </row>
    <row r="751" spans="1:139" hidden="1" x14ac:dyDescent="0.2">
      <c r="A751">
        <f>VLOOKUP(B751,Sheet1!$A$1:$B$18,2,FALSE)</f>
        <v>0</v>
      </c>
      <c r="B751" t="str">
        <f>LEFT(D751,3)</f>
        <v>CHC</v>
      </c>
      <c r="C751" s="2">
        <v>750</v>
      </c>
      <c r="D751" s="3" t="str">
        <f>HYPERLINK("https://sitebase.nzcomms.co.nz/spm/spmnominalview/CHC-060-025/","CHC-060-025")</f>
        <v>CHC-060-025</v>
      </c>
      <c r="E751" s="4"/>
      <c r="F751" s="3" t="str">
        <f>HYPERLINK("https://sitebase.nzcomms.co.nz/spm/spmcandidateview/CHC-060-025-F/","CHC-060-025-F")</f>
        <v>CHC-060-025-F</v>
      </c>
      <c r="G751" s="4" t="s">
        <v>2420</v>
      </c>
      <c r="H751" s="4" t="s">
        <v>2353</v>
      </c>
      <c r="I751" s="4"/>
      <c r="J751" s="4" t="s">
        <v>139</v>
      </c>
      <c r="K751" s="4" t="s">
        <v>141</v>
      </c>
      <c r="L751" s="4" t="s">
        <v>189</v>
      </c>
      <c r="M751" s="4" t="s">
        <v>143</v>
      </c>
      <c r="N751" s="4" t="s">
        <v>2421</v>
      </c>
      <c r="O751" s="4" t="s">
        <v>356</v>
      </c>
      <c r="P751" s="4"/>
      <c r="Q751" s="4"/>
      <c r="R751" s="4">
        <v>14</v>
      </c>
      <c r="S751" s="4">
        <v>14</v>
      </c>
      <c r="T751" s="4"/>
      <c r="U751" s="4">
        <v>-43.50845932</v>
      </c>
      <c r="V751" s="4">
        <v>172.65173987</v>
      </c>
      <c r="W751" s="4"/>
      <c r="X751" s="4"/>
      <c r="Y751" s="4"/>
      <c r="Z751" s="4"/>
      <c r="AA751" s="4" t="s">
        <v>637</v>
      </c>
      <c r="AB751" s="4" t="s">
        <v>2422</v>
      </c>
      <c r="AC751" s="4"/>
      <c r="AD751" s="4"/>
      <c r="AE751" s="4"/>
      <c r="AF751" s="4"/>
      <c r="AG751" s="4"/>
      <c r="AH751" s="4" t="s">
        <v>2423</v>
      </c>
      <c r="AI751" s="4"/>
      <c r="AJ751" s="4"/>
      <c r="AK751" s="4"/>
      <c r="AL751" s="4"/>
      <c r="AM751" s="4"/>
      <c r="AN751" s="5">
        <v>39794</v>
      </c>
      <c r="AO751" s="4">
        <v>4</v>
      </c>
      <c r="AP751" s="5">
        <v>39843</v>
      </c>
      <c r="AQ751" s="5">
        <v>40115</v>
      </c>
      <c r="AR751" s="4"/>
      <c r="AS751" s="4"/>
      <c r="AT751" s="5">
        <v>39856</v>
      </c>
      <c r="AU751" s="5">
        <v>39854</v>
      </c>
      <c r="AV751" s="4">
        <v>3</v>
      </c>
      <c r="AW751" s="5">
        <v>39856</v>
      </c>
      <c r="AX751" s="5">
        <v>39856</v>
      </c>
      <c r="AY751" s="4"/>
      <c r="AZ751" s="4"/>
      <c r="BA751" s="4"/>
      <c r="BB751" s="5">
        <v>39853</v>
      </c>
      <c r="BC751" s="4"/>
      <c r="BD751" s="4"/>
      <c r="BE751" s="5">
        <v>39829</v>
      </c>
      <c r="BF751" s="5">
        <v>39829</v>
      </c>
      <c r="BG751" s="5">
        <v>39871</v>
      </c>
      <c r="BH751" s="5">
        <v>39863</v>
      </c>
      <c r="BI751" s="4"/>
      <c r="BJ751" s="5">
        <v>39877</v>
      </c>
      <c r="BK751" s="4">
        <v>1</v>
      </c>
      <c r="BL751" s="4">
        <v>3</v>
      </c>
      <c r="BM751" s="5">
        <v>39885</v>
      </c>
      <c r="BN751" s="5">
        <v>39877</v>
      </c>
      <c r="BO751" s="5">
        <v>39926</v>
      </c>
      <c r="BP751" s="4"/>
      <c r="BQ751" s="4"/>
      <c r="BR751" s="4"/>
      <c r="BS751" s="4"/>
      <c r="BT751" s="5">
        <v>39919</v>
      </c>
      <c r="BU751" s="5">
        <v>39919</v>
      </c>
      <c r="BV751" s="5">
        <v>39931</v>
      </c>
      <c r="BW751" s="5">
        <v>39931</v>
      </c>
      <c r="BX751" s="4"/>
      <c r="BY751" s="5">
        <v>39941</v>
      </c>
      <c r="BZ751" s="5">
        <v>39941</v>
      </c>
      <c r="CA751" s="4"/>
      <c r="CB751" s="4"/>
      <c r="CC751" s="4"/>
      <c r="CD751" s="4"/>
      <c r="CE751" s="4"/>
      <c r="CF751" s="4"/>
      <c r="CG751" s="4"/>
      <c r="CH751" s="4"/>
      <c r="CI751" s="5">
        <v>39949</v>
      </c>
      <c r="CJ751" s="5">
        <v>39951</v>
      </c>
      <c r="CK751" s="5">
        <v>39949</v>
      </c>
      <c r="CL751" s="4"/>
      <c r="CM751" s="4"/>
      <c r="CN751" s="4"/>
      <c r="CO751" s="4"/>
      <c r="CP751" s="4" t="s">
        <v>2424</v>
      </c>
      <c r="CQ751" s="4"/>
      <c r="CR751" s="5">
        <v>39951</v>
      </c>
      <c r="CS751" s="4"/>
      <c r="CT751" s="4"/>
      <c r="CU751" s="4"/>
      <c r="CV751" s="4"/>
      <c r="CW751" s="5">
        <v>39926</v>
      </c>
      <c r="CX751" s="5">
        <v>39926</v>
      </c>
      <c r="CY751" s="4"/>
      <c r="CZ751" s="4"/>
      <c r="DA751" s="4"/>
      <c r="DB751" s="4"/>
      <c r="DC751" s="4"/>
      <c r="DD751" s="4"/>
      <c r="DE751" s="4"/>
      <c r="DF751" s="4"/>
      <c r="DG751" s="4"/>
      <c r="DH751" s="4"/>
      <c r="DI751" s="4"/>
      <c r="DJ751" s="4" t="b">
        <v>0</v>
      </c>
      <c r="DK751" s="4"/>
      <c r="DL751" s="4">
        <v>2481850</v>
      </c>
      <c r="DM751" s="4">
        <v>5744273</v>
      </c>
      <c r="DN751" s="4" t="s">
        <v>2425</v>
      </c>
      <c r="DO751" s="4"/>
      <c r="DP751" s="4"/>
      <c r="DQ751" s="4" t="s">
        <v>148</v>
      </c>
      <c r="DR751" s="4"/>
      <c r="DS751" s="4"/>
      <c r="DT751" s="5">
        <v>42292</v>
      </c>
      <c r="DU751" s="4"/>
      <c r="DV751" s="4"/>
      <c r="DW751" s="4"/>
      <c r="DX751" s="4"/>
      <c r="DY751" s="5">
        <v>39919</v>
      </c>
      <c r="DZ751" s="5">
        <v>39919</v>
      </c>
      <c r="EA751" s="4"/>
      <c r="EB751" s="4"/>
      <c r="EC751" s="4"/>
      <c r="ED751" s="4"/>
      <c r="EE751" s="4"/>
      <c r="EF751" s="4"/>
      <c r="EG751" s="4"/>
      <c r="EH751" s="4"/>
      <c r="EI751" s="5">
        <v>39785</v>
      </c>
    </row>
    <row r="752" spans="1:139" hidden="1" x14ac:dyDescent="0.2">
      <c r="A752">
        <f>VLOOKUP(B752,Sheet1!$A$1:$B$18,2,FALSE)</f>
        <v>0</v>
      </c>
      <c r="B752" t="str">
        <f>LEFT(D752,3)</f>
        <v>CHC</v>
      </c>
      <c r="C752" s="2">
        <v>751</v>
      </c>
      <c r="D752" s="3" t="str">
        <f>HYPERLINK("https://sitebase.nzcomms.co.nz/spm/spmnominalview/CHC-060-026/","CHC-060-026")</f>
        <v>CHC-060-026</v>
      </c>
      <c r="E752" s="4"/>
      <c r="F752" s="3" t="str">
        <f>HYPERLINK("https://sitebase.nzcomms.co.nz/spm/spmcandidateview/CHC-060-026-F/","CHC-060-026-F")</f>
        <v>CHC-060-026-F</v>
      </c>
      <c r="G752" s="4" t="s">
        <v>2426</v>
      </c>
      <c r="H752" s="4" t="s">
        <v>2353</v>
      </c>
      <c r="I752" s="4"/>
      <c r="J752" s="4" t="s">
        <v>139</v>
      </c>
      <c r="K752" s="4" t="s">
        <v>141</v>
      </c>
      <c r="L752" s="4" t="s">
        <v>150</v>
      </c>
      <c r="M752" s="4" t="s">
        <v>143</v>
      </c>
      <c r="N752" s="4" t="s">
        <v>291</v>
      </c>
      <c r="O752" s="4" t="s">
        <v>356</v>
      </c>
      <c r="P752" s="4"/>
      <c r="Q752" s="4"/>
      <c r="R752" s="4">
        <v>20</v>
      </c>
      <c r="S752" s="4">
        <v>20</v>
      </c>
      <c r="T752" s="4"/>
      <c r="U752" s="4">
        <v>-43.506701509999999</v>
      </c>
      <c r="V752" s="4">
        <v>172.72747874999999</v>
      </c>
      <c r="W752" s="4"/>
      <c r="X752" s="4"/>
      <c r="Y752" s="4"/>
      <c r="Z752" s="4"/>
      <c r="AA752" s="4"/>
      <c r="AB752" s="4"/>
      <c r="AC752" s="4"/>
      <c r="AD752" s="4"/>
      <c r="AE752" s="4"/>
      <c r="AF752" s="4"/>
      <c r="AG752" s="4"/>
      <c r="AH752" s="4"/>
      <c r="AI752" s="4"/>
      <c r="AJ752" s="4"/>
      <c r="AK752" s="4"/>
      <c r="AL752" s="4"/>
      <c r="AM752" s="4"/>
      <c r="AN752" s="5">
        <v>39511</v>
      </c>
      <c r="AO752" s="4">
        <v>4</v>
      </c>
      <c r="AP752" s="5">
        <v>39722</v>
      </c>
      <c r="AQ752" s="5">
        <v>39722</v>
      </c>
      <c r="AR752" s="4"/>
      <c r="AS752" s="4"/>
      <c r="AT752" s="5">
        <v>39599</v>
      </c>
      <c r="AU752" s="5">
        <v>39587</v>
      </c>
      <c r="AV752" s="4">
        <v>4</v>
      </c>
      <c r="AW752" s="5">
        <v>39599</v>
      </c>
      <c r="AX752" s="5">
        <v>39587</v>
      </c>
      <c r="AY752" s="4"/>
      <c r="AZ752" s="4"/>
      <c r="BA752" s="4"/>
      <c r="BB752" s="4"/>
      <c r="BC752" s="4"/>
      <c r="BD752" s="4"/>
      <c r="BE752" s="5">
        <v>39736</v>
      </c>
      <c r="BF752" s="5">
        <v>39736</v>
      </c>
      <c r="BG752" s="4"/>
      <c r="BH752" s="5">
        <v>39538</v>
      </c>
      <c r="BI752" s="4"/>
      <c r="BJ752" s="5">
        <v>39602</v>
      </c>
      <c r="BK752" s="4">
        <v>3</v>
      </c>
      <c r="BL752" s="4">
        <v>4</v>
      </c>
      <c r="BM752" s="5">
        <v>39759</v>
      </c>
      <c r="BN752" s="5">
        <v>39759</v>
      </c>
      <c r="BO752" s="5">
        <v>39832</v>
      </c>
      <c r="BP752" s="4"/>
      <c r="BQ752" s="4"/>
      <c r="BR752" s="4"/>
      <c r="BS752" s="4"/>
      <c r="BT752" s="4"/>
      <c r="BU752" s="5">
        <v>39773</v>
      </c>
      <c r="BV752" s="5">
        <v>39842</v>
      </c>
      <c r="BW752" s="5">
        <v>39836</v>
      </c>
      <c r="BX752" s="4"/>
      <c r="BY752" s="5">
        <v>39853</v>
      </c>
      <c r="BZ752" s="5">
        <v>39856</v>
      </c>
      <c r="CA752" s="4"/>
      <c r="CB752" s="4"/>
      <c r="CC752" s="4"/>
      <c r="CD752" s="4"/>
      <c r="CE752" s="4"/>
      <c r="CF752" s="4"/>
      <c r="CG752" s="4"/>
      <c r="CH752" s="4"/>
      <c r="CI752" s="5">
        <v>39871</v>
      </c>
      <c r="CJ752" s="4"/>
      <c r="CK752" s="5">
        <v>39871</v>
      </c>
      <c r="CL752" s="4"/>
      <c r="CM752" s="4"/>
      <c r="CN752" s="4"/>
      <c r="CO752" s="4"/>
      <c r="CP752" s="4"/>
      <c r="CQ752" s="4"/>
      <c r="CR752" s="5">
        <v>39871</v>
      </c>
      <c r="CS752" s="4"/>
      <c r="CT752" s="4"/>
      <c r="CU752" s="4"/>
      <c r="CV752" s="4"/>
      <c r="CW752" s="5">
        <v>39832</v>
      </c>
      <c r="CX752" s="5">
        <v>39832</v>
      </c>
      <c r="CY752" s="4"/>
      <c r="CZ752" s="4"/>
      <c r="DA752" s="4"/>
      <c r="DB752" s="4"/>
      <c r="DC752" s="4"/>
      <c r="DD752" s="4"/>
      <c r="DE752" s="4"/>
      <c r="DF752" s="4"/>
      <c r="DG752" s="4"/>
      <c r="DH752" s="4"/>
      <c r="DI752" s="4"/>
      <c r="DJ752" s="4" t="b">
        <v>0</v>
      </c>
      <c r="DK752" s="4"/>
      <c r="DL752" s="4">
        <v>2487974</v>
      </c>
      <c r="DM752" s="4">
        <v>5744491</v>
      </c>
      <c r="DN752" s="4" t="s">
        <v>2427</v>
      </c>
      <c r="DO752" s="4"/>
      <c r="DP752" s="4"/>
      <c r="DQ752" s="4" t="s">
        <v>148</v>
      </c>
      <c r="DR752" s="4"/>
      <c r="DS752" s="4"/>
      <c r="DT752" s="4"/>
      <c r="DU752" s="4"/>
      <c r="DV752" s="4"/>
      <c r="DW752" s="4"/>
      <c r="DX752" s="4"/>
      <c r="DY752" s="4"/>
      <c r="DZ752" s="5">
        <v>39764</v>
      </c>
      <c r="EA752" s="4"/>
      <c r="EB752" s="4"/>
      <c r="EC752" s="4"/>
      <c r="ED752" s="4"/>
      <c r="EE752" s="4"/>
      <c r="EF752" s="4"/>
      <c r="EG752" s="4"/>
      <c r="EH752" s="4"/>
      <c r="EI752" s="5">
        <v>39472</v>
      </c>
    </row>
    <row r="753" spans="1:139" hidden="1" x14ac:dyDescent="0.2">
      <c r="A753">
        <f>VLOOKUP(B753,Sheet1!$A$1:$B$18,2,FALSE)</f>
        <v>0</v>
      </c>
      <c r="B753" t="str">
        <f>LEFT(D753,3)</f>
        <v>CHC</v>
      </c>
      <c r="C753" s="2">
        <v>752</v>
      </c>
      <c r="D753" s="3" t="str">
        <f>HYPERLINK("https://sitebase.nzcomms.co.nz/spm/spmnominalview/CHC-060-027/","CHC-060-027")</f>
        <v>CHC-060-027</v>
      </c>
      <c r="E753" s="4"/>
      <c r="F753" s="3" t="str">
        <f>HYPERLINK("https://sitebase.nzcomms.co.nz/spm/spmcandidateview/CHC-060-027-E/","CHC-060-027-E")</f>
        <v>CHC-060-027-E</v>
      </c>
      <c r="G753" s="4" t="s">
        <v>2428</v>
      </c>
      <c r="H753" s="4" t="s">
        <v>2353</v>
      </c>
      <c r="I753" s="4"/>
      <c r="J753" s="4" t="s">
        <v>139</v>
      </c>
      <c r="K753" s="4" t="s">
        <v>141</v>
      </c>
      <c r="L753" s="4" t="s">
        <v>150</v>
      </c>
      <c r="M753" s="4" t="s">
        <v>143</v>
      </c>
      <c r="N753" s="4" t="s">
        <v>291</v>
      </c>
      <c r="O753" s="4" t="s">
        <v>356</v>
      </c>
      <c r="P753" s="4"/>
      <c r="Q753" s="4"/>
      <c r="R753" s="4">
        <v>20</v>
      </c>
      <c r="S753" s="4">
        <v>20</v>
      </c>
      <c r="T753" s="4"/>
      <c r="U753" s="4">
        <v>-43.557065520000002</v>
      </c>
      <c r="V753" s="4">
        <v>172.69719212999999</v>
      </c>
      <c r="W753" s="4"/>
      <c r="X753" s="4"/>
      <c r="Y753" s="4"/>
      <c r="Z753" s="4"/>
      <c r="AA753" s="4" t="s">
        <v>171</v>
      </c>
      <c r="AB753" s="3" t="str">
        <f>HYPERLINK("https://sitebase.nzcomms.co.nz/spm/spmcandidateview/CHC-060-045-A/","CHC-060-045-A")</f>
        <v>CHC-060-045-A</v>
      </c>
      <c r="AC753" s="4"/>
      <c r="AD753" s="4"/>
      <c r="AE753" s="4"/>
      <c r="AF753" s="4"/>
      <c r="AG753" s="4"/>
      <c r="AH753" s="4" t="s">
        <v>2429</v>
      </c>
      <c r="AI753" s="4"/>
      <c r="AJ753" s="4"/>
      <c r="AK753" s="4"/>
      <c r="AL753" s="4"/>
      <c r="AM753" s="4"/>
      <c r="AN753" s="5">
        <v>39729</v>
      </c>
      <c r="AO753" s="4">
        <v>3</v>
      </c>
      <c r="AP753" s="5">
        <v>39801</v>
      </c>
      <c r="AQ753" s="5">
        <v>39801</v>
      </c>
      <c r="AR753" s="4"/>
      <c r="AS753" s="4"/>
      <c r="AT753" s="5">
        <v>39745</v>
      </c>
      <c r="AU753" s="5">
        <v>39738</v>
      </c>
      <c r="AV753" s="4">
        <v>3</v>
      </c>
      <c r="AW753" s="5">
        <v>39827</v>
      </c>
      <c r="AX753" s="5">
        <v>39827</v>
      </c>
      <c r="AY753" s="4"/>
      <c r="AZ753" s="5">
        <v>39729</v>
      </c>
      <c r="BA753" s="4"/>
      <c r="BB753" s="4"/>
      <c r="BC753" s="4"/>
      <c r="BD753" s="4"/>
      <c r="BE753" s="5">
        <v>39773</v>
      </c>
      <c r="BF753" s="5">
        <v>39825</v>
      </c>
      <c r="BG753" s="4"/>
      <c r="BH753" s="5">
        <v>39764</v>
      </c>
      <c r="BI753" s="4"/>
      <c r="BJ753" s="5">
        <v>39780</v>
      </c>
      <c r="BK753" s="4">
        <v>2</v>
      </c>
      <c r="BL753" s="4">
        <v>3</v>
      </c>
      <c r="BM753" s="5">
        <v>39806</v>
      </c>
      <c r="BN753" s="5">
        <v>39806</v>
      </c>
      <c r="BO753" s="5">
        <v>39836</v>
      </c>
      <c r="BP753" s="4"/>
      <c r="BQ753" s="4"/>
      <c r="BR753" s="4"/>
      <c r="BS753" s="4"/>
      <c r="BT753" s="4"/>
      <c r="BU753" s="5">
        <v>39820</v>
      </c>
      <c r="BV753" s="5">
        <v>39844</v>
      </c>
      <c r="BW753" s="5">
        <v>39844</v>
      </c>
      <c r="BX753" s="4"/>
      <c r="BY753" s="5">
        <v>39864</v>
      </c>
      <c r="BZ753" s="5">
        <v>39856</v>
      </c>
      <c r="CA753" s="4"/>
      <c r="CB753" s="4"/>
      <c r="CC753" s="4"/>
      <c r="CD753" s="4"/>
      <c r="CE753" s="4"/>
      <c r="CF753" s="4"/>
      <c r="CG753" s="4"/>
      <c r="CH753" s="4"/>
      <c r="CI753" s="5">
        <v>39871</v>
      </c>
      <c r="CJ753" s="4"/>
      <c r="CK753" s="5">
        <v>39871</v>
      </c>
      <c r="CL753" s="4"/>
      <c r="CM753" s="4"/>
      <c r="CN753" s="4"/>
      <c r="CO753" s="4"/>
      <c r="CP753" s="4"/>
      <c r="CQ753" s="4"/>
      <c r="CR753" s="4"/>
      <c r="CS753" s="4"/>
      <c r="CT753" s="4"/>
      <c r="CU753" s="4"/>
      <c r="CV753" s="4"/>
      <c r="CW753" s="5">
        <v>39846</v>
      </c>
      <c r="CX753" s="5">
        <v>39836</v>
      </c>
      <c r="CY753" s="4"/>
      <c r="CZ753" s="4"/>
      <c r="DA753" s="4"/>
      <c r="DB753" s="4"/>
      <c r="DC753" s="4"/>
      <c r="DD753" s="4"/>
      <c r="DE753" s="4"/>
      <c r="DF753" s="4"/>
      <c r="DG753" s="4"/>
      <c r="DH753" s="4"/>
      <c r="DI753" s="4"/>
      <c r="DJ753" s="4" t="b">
        <v>0</v>
      </c>
      <c r="DK753" s="4"/>
      <c r="DL753" s="4">
        <v>2485545</v>
      </c>
      <c r="DM753" s="4">
        <v>5738887</v>
      </c>
      <c r="DN753" s="4" t="s">
        <v>2430</v>
      </c>
      <c r="DO753" s="4"/>
      <c r="DP753" s="4"/>
      <c r="DQ753" s="4" t="s">
        <v>148</v>
      </c>
      <c r="DR753" s="4"/>
      <c r="DS753" s="4"/>
      <c r="DT753" s="4"/>
      <c r="DU753" s="4"/>
      <c r="DV753" s="4"/>
      <c r="DW753" s="4"/>
      <c r="DX753" s="4"/>
      <c r="DY753" s="4"/>
      <c r="DZ753" s="5">
        <v>39793</v>
      </c>
      <c r="EA753" s="4"/>
      <c r="EB753" s="4"/>
      <c r="EC753" s="4"/>
      <c r="ED753" s="4"/>
      <c r="EE753" s="4"/>
      <c r="EF753" s="4"/>
      <c r="EG753" s="4"/>
      <c r="EH753" s="4"/>
      <c r="EI753" s="5">
        <v>39721</v>
      </c>
    </row>
    <row r="754" spans="1:139" hidden="1" x14ac:dyDescent="0.2">
      <c r="A754">
        <f>VLOOKUP(B754,Sheet1!$A$1:$B$18,2,FALSE)</f>
        <v>0</v>
      </c>
      <c r="B754" t="str">
        <f>LEFT(D754,3)</f>
        <v>CHC</v>
      </c>
      <c r="C754" s="2">
        <v>753</v>
      </c>
      <c r="D754" s="3" t="str">
        <f>HYPERLINK("https://sitebase.nzcomms.co.nz/spm/spmnominalview/CHC-060-028/","CHC-060-028")</f>
        <v>CHC-060-028</v>
      </c>
      <c r="E754" s="4"/>
      <c r="F754" s="3" t="str">
        <f>HYPERLINK("https://sitebase.nzcomms.co.nz/spm/spmcandidateview/CHC-060-028-B/","CHC-060-028-B")</f>
        <v>CHC-060-028-B</v>
      </c>
      <c r="G754" s="4" t="s">
        <v>2431</v>
      </c>
      <c r="H754" s="4" t="s">
        <v>2353</v>
      </c>
      <c r="I754" s="4"/>
      <c r="J754" s="4" t="s">
        <v>139</v>
      </c>
      <c r="K754" s="4" t="s">
        <v>141</v>
      </c>
      <c r="L754" s="4" t="s">
        <v>150</v>
      </c>
      <c r="M754" s="4" t="s">
        <v>143</v>
      </c>
      <c r="N754" s="4" t="s">
        <v>156</v>
      </c>
      <c r="O754" s="4" t="s">
        <v>356</v>
      </c>
      <c r="P754" s="4"/>
      <c r="Q754" s="4"/>
      <c r="R754" s="4">
        <v>25</v>
      </c>
      <c r="S754" s="4">
        <v>25</v>
      </c>
      <c r="T754" s="4"/>
      <c r="U754" s="4">
        <v>-43.467072889999997</v>
      </c>
      <c r="V754" s="4">
        <v>172.61227008</v>
      </c>
      <c r="W754" s="4"/>
      <c r="X754" s="4"/>
      <c r="Y754" s="4"/>
      <c r="Z754" s="4"/>
      <c r="AA754" s="4" t="s">
        <v>217</v>
      </c>
      <c r="AB754" s="4" t="s">
        <v>2432</v>
      </c>
      <c r="AC754" s="4"/>
      <c r="AD754" s="4"/>
      <c r="AE754" s="4"/>
      <c r="AF754" s="4"/>
      <c r="AG754" s="4"/>
      <c r="AH754" s="4" t="s">
        <v>639</v>
      </c>
      <c r="AI754" s="4"/>
      <c r="AJ754" s="4"/>
      <c r="AK754" s="4"/>
      <c r="AL754" s="4"/>
      <c r="AM754" s="4"/>
      <c r="AN754" s="5">
        <v>39734</v>
      </c>
      <c r="AO754" s="4">
        <v>1</v>
      </c>
      <c r="AP754" s="5">
        <v>39734</v>
      </c>
      <c r="AQ754" s="5">
        <v>39734</v>
      </c>
      <c r="AR754" s="4"/>
      <c r="AS754" s="4"/>
      <c r="AT754" s="5">
        <v>39798</v>
      </c>
      <c r="AU754" s="5">
        <v>39773</v>
      </c>
      <c r="AV754" s="4">
        <v>1</v>
      </c>
      <c r="AW754" s="5">
        <v>39798</v>
      </c>
      <c r="AX754" s="5">
        <v>39773</v>
      </c>
      <c r="AY754" s="4"/>
      <c r="AZ754" s="5">
        <v>39736</v>
      </c>
      <c r="BA754" s="4"/>
      <c r="BB754" s="4"/>
      <c r="BC754" s="4"/>
      <c r="BD754" s="4"/>
      <c r="BE754" s="5">
        <v>39777</v>
      </c>
      <c r="BF754" s="5">
        <v>39752</v>
      </c>
      <c r="BG754" s="4"/>
      <c r="BH754" s="5">
        <v>39772</v>
      </c>
      <c r="BI754" s="4"/>
      <c r="BJ754" s="5">
        <v>39787</v>
      </c>
      <c r="BK754" s="4">
        <v>1</v>
      </c>
      <c r="BL754" s="4">
        <v>1</v>
      </c>
      <c r="BM754" s="5">
        <v>39787</v>
      </c>
      <c r="BN754" s="5">
        <v>39787</v>
      </c>
      <c r="BO754" s="5">
        <v>39877</v>
      </c>
      <c r="BP754" s="4"/>
      <c r="BQ754" s="4"/>
      <c r="BR754" s="4"/>
      <c r="BS754" s="4"/>
      <c r="BT754" s="5">
        <v>39885</v>
      </c>
      <c r="BU754" s="5">
        <v>39881</v>
      </c>
      <c r="BV754" s="5">
        <v>39902</v>
      </c>
      <c r="BW754" s="5">
        <v>39902</v>
      </c>
      <c r="BX754" s="4"/>
      <c r="BY754" s="5">
        <v>39930</v>
      </c>
      <c r="BZ754" s="5">
        <v>39911</v>
      </c>
      <c r="CA754" s="4"/>
      <c r="CB754" s="4"/>
      <c r="CC754" s="4"/>
      <c r="CD754" s="4"/>
      <c r="CE754" s="4"/>
      <c r="CF754" s="4"/>
      <c r="CG754" s="4"/>
      <c r="CH754" s="4"/>
      <c r="CI754" s="5">
        <v>39924</v>
      </c>
      <c r="CJ754" s="5">
        <v>39933</v>
      </c>
      <c r="CK754" s="5">
        <v>39924</v>
      </c>
      <c r="CL754" s="4"/>
      <c r="CM754" s="4"/>
      <c r="CN754" s="4"/>
      <c r="CO754" s="4"/>
      <c r="CP754" s="4"/>
      <c r="CQ754" s="4"/>
      <c r="CR754" s="5">
        <v>39930</v>
      </c>
      <c r="CS754" s="4"/>
      <c r="CT754" s="4"/>
      <c r="CU754" s="4"/>
      <c r="CV754" s="4"/>
      <c r="CW754" s="5">
        <v>39878</v>
      </c>
      <c r="CX754" s="5">
        <v>39877</v>
      </c>
      <c r="CY754" s="4"/>
      <c r="CZ754" s="4"/>
      <c r="DA754" s="4"/>
      <c r="DB754" s="4"/>
      <c r="DC754" s="4"/>
      <c r="DD754" s="4"/>
      <c r="DE754" s="4"/>
      <c r="DF754" s="4"/>
      <c r="DG754" s="4"/>
      <c r="DH754" s="4"/>
      <c r="DI754" s="4"/>
      <c r="DJ754" s="4" t="b">
        <v>0</v>
      </c>
      <c r="DK754" s="4"/>
      <c r="DL754" s="4">
        <v>2478637</v>
      </c>
      <c r="DM754" s="4">
        <v>5748857</v>
      </c>
      <c r="DN754" s="4" t="s">
        <v>2433</v>
      </c>
      <c r="DO754" s="4"/>
      <c r="DP754" s="4"/>
      <c r="DQ754" s="4" t="s">
        <v>148</v>
      </c>
      <c r="DR754" s="4"/>
      <c r="DS754" s="4"/>
      <c r="DT754" s="5">
        <v>42289</v>
      </c>
      <c r="DU754" s="4"/>
      <c r="DV754" s="4"/>
      <c r="DW754" s="4"/>
      <c r="DX754" s="4"/>
      <c r="DY754" s="5">
        <v>39881</v>
      </c>
      <c r="DZ754" s="5">
        <v>39881</v>
      </c>
      <c r="EA754" s="4"/>
      <c r="EB754" s="4"/>
      <c r="EC754" s="4"/>
      <c r="ED754" s="4"/>
      <c r="EE754" s="4"/>
      <c r="EF754" s="4"/>
      <c r="EG754" s="4"/>
      <c r="EH754" s="4"/>
      <c r="EI754" s="5">
        <v>39727</v>
      </c>
    </row>
    <row r="755" spans="1:139" hidden="1" x14ac:dyDescent="0.2">
      <c r="A755">
        <f>VLOOKUP(B755,Sheet1!$A$1:$B$18,2,FALSE)</f>
        <v>0</v>
      </c>
      <c r="B755" t="str">
        <f>LEFT(D755,3)</f>
        <v>CHC</v>
      </c>
      <c r="C755" s="2">
        <v>754</v>
      </c>
      <c r="D755" s="3" t="str">
        <f>HYPERLINK("https://sitebase.nzcomms.co.nz/spm/spmnominalview/CHC-060-029/","CHC-060-029")</f>
        <v>CHC-060-029</v>
      </c>
      <c r="E755" s="4"/>
      <c r="F755" s="3" t="str">
        <f>HYPERLINK("https://sitebase.nzcomms.co.nz/spm/spmcandidateview/CHC-060-029-A/","CHC-060-029-A")</f>
        <v>CHC-060-029-A</v>
      </c>
      <c r="G755" s="4" t="s">
        <v>2434</v>
      </c>
      <c r="H755" s="4" t="s">
        <v>2353</v>
      </c>
      <c r="I755" s="4"/>
      <c r="J755" s="4" t="s">
        <v>139</v>
      </c>
      <c r="K755" s="4" t="s">
        <v>141</v>
      </c>
      <c r="L755" s="4" t="s">
        <v>150</v>
      </c>
      <c r="M755" s="4" t="s">
        <v>143</v>
      </c>
      <c r="N755" s="4" t="s">
        <v>291</v>
      </c>
      <c r="O755" s="4" t="s">
        <v>144</v>
      </c>
      <c r="P755" s="4"/>
      <c r="Q755" s="4"/>
      <c r="R755" s="4">
        <v>20</v>
      </c>
      <c r="S755" s="4">
        <v>20</v>
      </c>
      <c r="T755" s="4"/>
      <c r="U755" s="4">
        <v>-43.445554360000003</v>
      </c>
      <c r="V755" s="4">
        <v>172.63791732999999</v>
      </c>
      <c r="W755" s="4"/>
      <c r="X755" s="4"/>
      <c r="Y755" s="4"/>
      <c r="Z755" s="4"/>
      <c r="AA755" s="4" t="s">
        <v>217</v>
      </c>
      <c r="AB755" s="4" t="s">
        <v>2435</v>
      </c>
      <c r="AC755" s="4"/>
      <c r="AD755" s="4"/>
      <c r="AE755" s="4"/>
      <c r="AF755" s="4"/>
      <c r="AG755" s="4"/>
      <c r="AH755" s="4" t="s">
        <v>658</v>
      </c>
      <c r="AI755" s="4"/>
      <c r="AJ755" s="4"/>
      <c r="AK755" s="4"/>
      <c r="AL755" s="4"/>
      <c r="AM755" s="4"/>
      <c r="AN755" s="5">
        <v>39429</v>
      </c>
      <c r="AO755" s="4">
        <v>1</v>
      </c>
      <c r="AP755" s="5">
        <v>39429</v>
      </c>
      <c r="AQ755" s="5">
        <v>39429</v>
      </c>
      <c r="AR755" s="4"/>
      <c r="AS755" s="4"/>
      <c r="AT755" s="5">
        <v>39471</v>
      </c>
      <c r="AU755" s="5">
        <v>39471</v>
      </c>
      <c r="AV755" s="4">
        <v>1</v>
      </c>
      <c r="AW755" s="5">
        <v>39471</v>
      </c>
      <c r="AX755" s="5">
        <v>39471</v>
      </c>
      <c r="AY755" s="4"/>
      <c r="AZ755" s="4"/>
      <c r="BA755" s="4"/>
      <c r="BB755" s="4"/>
      <c r="BC755" s="4"/>
      <c r="BD755" s="4"/>
      <c r="BE755" s="5">
        <v>39506</v>
      </c>
      <c r="BF755" s="5">
        <v>39506</v>
      </c>
      <c r="BG755" s="4"/>
      <c r="BH755" s="5">
        <v>39500</v>
      </c>
      <c r="BI755" s="4"/>
      <c r="BJ755" s="5">
        <v>39555</v>
      </c>
      <c r="BK755" s="4">
        <v>3</v>
      </c>
      <c r="BL755" s="4">
        <v>1</v>
      </c>
      <c r="BM755" s="5">
        <v>39555</v>
      </c>
      <c r="BN755" s="5">
        <v>40038</v>
      </c>
      <c r="BO755" s="4"/>
      <c r="BP755" s="4"/>
      <c r="BQ755" s="4"/>
      <c r="BR755" s="4"/>
      <c r="BS755" s="4"/>
      <c r="BT755" s="4"/>
      <c r="BU755" s="5">
        <v>39587</v>
      </c>
      <c r="BV755" s="5">
        <v>39598</v>
      </c>
      <c r="BW755" s="5">
        <v>39598</v>
      </c>
      <c r="BX755" s="4"/>
      <c r="BY755" s="5">
        <v>39626</v>
      </c>
      <c r="BZ755" s="5">
        <v>39629</v>
      </c>
      <c r="CA755" s="4"/>
      <c r="CB755" s="4"/>
      <c r="CC755" s="4"/>
      <c r="CD755" s="4"/>
      <c r="CE755" s="4"/>
      <c r="CF755" s="4"/>
      <c r="CG755" s="4"/>
      <c r="CH755" s="4"/>
      <c r="CI755" s="5">
        <v>39902</v>
      </c>
      <c r="CJ755" s="5">
        <v>39899</v>
      </c>
      <c r="CK755" s="5">
        <v>39902</v>
      </c>
      <c r="CL755" s="4"/>
      <c r="CM755" s="4"/>
      <c r="CN755" s="4"/>
      <c r="CO755" s="4"/>
      <c r="CP755" s="4"/>
      <c r="CQ755" s="4"/>
      <c r="CR755" s="5">
        <v>39899</v>
      </c>
      <c r="CS755" s="4"/>
      <c r="CT755" s="4"/>
      <c r="CU755" s="4"/>
      <c r="CV755" s="4"/>
      <c r="CW755" s="4"/>
      <c r="CX755" s="4"/>
      <c r="CY755" s="4"/>
      <c r="CZ755" s="4"/>
      <c r="DA755" s="4"/>
      <c r="DB755" s="4"/>
      <c r="DC755" s="4"/>
      <c r="DD755" s="4"/>
      <c r="DE755" s="4"/>
      <c r="DF755" s="4"/>
      <c r="DG755" s="4"/>
      <c r="DH755" s="4"/>
      <c r="DI755" s="4"/>
      <c r="DJ755" s="4" t="b">
        <v>0</v>
      </c>
      <c r="DK755" s="4"/>
      <c r="DL755" s="4">
        <v>2480702</v>
      </c>
      <c r="DM755" s="4">
        <v>5751257</v>
      </c>
      <c r="DN755" s="4" t="s">
        <v>2436</v>
      </c>
      <c r="DO755" s="4"/>
      <c r="DP755" s="4"/>
      <c r="DQ755" s="4" t="s">
        <v>148</v>
      </c>
      <c r="DR755" s="4"/>
      <c r="DS755" s="4"/>
      <c r="DT755" s="4"/>
      <c r="DU755" s="4"/>
      <c r="DV755" s="4"/>
      <c r="DW755" s="4"/>
      <c r="DX755" s="4"/>
      <c r="DY755" s="4"/>
      <c r="DZ755" s="5">
        <v>39556</v>
      </c>
      <c r="EA755" s="4"/>
      <c r="EB755" s="4"/>
      <c r="EC755" s="4"/>
      <c r="ED755" s="4"/>
      <c r="EE755" s="4"/>
      <c r="EF755" s="4"/>
      <c r="EG755" s="4"/>
      <c r="EH755" s="4"/>
      <c r="EI755" s="5">
        <v>39398</v>
      </c>
    </row>
    <row r="756" spans="1:139" hidden="1" x14ac:dyDescent="0.2">
      <c r="A756">
        <f>VLOOKUP(B756,Sheet1!$A$1:$B$18,2,FALSE)</f>
        <v>0</v>
      </c>
      <c r="B756" t="str">
        <f>LEFT(D756,3)</f>
        <v>CHC</v>
      </c>
      <c r="C756" s="2">
        <v>755</v>
      </c>
      <c r="D756" s="3" t="str">
        <f>HYPERLINK("https://sitebase.nzcomms.co.nz/spm/spmnominalview/CHC-060-030/","CHC-060-030")</f>
        <v>CHC-060-030</v>
      </c>
      <c r="E756" s="4"/>
      <c r="F756" s="3" t="str">
        <f>HYPERLINK("https://sitebase.nzcomms.co.nz/spm/spmcandidateview/CHC-060-030-D/","CHC-060-030-D")</f>
        <v>CHC-060-030-D</v>
      </c>
      <c r="G756" s="4" t="s">
        <v>2437</v>
      </c>
      <c r="H756" s="4" t="s">
        <v>2353</v>
      </c>
      <c r="I756" s="4"/>
      <c r="J756" s="4" t="s">
        <v>139</v>
      </c>
      <c r="K756" s="4" t="s">
        <v>141</v>
      </c>
      <c r="L756" s="4" t="s">
        <v>150</v>
      </c>
      <c r="M756" s="4" t="s">
        <v>143</v>
      </c>
      <c r="N756" s="4" t="s">
        <v>291</v>
      </c>
      <c r="O756" s="4" t="s">
        <v>356</v>
      </c>
      <c r="P756" s="4"/>
      <c r="Q756" s="4"/>
      <c r="R756" s="4">
        <v>20</v>
      </c>
      <c r="S756" s="4">
        <v>20</v>
      </c>
      <c r="T756" s="4"/>
      <c r="U756" s="4">
        <v>-43.49049282</v>
      </c>
      <c r="V756" s="4">
        <v>172.58631985</v>
      </c>
      <c r="W756" s="4"/>
      <c r="X756" s="4"/>
      <c r="Y756" s="4"/>
      <c r="Z756" s="4"/>
      <c r="AA756" s="4" t="s">
        <v>217</v>
      </c>
      <c r="AB756" s="4" t="s">
        <v>2438</v>
      </c>
      <c r="AC756" s="4"/>
      <c r="AD756" s="4"/>
      <c r="AE756" s="4"/>
      <c r="AF756" s="4"/>
      <c r="AG756" s="4"/>
      <c r="AH756" s="4" t="s">
        <v>2439</v>
      </c>
      <c r="AI756" s="4"/>
      <c r="AJ756" s="4"/>
      <c r="AK756" s="4"/>
      <c r="AL756" s="4"/>
      <c r="AM756" s="4"/>
      <c r="AN756" s="5">
        <v>39546</v>
      </c>
      <c r="AO756" s="4">
        <v>2</v>
      </c>
      <c r="AP756" s="5">
        <v>39668</v>
      </c>
      <c r="AQ756" s="5">
        <v>39738</v>
      </c>
      <c r="AR756" s="4"/>
      <c r="AS756" s="4"/>
      <c r="AT756" s="5">
        <v>39766</v>
      </c>
      <c r="AU756" s="5">
        <v>39765</v>
      </c>
      <c r="AV756" s="4">
        <v>2</v>
      </c>
      <c r="AW756" s="5">
        <v>39766</v>
      </c>
      <c r="AX756" s="5">
        <v>39765</v>
      </c>
      <c r="AY756" s="4"/>
      <c r="AZ756" s="4"/>
      <c r="BA756" s="4"/>
      <c r="BB756" s="4"/>
      <c r="BC756" s="4"/>
      <c r="BD756" s="4"/>
      <c r="BE756" s="5">
        <v>39615</v>
      </c>
      <c r="BF756" s="5">
        <v>39615</v>
      </c>
      <c r="BG756" s="4"/>
      <c r="BH756" s="5">
        <v>39567</v>
      </c>
      <c r="BI756" s="4"/>
      <c r="BJ756" s="5">
        <v>39681</v>
      </c>
      <c r="BK756" s="4">
        <v>2</v>
      </c>
      <c r="BL756" s="4">
        <v>2</v>
      </c>
      <c r="BM756" s="5">
        <v>39736</v>
      </c>
      <c r="BN756" s="5">
        <v>39736</v>
      </c>
      <c r="BO756" s="4"/>
      <c r="BP756" s="4"/>
      <c r="BQ756" s="4"/>
      <c r="BR756" s="4"/>
      <c r="BS756" s="4"/>
      <c r="BT756" s="4"/>
      <c r="BU756" s="5">
        <v>39783</v>
      </c>
      <c r="BV756" s="5">
        <v>39805</v>
      </c>
      <c r="BW756" s="5">
        <v>39801</v>
      </c>
      <c r="BX756" s="4"/>
      <c r="BY756" s="5">
        <v>39819</v>
      </c>
      <c r="BZ756" s="5">
        <v>39805</v>
      </c>
      <c r="CA756" s="4"/>
      <c r="CB756" s="4"/>
      <c r="CC756" s="4"/>
      <c r="CD756" s="4"/>
      <c r="CE756" s="4"/>
      <c r="CF756" s="4"/>
      <c r="CG756" s="4"/>
      <c r="CH756" s="4"/>
      <c r="CI756" s="5">
        <v>39806</v>
      </c>
      <c r="CJ756" s="5">
        <v>39813</v>
      </c>
      <c r="CK756" s="5">
        <v>39806</v>
      </c>
      <c r="CL756" s="4"/>
      <c r="CM756" s="4"/>
      <c r="CN756" s="4"/>
      <c r="CO756" s="4"/>
      <c r="CP756" s="4"/>
      <c r="CQ756" s="4"/>
      <c r="CR756" s="5">
        <v>39813</v>
      </c>
      <c r="CS756" s="4"/>
      <c r="CT756" s="4"/>
      <c r="CU756" s="4"/>
      <c r="CV756" s="4"/>
      <c r="CW756" s="4"/>
      <c r="CX756" s="4"/>
      <c r="CY756" s="4"/>
      <c r="CZ756" s="4"/>
      <c r="DA756" s="4"/>
      <c r="DB756" s="4"/>
      <c r="DC756" s="4"/>
      <c r="DD756" s="4"/>
      <c r="DE756" s="4"/>
      <c r="DF756" s="4"/>
      <c r="DG756" s="4"/>
      <c r="DH756" s="4"/>
      <c r="DI756" s="4"/>
      <c r="DJ756" s="4" t="b">
        <v>0</v>
      </c>
      <c r="DK756" s="4"/>
      <c r="DL756" s="4">
        <v>2476550</v>
      </c>
      <c r="DM756" s="4">
        <v>5746245</v>
      </c>
      <c r="DN756" s="4" t="s">
        <v>2440</v>
      </c>
      <c r="DO756" s="4"/>
      <c r="DP756" s="4"/>
      <c r="DQ756" s="4" t="s">
        <v>148</v>
      </c>
      <c r="DR756" s="4"/>
      <c r="DS756" s="4"/>
      <c r="DT756" s="5">
        <v>42289</v>
      </c>
      <c r="DU756" s="4"/>
      <c r="DV756" s="4"/>
      <c r="DW756" s="4"/>
      <c r="DX756" s="4"/>
      <c r="DY756" s="4"/>
      <c r="DZ756" s="5">
        <v>39780</v>
      </c>
      <c r="EA756" s="4"/>
      <c r="EB756" s="4"/>
      <c r="EC756" s="4"/>
      <c r="ED756" s="4"/>
      <c r="EE756" s="4"/>
      <c r="EF756" s="4"/>
      <c r="EG756" s="4"/>
      <c r="EH756" s="4"/>
      <c r="EI756" s="5">
        <v>39476</v>
      </c>
    </row>
    <row r="757" spans="1:139" hidden="1" x14ac:dyDescent="0.2">
      <c r="A757">
        <f>VLOOKUP(B757,Sheet1!$A$1:$B$18,2,FALSE)</f>
        <v>0</v>
      </c>
      <c r="B757" t="str">
        <f>LEFT(D757,3)</f>
        <v>CHC</v>
      </c>
      <c r="C757" s="2">
        <v>756</v>
      </c>
      <c r="D757" s="3" t="str">
        <f>HYPERLINK("https://sitebase.nzcomms.co.nz/spm/spmnominalview/CHC-060-031/","CHC-060-031")</f>
        <v>CHC-060-031</v>
      </c>
      <c r="E757" s="4"/>
      <c r="F757" s="3" t="str">
        <f>HYPERLINK("https://sitebase.nzcomms.co.nz/spm/spmcandidateview/CHC-060-031-F/","CHC-060-031-F")</f>
        <v>CHC-060-031-F</v>
      </c>
      <c r="G757" s="4" t="s">
        <v>2441</v>
      </c>
      <c r="H757" s="4" t="s">
        <v>2353</v>
      </c>
      <c r="I757" s="4"/>
      <c r="J757" s="4" t="s">
        <v>139</v>
      </c>
      <c r="K757" s="4" t="s">
        <v>141</v>
      </c>
      <c r="L757" s="4" t="s">
        <v>189</v>
      </c>
      <c r="M757" s="4" t="s">
        <v>354</v>
      </c>
      <c r="N757" s="4" t="s">
        <v>2348</v>
      </c>
      <c r="O757" s="4" t="s">
        <v>356</v>
      </c>
      <c r="P757" s="4"/>
      <c r="Q757" s="4"/>
      <c r="R757" s="4">
        <v>18</v>
      </c>
      <c r="S757" s="4">
        <v>18</v>
      </c>
      <c r="T757" s="4"/>
      <c r="U757" s="4">
        <v>-43.500287470000004</v>
      </c>
      <c r="V757" s="4">
        <v>172.56010169999999</v>
      </c>
      <c r="W757" s="4"/>
      <c r="X757" s="4"/>
      <c r="Y757" s="4"/>
      <c r="Z757" s="4"/>
      <c r="AA757" s="4" t="s">
        <v>217</v>
      </c>
      <c r="AB757" s="4" t="s">
        <v>2442</v>
      </c>
      <c r="AC757" s="4"/>
      <c r="AD757" s="4"/>
      <c r="AE757" s="4"/>
      <c r="AF757" s="4"/>
      <c r="AG757" s="4"/>
      <c r="AH757" s="4" t="s">
        <v>2443</v>
      </c>
      <c r="AI757" s="4"/>
      <c r="AJ757" s="4"/>
      <c r="AK757" s="4"/>
      <c r="AL757" s="4"/>
      <c r="AM757" s="4"/>
      <c r="AN757" s="5">
        <v>39487</v>
      </c>
      <c r="AO757" s="4">
        <v>1</v>
      </c>
      <c r="AP757" s="5">
        <v>39462</v>
      </c>
      <c r="AQ757" s="5">
        <v>39487</v>
      </c>
      <c r="AR757" s="4"/>
      <c r="AS757" s="4"/>
      <c r="AT757" s="5">
        <v>39503</v>
      </c>
      <c r="AU757" s="5">
        <v>39503</v>
      </c>
      <c r="AV757" s="4">
        <v>1</v>
      </c>
      <c r="AW757" s="5">
        <v>39503</v>
      </c>
      <c r="AX757" s="5">
        <v>39503</v>
      </c>
      <c r="AY757" s="4"/>
      <c r="AZ757" s="4"/>
      <c r="BA757" s="4"/>
      <c r="BB757" s="4"/>
      <c r="BC757" s="4"/>
      <c r="BD757" s="4"/>
      <c r="BE757" s="5">
        <v>39568</v>
      </c>
      <c r="BF757" s="5">
        <v>39568</v>
      </c>
      <c r="BG757" s="4"/>
      <c r="BH757" s="5">
        <v>39567</v>
      </c>
      <c r="BI757" s="4"/>
      <c r="BJ757" s="5">
        <v>39580</v>
      </c>
      <c r="BK757" s="4">
        <v>1</v>
      </c>
      <c r="BL757" s="4">
        <v>1</v>
      </c>
      <c r="BM757" s="5">
        <v>39580</v>
      </c>
      <c r="BN757" s="5">
        <v>39580</v>
      </c>
      <c r="BO757" s="4"/>
      <c r="BP757" s="4"/>
      <c r="BQ757" s="4"/>
      <c r="BR757" s="4"/>
      <c r="BS757" s="4"/>
      <c r="BT757" s="4"/>
      <c r="BU757" s="5">
        <v>39654</v>
      </c>
      <c r="BV757" s="5">
        <v>39689</v>
      </c>
      <c r="BW757" s="5">
        <v>39689</v>
      </c>
      <c r="BX757" s="4"/>
      <c r="BY757" s="5">
        <v>39703</v>
      </c>
      <c r="BZ757" s="5">
        <v>39715</v>
      </c>
      <c r="CA757" s="4"/>
      <c r="CB757" s="4"/>
      <c r="CC757" s="4"/>
      <c r="CD757" s="4"/>
      <c r="CE757" s="4"/>
      <c r="CF757" s="4"/>
      <c r="CG757" s="4"/>
      <c r="CH757" s="4"/>
      <c r="CI757" s="5">
        <v>39800</v>
      </c>
      <c r="CJ757" s="5">
        <v>39793</v>
      </c>
      <c r="CK757" s="5">
        <v>39800</v>
      </c>
      <c r="CL757" s="4"/>
      <c r="CM757" s="4"/>
      <c r="CN757" s="4"/>
      <c r="CO757" s="4"/>
      <c r="CP757" s="4"/>
      <c r="CQ757" s="4"/>
      <c r="CR757" s="5">
        <v>39779</v>
      </c>
      <c r="CS757" s="4"/>
      <c r="CT757" s="4"/>
      <c r="CU757" s="4"/>
      <c r="CV757" s="4"/>
      <c r="CW757" s="4"/>
      <c r="CX757" s="4"/>
      <c r="CY757" s="4"/>
      <c r="CZ757" s="4"/>
      <c r="DA757" s="4"/>
      <c r="DB757" s="4"/>
      <c r="DC757" s="4"/>
      <c r="DD757" s="4"/>
      <c r="DE757" s="4"/>
      <c r="DF757" s="4"/>
      <c r="DG757" s="4"/>
      <c r="DH757" s="4"/>
      <c r="DI757" s="4"/>
      <c r="DJ757" s="4" t="b">
        <v>0</v>
      </c>
      <c r="DK757" s="4"/>
      <c r="DL757" s="4">
        <v>2474435</v>
      </c>
      <c r="DM757" s="4">
        <v>5745146</v>
      </c>
      <c r="DN757" s="4" t="s">
        <v>2444</v>
      </c>
      <c r="DO757" s="4"/>
      <c r="DP757" s="4"/>
      <c r="DQ757" s="4" t="s">
        <v>148</v>
      </c>
      <c r="DR757" s="4"/>
      <c r="DS757" s="4"/>
      <c r="DT757" s="5">
        <v>41901</v>
      </c>
      <c r="DU757" s="4"/>
      <c r="DV757" s="4"/>
      <c r="DW757" s="4"/>
      <c r="DX757" s="4"/>
      <c r="DY757" s="4"/>
      <c r="DZ757" s="5">
        <v>39650</v>
      </c>
      <c r="EA757" s="4"/>
      <c r="EB757" s="4"/>
      <c r="EC757" s="4"/>
      <c r="ED757" s="4"/>
      <c r="EE757" s="4"/>
      <c r="EF757" s="4"/>
      <c r="EG757" s="4"/>
      <c r="EH757" s="4"/>
      <c r="EI757" s="5">
        <v>39462</v>
      </c>
    </row>
    <row r="758" spans="1:139" hidden="1" x14ac:dyDescent="0.2">
      <c r="A758">
        <f>VLOOKUP(B758,Sheet1!$A$1:$B$18,2,FALSE)</f>
        <v>0</v>
      </c>
      <c r="B758" t="str">
        <f>LEFT(D758,3)</f>
        <v>CHC</v>
      </c>
      <c r="C758" s="2">
        <v>757</v>
      </c>
      <c r="D758" s="3" t="str">
        <f>HYPERLINK("https://sitebase.nzcomms.co.nz/spm/spmnominalview/CHC-060-032/","CHC-060-032")</f>
        <v>CHC-060-032</v>
      </c>
      <c r="E758" s="4"/>
      <c r="F758" s="3" t="str">
        <f>HYPERLINK("https://sitebase.nzcomms.co.nz/spm/spmcandidateview/CHC-060-032-G/","CHC-060-032-G")</f>
        <v>CHC-060-032-G</v>
      </c>
      <c r="G758" s="4" t="s">
        <v>2445</v>
      </c>
      <c r="H758" s="4" t="s">
        <v>2353</v>
      </c>
      <c r="I758" s="4"/>
      <c r="J758" s="4" t="s">
        <v>139</v>
      </c>
      <c r="K758" s="4" t="s">
        <v>141</v>
      </c>
      <c r="L758" s="4" t="s">
        <v>189</v>
      </c>
      <c r="M758" s="4" t="s">
        <v>143</v>
      </c>
      <c r="N758" s="4" t="s">
        <v>2348</v>
      </c>
      <c r="O758" s="4" t="s">
        <v>356</v>
      </c>
      <c r="P758" s="4"/>
      <c r="Q758" s="4"/>
      <c r="R758" s="4">
        <v>18</v>
      </c>
      <c r="S758" s="4">
        <v>18</v>
      </c>
      <c r="T758" s="4"/>
      <c r="U758" s="4">
        <v>-43.521640290000001</v>
      </c>
      <c r="V758" s="4">
        <v>172.53780666</v>
      </c>
      <c r="W758" s="4"/>
      <c r="X758" s="4"/>
      <c r="Y758" s="4"/>
      <c r="Z758" s="4"/>
      <c r="AA758" s="4" t="s">
        <v>217</v>
      </c>
      <c r="AB758" s="4" t="s">
        <v>2376</v>
      </c>
      <c r="AC758" s="4"/>
      <c r="AD758" s="4"/>
      <c r="AE758" s="4"/>
      <c r="AF758" s="4"/>
      <c r="AG758" s="4"/>
      <c r="AH758" s="4" t="s">
        <v>2359</v>
      </c>
      <c r="AI758" s="4"/>
      <c r="AJ758" s="4"/>
      <c r="AK758" s="4"/>
      <c r="AL758" s="4"/>
      <c r="AM758" s="4"/>
      <c r="AN758" s="5">
        <v>39559</v>
      </c>
      <c r="AO758" s="4">
        <v>1</v>
      </c>
      <c r="AP758" s="5">
        <v>39559</v>
      </c>
      <c r="AQ758" s="5">
        <v>39559</v>
      </c>
      <c r="AR758" s="4"/>
      <c r="AS758" s="4"/>
      <c r="AT758" s="5">
        <v>39533</v>
      </c>
      <c r="AU758" s="5">
        <v>39533</v>
      </c>
      <c r="AV758" s="4">
        <v>1</v>
      </c>
      <c r="AW758" s="5">
        <v>39533</v>
      </c>
      <c r="AX758" s="5">
        <v>39533</v>
      </c>
      <c r="AY758" s="4"/>
      <c r="AZ758" s="4"/>
      <c r="BA758" s="4"/>
      <c r="BB758" s="4"/>
      <c r="BC758" s="4"/>
      <c r="BD758" s="4"/>
      <c r="BE758" s="5">
        <v>39595</v>
      </c>
      <c r="BF758" s="5">
        <v>39595</v>
      </c>
      <c r="BG758" s="4"/>
      <c r="BH758" s="5">
        <v>39567</v>
      </c>
      <c r="BI758" s="4"/>
      <c r="BJ758" s="5">
        <v>39588</v>
      </c>
      <c r="BK758" s="4">
        <v>2</v>
      </c>
      <c r="BL758" s="4">
        <v>1</v>
      </c>
      <c r="BM758" s="5">
        <v>39692</v>
      </c>
      <c r="BN758" s="5">
        <v>39692</v>
      </c>
      <c r="BO758" s="4"/>
      <c r="BP758" s="4"/>
      <c r="BQ758" s="4"/>
      <c r="BR758" s="4"/>
      <c r="BS758" s="4"/>
      <c r="BT758" s="4"/>
      <c r="BU758" s="5">
        <v>39692</v>
      </c>
      <c r="BV758" s="5">
        <v>39719</v>
      </c>
      <c r="BW758" s="5">
        <v>39717</v>
      </c>
      <c r="BX758" s="4"/>
      <c r="BY758" s="5">
        <v>39744</v>
      </c>
      <c r="BZ758" s="5">
        <v>39745</v>
      </c>
      <c r="CA758" s="4"/>
      <c r="CB758" s="4"/>
      <c r="CC758" s="4"/>
      <c r="CD758" s="4"/>
      <c r="CE758" s="4"/>
      <c r="CF758" s="4"/>
      <c r="CG758" s="4"/>
      <c r="CH758" s="4"/>
      <c r="CI758" s="5">
        <v>39792</v>
      </c>
      <c r="CJ758" s="5">
        <v>39813</v>
      </c>
      <c r="CK758" s="5">
        <v>39792</v>
      </c>
      <c r="CL758" s="4"/>
      <c r="CM758" s="4"/>
      <c r="CN758" s="4"/>
      <c r="CO758" s="4"/>
      <c r="CP758" s="4"/>
      <c r="CQ758" s="4"/>
      <c r="CR758" s="5">
        <v>39813</v>
      </c>
      <c r="CS758" s="4"/>
      <c r="CT758" s="4"/>
      <c r="CU758" s="4"/>
      <c r="CV758" s="4"/>
      <c r="CW758" s="4"/>
      <c r="CX758" s="4"/>
      <c r="CY758" s="4"/>
      <c r="CZ758" s="4"/>
      <c r="DA758" s="4"/>
      <c r="DB758" s="4"/>
      <c r="DC758" s="4"/>
      <c r="DD758" s="4"/>
      <c r="DE758" s="4"/>
      <c r="DF758" s="4"/>
      <c r="DG758" s="4"/>
      <c r="DH758" s="4"/>
      <c r="DI758" s="4"/>
      <c r="DJ758" s="4" t="b">
        <v>0</v>
      </c>
      <c r="DK758" s="4"/>
      <c r="DL758" s="4">
        <v>2472645</v>
      </c>
      <c r="DM758" s="4">
        <v>5742764</v>
      </c>
      <c r="DN758" s="4" t="s">
        <v>2446</v>
      </c>
      <c r="DO758" s="4"/>
      <c r="DP758" s="4"/>
      <c r="DQ758" s="4" t="s">
        <v>148</v>
      </c>
      <c r="DR758" s="4"/>
      <c r="DS758" s="4"/>
      <c r="DT758" s="5">
        <v>42313</v>
      </c>
      <c r="DU758" s="4"/>
      <c r="DV758" s="4"/>
      <c r="DW758" s="4"/>
      <c r="DX758" s="4"/>
      <c r="DY758" s="4"/>
      <c r="DZ758" s="5">
        <v>39692</v>
      </c>
      <c r="EA758" s="4"/>
      <c r="EB758" s="4"/>
      <c r="EC758" s="4"/>
      <c r="ED758" s="4"/>
      <c r="EE758" s="4"/>
      <c r="EF758" s="4"/>
      <c r="EG758" s="4"/>
      <c r="EH758" s="4"/>
      <c r="EI758" s="5">
        <v>39519</v>
      </c>
    </row>
    <row r="759" spans="1:139" hidden="1" x14ac:dyDescent="0.2">
      <c r="A759">
        <f>VLOOKUP(B759,Sheet1!$A$1:$B$18,2,FALSE)</f>
        <v>0</v>
      </c>
      <c r="B759" t="str">
        <f>LEFT(D759,3)</f>
        <v>CHC</v>
      </c>
      <c r="C759" s="2">
        <v>758</v>
      </c>
      <c r="D759" s="3" t="str">
        <f>HYPERLINK("https://sitebase.nzcomms.co.nz/spm/spmnominalview/CHC-060-033/","CHC-060-033")</f>
        <v>CHC-060-033</v>
      </c>
      <c r="E759" s="4"/>
      <c r="F759" s="3" t="str">
        <f>HYPERLINK("https://sitebase.nzcomms.co.nz/spm/spmcandidateview/CHC-060-033-D/","CHC-060-033-D")</f>
        <v>CHC-060-033-D</v>
      </c>
      <c r="G759" s="4" t="s">
        <v>2447</v>
      </c>
      <c r="H759" s="4" t="s">
        <v>2353</v>
      </c>
      <c r="I759" s="4"/>
      <c r="J759" s="4" t="s">
        <v>139</v>
      </c>
      <c r="K759" s="4" t="s">
        <v>141</v>
      </c>
      <c r="L759" s="4" t="s">
        <v>150</v>
      </c>
      <c r="M759" s="4" t="s">
        <v>143</v>
      </c>
      <c r="N759" s="4" t="s">
        <v>291</v>
      </c>
      <c r="O759" s="4" t="s">
        <v>144</v>
      </c>
      <c r="P759" s="4"/>
      <c r="Q759" s="4"/>
      <c r="R759" s="4">
        <v>18.8</v>
      </c>
      <c r="S759" s="4">
        <v>18.8</v>
      </c>
      <c r="T759" s="4"/>
      <c r="U759" s="4">
        <v>-43.489845170000002</v>
      </c>
      <c r="V759" s="4">
        <v>172.56690239</v>
      </c>
      <c r="W759" s="4"/>
      <c r="X759" s="4"/>
      <c r="Y759" s="4"/>
      <c r="Z759" s="4"/>
      <c r="AA759" s="4" t="s">
        <v>217</v>
      </c>
      <c r="AB759" s="4" t="s">
        <v>2442</v>
      </c>
      <c r="AC759" s="4"/>
      <c r="AD759" s="4"/>
      <c r="AE759" s="4"/>
      <c r="AF759" s="4"/>
      <c r="AG759" s="4"/>
      <c r="AH759" s="4" t="s">
        <v>2439</v>
      </c>
      <c r="AI759" s="4"/>
      <c r="AJ759" s="4"/>
      <c r="AK759" s="4"/>
      <c r="AL759" s="4"/>
      <c r="AM759" s="4"/>
      <c r="AN759" s="5">
        <v>39315</v>
      </c>
      <c r="AO759" s="4">
        <v>3</v>
      </c>
      <c r="AP759" s="5">
        <v>39385</v>
      </c>
      <c r="AQ759" s="5">
        <v>39520</v>
      </c>
      <c r="AR759" s="4"/>
      <c r="AS759" s="4"/>
      <c r="AT759" s="5">
        <v>39414</v>
      </c>
      <c r="AU759" s="5">
        <v>39414</v>
      </c>
      <c r="AV759" s="4">
        <v>3</v>
      </c>
      <c r="AW759" s="5">
        <v>39414</v>
      </c>
      <c r="AX759" s="5">
        <v>39414</v>
      </c>
      <c r="AY759" s="4"/>
      <c r="AZ759" s="4"/>
      <c r="BA759" s="4"/>
      <c r="BB759" s="4"/>
      <c r="BC759" s="4"/>
      <c r="BD759" s="4"/>
      <c r="BE759" s="5">
        <v>39568</v>
      </c>
      <c r="BF759" s="5">
        <v>39568</v>
      </c>
      <c r="BG759" s="4"/>
      <c r="BH759" s="5">
        <v>39542</v>
      </c>
      <c r="BI759" s="4"/>
      <c r="BJ759" s="5">
        <v>39568</v>
      </c>
      <c r="BK759" s="4">
        <v>1</v>
      </c>
      <c r="BL759" s="4">
        <v>3</v>
      </c>
      <c r="BM759" s="5">
        <v>39568</v>
      </c>
      <c r="BN759" s="5">
        <v>39568</v>
      </c>
      <c r="BO759" s="4"/>
      <c r="BP759" s="4"/>
      <c r="BQ759" s="4"/>
      <c r="BR759" s="4"/>
      <c r="BS759" s="4"/>
      <c r="BT759" s="4"/>
      <c r="BU759" s="5">
        <v>39602</v>
      </c>
      <c r="BV759" s="5">
        <v>39660</v>
      </c>
      <c r="BW759" s="5">
        <v>39660</v>
      </c>
      <c r="BX759" s="4"/>
      <c r="BY759" s="5">
        <v>39674</v>
      </c>
      <c r="BZ759" s="5">
        <v>39688</v>
      </c>
      <c r="CA759" s="4"/>
      <c r="CB759" s="4"/>
      <c r="CC759" s="4"/>
      <c r="CD759" s="4"/>
      <c r="CE759" s="4"/>
      <c r="CF759" s="4"/>
      <c r="CG759" s="4"/>
      <c r="CH759" s="4"/>
      <c r="CI759" s="5">
        <v>39800</v>
      </c>
      <c r="CJ759" s="5">
        <v>39793</v>
      </c>
      <c r="CK759" s="5">
        <v>39800</v>
      </c>
      <c r="CL759" s="4"/>
      <c r="CM759" s="4"/>
      <c r="CN759" s="4"/>
      <c r="CO759" s="4"/>
      <c r="CP759" s="4"/>
      <c r="CQ759" s="4"/>
      <c r="CR759" s="5">
        <v>39779</v>
      </c>
      <c r="CS759" s="4"/>
      <c r="CT759" s="4"/>
      <c r="CU759" s="4"/>
      <c r="CV759" s="4"/>
      <c r="CW759" s="4"/>
      <c r="CX759" s="4"/>
      <c r="CY759" s="4"/>
      <c r="CZ759" s="4"/>
      <c r="DA759" s="4"/>
      <c r="DB759" s="4"/>
      <c r="DC759" s="4"/>
      <c r="DD759" s="4"/>
      <c r="DE759" s="4"/>
      <c r="DF759" s="4"/>
      <c r="DG759" s="4"/>
      <c r="DH759" s="4"/>
      <c r="DI759" s="4"/>
      <c r="DJ759" s="4" t="b">
        <v>0</v>
      </c>
      <c r="DK759" s="4"/>
      <c r="DL759" s="4">
        <v>2474979</v>
      </c>
      <c r="DM759" s="4">
        <v>5746309</v>
      </c>
      <c r="DN759" s="4" t="s">
        <v>2448</v>
      </c>
      <c r="DO759" s="4"/>
      <c r="DP759" s="4"/>
      <c r="DQ759" s="4" t="s">
        <v>148</v>
      </c>
      <c r="DR759" s="4"/>
      <c r="DS759" s="4"/>
      <c r="DT759" s="5">
        <v>42289</v>
      </c>
      <c r="DU759" s="4"/>
      <c r="DV759" s="4"/>
      <c r="DW759" s="4"/>
      <c r="DX759" s="4"/>
      <c r="DY759" s="4"/>
      <c r="DZ759" s="5">
        <v>39569</v>
      </c>
      <c r="EA759" s="4"/>
      <c r="EB759" s="4"/>
      <c r="EC759" s="4"/>
      <c r="ED759" s="4"/>
      <c r="EE759" s="4"/>
      <c r="EF759" s="4"/>
      <c r="EG759" s="4"/>
      <c r="EH759" s="4"/>
      <c r="EI759" s="5">
        <v>39287</v>
      </c>
    </row>
    <row r="760" spans="1:139" hidden="1" x14ac:dyDescent="0.2">
      <c r="A760">
        <f>VLOOKUP(B760,Sheet1!$A$1:$B$18,2,FALSE)</f>
        <v>0</v>
      </c>
      <c r="B760" t="str">
        <f>LEFT(D760,3)</f>
        <v>CHC</v>
      </c>
      <c r="C760" s="2">
        <v>759</v>
      </c>
      <c r="D760" s="3" t="str">
        <f>HYPERLINK("https://sitebase.nzcomms.co.nz/spm/spmnominalview/CHC-060-034/","CHC-060-034")</f>
        <v>CHC-060-034</v>
      </c>
      <c r="E760" s="4"/>
      <c r="F760" s="3" t="str">
        <f>HYPERLINK("https://sitebase.nzcomms.co.nz/spm/spmcandidateview/CHC-060-034-C/","CHC-060-034-C")</f>
        <v>CHC-060-034-C</v>
      </c>
      <c r="G760" s="4" t="s">
        <v>2449</v>
      </c>
      <c r="H760" s="4" t="s">
        <v>2353</v>
      </c>
      <c r="I760" s="4"/>
      <c r="J760" s="4" t="s">
        <v>139</v>
      </c>
      <c r="K760" s="4" t="s">
        <v>141</v>
      </c>
      <c r="L760" s="4" t="s">
        <v>189</v>
      </c>
      <c r="M760" s="4" t="s">
        <v>143</v>
      </c>
      <c r="N760" s="4" t="s">
        <v>291</v>
      </c>
      <c r="O760" s="4" t="s">
        <v>356</v>
      </c>
      <c r="P760" s="4"/>
      <c r="Q760" s="4"/>
      <c r="R760" s="4">
        <v>20</v>
      </c>
      <c r="S760" s="4">
        <v>20</v>
      </c>
      <c r="T760" s="4"/>
      <c r="U760" s="4">
        <v>-43.49007976</v>
      </c>
      <c r="V760" s="4">
        <v>172.65476246</v>
      </c>
      <c r="W760" s="4"/>
      <c r="X760" s="4"/>
      <c r="Y760" s="4"/>
      <c r="Z760" s="4"/>
      <c r="AA760" s="4" t="s">
        <v>217</v>
      </c>
      <c r="AB760" s="4" t="s">
        <v>2367</v>
      </c>
      <c r="AC760" s="4"/>
      <c r="AD760" s="4"/>
      <c r="AE760" s="4"/>
      <c r="AF760" s="4"/>
      <c r="AG760" s="4"/>
      <c r="AH760" s="4" t="s">
        <v>2450</v>
      </c>
      <c r="AI760" s="4"/>
      <c r="AJ760" s="4"/>
      <c r="AK760" s="4"/>
      <c r="AL760" s="4"/>
      <c r="AM760" s="4"/>
      <c r="AN760" s="5">
        <v>39794</v>
      </c>
      <c r="AO760" s="4">
        <v>1</v>
      </c>
      <c r="AP760" s="5">
        <v>39793</v>
      </c>
      <c r="AQ760" s="5">
        <v>39794</v>
      </c>
      <c r="AR760" s="4"/>
      <c r="AS760" s="4"/>
      <c r="AT760" s="5">
        <v>39862</v>
      </c>
      <c r="AU760" s="5">
        <v>39862</v>
      </c>
      <c r="AV760" s="4">
        <v>1</v>
      </c>
      <c r="AW760" s="5">
        <v>39862</v>
      </c>
      <c r="AX760" s="5">
        <v>39862</v>
      </c>
      <c r="AY760" s="4"/>
      <c r="AZ760" s="5">
        <v>39844</v>
      </c>
      <c r="BA760" s="4"/>
      <c r="BB760" s="5">
        <v>39842</v>
      </c>
      <c r="BC760" s="4"/>
      <c r="BD760" s="4"/>
      <c r="BE760" s="5">
        <v>39842</v>
      </c>
      <c r="BF760" s="5">
        <v>39842</v>
      </c>
      <c r="BG760" s="5">
        <v>39889</v>
      </c>
      <c r="BH760" s="5">
        <v>39881</v>
      </c>
      <c r="BI760" s="4"/>
      <c r="BJ760" s="5">
        <v>39888</v>
      </c>
      <c r="BK760" s="4">
        <v>2</v>
      </c>
      <c r="BL760" s="4">
        <v>1</v>
      </c>
      <c r="BM760" s="5">
        <v>39892</v>
      </c>
      <c r="BN760" s="5">
        <v>39918</v>
      </c>
      <c r="BO760" s="5">
        <v>39881</v>
      </c>
      <c r="BP760" s="4"/>
      <c r="BQ760" s="4"/>
      <c r="BR760" s="4"/>
      <c r="BS760" s="4"/>
      <c r="BT760" s="5">
        <v>39906</v>
      </c>
      <c r="BU760" s="5">
        <v>39906</v>
      </c>
      <c r="BV760" s="5">
        <v>39931</v>
      </c>
      <c r="BW760" s="5">
        <v>39920</v>
      </c>
      <c r="BX760" s="4"/>
      <c r="BY760" s="5">
        <v>39945</v>
      </c>
      <c r="BZ760" s="5">
        <v>39945</v>
      </c>
      <c r="CA760" s="4"/>
      <c r="CB760" s="4"/>
      <c r="CC760" s="4"/>
      <c r="CD760" s="4"/>
      <c r="CE760" s="4"/>
      <c r="CF760" s="4"/>
      <c r="CG760" s="4"/>
      <c r="CH760" s="4"/>
      <c r="CI760" s="5">
        <v>39962</v>
      </c>
      <c r="CJ760" s="5">
        <v>39962</v>
      </c>
      <c r="CK760" s="5">
        <v>39962</v>
      </c>
      <c r="CL760" s="4"/>
      <c r="CM760" s="4"/>
      <c r="CN760" s="4"/>
      <c r="CO760" s="4"/>
      <c r="CP760" s="4"/>
      <c r="CQ760" s="4"/>
      <c r="CR760" s="5">
        <v>39962</v>
      </c>
      <c r="CS760" s="4"/>
      <c r="CT760" s="4"/>
      <c r="CU760" s="4"/>
      <c r="CV760" s="4"/>
      <c r="CW760" s="5">
        <v>39881</v>
      </c>
      <c r="CX760" s="5">
        <v>39881</v>
      </c>
      <c r="CY760" s="4"/>
      <c r="CZ760" s="4"/>
      <c r="DA760" s="4"/>
      <c r="DB760" s="4"/>
      <c r="DC760" s="4"/>
      <c r="DD760" s="4"/>
      <c r="DE760" s="4"/>
      <c r="DF760" s="4"/>
      <c r="DG760" s="4"/>
      <c r="DH760" s="4"/>
      <c r="DI760" s="4"/>
      <c r="DJ760" s="4" t="b">
        <v>0</v>
      </c>
      <c r="DK760" s="4"/>
      <c r="DL760" s="4">
        <v>2482086</v>
      </c>
      <c r="DM760" s="4">
        <v>5746316</v>
      </c>
      <c r="DN760" s="4" t="s">
        <v>2451</v>
      </c>
      <c r="DO760" s="4"/>
      <c r="DP760" s="4"/>
      <c r="DQ760" s="4" t="s">
        <v>148</v>
      </c>
      <c r="DR760" s="4"/>
      <c r="DS760" s="4"/>
      <c r="DT760" s="5">
        <v>42292</v>
      </c>
      <c r="DU760" s="4"/>
      <c r="DV760" s="4"/>
      <c r="DW760" s="4"/>
      <c r="DX760" s="4"/>
      <c r="DY760" s="5">
        <v>39895</v>
      </c>
      <c r="DZ760" s="5">
        <v>39895</v>
      </c>
      <c r="EA760" s="4"/>
      <c r="EB760" s="4"/>
      <c r="EC760" s="4"/>
      <c r="ED760" s="4"/>
      <c r="EE760" s="4"/>
      <c r="EF760" s="4"/>
      <c r="EG760" s="4"/>
      <c r="EH760" s="4"/>
      <c r="EI760" s="5">
        <v>39786</v>
      </c>
    </row>
    <row r="761" spans="1:139" hidden="1" x14ac:dyDescent="0.2">
      <c r="A761">
        <f>VLOOKUP(B761,Sheet1!$A$1:$B$18,2,FALSE)</f>
        <v>0</v>
      </c>
      <c r="B761" t="str">
        <f>LEFT(D761,3)</f>
        <v>CHC</v>
      </c>
      <c r="C761" s="2">
        <v>760</v>
      </c>
      <c r="D761" s="3" t="str">
        <f>HYPERLINK("https://sitebase.nzcomms.co.nz/spm/spmnominalview/CHC-060-035/","CHC-060-035")</f>
        <v>CHC-060-035</v>
      </c>
      <c r="E761" s="4"/>
      <c r="F761" s="3" t="str">
        <f>HYPERLINK("https://sitebase.nzcomms.co.nz/spm/spmcandidateview/CHC-060-035-C/","CHC-060-035-C")</f>
        <v>CHC-060-035-C</v>
      </c>
      <c r="G761" s="4" t="s">
        <v>2452</v>
      </c>
      <c r="H761" s="4" t="s">
        <v>2353</v>
      </c>
      <c r="I761" s="4"/>
      <c r="J761" s="4" t="s">
        <v>139</v>
      </c>
      <c r="K761" s="4" t="s">
        <v>141</v>
      </c>
      <c r="L761" s="4" t="s">
        <v>150</v>
      </c>
      <c r="M761" s="4" t="s">
        <v>354</v>
      </c>
      <c r="N761" s="4" t="s">
        <v>291</v>
      </c>
      <c r="O761" s="4" t="s">
        <v>144</v>
      </c>
      <c r="P761" s="4"/>
      <c r="Q761" s="4"/>
      <c r="R761" s="4">
        <v>18</v>
      </c>
      <c r="S761" s="4">
        <v>18</v>
      </c>
      <c r="T761" s="4"/>
      <c r="U761" s="4">
        <v>-43.550402259999998</v>
      </c>
      <c r="V761" s="4">
        <v>172.59637004000001</v>
      </c>
      <c r="W761" s="4"/>
      <c r="X761" s="4"/>
      <c r="Y761" s="4"/>
      <c r="Z761" s="4"/>
      <c r="AA761" s="4" t="s">
        <v>217</v>
      </c>
      <c r="AB761" s="4" t="s">
        <v>2376</v>
      </c>
      <c r="AC761" s="4"/>
      <c r="AD761" s="4"/>
      <c r="AE761" s="4"/>
      <c r="AF761" s="4"/>
      <c r="AG761" s="4"/>
      <c r="AH761" s="4" t="s">
        <v>2453</v>
      </c>
      <c r="AI761" s="4"/>
      <c r="AJ761" s="4"/>
      <c r="AK761" s="4"/>
      <c r="AL761" s="4"/>
      <c r="AM761" s="4"/>
      <c r="AN761" s="5">
        <v>39471</v>
      </c>
      <c r="AO761" s="4">
        <v>5</v>
      </c>
      <c r="AP761" s="5">
        <v>39471</v>
      </c>
      <c r="AQ761" s="5">
        <v>39547</v>
      </c>
      <c r="AR761" s="4"/>
      <c r="AS761" s="4"/>
      <c r="AT761" s="5">
        <v>39741</v>
      </c>
      <c r="AU761" s="5">
        <v>39741</v>
      </c>
      <c r="AV761" s="4">
        <v>5</v>
      </c>
      <c r="AW761" s="5">
        <v>39741</v>
      </c>
      <c r="AX761" s="5">
        <v>39741</v>
      </c>
      <c r="AY761" s="4"/>
      <c r="AZ761" s="5">
        <v>39636</v>
      </c>
      <c r="BA761" s="4"/>
      <c r="BB761" s="5">
        <v>39696</v>
      </c>
      <c r="BC761" s="4"/>
      <c r="BD761" s="4"/>
      <c r="BE761" s="5">
        <v>39696</v>
      </c>
      <c r="BF761" s="5">
        <v>39696</v>
      </c>
      <c r="BG761" s="4"/>
      <c r="BH761" s="5">
        <v>39538</v>
      </c>
      <c r="BI761" s="4"/>
      <c r="BJ761" s="5">
        <v>39603</v>
      </c>
      <c r="BK761" s="4">
        <v>2</v>
      </c>
      <c r="BL761" s="4">
        <v>5</v>
      </c>
      <c r="BM761" s="5">
        <v>39675</v>
      </c>
      <c r="BN761" s="5">
        <v>39675</v>
      </c>
      <c r="BO761" s="5">
        <v>39864</v>
      </c>
      <c r="BP761" s="4"/>
      <c r="BQ761" s="4"/>
      <c r="BR761" s="4"/>
      <c r="BS761" s="4"/>
      <c r="BT761" s="4"/>
      <c r="BU761" s="5">
        <v>39787</v>
      </c>
      <c r="BV761" s="5">
        <v>39872</v>
      </c>
      <c r="BW761" s="5">
        <v>39870</v>
      </c>
      <c r="BX761" s="4"/>
      <c r="BY761" s="5">
        <v>39899</v>
      </c>
      <c r="BZ761" s="5">
        <v>39878</v>
      </c>
      <c r="CA761" s="4"/>
      <c r="CB761" s="4"/>
      <c r="CC761" s="4"/>
      <c r="CD761" s="4"/>
      <c r="CE761" s="4"/>
      <c r="CF761" s="4"/>
      <c r="CG761" s="4"/>
      <c r="CH761" s="4"/>
      <c r="CI761" s="5">
        <v>39903</v>
      </c>
      <c r="CJ761" s="5">
        <v>39903</v>
      </c>
      <c r="CK761" s="5">
        <v>39903</v>
      </c>
      <c r="CL761" s="4"/>
      <c r="CM761" s="4"/>
      <c r="CN761" s="4"/>
      <c r="CO761" s="4"/>
      <c r="CP761" s="4"/>
      <c r="CQ761" s="4"/>
      <c r="CR761" s="5">
        <v>39903</v>
      </c>
      <c r="CS761" s="4"/>
      <c r="CT761" s="4"/>
      <c r="CU761" s="4"/>
      <c r="CV761" s="4"/>
      <c r="CW761" s="5">
        <v>39896</v>
      </c>
      <c r="CX761" s="5">
        <v>39864</v>
      </c>
      <c r="CY761" s="4"/>
      <c r="CZ761" s="4"/>
      <c r="DA761" s="4"/>
      <c r="DB761" s="4"/>
      <c r="DC761" s="4"/>
      <c r="DD761" s="4"/>
      <c r="DE761" s="4"/>
      <c r="DF761" s="4"/>
      <c r="DG761" s="4"/>
      <c r="DH761" s="4"/>
      <c r="DI761" s="4"/>
      <c r="DJ761" s="4" t="b">
        <v>0</v>
      </c>
      <c r="DK761" s="4"/>
      <c r="DL761" s="4">
        <v>2477395</v>
      </c>
      <c r="DM761" s="4">
        <v>5739593</v>
      </c>
      <c r="DN761" s="4" t="s">
        <v>2454</v>
      </c>
      <c r="DO761" s="4"/>
      <c r="DP761" s="4"/>
      <c r="DQ761" s="4" t="s">
        <v>148</v>
      </c>
      <c r="DR761" s="4"/>
      <c r="DS761" s="4"/>
      <c r="DT761" s="5">
        <v>41901</v>
      </c>
      <c r="DU761" s="4"/>
      <c r="DV761" s="4"/>
      <c r="DW761" s="4"/>
      <c r="DX761" s="4"/>
      <c r="DY761" s="4"/>
      <c r="DZ761" s="5">
        <v>39770</v>
      </c>
      <c r="EA761" s="4"/>
      <c r="EB761" s="4"/>
      <c r="EC761" s="4"/>
      <c r="ED761" s="4"/>
      <c r="EE761" s="4"/>
      <c r="EF761" s="4"/>
      <c r="EG761" s="4"/>
      <c r="EH761" s="4"/>
      <c r="EI761" s="5">
        <v>39427</v>
      </c>
    </row>
    <row r="762" spans="1:139" hidden="1" x14ac:dyDescent="0.2">
      <c r="A762">
        <f>VLOOKUP(B762,Sheet1!$A$1:$B$18,2,FALSE)</f>
        <v>0</v>
      </c>
      <c r="B762" t="str">
        <f>LEFT(D762,3)</f>
        <v>CHC</v>
      </c>
      <c r="C762" s="2">
        <v>761</v>
      </c>
      <c r="D762" s="3" t="str">
        <f>HYPERLINK("https://sitebase.nzcomms.co.nz/spm/spmnominalview/CHC-060-036/","CHC-060-036")</f>
        <v>CHC-060-036</v>
      </c>
      <c r="E762" s="4"/>
      <c r="F762" s="3" t="str">
        <f>HYPERLINK("https://sitebase.nzcomms.co.nz/spm/spmcandidateview/CHC-060-036-A/","CHC-060-036-A")</f>
        <v>CHC-060-036-A</v>
      </c>
      <c r="G762" s="4" t="s">
        <v>2455</v>
      </c>
      <c r="H762" s="4" t="s">
        <v>2353</v>
      </c>
      <c r="I762" s="4"/>
      <c r="J762" s="4" t="s">
        <v>139</v>
      </c>
      <c r="K762" s="4" t="s">
        <v>141</v>
      </c>
      <c r="L762" s="4" t="s">
        <v>150</v>
      </c>
      <c r="M762" s="4" t="s">
        <v>143</v>
      </c>
      <c r="N762" s="4" t="s">
        <v>291</v>
      </c>
      <c r="O762" s="4" t="s">
        <v>356</v>
      </c>
      <c r="P762" s="4"/>
      <c r="Q762" s="4"/>
      <c r="R762" s="4">
        <v>20</v>
      </c>
      <c r="S762" s="4">
        <v>20</v>
      </c>
      <c r="T762" s="4"/>
      <c r="U762" s="4">
        <v>-43.557729799999997</v>
      </c>
      <c r="V762" s="4">
        <v>172.63728749000001</v>
      </c>
      <c r="W762" s="4"/>
      <c r="X762" s="4"/>
      <c r="Y762" s="4"/>
      <c r="Z762" s="4"/>
      <c r="AA762" s="4" t="s">
        <v>217</v>
      </c>
      <c r="AB762" s="4" t="s">
        <v>2376</v>
      </c>
      <c r="AC762" s="4"/>
      <c r="AD762" s="4"/>
      <c r="AE762" s="4"/>
      <c r="AF762" s="4"/>
      <c r="AG762" s="4"/>
      <c r="AH762" s="4" t="s">
        <v>2456</v>
      </c>
      <c r="AI762" s="4"/>
      <c r="AJ762" s="4"/>
      <c r="AK762" s="4"/>
      <c r="AL762" s="4"/>
      <c r="AM762" s="4"/>
      <c r="AN762" s="5">
        <v>39630</v>
      </c>
      <c r="AO762" s="4">
        <v>2</v>
      </c>
      <c r="AP762" s="5">
        <v>39264</v>
      </c>
      <c r="AQ762" s="5">
        <v>39946</v>
      </c>
      <c r="AR762" s="4"/>
      <c r="AS762" s="4"/>
      <c r="AT762" s="5">
        <v>39752</v>
      </c>
      <c r="AU762" s="5">
        <v>39730</v>
      </c>
      <c r="AV762" s="4">
        <v>2</v>
      </c>
      <c r="AW762" s="5">
        <v>39909</v>
      </c>
      <c r="AX762" s="5">
        <v>39730</v>
      </c>
      <c r="AY762" s="4"/>
      <c r="AZ762" s="4"/>
      <c r="BA762" s="4"/>
      <c r="BB762" s="4"/>
      <c r="BC762" s="4"/>
      <c r="BD762" s="4"/>
      <c r="BE762" s="5">
        <v>39703</v>
      </c>
      <c r="BF762" s="5">
        <v>39703</v>
      </c>
      <c r="BG762" s="5">
        <v>39905</v>
      </c>
      <c r="BH762" s="5">
        <v>39834</v>
      </c>
      <c r="BI762" s="4"/>
      <c r="BJ762" s="5">
        <v>39918</v>
      </c>
      <c r="BK762" s="4">
        <v>2</v>
      </c>
      <c r="BL762" s="4">
        <v>2</v>
      </c>
      <c r="BM762" s="5">
        <v>39938</v>
      </c>
      <c r="BN762" s="5">
        <v>39958</v>
      </c>
      <c r="BO762" s="5">
        <v>39853</v>
      </c>
      <c r="BP762" s="4"/>
      <c r="BQ762" s="4"/>
      <c r="BR762" s="4"/>
      <c r="BS762" s="4"/>
      <c r="BT762" s="5">
        <v>39986</v>
      </c>
      <c r="BU762" s="5">
        <v>39986</v>
      </c>
      <c r="BV762" s="5">
        <v>40004</v>
      </c>
      <c r="BW762" s="5">
        <v>40004</v>
      </c>
      <c r="BX762" s="4"/>
      <c r="BY762" s="5">
        <v>40021</v>
      </c>
      <c r="BZ762" s="5">
        <v>40021</v>
      </c>
      <c r="CA762" s="4"/>
      <c r="CB762" s="4"/>
      <c r="CC762" s="4"/>
      <c r="CD762" s="4"/>
      <c r="CE762" s="4"/>
      <c r="CF762" s="4"/>
      <c r="CG762" s="4"/>
      <c r="CH762" s="4"/>
      <c r="CI762" s="5">
        <v>40025</v>
      </c>
      <c r="CJ762" s="5">
        <v>40026</v>
      </c>
      <c r="CK762" s="5">
        <v>40025</v>
      </c>
      <c r="CL762" s="4"/>
      <c r="CM762" s="4"/>
      <c r="CN762" s="4"/>
      <c r="CO762" s="4"/>
      <c r="CP762" s="4" t="s">
        <v>2457</v>
      </c>
      <c r="CQ762" s="4"/>
      <c r="CR762" s="5">
        <v>40026</v>
      </c>
      <c r="CS762" s="4"/>
      <c r="CT762" s="4"/>
      <c r="CU762" s="4"/>
      <c r="CV762" s="4"/>
      <c r="CW762" s="5">
        <v>39853</v>
      </c>
      <c r="CX762" s="5">
        <v>39853</v>
      </c>
      <c r="CY762" s="4"/>
      <c r="CZ762" s="4"/>
      <c r="DA762" s="4"/>
      <c r="DB762" s="4"/>
      <c r="DC762" s="4"/>
      <c r="DD762" s="4"/>
      <c r="DE762" s="4"/>
      <c r="DF762" s="4"/>
      <c r="DG762" s="4"/>
      <c r="DH762" s="4"/>
      <c r="DI762" s="4"/>
      <c r="DJ762" s="4" t="b">
        <v>0</v>
      </c>
      <c r="DK762" s="4"/>
      <c r="DL762" s="4">
        <v>2480705</v>
      </c>
      <c r="DM762" s="4">
        <v>5738794</v>
      </c>
      <c r="DN762" s="4" t="s">
        <v>2458</v>
      </c>
      <c r="DO762" s="4"/>
      <c r="DP762" s="4"/>
      <c r="DQ762" s="4" t="s">
        <v>148</v>
      </c>
      <c r="DR762" s="4"/>
      <c r="DS762" s="4"/>
      <c r="DT762" s="5">
        <v>42306</v>
      </c>
      <c r="DU762" s="4"/>
      <c r="DV762" s="4"/>
      <c r="DW762" s="4"/>
      <c r="DX762" s="4"/>
      <c r="DY762" s="5">
        <v>39979</v>
      </c>
      <c r="DZ762" s="5">
        <v>39979</v>
      </c>
      <c r="EA762" s="4"/>
      <c r="EB762" s="4"/>
      <c r="EC762" s="4"/>
      <c r="ED762" s="4"/>
      <c r="EE762" s="4"/>
      <c r="EF762" s="4"/>
      <c r="EG762" s="4"/>
      <c r="EH762" s="4"/>
      <c r="EI762" s="5">
        <v>39386</v>
      </c>
    </row>
    <row r="763" spans="1:139" hidden="1" x14ac:dyDescent="0.2">
      <c r="A763">
        <f>VLOOKUP(B763,Sheet1!$A$1:$B$18,2,FALSE)</f>
        <v>0</v>
      </c>
      <c r="B763" t="str">
        <f>LEFT(D763,3)</f>
        <v>CHC</v>
      </c>
      <c r="C763" s="2">
        <v>762</v>
      </c>
      <c r="D763" s="3" t="str">
        <f>HYPERLINK("https://sitebase.nzcomms.co.nz/spm/spmnominalview/CHC-060-037/","CHC-060-037")</f>
        <v>CHC-060-037</v>
      </c>
      <c r="E763" s="4"/>
      <c r="F763" s="3" t="str">
        <f>HYPERLINK("https://sitebase.nzcomms.co.nz/spm/spmcandidateview/CHC-060-037-B/","CHC-060-037-B")</f>
        <v>CHC-060-037-B</v>
      </c>
      <c r="G763" s="4" t="s">
        <v>2459</v>
      </c>
      <c r="H763" s="4" t="s">
        <v>2353</v>
      </c>
      <c r="I763" s="4"/>
      <c r="J763" s="4" t="s">
        <v>139</v>
      </c>
      <c r="K763" s="4" t="s">
        <v>141</v>
      </c>
      <c r="L763" s="4" t="s">
        <v>189</v>
      </c>
      <c r="M763" s="4" t="s">
        <v>143</v>
      </c>
      <c r="N763" s="4" t="s">
        <v>2348</v>
      </c>
      <c r="O763" s="4" t="s">
        <v>356</v>
      </c>
      <c r="P763" s="4"/>
      <c r="Q763" s="4"/>
      <c r="R763" s="4">
        <v>18</v>
      </c>
      <c r="S763" s="4">
        <v>18</v>
      </c>
      <c r="T763" s="4"/>
      <c r="U763" s="4">
        <v>-43.570028989999997</v>
      </c>
      <c r="V763" s="4">
        <v>172.64444363000001</v>
      </c>
      <c r="W763" s="4"/>
      <c r="X763" s="4"/>
      <c r="Y763" s="4"/>
      <c r="Z763" s="4"/>
      <c r="AA763" s="4" t="s">
        <v>217</v>
      </c>
      <c r="AB763" s="4" t="s">
        <v>2367</v>
      </c>
      <c r="AC763" s="4"/>
      <c r="AD763" s="4"/>
      <c r="AE763" s="4"/>
      <c r="AF763" s="4"/>
      <c r="AG763" s="4"/>
      <c r="AH763" s="4" t="s">
        <v>2460</v>
      </c>
      <c r="AI763" s="4"/>
      <c r="AJ763" s="4"/>
      <c r="AK763" s="4"/>
      <c r="AL763" s="4"/>
      <c r="AM763" s="4"/>
      <c r="AN763" s="5">
        <v>39535</v>
      </c>
      <c r="AO763" s="4">
        <v>3</v>
      </c>
      <c r="AP763" s="5">
        <v>39533</v>
      </c>
      <c r="AQ763" s="5">
        <v>39561</v>
      </c>
      <c r="AR763" s="4"/>
      <c r="AS763" s="4"/>
      <c r="AT763" s="5">
        <v>39503</v>
      </c>
      <c r="AU763" s="5">
        <v>39503</v>
      </c>
      <c r="AV763" s="4">
        <v>3</v>
      </c>
      <c r="AW763" s="5">
        <v>39503</v>
      </c>
      <c r="AX763" s="5">
        <v>39503</v>
      </c>
      <c r="AY763" s="4"/>
      <c r="AZ763" s="4"/>
      <c r="BA763" s="4"/>
      <c r="BB763" s="4"/>
      <c r="BC763" s="4"/>
      <c r="BD763" s="4"/>
      <c r="BE763" s="5">
        <v>39587</v>
      </c>
      <c r="BF763" s="5">
        <v>39587</v>
      </c>
      <c r="BG763" s="4"/>
      <c r="BH763" s="5">
        <v>39538</v>
      </c>
      <c r="BI763" s="4"/>
      <c r="BJ763" s="5">
        <v>39587</v>
      </c>
      <c r="BK763" s="4">
        <v>2</v>
      </c>
      <c r="BL763" s="4">
        <v>3</v>
      </c>
      <c r="BM763" s="5">
        <v>39693</v>
      </c>
      <c r="BN763" s="5">
        <v>39693</v>
      </c>
      <c r="BO763" s="4"/>
      <c r="BP763" s="4"/>
      <c r="BQ763" s="4"/>
      <c r="BR763" s="4"/>
      <c r="BS763" s="4"/>
      <c r="BT763" s="4"/>
      <c r="BU763" s="5">
        <v>39700</v>
      </c>
      <c r="BV763" s="5">
        <v>39721</v>
      </c>
      <c r="BW763" s="5">
        <v>39721</v>
      </c>
      <c r="BX763" s="4"/>
      <c r="BY763" s="5">
        <v>39742</v>
      </c>
      <c r="BZ763" s="5">
        <v>39742</v>
      </c>
      <c r="CA763" s="4"/>
      <c r="CB763" s="4"/>
      <c r="CC763" s="4"/>
      <c r="CD763" s="4"/>
      <c r="CE763" s="4"/>
      <c r="CF763" s="4"/>
      <c r="CG763" s="4"/>
      <c r="CH763" s="4"/>
      <c r="CI763" s="5">
        <v>39805</v>
      </c>
      <c r="CJ763" s="5">
        <v>39813</v>
      </c>
      <c r="CK763" s="5">
        <v>39805</v>
      </c>
      <c r="CL763" s="4"/>
      <c r="CM763" s="4"/>
      <c r="CN763" s="4"/>
      <c r="CO763" s="4"/>
      <c r="CP763" s="4" t="s">
        <v>2461</v>
      </c>
      <c r="CQ763" s="4"/>
      <c r="CR763" s="5">
        <v>39805</v>
      </c>
      <c r="CS763" s="4"/>
      <c r="CT763" s="4"/>
      <c r="CU763" s="4"/>
      <c r="CV763" s="4"/>
      <c r="CW763" s="4"/>
      <c r="CX763" s="4"/>
      <c r="CY763" s="4"/>
      <c r="CZ763" s="4"/>
      <c r="DA763" s="4"/>
      <c r="DB763" s="4"/>
      <c r="DC763" s="4"/>
      <c r="DD763" s="4"/>
      <c r="DE763" s="4"/>
      <c r="DF763" s="4"/>
      <c r="DG763" s="4"/>
      <c r="DH763" s="4"/>
      <c r="DI763" s="4"/>
      <c r="DJ763" s="4" t="b">
        <v>0</v>
      </c>
      <c r="DK763" s="4"/>
      <c r="DL763" s="4">
        <v>2481289</v>
      </c>
      <c r="DM763" s="4">
        <v>5737430</v>
      </c>
      <c r="DN763" s="4" t="s">
        <v>2462</v>
      </c>
      <c r="DO763" s="4"/>
      <c r="DP763" s="4"/>
      <c r="DQ763" s="4" t="s">
        <v>148</v>
      </c>
      <c r="DR763" s="4"/>
      <c r="DS763" s="4"/>
      <c r="DT763" s="4"/>
      <c r="DU763" s="4"/>
      <c r="DV763" s="4"/>
      <c r="DW763" s="4"/>
      <c r="DX763" s="4"/>
      <c r="DY763" s="4"/>
      <c r="DZ763" s="5">
        <v>39694</v>
      </c>
      <c r="EA763" s="4"/>
      <c r="EB763" s="4"/>
      <c r="EC763" s="4"/>
      <c r="ED763" s="4"/>
      <c r="EE763" s="4"/>
      <c r="EF763" s="4"/>
      <c r="EG763" s="4"/>
      <c r="EH763" s="4"/>
      <c r="EI763" s="5">
        <v>39462</v>
      </c>
    </row>
    <row r="764" spans="1:139" hidden="1" x14ac:dyDescent="0.2">
      <c r="A764">
        <f>VLOOKUP(B764,Sheet1!$A$1:$B$18,2,FALSE)</f>
        <v>0</v>
      </c>
      <c r="B764" t="str">
        <f>LEFT(D764,3)</f>
        <v>CHC</v>
      </c>
      <c r="C764" s="2">
        <v>763</v>
      </c>
      <c r="D764" s="3" t="str">
        <f>HYPERLINK("https://sitebase.nzcomms.co.nz/spm/spmnominalview/CHC-060-038/","CHC-060-038")</f>
        <v>CHC-060-038</v>
      </c>
      <c r="E764" s="4"/>
      <c r="F764" s="3" t="str">
        <f>HYPERLINK("https://sitebase.nzcomms.co.nz/spm/spmcandidateview/CHC-060-038-A/","CHC-060-038-A")</f>
        <v>CHC-060-038-A</v>
      </c>
      <c r="G764" s="4" t="s">
        <v>2463</v>
      </c>
      <c r="H764" s="4" t="s">
        <v>2353</v>
      </c>
      <c r="I764" s="4"/>
      <c r="J764" s="4" t="s">
        <v>139</v>
      </c>
      <c r="K764" s="4" t="s">
        <v>141</v>
      </c>
      <c r="L764" s="4" t="s">
        <v>150</v>
      </c>
      <c r="M764" s="4" t="s">
        <v>143</v>
      </c>
      <c r="N764" s="4" t="s">
        <v>291</v>
      </c>
      <c r="O764" s="4" t="s">
        <v>144</v>
      </c>
      <c r="P764" s="4"/>
      <c r="Q764" s="4"/>
      <c r="R764" s="4">
        <v>20</v>
      </c>
      <c r="S764" s="4">
        <v>20</v>
      </c>
      <c r="T764" s="4"/>
      <c r="U764" s="4">
        <v>-43.552239540000002</v>
      </c>
      <c r="V764" s="4">
        <v>172.47990465999999</v>
      </c>
      <c r="W764" s="4"/>
      <c r="X764" s="4"/>
      <c r="Y764" s="4"/>
      <c r="Z764" s="4"/>
      <c r="AA764" s="4" t="s">
        <v>217</v>
      </c>
      <c r="AB764" s="4" t="s">
        <v>2405</v>
      </c>
      <c r="AC764" s="4"/>
      <c r="AD764" s="4"/>
      <c r="AE764" s="4"/>
      <c r="AF764" s="4"/>
      <c r="AG764" s="4"/>
      <c r="AH764" s="4" t="s">
        <v>2359</v>
      </c>
      <c r="AI764" s="4"/>
      <c r="AJ764" s="4"/>
      <c r="AK764" s="4"/>
      <c r="AL764" s="4"/>
      <c r="AM764" s="4"/>
      <c r="AN764" s="5">
        <v>39405</v>
      </c>
      <c r="AO764" s="4">
        <v>4</v>
      </c>
      <c r="AP764" s="5">
        <v>39546</v>
      </c>
      <c r="AQ764" s="5">
        <v>39546</v>
      </c>
      <c r="AR764" s="4"/>
      <c r="AS764" s="4"/>
      <c r="AT764" s="5">
        <v>39691</v>
      </c>
      <c r="AU764" s="5">
        <v>39680</v>
      </c>
      <c r="AV764" s="4">
        <v>4</v>
      </c>
      <c r="AW764" s="5">
        <v>39691</v>
      </c>
      <c r="AX764" s="5">
        <v>39680</v>
      </c>
      <c r="AY764" s="4"/>
      <c r="AZ764" s="4"/>
      <c r="BA764" s="4"/>
      <c r="BB764" s="4"/>
      <c r="BC764" s="4"/>
      <c r="BD764" s="4"/>
      <c r="BE764" s="5">
        <v>39524</v>
      </c>
      <c r="BF764" s="5">
        <v>39524</v>
      </c>
      <c r="BG764" s="4"/>
      <c r="BH764" s="5">
        <v>39567</v>
      </c>
      <c r="BI764" s="4"/>
      <c r="BJ764" s="5">
        <v>39658</v>
      </c>
      <c r="BK764" s="4">
        <v>1</v>
      </c>
      <c r="BL764" s="4">
        <v>4</v>
      </c>
      <c r="BM764" s="5">
        <v>39658</v>
      </c>
      <c r="BN764" s="5">
        <v>39658</v>
      </c>
      <c r="BO764" s="5">
        <v>39825</v>
      </c>
      <c r="BP764" s="4"/>
      <c r="BQ764" s="4"/>
      <c r="BR764" s="4"/>
      <c r="BS764" s="4"/>
      <c r="BT764" s="4"/>
      <c r="BU764" s="5">
        <v>39696</v>
      </c>
      <c r="BV764" s="5">
        <v>39832</v>
      </c>
      <c r="BW764" s="5">
        <v>39832</v>
      </c>
      <c r="BX764" s="4"/>
      <c r="BY764" s="5">
        <v>39857</v>
      </c>
      <c r="BZ764" s="5">
        <v>39846</v>
      </c>
      <c r="CA764" s="4"/>
      <c r="CB764" s="4"/>
      <c r="CC764" s="4"/>
      <c r="CD764" s="4"/>
      <c r="CE764" s="4"/>
      <c r="CF764" s="4"/>
      <c r="CG764" s="4"/>
      <c r="CH764" s="4"/>
      <c r="CI764" s="5">
        <v>39912</v>
      </c>
      <c r="CJ764" s="5">
        <v>39913</v>
      </c>
      <c r="CK764" s="5">
        <v>39912</v>
      </c>
      <c r="CL764" s="4"/>
      <c r="CM764" s="4"/>
      <c r="CN764" s="4"/>
      <c r="CO764" s="4"/>
      <c r="CP764" s="4"/>
      <c r="CQ764" s="4"/>
      <c r="CR764" s="5">
        <v>39913</v>
      </c>
      <c r="CS764" s="4"/>
      <c r="CT764" s="4"/>
      <c r="CU764" s="4"/>
      <c r="CV764" s="4"/>
      <c r="CW764" s="4"/>
      <c r="CX764" s="5">
        <v>39825</v>
      </c>
      <c r="CY764" s="4"/>
      <c r="CZ764" s="4"/>
      <c r="DA764" s="4"/>
      <c r="DB764" s="4"/>
      <c r="DC764" s="4"/>
      <c r="DD764" s="4"/>
      <c r="DE764" s="4"/>
      <c r="DF764" s="4"/>
      <c r="DG764" s="4"/>
      <c r="DH764" s="4"/>
      <c r="DI764" s="4"/>
      <c r="DJ764" s="4" t="b">
        <v>0</v>
      </c>
      <c r="DK764" s="4"/>
      <c r="DL764" s="4">
        <v>2467985</v>
      </c>
      <c r="DM764" s="4">
        <v>5739337</v>
      </c>
      <c r="DN764" s="4" t="s">
        <v>2464</v>
      </c>
      <c r="DO764" s="4"/>
      <c r="DP764" s="4"/>
      <c r="DQ764" s="4" t="s">
        <v>148</v>
      </c>
      <c r="DR764" s="4"/>
      <c r="DS764" s="4"/>
      <c r="DT764" s="4"/>
      <c r="DU764" s="4"/>
      <c r="DV764" s="4"/>
      <c r="DW764" s="4"/>
      <c r="DX764" s="4"/>
      <c r="DY764" s="4"/>
      <c r="DZ764" s="5">
        <v>39694</v>
      </c>
      <c r="EA764" s="4"/>
      <c r="EB764" s="4"/>
      <c r="EC764" s="4"/>
      <c r="ED764" s="4"/>
      <c r="EE764" s="4"/>
      <c r="EF764" s="4"/>
      <c r="EG764" s="4"/>
      <c r="EH764" s="4"/>
      <c r="EI764" s="5">
        <v>39374</v>
      </c>
    </row>
    <row r="765" spans="1:139" hidden="1" x14ac:dyDescent="0.2">
      <c r="A765">
        <f>VLOOKUP(B765,Sheet1!$A$1:$B$18,2,FALSE)</f>
        <v>0</v>
      </c>
      <c r="B765" t="str">
        <f>LEFT(D765,3)</f>
        <v>CHC</v>
      </c>
      <c r="C765" s="2">
        <v>764</v>
      </c>
      <c r="D765" s="3" t="str">
        <f>HYPERLINK("https://sitebase.nzcomms.co.nz/spm/spmnominalview/CHC-060-039/","CHC-060-039")</f>
        <v>CHC-060-039</v>
      </c>
      <c r="E765" s="4"/>
      <c r="F765" s="3" t="str">
        <f>HYPERLINK("https://sitebase.nzcomms.co.nz/spm/spmcandidateview/CHC-060-039-F/","CHC-060-039-F")</f>
        <v>CHC-060-039-F</v>
      </c>
      <c r="G765" s="4" t="s">
        <v>2465</v>
      </c>
      <c r="H765" s="4" t="s">
        <v>2353</v>
      </c>
      <c r="I765" s="4"/>
      <c r="J765" s="4" t="s">
        <v>139</v>
      </c>
      <c r="K765" s="4" t="s">
        <v>141</v>
      </c>
      <c r="L765" s="4" t="s">
        <v>150</v>
      </c>
      <c r="M765" s="4" t="s">
        <v>143</v>
      </c>
      <c r="N765" s="4" t="s">
        <v>2421</v>
      </c>
      <c r="O765" s="4" t="s">
        <v>144</v>
      </c>
      <c r="P765" s="4"/>
      <c r="Q765" s="4"/>
      <c r="R765" s="4">
        <v>10.8</v>
      </c>
      <c r="S765" s="4">
        <v>10.8</v>
      </c>
      <c r="T765" s="4"/>
      <c r="U765" s="4">
        <v>-43.576270860000001</v>
      </c>
      <c r="V765" s="4">
        <v>172.76618932</v>
      </c>
      <c r="W765" s="4"/>
      <c r="X765" s="4"/>
      <c r="Y765" s="4"/>
      <c r="Z765" s="4"/>
      <c r="AA765" s="4" t="s">
        <v>152</v>
      </c>
      <c r="AB765" s="3" t="str">
        <f>HYPERLINK("https://sitebase.nzcomms.co.nz/spm/spmcandidateview/CHC-060-063-B/","CHC-060-063-B")</f>
        <v>CHC-060-063-B</v>
      </c>
      <c r="AC765" s="4"/>
      <c r="AD765" s="4"/>
      <c r="AE765" s="4"/>
      <c r="AF765" s="4"/>
      <c r="AG765" s="4"/>
      <c r="AH765" s="4"/>
      <c r="AI765" s="4"/>
      <c r="AJ765" s="4"/>
      <c r="AK765" s="4"/>
      <c r="AL765" s="4"/>
      <c r="AM765" s="4"/>
      <c r="AN765" s="5">
        <v>39500</v>
      </c>
      <c r="AO765" s="4">
        <v>5</v>
      </c>
      <c r="AP765" s="5">
        <v>39500</v>
      </c>
      <c r="AQ765" s="5">
        <v>40142</v>
      </c>
      <c r="AR765" s="4"/>
      <c r="AS765" s="4"/>
      <c r="AT765" s="5">
        <v>39599</v>
      </c>
      <c r="AU765" s="5">
        <v>39598</v>
      </c>
      <c r="AV765" s="4">
        <v>4</v>
      </c>
      <c r="AW765" s="5">
        <v>39599</v>
      </c>
      <c r="AX765" s="5">
        <v>39598</v>
      </c>
      <c r="AY765" s="4"/>
      <c r="AZ765" s="4"/>
      <c r="BA765" s="4"/>
      <c r="BB765" s="4"/>
      <c r="BC765" s="4"/>
      <c r="BD765" s="4"/>
      <c r="BE765" s="5">
        <v>39629</v>
      </c>
      <c r="BF765" s="5">
        <v>39629</v>
      </c>
      <c r="BG765" s="4"/>
      <c r="BH765" s="5">
        <v>39567</v>
      </c>
      <c r="BI765" s="4"/>
      <c r="BJ765" s="5">
        <v>39630</v>
      </c>
      <c r="BK765" s="4">
        <v>1</v>
      </c>
      <c r="BL765" s="4">
        <v>3</v>
      </c>
      <c r="BM765" s="5">
        <v>39630</v>
      </c>
      <c r="BN765" s="5">
        <v>39630</v>
      </c>
      <c r="BO765" s="4"/>
      <c r="BP765" s="4"/>
      <c r="BQ765" s="4"/>
      <c r="BR765" s="4"/>
      <c r="BS765" s="4"/>
      <c r="BT765" s="4"/>
      <c r="BU765" s="5">
        <v>39671</v>
      </c>
      <c r="BV765" s="5">
        <v>39710</v>
      </c>
      <c r="BW765" s="5">
        <v>39710</v>
      </c>
      <c r="BX765" s="4"/>
      <c r="BY765" s="5">
        <v>39721</v>
      </c>
      <c r="BZ765" s="5">
        <v>39720</v>
      </c>
      <c r="CA765" s="4"/>
      <c r="CB765" s="4"/>
      <c r="CC765" s="4"/>
      <c r="CD765" s="4"/>
      <c r="CE765" s="4"/>
      <c r="CF765" s="4"/>
      <c r="CG765" s="4"/>
      <c r="CH765" s="4"/>
      <c r="CI765" s="5">
        <v>39842</v>
      </c>
      <c r="CJ765" s="5">
        <v>39843</v>
      </c>
      <c r="CK765" s="5">
        <v>39842</v>
      </c>
      <c r="CL765" s="4"/>
      <c r="CM765" s="4"/>
      <c r="CN765" s="4"/>
      <c r="CO765" s="4"/>
      <c r="CP765" s="4"/>
      <c r="CQ765" s="4"/>
      <c r="CR765" s="5">
        <v>39843</v>
      </c>
      <c r="CS765" s="4"/>
      <c r="CT765" s="4"/>
      <c r="CU765" s="4"/>
      <c r="CV765" s="4"/>
      <c r="CW765" s="4"/>
      <c r="CX765" s="4"/>
      <c r="CY765" s="4"/>
      <c r="CZ765" s="4"/>
      <c r="DA765" s="4"/>
      <c r="DB765" s="4"/>
      <c r="DC765" s="4"/>
      <c r="DD765" s="4"/>
      <c r="DE765" s="4"/>
      <c r="DF765" s="4"/>
      <c r="DG765" s="4"/>
      <c r="DH765" s="4"/>
      <c r="DI765" s="4"/>
      <c r="DJ765" s="4" t="b">
        <v>0</v>
      </c>
      <c r="DK765" s="4"/>
      <c r="DL765" s="4">
        <v>2491126</v>
      </c>
      <c r="DM765" s="4">
        <v>5736771</v>
      </c>
      <c r="DN765" s="4" t="s">
        <v>2466</v>
      </c>
      <c r="DO765" s="4"/>
      <c r="DP765" s="4"/>
      <c r="DQ765" s="4" t="s">
        <v>148</v>
      </c>
      <c r="DR765" s="4"/>
      <c r="DS765" s="4"/>
      <c r="DT765" s="4"/>
      <c r="DU765" s="4"/>
      <c r="DV765" s="4"/>
      <c r="DW765" s="4"/>
      <c r="DX765" s="4"/>
      <c r="DY765" s="4"/>
      <c r="DZ765" s="5">
        <v>39650</v>
      </c>
      <c r="EA765" s="4"/>
      <c r="EB765" s="4"/>
      <c r="EC765" s="4"/>
      <c r="ED765" s="4"/>
      <c r="EE765" s="4"/>
      <c r="EF765" s="4"/>
      <c r="EG765" s="4"/>
      <c r="EH765" s="4"/>
      <c r="EI765" s="5">
        <v>39471</v>
      </c>
    </row>
    <row r="766" spans="1:139" hidden="1" x14ac:dyDescent="0.2">
      <c r="A766">
        <f>VLOOKUP(B766,Sheet1!$A$1:$B$18,2,FALSE)</f>
        <v>0</v>
      </c>
      <c r="B766" t="str">
        <f>LEFT(D766,3)</f>
        <v>CHC</v>
      </c>
      <c r="C766" s="2">
        <v>765</v>
      </c>
      <c r="D766" s="3" t="str">
        <f>HYPERLINK("https://sitebase.nzcomms.co.nz/spm/spmnominalview/CHC-060-040/","CHC-060-040")</f>
        <v>CHC-060-040</v>
      </c>
      <c r="E766" s="4"/>
      <c r="F766" s="3" t="str">
        <f>HYPERLINK("https://sitebase.nzcomms.co.nz/spm/spmcandidateview/CHC-060-040-E/","CHC-060-040-E")</f>
        <v>CHC-060-040-E</v>
      </c>
      <c r="G766" s="4" t="s">
        <v>2467</v>
      </c>
      <c r="H766" s="4" t="s">
        <v>2353</v>
      </c>
      <c r="I766" s="4"/>
      <c r="J766" s="4" t="s">
        <v>139</v>
      </c>
      <c r="K766" s="4" t="s">
        <v>141</v>
      </c>
      <c r="L766" s="4" t="s">
        <v>150</v>
      </c>
      <c r="M766" s="4" t="s">
        <v>143</v>
      </c>
      <c r="N766" s="4" t="s">
        <v>291</v>
      </c>
      <c r="O766" s="4" t="s">
        <v>144</v>
      </c>
      <c r="P766" s="4"/>
      <c r="Q766" s="4"/>
      <c r="R766" s="4">
        <v>20</v>
      </c>
      <c r="S766" s="4">
        <v>20</v>
      </c>
      <c r="T766" s="4"/>
      <c r="U766" s="4">
        <v>-43.486133000000002</v>
      </c>
      <c r="V766" s="4">
        <v>172.55184711000001</v>
      </c>
      <c r="W766" s="4"/>
      <c r="X766" s="4"/>
      <c r="Y766" s="4"/>
      <c r="Z766" s="4"/>
      <c r="AA766" s="4" t="s">
        <v>217</v>
      </c>
      <c r="AB766" s="4" t="s">
        <v>2442</v>
      </c>
      <c r="AC766" s="4"/>
      <c r="AD766" s="4"/>
      <c r="AE766" s="4"/>
      <c r="AF766" s="4"/>
      <c r="AG766" s="4"/>
      <c r="AH766" s="4" t="s">
        <v>2468</v>
      </c>
      <c r="AI766" s="4"/>
      <c r="AJ766" s="4"/>
      <c r="AK766" s="4"/>
      <c r="AL766" s="4"/>
      <c r="AM766" s="4"/>
      <c r="AN766" s="5">
        <v>39542</v>
      </c>
      <c r="AO766" s="4">
        <v>4</v>
      </c>
      <c r="AP766" s="5">
        <v>39770</v>
      </c>
      <c r="AQ766" s="5">
        <v>39764</v>
      </c>
      <c r="AR766" s="4"/>
      <c r="AS766" s="4"/>
      <c r="AT766" s="5">
        <v>39599</v>
      </c>
      <c r="AU766" s="5">
        <v>39598</v>
      </c>
      <c r="AV766" s="4">
        <v>4</v>
      </c>
      <c r="AW766" s="5">
        <v>39599</v>
      </c>
      <c r="AX766" s="5">
        <v>39598</v>
      </c>
      <c r="AY766" s="4"/>
      <c r="AZ766" s="4"/>
      <c r="BA766" s="4"/>
      <c r="BB766" s="4"/>
      <c r="BC766" s="4"/>
      <c r="BD766" s="4"/>
      <c r="BE766" s="5">
        <v>39702</v>
      </c>
      <c r="BF766" s="5">
        <v>39702</v>
      </c>
      <c r="BG766" s="4"/>
      <c r="BH766" s="5">
        <v>39538</v>
      </c>
      <c r="BI766" s="4"/>
      <c r="BJ766" s="5">
        <v>39668</v>
      </c>
      <c r="BK766" s="4">
        <v>2</v>
      </c>
      <c r="BL766" s="4">
        <v>3</v>
      </c>
      <c r="BM766" s="5">
        <v>39764</v>
      </c>
      <c r="BN766" s="5">
        <v>39764</v>
      </c>
      <c r="BO766" s="4"/>
      <c r="BP766" s="4"/>
      <c r="BQ766" s="4"/>
      <c r="BR766" s="4"/>
      <c r="BS766" s="4"/>
      <c r="BT766" s="4"/>
      <c r="BU766" s="5">
        <v>39738</v>
      </c>
      <c r="BV766" s="5">
        <v>39794</v>
      </c>
      <c r="BW766" s="5">
        <v>39792</v>
      </c>
      <c r="BX766" s="4"/>
      <c r="BY766" s="5">
        <v>39813</v>
      </c>
      <c r="BZ766" s="5">
        <v>39799</v>
      </c>
      <c r="CA766" s="4"/>
      <c r="CB766" s="4"/>
      <c r="CC766" s="4"/>
      <c r="CD766" s="4"/>
      <c r="CE766" s="4"/>
      <c r="CF766" s="4"/>
      <c r="CG766" s="4"/>
      <c r="CH766" s="4"/>
      <c r="CI766" s="5">
        <v>39800</v>
      </c>
      <c r="CJ766" s="5">
        <v>39871</v>
      </c>
      <c r="CK766" s="5">
        <v>39800</v>
      </c>
      <c r="CL766" s="4"/>
      <c r="CM766" s="4"/>
      <c r="CN766" s="4"/>
      <c r="CO766" s="4"/>
      <c r="CP766" s="4" t="s">
        <v>2424</v>
      </c>
      <c r="CQ766" s="4"/>
      <c r="CR766" s="5">
        <v>39871</v>
      </c>
      <c r="CS766" s="4"/>
      <c r="CT766" s="4"/>
      <c r="CU766" s="4"/>
      <c r="CV766" s="4"/>
      <c r="CW766" s="4"/>
      <c r="CX766" s="4"/>
      <c r="CY766" s="4"/>
      <c r="CZ766" s="4"/>
      <c r="DA766" s="4"/>
      <c r="DB766" s="4"/>
      <c r="DC766" s="4"/>
      <c r="DD766" s="4"/>
      <c r="DE766" s="4"/>
      <c r="DF766" s="4"/>
      <c r="DG766" s="4"/>
      <c r="DH766" s="4"/>
      <c r="DI766" s="4"/>
      <c r="DJ766" s="4" t="b">
        <v>0</v>
      </c>
      <c r="DK766" s="4"/>
      <c r="DL766" s="4">
        <v>2473759</v>
      </c>
      <c r="DM766" s="4">
        <v>5746715</v>
      </c>
      <c r="DN766" s="4" t="s">
        <v>2469</v>
      </c>
      <c r="DO766" s="4"/>
      <c r="DP766" s="4"/>
      <c r="DQ766" s="4" t="s">
        <v>148</v>
      </c>
      <c r="DR766" s="4"/>
      <c r="DS766" s="4"/>
      <c r="DT766" s="5">
        <v>42289</v>
      </c>
      <c r="DU766" s="4"/>
      <c r="DV766" s="4"/>
      <c r="DW766" s="4"/>
      <c r="DX766" s="4"/>
      <c r="DY766" s="4"/>
      <c r="DZ766" s="5">
        <v>39707</v>
      </c>
      <c r="EA766" s="4"/>
      <c r="EB766" s="4"/>
      <c r="EC766" s="4"/>
      <c r="ED766" s="4"/>
      <c r="EE766" s="4"/>
      <c r="EF766" s="4"/>
      <c r="EG766" s="4"/>
      <c r="EH766" s="4"/>
      <c r="EI766" s="5">
        <v>39505</v>
      </c>
    </row>
    <row r="767" spans="1:139" hidden="1" x14ac:dyDescent="0.2">
      <c r="A767">
        <f>VLOOKUP(B767,Sheet1!$A$1:$B$18,2,FALSE)</f>
        <v>0</v>
      </c>
      <c r="B767" t="str">
        <f>LEFT(D767,3)</f>
        <v>CHC</v>
      </c>
      <c r="C767" s="2">
        <v>766</v>
      </c>
      <c r="D767" s="3" t="str">
        <f>HYPERLINK("https://sitebase.nzcomms.co.nz/spm/spmnominalview/CHC-060-041/","CHC-060-041")</f>
        <v>CHC-060-041</v>
      </c>
      <c r="E767" s="4"/>
      <c r="F767" s="3" t="str">
        <f>HYPERLINK("https://sitebase.nzcomms.co.nz/spm/spmcandidateview/CHC-060-041-A/","CHC-060-041-A")</f>
        <v>CHC-060-041-A</v>
      </c>
      <c r="G767" s="4" t="s">
        <v>2470</v>
      </c>
      <c r="H767" s="4" t="s">
        <v>2353</v>
      </c>
      <c r="I767" s="4"/>
      <c r="J767" s="4" t="s">
        <v>139</v>
      </c>
      <c r="K767" s="4" t="s">
        <v>141</v>
      </c>
      <c r="L767" s="4" t="s">
        <v>150</v>
      </c>
      <c r="M767" s="4" t="s">
        <v>143</v>
      </c>
      <c r="N767" s="4" t="s">
        <v>620</v>
      </c>
      <c r="O767" s="4" t="s">
        <v>144</v>
      </c>
      <c r="P767" s="4"/>
      <c r="Q767" s="4"/>
      <c r="R767" s="4">
        <v>35</v>
      </c>
      <c r="S767" s="4">
        <v>35</v>
      </c>
      <c r="T767" s="4"/>
      <c r="U767" s="4">
        <v>-43.463842499999998</v>
      </c>
      <c r="V767" s="4">
        <v>172.57933338999999</v>
      </c>
      <c r="W767" s="4"/>
      <c r="X767" s="4"/>
      <c r="Y767" s="4"/>
      <c r="Z767" s="4"/>
      <c r="AA767" s="4" t="s">
        <v>217</v>
      </c>
      <c r="AB767" s="4" t="s">
        <v>2367</v>
      </c>
      <c r="AC767" s="4"/>
      <c r="AD767" s="4"/>
      <c r="AE767" s="4"/>
      <c r="AF767" s="4"/>
      <c r="AG767" s="4"/>
      <c r="AH767" s="4" t="s">
        <v>672</v>
      </c>
      <c r="AI767" s="4"/>
      <c r="AJ767" s="4"/>
      <c r="AK767" s="4"/>
      <c r="AL767" s="4"/>
      <c r="AM767" s="4"/>
      <c r="AN767" s="5">
        <v>39464</v>
      </c>
      <c r="AO767" s="4">
        <v>5</v>
      </c>
      <c r="AP767" s="5">
        <v>39800</v>
      </c>
      <c r="AQ767" s="5">
        <v>39800</v>
      </c>
      <c r="AR767" s="4"/>
      <c r="AS767" s="4"/>
      <c r="AT767" s="5">
        <v>39897</v>
      </c>
      <c r="AU767" s="5">
        <v>39897</v>
      </c>
      <c r="AV767" s="4">
        <v>5</v>
      </c>
      <c r="AW767" s="5">
        <v>39926</v>
      </c>
      <c r="AX767" s="5">
        <v>39924</v>
      </c>
      <c r="AY767" s="4"/>
      <c r="AZ767" s="4"/>
      <c r="BA767" s="4"/>
      <c r="BB767" s="5">
        <v>39720</v>
      </c>
      <c r="BC767" s="4"/>
      <c r="BD767" s="4"/>
      <c r="BE767" s="5">
        <v>39825</v>
      </c>
      <c r="BF767" s="5">
        <v>39825</v>
      </c>
      <c r="BG767" s="4"/>
      <c r="BH767" s="5">
        <v>39519</v>
      </c>
      <c r="BI767" s="4"/>
      <c r="BJ767" s="5">
        <v>39801</v>
      </c>
      <c r="BK767" s="4">
        <v>1</v>
      </c>
      <c r="BL767" s="4">
        <v>5</v>
      </c>
      <c r="BM767" s="5">
        <v>39801</v>
      </c>
      <c r="BN767" s="5">
        <v>39801</v>
      </c>
      <c r="BO767" s="5">
        <v>39927</v>
      </c>
      <c r="BP767" s="4"/>
      <c r="BQ767" s="4"/>
      <c r="BR767" s="4"/>
      <c r="BS767" s="4"/>
      <c r="BT767" s="5">
        <v>39933</v>
      </c>
      <c r="BU767" s="5">
        <v>39933</v>
      </c>
      <c r="BV767" s="5">
        <v>39961</v>
      </c>
      <c r="BW767" s="5">
        <v>39961</v>
      </c>
      <c r="BX767" s="4"/>
      <c r="BY767" s="5">
        <v>39976</v>
      </c>
      <c r="BZ767" s="5">
        <v>39968</v>
      </c>
      <c r="CA767" s="4"/>
      <c r="CB767" s="4"/>
      <c r="CC767" s="4"/>
      <c r="CD767" s="4"/>
      <c r="CE767" s="4"/>
      <c r="CF767" s="4"/>
      <c r="CG767" s="4"/>
      <c r="CH767" s="4"/>
      <c r="CI767" s="5">
        <v>39976</v>
      </c>
      <c r="CJ767" s="5">
        <v>39980</v>
      </c>
      <c r="CK767" s="5">
        <v>39976</v>
      </c>
      <c r="CL767" s="4"/>
      <c r="CM767" s="4"/>
      <c r="CN767" s="4"/>
      <c r="CO767" s="4"/>
      <c r="CP767" s="4" t="s">
        <v>2471</v>
      </c>
      <c r="CQ767" s="4"/>
      <c r="CR767" s="5">
        <v>39980</v>
      </c>
      <c r="CS767" s="4"/>
      <c r="CT767" s="4"/>
      <c r="CU767" s="4"/>
      <c r="CV767" s="4"/>
      <c r="CW767" s="5">
        <v>39930</v>
      </c>
      <c r="CX767" s="5">
        <v>39927</v>
      </c>
      <c r="CY767" s="4"/>
      <c r="CZ767" s="4"/>
      <c r="DA767" s="4"/>
      <c r="DB767" s="4"/>
      <c r="DC767" s="4"/>
      <c r="DD767" s="4"/>
      <c r="DE767" s="4"/>
      <c r="DF767" s="4"/>
      <c r="DG767" s="4"/>
      <c r="DH767" s="4"/>
      <c r="DI767" s="4"/>
      <c r="DJ767" s="4" t="b">
        <v>0</v>
      </c>
      <c r="DK767" s="4"/>
      <c r="DL767" s="4">
        <v>2475970</v>
      </c>
      <c r="DM767" s="4">
        <v>5749203</v>
      </c>
      <c r="DN767" s="4" t="s">
        <v>2472</v>
      </c>
      <c r="DO767" s="4"/>
      <c r="DP767" s="4"/>
      <c r="DQ767" s="4" t="s">
        <v>148</v>
      </c>
      <c r="DR767" s="4"/>
      <c r="DS767" s="4"/>
      <c r="DT767" s="5">
        <v>42289</v>
      </c>
      <c r="DU767" s="4"/>
      <c r="DV767" s="4"/>
      <c r="DW767" s="4"/>
      <c r="DX767" s="4"/>
      <c r="DY767" s="5">
        <v>39930</v>
      </c>
      <c r="DZ767" s="5">
        <v>39925</v>
      </c>
      <c r="EA767" s="4"/>
      <c r="EB767" s="4"/>
      <c r="EC767" s="4"/>
      <c r="ED767" s="4"/>
      <c r="EE767" s="4"/>
      <c r="EF767" s="4"/>
      <c r="EG767" s="4"/>
      <c r="EH767" s="4"/>
      <c r="EI767" s="5">
        <v>39386</v>
      </c>
    </row>
    <row r="768" spans="1:139" hidden="1" x14ac:dyDescent="0.2">
      <c r="A768">
        <f>VLOOKUP(B768,Sheet1!$A$1:$B$18,2,FALSE)</f>
        <v>0</v>
      </c>
      <c r="B768" t="str">
        <f>LEFT(D768,3)</f>
        <v>CHC</v>
      </c>
      <c r="C768" s="2">
        <v>767</v>
      </c>
      <c r="D768" s="3" t="str">
        <f>HYPERLINK("https://sitebase.nzcomms.co.nz/spm/spmnominalview/CHC-060-042/","CHC-060-042")</f>
        <v>CHC-060-042</v>
      </c>
      <c r="E768" s="4"/>
      <c r="F768" s="3" t="str">
        <f>HYPERLINK("https://sitebase.nzcomms.co.nz/spm/spmcandidateview/CHC-060-042-D/","CHC-060-042-D")</f>
        <v>CHC-060-042-D</v>
      </c>
      <c r="G768" s="4" t="s">
        <v>2473</v>
      </c>
      <c r="H768" s="4" t="s">
        <v>2353</v>
      </c>
      <c r="I768" s="4"/>
      <c r="J768" s="4" t="s">
        <v>139</v>
      </c>
      <c r="K768" s="4" t="s">
        <v>141</v>
      </c>
      <c r="L768" s="4" t="s">
        <v>150</v>
      </c>
      <c r="M768" s="4" t="s">
        <v>143</v>
      </c>
      <c r="N768" s="4" t="s">
        <v>291</v>
      </c>
      <c r="O768" s="4" t="s">
        <v>144</v>
      </c>
      <c r="P768" s="4"/>
      <c r="Q768" s="4"/>
      <c r="R768" s="4">
        <v>20</v>
      </c>
      <c r="S768" s="4">
        <v>20</v>
      </c>
      <c r="T768" s="4"/>
      <c r="U768" s="4">
        <v>-43.42102611</v>
      </c>
      <c r="V768" s="4">
        <v>172.65227648999999</v>
      </c>
      <c r="W768" s="4"/>
      <c r="X768" s="4"/>
      <c r="Y768" s="4"/>
      <c r="Z768" s="4"/>
      <c r="AA768" s="4" t="s">
        <v>217</v>
      </c>
      <c r="AB768" s="4" t="s">
        <v>2435</v>
      </c>
      <c r="AC768" s="4"/>
      <c r="AD768" s="4"/>
      <c r="AE768" s="4"/>
      <c r="AF768" s="4"/>
      <c r="AG768" s="4"/>
      <c r="AH768" s="4" t="s">
        <v>2474</v>
      </c>
      <c r="AI768" s="4"/>
      <c r="AJ768" s="4"/>
      <c r="AK768" s="4"/>
      <c r="AL768" s="4"/>
      <c r="AM768" s="4"/>
      <c r="AN768" s="5">
        <v>39583</v>
      </c>
      <c r="AO768" s="4">
        <v>2</v>
      </c>
      <c r="AP768" s="5">
        <v>39702</v>
      </c>
      <c r="AQ768" s="5">
        <v>39702</v>
      </c>
      <c r="AR768" s="4"/>
      <c r="AS768" s="4"/>
      <c r="AT768" s="5">
        <v>39678</v>
      </c>
      <c r="AU768" s="5">
        <v>39678</v>
      </c>
      <c r="AV768" s="4">
        <v>2</v>
      </c>
      <c r="AW768" s="5">
        <v>39678</v>
      </c>
      <c r="AX768" s="5">
        <v>39678</v>
      </c>
      <c r="AY768" s="4"/>
      <c r="AZ768" s="4"/>
      <c r="BA768" s="4"/>
      <c r="BB768" s="4"/>
      <c r="BC768" s="4"/>
      <c r="BD768" s="4"/>
      <c r="BE768" s="5">
        <v>39700</v>
      </c>
      <c r="BF768" s="5">
        <v>39700</v>
      </c>
      <c r="BG768" s="4"/>
      <c r="BH768" s="5">
        <v>39602</v>
      </c>
      <c r="BI768" s="4"/>
      <c r="BJ768" s="5">
        <v>39702</v>
      </c>
      <c r="BK768" s="4">
        <v>1</v>
      </c>
      <c r="BL768" s="4">
        <v>2</v>
      </c>
      <c r="BM768" s="5">
        <v>39702</v>
      </c>
      <c r="BN768" s="5">
        <v>39702</v>
      </c>
      <c r="BO768" s="5">
        <v>39828</v>
      </c>
      <c r="BP768" s="4"/>
      <c r="BQ768" s="4"/>
      <c r="BR768" s="4"/>
      <c r="BS768" s="4"/>
      <c r="BT768" s="4"/>
      <c r="BU768" s="5">
        <v>39738</v>
      </c>
      <c r="BV768" s="5">
        <v>39835</v>
      </c>
      <c r="BW768" s="5">
        <v>39836</v>
      </c>
      <c r="BX768" s="4"/>
      <c r="BY768" s="5">
        <v>39848</v>
      </c>
      <c r="BZ768" s="5">
        <v>39846</v>
      </c>
      <c r="CA768" s="4"/>
      <c r="CB768" s="4"/>
      <c r="CC768" s="4"/>
      <c r="CD768" s="4"/>
      <c r="CE768" s="4"/>
      <c r="CF768" s="4"/>
      <c r="CG768" s="4"/>
      <c r="CH768" s="4"/>
      <c r="CI768" s="5">
        <v>39902</v>
      </c>
      <c r="CJ768" s="5">
        <v>39899</v>
      </c>
      <c r="CK768" s="5">
        <v>39902</v>
      </c>
      <c r="CL768" s="4"/>
      <c r="CM768" s="4"/>
      <c r="CN768" s="4"/>
      <c r="CO768" s="4"/>
      <c r="CP768" s="4" t="s">
        <v>2475</v>
      </c>
      <c r="CQ768" s="4"/>
      <c r="CR768" s="5">
        <v>39899</v>
      </c>
      <c r="CS768" s="4"/>
      <c r="CT768" s="4"/>
      <c r="CU768" s="4"/>
      <c r="CV768" s="4"/>
      <c r="CW768" s="4"/>
      <c r="CX768" s="5">
        <v>39828</v>
      </c>
      <c r="CY768" s="4"/>
      <c r="CZ768" s="4"/>
      <c r="DA768" s="4"/>
      <c r="DB768" s="4"/>
      <c r="DC768" s="4"/>
      <c r="DD768" s="4"/>
      <c r="DE768" s="4"/>
      <c r="DF768" s="4"/>
      <c r="DG768" s="4"/>
      <c r="DH768" s="4"/>
      <c r="DI768" s="4"/>
      <c r="DJ768" s="4" t="b">
        <v>0</v>
      </c>
      <c r="DK768" s="4"/>
      <c r="DL768" s="4">
        <v>2481853</v>
      </c>
      <c r="DM768" s="4">
        <v>5753987</v>
      </c>
      <c r="DN768" s="4" t="s">
        <v>2476</v>
      </c>
      <c r="DO768" s="4"/>
      <c r="DP768" s="4"/>
      <c r="DQ768" s="4" t="s">
        <v>148</v>
      </c>
      <c r="DR768" s="4"/>
      <c r="DS768" s="4"/>
      <c r="DT768" s="4"/>
      <c r="DU768" s="4"/>
      <c r="DV768" s="4"/>
      <c r="DW768" s="4"/>
      <c r="DX768" s="4"/>
      <c r="DY768" s="4"/>
      <c r="DZ768" s="5">
        <v>39707</v>
      </c>
      <c r="EA768" s="4"/>
      <c r="EB768" s="4"/>
      <c r="EC768" s="4"/>
      <c r="ED768" s="4"/>
      <c r="EE768" s="4"/>
      <c r="EF768" s="4"/>
      <c r="EG768" s="4"/>
      <c r="EH768" s="4"/>
      <c r="EI768" s="5">
        <v>39566</v>
      </c>
    </row>
    <row r="769" spans="1:139" hidden="1" x14ac:dyDescent="0.2">
      <c r="A769">
        <f>VLOOKUP(B769,Sheet1!$A$1:$B$18,2,FALSE)</f>
        <v>0</v>
      </c>
      <c r="B769" t="str">
        <f>LEFT(D769,3)</f>
        <v>CHC</v>
      </c>
      <c r="C769" s="2">
        <v>768</v>
      </c>
      <c r="D769" s="3" t="str">
        <f>HYPERLINK("https://sitebase.nzcomms.co.nz/spm/spmnominalview/CHC-060-043/","CHC-060-043")</f>
        <v>CHC-060-043</v>
      </c>
      <c r="E769" s="4" t="s">
        <v>2477</v>
      </c>
      <c r="F769" s="3" t="str">
        <f>HYPERLINK("https://sitebase.nzcomms.co.nz/spm/spmcandidateview/CHC-060-043-G/","CHC-060-043-G")</f>
        <v>CHC-060-043-G</v>
      </c>
      <c r="G769" s="4" t="s">
        <v>2477</v>
      </c>
      <c r="H769" s="4" t="s">
        <v>2353</v>
      </c>
      <c r="I769" s="4"/>
      <c r="J769" s="4" t="s">
        <v>139</v>
      </c>
      <c r="K769" s="4" t="s">
        <v>141</v>
      </c>
      <c r="L769" s="4" t="s">
        <v>189</v>
      </c>
      <c r="M769" s="4" t="s">
        <v>354</v>
      </c>
      <c r="N769" s="4" t="s">
        <v>2348</v>
      </c>
      <c r="O769" s="4" t="s">
        <v>356</v>
      </c>
      <c r="P769" s="4"/>
      <c r="Q769" s="4"/>
      <c r="R769" s="4">
        <v>18</v>
      </c>
      <c r="S769" s="4">
        <v>18</v>
      </c>
      <c r="T769" s="4"/>
      <c r="U769" s="4">
        <v>-43.535075880000001</v>
      </c>
      <c r="V769" s="4">
        <v>172.62629992999999</v>
      </c>
      <c r="W769" s="4"/>
      <c r="X769" s="4"/>
      <c r="Y769" s="4"/>
      <c r="Z769" s="4"/>
      <c r="AA769" s="4" t="s">
        <v>171</v>
      </c>
      <c r="AB769" s="3" t="str">
        <f>HYPERLINK("https://sitebase.nzcomms.co.nz/spm/spmcandidateview/CHC-060-001-G/","CHC-060-001-G")</f>
        <v>CHC-060-001-G</v>
      </c>
      <c r="AC769" s="4"/>
      <c r="AD769" s="4"/>
      <c r="AE769" s="4"/>
      <c r="AF769" s="4"/>
      <c r="AG769" s="4"/>
      <c r="AH769" s="4" t="s">
        <v>2478</v>
      </c>
      <c r="AI769" s="4"/>
      <c r="AJ769" s="4"/>
      <c r="AK769" s="4"/>
      <c r="AL769" s="4"/>
      <c r="AM769" s="5">
        <v>39933</v>
      </c>
      <c r="AN769" s="5">
        <v>39919</v>
      </c>
      <c r="AO769" s="4">
        <v>5</v>
      </c>
      <c r="AP769" s="5">
        <v>39933</v>
      </c>
      <c r="AQ769" s="5">
        <v>41954</v>
      </c>
      <c r="AR769" s="4"/>
      <c r="AS769" s="4"/>
      <c r="AT769" s="5">
        <v>39962</v>
      </c>
      <c r="AU769" s="5">
        <v>39962</v>
      </c>
      <c r="AV769" s="4">
        <v>3</v>
      </c>
      <c r="AW769" s="5">
        <v>39962</v>
      </c>
      <c r="AX769" s="5">
        <v>39962</v>
      </c>
      <c r="AY769" s="4"/>
      <c r="AZ769" s="5">
        <v>39918</v>
      </c>
      <c r="BA769" s="4"/>
      <c r="BB769" s="5">
        <v>39943</v>
      </c>
      <c r="BC769" s="4"/>
      <c r="BD769" s="4"/>
      <c r="BE769" s="5">
        <v>39976</v>
      </c>
      <c r="BF769" s="5">
        <v>39976</v>
      </c>
      <c r="BG769" s="5">
        <v>39933</v>
      </c>
      <c r="BH769" s="5">
        <v>39937</v>
      </c>
      <c r="BI769" s="4"/>
      <c r="BJ769" s="5">
        <v>39974</v>
      </c>
      <c r="BK769" s="4">
        <v>3</v>
      </c>
      <c r="BL769" s="4"/>
      <c r="BM769" s="5">
        <v>39973</v>
      </c>
      <c r="BN769" s="5">
        <v>42040</v>
      </c>
      <c r="BO769" s="5">
        <v>39987</v>
      </c>
      <c r="BP769" s="4"/>
      <c r="BQ769" s="4"/>
      <c r="BR769" s="4"/>
      <c r="BS769" s="4"/>
      <c r="BT769" s="5">
        <v>39979</v>
      </c>
      <c r="BU769" s="4"/>
      <c r="BV769" s="5">
        <v>39993</v>
      </c>
      <c r="BW769" s="4"/>
      <c r="BX769" s="4"/>
      <c r="BY769" s="5">
        <v>39994</v>
      </c>
      <c r="BZ769" s="5">
        <v>39994</v>
      </c>
      <c r="CA769" s="4"/>
      <c r="CB769" s="4"/>
      <c r="CC769" s="4"/>
      <c r="CD769" s="4"/>
      <c r="CE769" s="4"/>
      <c r="CF769" s="4"/>
      <c r="CG769" s="4"/>
      <c r="CH769" s="4"/>
      <c r="CI769" s="5">
        <v>39994</v>
      </c>
      <c r="CJ769" s="5">
        <v>39994</v>
      </c>
      <c r="CK769" s="5">
        <v>39994</v>
      </c>
      <c r="CL769" s="4"/>
      <c r="CM769" s="4"/>
      <c r="CN769" s="4"/>
      <c r="CO769" s="4"/>
      <c r="CP769" s="4"/>
      <c r="CQ769" s="4"/>
      <c r="CR769" s="5">
        <v>39994</v>
      </c>
      <c r="CS769" s="4"/>
      <c r="CT769" s="4"/>
      <c r="CU769" s="4"/>
      <c r="CV769" s="4"/>
      <c r="CW769" s="5">
        <v>39987</v>
      </c>
      <c r="CX769" s="5">
        <v>39987</v>
      </c>
      <c r="CY769" s="4"/>
      <c r="CZ769" s="4"/>
      <c r="DA769" s="4"/>
      <c r="DB769" s="4"/>
      <c r="DC769" s="4"/>
      <c r="DD769" s="4"/>
      <c r="DE769" s="4"/>
      <c r="DF769" s="4"/>
      <c r="DG769" s="4"/>
      <c r="DH769" s="4"/>
      <c r="DI769" s="4"/>
      <c r="DJ769" s="4" t="b">
        <v>0</v>
      </c>
      <c r="DK769" s="4"/>
      <c r="DL769" s="4">
        <v>2479806</v>
      </c>
      <c r="DM769" s="4">
        <v>5741307</v>
      </c>
      <c r="DN769" s="4" t="s">
        <v>2479</v>
      </c>
      <c r="DO769" s="4"/>
      <c r="DP769" s="4"/>
      <c r="DQ769" s="4" t="s">
        <v>148</v>
      </c>
      <c r="DR769" s="4"/>
      <c r="DS769" s="4"/>
      <c r="DT769" s="5">
        <v>41901</v>
      </c>
      <c r="DU769" s="4"/>
      <c r="DV769" s="4"/>
      <c r="DW769" s="4"/>
      <c r="DX769" s="4"/>
      <c r="DY769" s="5">
        <v>39979</v>
      </c>
      <c r="DZ769" s="5">
        <v>39979</v>
      </c>
      <c r="EA769" s="4"/>
      <c r="EB769" s="4"/>
      <c r="EC769" s="4"/>
      <c r="ED769" s="4"/>
      <c r="EE769" s="4"/>
      <c r="EF769" s="4"/>
      <c r="EG769" s="4"/>
      <c r="EH769" s="4"/>
      <c r="EI769" s="5">
        <v>39905</v>
      </c>
    </row>
    <row r="770" spans="1:139" hidden="1" x14ac:dyDescent="0.2">
      <c r="A770">
        <f>VLOOKUP(B770,Sheet1!$A$1:$B$18,2,FALSE)</f>
        <v>0</v>
      </c>
      <c r="B770" t="str">
        <f>LEFT(D770,3)</f>
        <v>CHC</v>
      </c>
      <c r="C770" s="2">
        <v>769</v>
      </c>
      <c r="D770" s="3" t="str">
        <f>HYPERLINK("https://sitebase.nzcomms.co.nz/spm/spmnominalview/CHC-060-044/","CHC-060-044")</f>
        <v>CHC-060-044</v>
      </c>
      <c r="E770" s="4"/>
      <c r="F770" s="4"/>
      <c r="G770" s="4"/>
      <c r="H770" s="4" t="s">
        <v>2353</v>
      </c>
      <c r="I770" s="4"/>
      <c r="J770" s="4" t="s">
        <v>139</v>
      </c>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row>
    <row r="771" spans="1:139" hidden="1" x14ac:dyDescent="0.2">
      <c r="A771">
        <f>VLOOKUP(B771,Sheet1!$A$1:$B$18,2,FALSE)</f>
        <v>0</v>
      </c>
      <c r="B771" t="str">
        <f>LEFT(D771,3)</f>
        <v>CHC</v>
      </c>
      <c r="C771" s="2">
        <v>770</v>
      </c>
      <c r="D771" s="3" t="str">
        <f>HYPERLINK("https://sitebase.nzcomms.co.nz/spm/spmnominalview/CHC-060-045/","CHC-060-045")</f>
        <v>CHC-060-045</v>
      </c>
      <c r="E771" s="4"/>
      <c r="F771" s="3" t="str">
        <f>HYPERLINK("https://sitebase.nzcomms.co.nz/spm/spmcandidateview/CHC-060-045-A/","CHC-060-045-A")</f>
        <v>CHC-060-045-A</v>
      </c>
      <c r="G771" s="4" t="s">
        <v>2480</v>
      </c>
      <c r="H771" s="4" t="s">
        <v>2353</v>
      </c>
      <c r="I771" s="4"/>
      <c r="J771" s="4" t="s">
        <v>139</v>
      </c>
      <c r="K771" s="4" t="s">
        <v>141</v>
      </c>
      <c r="L771" s="4" t="s">
        <v>150</v>
      </c>
      <c r="M771" s="4" t="s">
        <v>143</v>
      </c>
      <c r="N771" s="4" t="s">
        <v>1986</v>
      </c>
      <c r="O771" s="4" t="s">
        <v>144</v>
      </c>
      <c r="P771" s="4"/>
      <c r="Q771" s="4"/>
      <c r="R771" s="4">
        <v>35</v>
      </c>
      <c r="S771" s="4">
        <v>35</v>
      </c>
      <c r="T771" s="4"/>
      <c r="U771" s="4">
        <v>-43.530641180000003</v>
      </c>
      <c r="V771" s="4">
        <v>172.69776859000001</v>
      </c>
      <c r="W771" s="4"/>
      <c r="X771" s="4"/>
      <c r="Y771" s="4"/>
      <c r="Z771" s="4"/>
      <c r="AA771" s="4"/>
      <c r="AB771" s="4"/>
      <c r="AC771" s="4"/>
      <c r="AD771" s="4"/>
      <c r="AE771" s="4"/>
      <c r="AF771" s="4"/>
      <c r="AG771" s="4"/>
      <c r="AH771" s="4"/>
      <c r="AI771" s="4"/>
      <c r="AJ771" s="4"/>
      <c r="AK771" s="4"/>
      <c r="AL771" s="4"/>
      <c r="AM771" s="4"/>
      <c r="AN771" s="5">
        <v>39519</v>
      </c>
      <c r="AO771" s="4">
        <v>6</v>
      </c>
      <c r="AP771" s="5">
        <v>39836</v>
      </c>
      <c r="AQ771" s="5">
        <v>39836</v>
      </c>
      <c r="AR771" s="4"/>
      <c r="AS771" s="4"/>
      <c r="AT771" s="5">
        <v>39751</v>
      </c>
      <c r="AU771" s="5">
        <v>39738</v>
      </c>
      <c r="AV771" s="4">
        <v>5</v>
      </c>
      <c r="AW771" s="5">
        <v>39751</v>
      </c>
      <c r="AX771" s="5">
        <v>39738</v>
      </c>
      <c r="AY771" s="4" t="s">
        <v>183</v>
      </c>
      <c r="AZ771" s="5">
        <v>39797</v>
      </c>
      <c r="BA771" s="5">
        <v>40791</v>
      </c>
      <c r="BB771" s="5">
        <v>39955</v>
      </c>
      <c r="BC771" s="5">
        <v>40896</v>
      </c>
      <c r="BD771" s="4">
        <v>5</v>
      </c>
      <c r="BE771" s="5">
        <v>39958</v>
      </c>
      <c r="BF771" s="5">
        <v>39958</v>
      </c>
      <c r="BG771" s="4"/>
      <c r="BH771" s="5">
        <v>39687</v>
      </c>
      <c r="BI771" s="4"/>
      <c r="BJ771" s="5">
        <v>39773</v>
      </c>
      <c r="BK771" s="4">
        <v>7</v>
      </c>
      <c r="BL771" s="4"/>
      <c r="BM771" s="5">
        <v>39829</v>
      </c>
      <c r="BN771" s="5">
        <v>40834</v>
      </c>
      <c r="BO771" s="5">
        <v>39843</v>
      </c>
      <c r="BP771" s="4"/>
      <c r="BQ771" s="4"/>
      <c r="BR771" s="4"/>
      <c r="BS771" s="4"/>
      <c r="BT771" s="5">
        <v>39972</v>
      </c>
      <c r="BU771" s="5">
        <v>39972</v>
      </c>
      <c r="BV771" s="5">
        <v>40004</v>
      </c>
      <c r="BW771" s="5">
        <v>40004</v>
      </c>
      <c r="BX771" s="4"/>
      <c r="BY771" s="5">
        <v>40022</v>
      </c>
      <c r="BZ771" s="5">
        <v>40009</v>
      </c>
      <c r="CA771" s="4"/>
      <c r="CB771" s="4"/>
      <c r="CC771" s="4"/>
      <c r="CD771" s="4"/>
      <c r="CE771" s="4"/>
      <c r="CF771" s="4"/>
      <c r="CG771" s="4"/>
      <c r="CH771" s="4"/>
      <c r="CI771" s="5">
        <v>40025</v>
      </c>
      <c r="CJ771" s="5">
        <v>40025</v>
      </c>
      <c r="CK771" s="5">
        <v>40025</v>
      </c>
      <c r="CL771" s="4"/>
      <c r="CM771" s="4"/>
      <c r="CN771" s="4"/>
      <c r="CO771" s="4"/>
      <c r="CP771" s="4"/>
      <c r="CQ771" s="4"/>
      <c r="CR771" s="5">
        <v>40025</v>
      </c>
      <c r="CS771" s="4"/>
      <c r="CT771" s="4"/>
      <c r="CU771" s="4"/>
      <c r="CV771" s="4"/>
      <c r="CW771" s="4"/>
      <c r="CX771" s="5">
        <v>39843</v>
      </c>
      <c r="CY771" s="4"/>
      <c r="CZ771" s="4"/>
      <c r="DA771" s="4"/>
      <c r="DB771" s="4"/>
      <c r="DC771" s="4"/>
      <c r="DD771" s="4"/>
      <c r="DE771" s="4"/>
      <c r="DF771" s="4"/>
      <c r="DG771" s="4"/>
      <c r="DH771" s="4"/>
      <c r="DI771" s="4"/>
      <c r="DJ771" s="4" t="b">
        <v>0</v>
      </c>
      <c r="DK771" s="4"/>
      <c r="DL771" s="4">
        <v>2485581</v>
      </c>
      <c r="DM771" s="4">
        <v>5741823</v>
      </c>
      <c r="DN771" s="4" t="s">
        <v>2481</v>
      </c>
      <c r="DO771" s="4"/>
      <c r="DP771" s="4" t="s">
        <v>2482</v>
      </c>
      <c r="DQ771" s="4" t="s">
        <v>148</v>
      </c>
      <c r="DR771" s="4"/>
      <c r="DS771" s="4"/>
      <c r="DT771" s="4"/>
      <c r="DU771" s="4"/>
      <c r="DV771" s="4"/>
      <c r="DW771" s="4"/>
      <c r="DX771" s="4"/>
      <c r="DY771" s="5">
        <v>39972</v>
      </c>
      <c r="DZ771" s="5">
        <v>39966</v>
      </c>
      <c r="EA771" s="4"/>
      <c r="EB771" s="4"/>
      <c r="EC771" s="4"/>
      <c r="ED771" s="4"/>
      <c r="EE771" s="4"/>
      <c r="EF771" s="4"/>
      <c r="EG771" s="4"/>
      <c r="EH771" s="4"/>
      <c r="EI771" s="5">
        <v>39374</v>
      </c>
    </row>
    <row r="772" spans="1:139" hidden="1" x14ac:dyDescent="0.2">
      <c r="A772">
        <f>VLOOKUP(B772,Sheet1!$A$1:$B$18,2,FALSE)</f>
        <v>0</v>
      </c>
      <c r="B772" t="str">
        <f>LEFT(D772,3)</f>
        <v>CHC</v>
      </c>
      <c r="C772" s="2">
        <v>771</v>
      </c>
      <c r="D772" s="3" t="str">
        <f>HYPERLINK("https://sitebase.nzcomms.co.nz/spm/spmnominalview/CHC-060-046/","CHC-060-046")</f>
        <v>CHC-060-046</v>
      </c>
      <c r="E772" s="4"/>
      <c r="F772" s="4"/>
      <c r="G772" s="4"/>
      <c r="H772" s="4" t="s">
        <v>2353</v>
      </c>
      <c r="I772" s="4"/>
      <c r="J772" s="4" t="s">
        <v>139</v>
      </c>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row>
    <row r="773" spans="1:139" hidden="1" x14ac:dyDescent="0.2">
      <c r="A773">
        <f>VLOOKUP(B773,Sheet1!$A$1:$B$18,2,FALSE)</f>
        <v>0</v>
      </c>
      <c r="B773" t="str">
        <f>LEFT(D773,3)</f>
        <v>CHC</v>
      </c>
      <c r="C773" s="2">
        <v>772</v>
      </c>
      <c r="D773" s="3" t="str">
        <f>HYPERLINK("https://sitebase.nzcomms.co.nz/spm/spmnominalview/CHC-060-047/","CHC-060-047")</f>
        <v>CHC-060-047</v>
      </c>
      <c r="E773" s="4"/>
      <c r="F773" s="3" t="str">
        <f>HYPERLINK("https://sitebase.nzcomms.co.nz/spm/spmcandidateview/CHC-060-047-E/","CHC-060-047-E")</f>
        <v>CHC-060-047-E</v>
      </c>
      <c r="G773" s="4" t="s">
        <v>2483</v>
      </c>
      <c r="H773" s="4" t="s">
        <v>2353</v>
      </c>
      <c r="I773" s="4"/>
      <c r="J773" s="4" t="s">
        <v>139</v>
      </c>
      <c r="K773" s="4" t="s">
        <v>141</v>
      </c>
      <c r="L773" s="4" t="s">
        <v>150</v>
      </c>
      <c r="M773" s="4" t="s">
        <v>143</v>
      </c>
      <c r="N773" s="4" t="s">
        <v>156</v>
      </c>
      <c r="O773" s="4" t="s">
        <v>356</v>
      </c>
      <c r="P773" s="4"/>
      <c r="Q773" s="4"/>
      <c r="R773" s="4">
        <v>25</v>
      </c>
      <c r="S773" s="4">
        <v>25</v>
      </c>
      <c r="T773" s="4"/>
      <c r="U773" s="4">
        <v>-43.56061098</v>
      </c>
      <c r="V773" s="4">
        <v>172.52158173000001</v>
      </c>
      <c r="W773" s="4"/>
      <c r="X773" s="4"/>
      <c r="Y773" s="4"/>
      <c r="Z773" s="4"/>
      <c r="AA773" s="4" t="s">
        <v>217</v>
      </c>
      <c r="AB773" s="4" t="s">
        <v>2376</v>
      </c>
      <c r="AC773" s="4"/>
      <c r="AD773" s="4"/>
      <c r="AE773" s="4"/>
      <c r="AF773" s="4"/>
      <c r="AG773" s="4"/>
      <c r="AH773" s="4" t="s">
        <v>2377</v>
      </c>
      <c r="AI773" s="4"/>
      <c r="AJ773" s="4"/>
      <c r="AK773" s="4"/>
      <c r="AL773" s="4"/>
      <c r="AM773" s="4"/>
      <c r="AN773" s="5">
        <v>39687</v>
      </c>
      <c r="AO773" s="4">
        <v>3</v>
      </c>
      <c r="AP773" s="5">
        <v>39727</v>
      </c>
      <c r="AQ773" s="5">
        <v>42250</v>
      </c>
      <c r="AR773" s="4"/>
      <c r="AS773" s="4"/>
      <c r="AT773" s="5">
        <v>39706</v>
      </c>
      <c r="AU773" s="5">
        <v>39717</v>
      </c>
      <c r="AV773" s="4">
        <v>2</v>
      </c>
      <c r="AW773" s="5">
        <v>39706</v>
      </c>
      <c r="AX773" s="5">
        <v>39717</v>
      </c>
      <c r="AY773" s="4"/>
      <c r="AZ773" s="5">
        <v>39745</v>
      </c>
      <c r="BA773" s="4"/>
      <c r="BB773" s="4"/>
      <c r="BC773" s="4"/>
      <c r="BD773" s="4"/>
      <c r="BE773" s="5">
        <v>39744</v>
      </c>
      <c r="BF773" s="5">
        <v>39744</v>
      </c>
      <c r="BG773" s="4"/>
      <c r="BH773" s="5">
        <v>39689</v>
      </c>
      <c r="BI773" s="4"/>
      <c r="BJ773" s="5">
        <v>39780</v>
      </c>
      <c r="BK773" s="4">
        <v>3</v>
      </c>
      <c r="BL773" s="4">
        <v>2</v>
      </c>
      <c r="BM773" s="5">
        <v>39833</v>
      </c>
      <c r="BN773" s="5">
        <v>39982</v>
      </c>
      <c r="BO773" s="5">
        <v>39877</v>
      </c>
      <c r="BP773" s="4"/>
      <c r="BQ773" s="4"/>
      <c r="BR773" s="4"/>
      <c r="BS773" s="4"/>
      <c r="BT773" s="5">
        <v>39882</v>
      </c>
      <c r="BU773" s="5">
        <v>39882</v>
      </c>
      <c r="BV773" s="5">
        <v>39912</v>
      </c>
      <c r="BW773" s="5">
        <v>39911</v>
      </c>
      <c r="BX773" s="4"/>
      <c r="BY773" s="5">
        <v>39918</v>
      </c>
      <c r="BZ773" s="5">
        <v>39918</v>
      </c>
      <c r="CA773" s="4"/>
      <c r="CB773" s="4"/>
      <c r="CC773" s="4"/>
      <c r="CD773" s="4"/>
      <c r="CE773" s="4"/>
      <c r="CF773" s="4"/>
      <c r="CG773" s="4"/>
      <c r="CH773" s="4"/>
      <c r="CI773" s="5">
        <v>39946</v>
      </c>
      <c r="CJ773" s="5">
        <v>39948</v>
      </c>
      <c r="CK773" s="5">
        <v>39946</v>
      </c>
      <c r="CL773" s="4"/>
      <c r="CM773" s="4"/>
      <c r="CN773" s="4"/>
      <c r="CO773" s="4"/>
      <c r="CP773" s="4"/>
      <c r="CQ773" s="4"/>
      <c r="CR773" s="5">
        <v>39948</v>
      </c>
      <c r="CS773" s="4"/>
      <c r="CT773" s="4"/>
      <c r="CU773" s="4"/>
      <c r="CV773" s="4"/>
      <c r="CW773" s="5">
        <v>39878</v>
      </c>
      <c r="CX773" s="5">
        <v>39877</v>
      </c>
      <c r="CY773" s="4"/>
      <c r="CZ773" s="4"/>
      <c r="DA773" s="4"/>
      <c r="DB773" s="4"/>
      <c r="DC773" s="4"/>
      <c r="DD773" s="4"/>
      <c r="DE773" s="4"/>
      <c r="DF773" s="4"/>
      <c r="DG773" s="4"/>
      <c r="DH773" s="4"/>
      <c r="DI773" s="4"/>
      <c r="DJ773" s="4" t="b">
        <v>0</v>
      </c>
      <c r="DK773" s="4"/>
      <c r="DL773" s="4">
        <v>2471358</v>
      </c>
      <c r="DM773" s="4">
        <v>5738427</v>
      </c>
      <c r="DN773" s="4" t="s">
        <v>2484</v>
      </c>
      <c r="DO773" s="4"/>
      <c r="DP773" s="4"/>
      <c r="DQ773" s="4" t="s">
        <v>148</v>
      </c>
      <c r="DR773" s="4"/>
      <c r="DS773" s="4"/>
      <c r="DT773" s="5">
        <v>42313</v>
      </c>
      <c r="DU773" s="4"/>
      <c r="DV773" s="4"/>
      <c r="DW773" s="4"/>
      <c r="DX773" s="4"/>
      <c r="DY773" s="5">
        <v>39878</v>
      </c>
      <c r="DZ773" s="5">
        <v>39793</v>
      </c>
      <c r="EA773" s="4"/>
      <c r="EB773" s="4"/>
      <c r="EC773" s="4"/>
      <c r="ED773" s="4"/>
      <c r="EE773" s="4"/>
      <c r="EF773" s="4"/>
      <c r="EG773" s="4"/>
      <c r="EH773" s="4"/>
      <c r="EI773" s="5">
        <v>39651</v>
      </c>
    </row>
    <row r="774" spans="1:139" hidden="1" x14ac:dyDescent="0.2">
      <c r="A774">
        <f>VLOOKUP(B774,Sheet1!$A$1:$B$18,2,FALSE)</f>
        <v>0</v>
      </c>
      <c r="B774" t="str">
        <f>LEFT(D774,3)</f>
        <v>CHC</v>
      </c>
      <c r="C774" s="2">
        <v>773</v>
      </c>
      <c r="D774" s="3" t="str">
        <f>HYPERLINK("https://sitebase.nzcomms.co.nz/spm/spmnominalview/CHC-060-048/","CHC-060-048")</f>
        <v>CHC-060-048</v>
      </c>
      <c r="E774" s="4" t="s">
        <v>2485</v>
      </c>
      <c r="F774" s="3" t="str">
        <f>HYPERLINK("https://sitebase.nzcomms.co.nz/spm/spmcandidateview/CHC-060-048-A/","CHC-060-048-A")</f>
        <v>CHC-060-048-A</v>
      </c>
      <c r="G774" s="4" t="s">
        <v>2486</v>
      </c>
      <c r="H774" s="4" t="s">
        <v>2353</v>
      </c>
      <c r="I774" s="4">
        <v>11</v>
      </c>
      <c r="J774" s="4" t="s">
        <v>139</v>
      </c>
      <c r="K774" s="4" t="s">
        <v>141</v>
      </c>
      <c r="L774" s="4" t="s">
        <v>150</v>
      </c>
      <c r="M774" s="4" t="s">
        <v>143</v>
      </c>
      <c r="N774" s="4" t="s">
        <v>620</v>
      </c>
      <c r="O774" s="4" t="s">
        <v>144</v>
      </c>
      <c r="P774" s="4"/>
      <c r="Q774" s="4"/>
      <c r="R774" s="4">
        <v>30</v>
      </c>
      <c r="S774" s="4">
        <v>30</v>
      </c>
      <c r="T774" s="4"/>
      <c r="U774" s="4">
        <v>-43.609490999999998</v>
      </c>
      <c r="V774" s="4">
        <v>172.72139200000001</v>
      </c>
      <c r="W774" s="4"/>
      <c r="X774" s="4"/>
      <c r="Y774" s="4"/>
      <c r="Z774" s="4"/>
      <c r="AA774" s="4" t="s">
        <v>217</v>
      </c>
      <c r="AB774" s="4" t="s">
        <v>2435</v>
      </c>
      <c r="AC774" s="4" t="b">
        <v>0</v>
      </c>
      <c r="AD774" s="4" t="b">
        <v>0</v>
      </c>
      <c r="AE774" s="4"/>
      <c r="AF774" s="4"/>
      <c r="AG774" s="4" t="b">
        <v>0</v>
      </c>
      <c r="AH774" s="4" t="s">
        <v>2487</v>
      </c>
      <c r="AI774" s="4"/>
      <c r="AJ774" s="4"/>
      <c r="AK774" s="4"/>
      <c r="AL774" s="4"/>
      <c r="AM774" s="4"/>
      <c r="AN774" s="5">
        <v>39559</v>
      </c>
      <c r="AO774" s="4">
        <v>2</v>
      </c>
      <c r="AP774" s="5">
        <v>39559</v>
      </c>
      <c r="AQ774" s="5">
        <v>39567</v>
      </c>
      <c r="AR774" s="4"/>
      <c r="AS774" s="4"/>
      <c r="AT774" s="5">
        <v>39763</v>
      </c>
      <c r="AU774" s="5">
        <v>39755</v>
      </c>
      <c r="AV774" s="4">
        <v>2</v>
      </c>
      <c r="AW774" s="5">
        <v>39763</v>
      </c>
      <c r="AX774" s="5">
        <v>39755</v>
      </c>
      <c r="AY774" s="4"/>
      <c r="AZ774" s="4"/>
      <c r="BA774" s="4"/>
      <c r="BB774" s="4"/>
      <c r="BC774" s="4"/>
      <c r="BD774" s="4"/>
      <c r="BE774" s="5">
        <v>39750</v>
      </c>
      <c r="BF774" s="5">
        <v>39750</v>
      </c>
      <c r="BG774" s="4"/>
      <c r="BH774" s="5">
        <v>39707</v>
      </c>
      <c r="BI774" s="4"/>
      <c r="BJ774" s="5">
        <v>39780</v>
      </c>
      <c r="BK774" s="4">
        <v>3</v>
      </c>
      <c r="BL774" s="4"/>
      <c r="BM774" s="5">
        <v>39780</v>
      </c>
      <c r="BN774" s="5">
        <v>41177</v>
      </c>
      <c r="BO774" s="5">
        <v>39864</v>
      </c>
      <c r="BP774" s="4"/>
      <c r="BQ774" s="4"/>
      <c r="BR774" s="4"/>
      <c r="BS774" s="4"/>
      <c r="BT774" s="4"/>
      <c r="BU774" s="5">
        <v>39896</v>
      </c>
      <c r="BV774" s="5">
        <v>39927</v>
      </c>
      <c r="BW774" s="5">
        <v>39927</v>
      </c>
      <c r="BX774" s="4"/>
      <c r="BY774" s="5">
        <v>39941</v>
      </c>
      <c r="BZ774" s="5">
        <v>39941</v>
      </c>
      <c r="CA774" s="4"/>
      <c r="CB774" s="4"/>
      <c r="CC774" s="4"/>
      <c r="CD774" s="4"/>
      <c r="CE774" s="4"/>
      <c r="CF774" s="4"/>
      <c r="CG774" s="4"/>
      <c r="CH774" s="4"/>
      <c r="CI774" s="5">
        <v>39980</v>
      </c>
      <c r="CJ774" s="5">
        <v>39994</v>
      </c>
      <c r="CK774" s="5">
        <v>39980</v>
      </c>
      <c r="CL774" s="4"/>
      <c r="CM774" s="4"/>
      <c r="CN774" s="4"/>
      <c r="CO774" s="4"/>
      <c r="CP774" s="4" t="s">
        <v>2488</v>
      </c>
      <c r="CQ774" s="4"/>
      <c r="CR774" s="5">
        <v>39994</v>
      </c>
      <c r="CS774" s="4"/>
      <c r="CT774" s="4"/>
      <c r="CU774" s="4"/>
      <c r="CV774" s="4"/>
      <c r="CW774" s="5">
        <v>39875</v>
      </c>
      <c r="CX774" s="5">
        <v>39864</v>
      </c>
      <c r="CY774" s="4"/>
      <c r="CZ774" s="4"/>
      <c r="DA774" s="4"/>
      <c r="DB774" s="4"/>
      <c r="DC774" s="4"/>
      <c r="DD774" s="4"/>
      <c r="DE774" s="4" t="s">
        <v>194</v>
      </c>
      <c r="DF774" s="4"/>
      <c r="DG774" s="4"/>
      <c r="DH774" s="4"/>
      <c r="DI774" s="4"/>
      <c r="DJ774" s="4" t="b">
        <v>0</v>
      </c>
      <c r="DK774" s="4"/>
      <c r="DL774" s="4">
        <v>2487520</v>
      </c>
      <c r="DM774" s="4">
        <v>5733070</v>
      </c>
      <c r="DN774" s="4" t="s">
        <v>2489</v>
      </c>
      <c r="DO774" s="4"/>
      <c r="DP774" s="4"/>
      <c r="DQ774" s="4" t="s">
        <v>148</v>
      </c>
      <c r="DR774" s="4"/>
      <c r="DS774" s="4"/>
      <c r="DT774" s="4"/>
      <c r="DU774" s="4"/>
      <c r="DV774" s="4"/>
      <c r="DW774" s="4"/>
      <c r="DX774" s="4"/>
      <c r="DY774" s="5">
        <v>39892</v>
      </c>
      <c r="DZ774" s="5">
        <v>39892</v>
      </c>
      <c r="EA774" s="4"/>
      <c r="EB774" s="4"/>
      <c r="EC774" s="4"/>
      <c r="ED774" s="4"/>
      <c r="EE774" s="4"/>
      <c r="EF774" s="4"/>
      <c r="EG774" s="4"/>
      <c r="EH774" s="4"/>
      <c r="EI774" s="5">
        <v>39412</v>
      </c>
    </row>
    <row r="775" spans="1:139" hidden="1" x14ac:dyDescent="0.2">
      <c r="A775">
        <f>VLOOKUP(B775,Sheet1!$A$1:$B$18,2,FALSE)</f>
        <v>0</v>
      </c>
      <c r="B775" t="str">
        <f>LEFT(D775,3)</f>
        <v>CHC</v>
      </c>
      <c r="C775" s="2">
        <v>774</v>
      </c>
      <c r="D775" s="3" t="str">
        <f>HYPERLINK("https://sitebase.nzcomms.co.nz/spm/spmnominalview/CHC-060-049/","CHC-060-049")</f>
        <v>CHC-060-049</v>
      </c>
      <c r="E775" s="4" t="s">
        <v>2490</v>
      </c>
      <c r="F775" s="3" t="str">
        <f>HYPERLINK("https://sitebase.nzcomms.co.nz/spm/spmcandidateview/CHC-060-049-D/","CHC-060-049-D")</f>
        <v>CHC-060-049-D</v>
      </c>
      <c r="G775" s="4" t="s">
        <v>2490</v>
      </c>
      <c r="H775" s="4" t="s">
        <v>2353</v>
      </c>
      <c r="I775" s="4"/>
      <c r="J775" s="4" t="s">
        <v>139</v>
      </c>
      <c r="K775" s="4" t="s">
        <v>141</v>
      </c>
      <c r="L775" s="4" t="s">
        <v>189</v>
      </c>
      <c r="M775" s="4" t="s">
        <v>143</v>
      </c>
      <c r="N775" s="4" t="s">
        <v>2348</v>
      </c>
      <c r="O775" s="4" t="s">
        <v>356</v>
      </c>
      <c r="P775" s="4"/>
      <c r="Q775" s="4"/>
      <c r="R775" s="4">
        <v>18</v>
      </c>
      <c r="S775" s="4">
        <v>18</v>
      </c>
      <c r="T775" s="4"/>
      <c r="U775" s="4">
        <v>-43.567946229999997</v>
      </c>
      <c r="V775" s="4">
        <v>172.61525497</v>
      </c>
      <c r="W775" s="4"/>
      <c r="X775" s="4"/>
      <c r="Y775" s="4"/>
      <c r="Z775" s="4"/>
      <c r="AA775" s="4" t="s">
        <v>483</v>
      </c>
      <c r="AB775" s="4" t="s">
        <v>2491</v>
      </c>
      <c r="AC775" s="4"/>
      <c r="AD775" s="4"/>
      <c r="AE775" s="4"/>
      <c r="AF775" s="4"/>
      <c r="AG775" s="4"/>
      <c r="AH775" s="4" t="s">
        <v>2492</v>
      </c>
      <c r="AI775" s="4"/>
      <c r="AJ775" s="4"/>
      <c r="AK775" s="4"/>
      <c r="AL775" s="4"/>
      <c r="AM775" s="4"/>
      <c r="AN775" s="5">
        <v>39498</v>
      </c>
      <c r="AO775" s="4">
        <v>4</v>
      </c>
      <c r="AP775" s="5">
        <v>39490</v>
      </c>
      <c r="AQ775" s="5">
        <v>41954</v>
      </c>
      <c r="AR775" s="4"/>
      <c r="AS775" s="4"/>
      <c r="AT775" s="5">
        <v>39503</v>
      </c>
      <c r="AU775" s="5">
        <v>39503</v>
      </c>
      <c r="AV775" s="4">
        <v>3</v>
      </c>
      <c r="AW775" s="5">
        <v>39503</v>
      </c>
      <c r="AX775" s="5">
        <v>39503</v>
      </c>
      <c r="AY775" s="4"/>
      <c r="AZ775" s="4"/>
      <c r="BA775" s="4"/>
      <c r="BB775" s="4"/>
      <c r="BC775" s="4"/>
      <c r="BD775" s="4"/>
      <c r="BE775" s="5">
        <v>39714</v>
      </c>
      <c r="BF775" s="5">
        <v>39714</v>
      </c>
      <c r="BG775" s="4"/>
      <c r="BH775" s="5">
        <v>39567</v>
      </c>
      <c r="BI775" s="4"/>
      <c r="BJ775" s="5">
        <v>39582</v>
      </c>
      <c r="BK775" s="4">
        <v>4</v>
      </c>
      <c r="BL775" s="4"/>
      <c r="BM775" s="5">
        <v>39615</v>
      </c>
      <c r="BN775" s="5">
        <v>42040</v>
      </c>
      <c r="BO775" s="4"/>
      <c r="BP775" s="4"/>
      <c r="BQ775" s="4"/>
      <c r="BR775" s="4"/>
      <c r="BS775" s="4"/>
      <c r="BT775" s="4"/>
      <c r="BU775" s="4"/>
      <c r="BV775" s="5">
        <v>39721</v>
      </c>
      <c r="BW775" s="4"/>
      <c r="BX775" s="4"/>
      <c r="BY775" s="5">
        <v>39742</v>
      </c>
      <c r="BZ775" s="5">
        <v>39742</v>
      </c>
      <c r="CA775" s="4"/>
      <c r="CB775" s="4"/>
      <c r="CC775" s="4"/>
      <c r="CD775" s="4"/>
      <c r="CE775" s="4"/>
      <c r="CF775" s="4"/>
      <c r="CG775" s="4"/>
      <c r="CH775" s="4"/>
      <c r="CI775" s="5">
        <v>39843</v>
      </c>
      <c r="CJ775" s="5">
        <v>39903</v>
      </c>
      <c r="CK775" s="5">
        <v>39843</v>
      </c>
      <c r="CL775" s="4"/>
      <c r="CM775" s="4"/>
      <c r="CN775" s="4"/>
      <c r="CO775" s="4"/>
      <c r="CP775" s="4" t="s">
        <v>2493</v>
      </c>
      <c r="CQ775" s="4"/>
      <c r="CR775" s="5">
        <v>39903</v>
      </c>
      <c r="CS775" s="4"/>
      <c r="CT775" s="4"/>
      <c r="CU775" s="4"/>
      <c r="CV775" s="4"/>
      <c r="CW775" s="4"/>
      <c r="CX775" s="4"/>
      <c r="CY775" s="4"/>
      <c r="CZ775" s="4"/>
      <c r="DA775" s="4"/>
      <c r="DB775" s="4"/>
      <c r="DC775" s="4"/>
      <c r="DD775" s="4"/>
      <c r="DE775" s="4"/>
      <c r="DF775" s="4"/>
      <c r="DG775" s="4"/>
      <c r="DH775" s="4"/>
      <c r="DI775" s="4"/>
      <c r="DJ775" s="4" t="b">
        <v>0</v>
      </c>
      <c r="DK775" s="4"/>
      <c r="DL775" s="4">
        <v>2478930</v>
      </c>
      <c r="DM775" s="4">
        <v>5737651</v>
      </c>
      <c r="DN775" s="4" t="s">
        <v>2494</v>
      </c>
      <c r="DO775" s="4"/>
      <c r="DP775" s="4"/>
      <c r="DQ775" s="4" t="s">
        <v>148</v>
      </c>
      <c r="DR775" s="4"/>
      <c r="DS775" s="4"/>
      <c r="DT775" s="4"/>
      <c r="DU775" s="4"/>
      <c r="DV775" s="4"/>
      <c r="DW775" s="4"/>
      <c r="DX775" s="4"/>
      <c r="DY775" s="4"/>
      <c r="DZ775" s="5">
        <v>39650</v>
      </c>
      <c r="EA775" s="4"/>
      <c r="EB775" s="4"/>
      <c r="EC775" s="4"/>
      <c r="ED775" s="4"/>
      <c r="EE775" s="4"/>
      <c r="EF775" s="4"/>
      <c r="EG775" s="4"/>
      <c r="EH775" s="4"/>
      <c r="EI775" s="5">
        <v>39462</v>
      </c>
    </row>
    <row r="776" spans="1:139" hidden="1" x14ac:dyDescent="0.2">
      <c r="A776">
        <f>VLOOKUP(B776,Sheet1!$A$1:$B$18,2,FALSE)</f>
        <v>0</v>
      </c>
      <c r="B776" t="str">
        <f>LEFT(D776,3)</f>
        <v>CHC</v>
      </c>
      <c r="C776" s="2">
        <v>775</v>
      </c>
      <c r="D776" s="3" t="str">
        <f>HYPERLINK("https://sitebase.nzcomms.co.nz/spm/spmnominalview/CHC-060-050/","CHC-060-050")</f>
        <v>CHC-060-050</v>
      </c>
      <c r="E776" s="4"/>
      <c r="F776" s="3" t="str">
        <f>HYPERLINK("https://sitebase.nzcomms.co.nz/spm/spmcandidateview/CHC-060-050-F/","CHC-060-050-F")</f>
        <v>CHC-060-050-F</v>
      </c>
      <c r="G776" s="4" t="s">
        <v>2495</v>
      </c>
      <c r="H776" s="4" t="s">
        <v>2353</v>
      </c>
      <c r="I776" s="4"/>
      <c r="J776" s="4" t="s">
        <v>139</v>
      </c>
      <c r="K776" s="4" t="s">
        <v>141</v>
      </c>
      <c r="L776" s="4" t="s">
        <v>150</v>
      </c>
      <c r="M776" s="4" t="s">
        <v>143</v>
      </c>
      <c r="N776" s="4" t="s">
        <v>2348</v>
      </c>
      <c r="O776" s="4" t="s">
        <v>356</v>
      </c>
      <c r="P776" s="4"/>
      <c r="Q776" s="4"/>
      <c r="R776" s="4">
        <v>18</v>
      </c>
      <c r="S776" s="4">
        <v>18</v>
      </c>
      <c r="T776" s="4"/>
      <c r="U776" s="4">
        <v>-43.558457799999999</v>
      </c>
      <c r="V776" s="4">
        <v>172.65453600000001</v>
      </c>
      <c r="W776" s="4"/>
      <c r="X776" s="4"/>
      <c r="Y776" s="4"/>
      <c r="Z776" s="4"/>
      <c r="AA776" s="4" t="s">
        <v>171</v>
      </c>
      <c r="AB776" s="3" t="str">
        <f>HYPERLINK("https://sitebase.nzcomms.co.nz/spm/spmcandidateview/CHC-060-064-J/","CHC-060-064-J")</f>
        <v>CHC-060-064-J</v>
      </c>
      <c r="AC776" s="4"/>
      <c r="AD776" s="4"/>
      <c r="AE776" s="4"/>
      <c r="AF776" s="4"/>
      <c r="AG776" s="4"/>
      <c r="AH776" s="4" t="s">
        <v>2496</v>
      </c>
      <c r="AI776" s="4"/>
      <c r="AJ776" s="4"/>
      <c r="AK776" s="4"/>
      <c r="AL776" s="4"/>
      <c r="AM776" s="4"/>
      <c r="AN776" s="5">
        <v>39902</v>
      </c>
      <c r="AO776" s="4">
        <v>2</v>
      </c>
      <c r="AP776" s="5">
        <v>39899</v>
      </c>
      <c r="AQ776" s="5">
        <v>39904</v>
      </c>
      <c r="AR776" s="4"/>
      <c r="AS776" s="4"/>
      <c r="AT776" s="5">
        <v>39933</v>
      </c>
      <c r="AU776" s="5">
        <v>39933</v>
      </c>
      <c r="AV776" s="4">
        <v>2</v>
      </c>
      <c r="AW776" s="5">
        <v>39933</v>
      </c>
      <c r="AX776" s="5">
        <v>39933</v>
      </c>
      <c r="AY776" s="4"/>
      <c r="AZ776" s="4"/>
      <c r="BA776" s="4"/>
      <c r="BB776" s="5">
        <v>39918</v>
      </c>
      <c r="BC776" s="4"/>
      <c r="BD776" s="4"/>
      <c r="BE776" s="5">
        <v>39918</v>
      </c>
      <c r="BF776" s="5">
        <v>39910</v>
      </c>
      <c r="BG776" s="5">
        <v>39939</v>
      </c>
      <c r="BH776" s="5">
        <v>39932</v>
      </c>
      <c r="BI776" s="4"/>
      <c r="BJ776" s="5">
        <v>39945</v>
      </c>
      <c r="BK776" s="4">
        <v>1</v>
      </c>
      <c r="BL776" s="4">
        <v>2</v>
      </c>
      <c r="BM776" s="5">
        <v>39944</v>
      </c>
      <c r="BN776" s="5">
        <v>39945</v>
      </c>
      <c r="BO776" s="5">
        <v>39975</v>
      </c>
      <c r="BP776" s="4"/>
      <c r="BQ776" s="4"/>
      <c r="BR776" s="4"/>
      <c r="BS776" s="4"/>
      <c r="BT776" s="5">
        <v>39979</v>
      </c>
      <c r="BU776" s="5">
        <v>39979</v>
      </c>
      <c r="BV776" s="5">
        <v>39990</v>
      </c>
      <c r="BW776" s="5">
        <v>39990</v>
      </c>
      <c r="BX776" s="4"/>
      <c r="BY776" s="5">
        <v>39994</v>
      </c>
      <c r="BZ776" s="5">
        <v>39993</v>
      </c>
      <c r="CA776" s="4"/>
      <c r="CB776" s="4"/>
      <c r="CC776" s="4"/>
      <c r="CD776" s="4"/>
      <c r="CE776" s="4"/>
      <c r="CF776" s="4"/>
      <c r="CG776" s="4"/>
      <c r="CH776" s="4"/>
      <c r="CI776" s="5">
        <v>39994</v>
      </c>
      <c r="CJ776" s="5">
        <v>39994</v>
      </c>
      <c r="CK776" s="5">
        <v>39994</v>
      </c>
      <c r="CL776" s="4"/>
      <c r="CM776" s="4"/>
      <c r="CN776" s="4"/>
      <c r="CO776" s="4"/>
      <c r="CP776" s="4"/>
      <c r="CQ776" s="4"/>
      <c r="CR776" s="5">
        <v>39994</v>
      </c>
      <c r="CS776" s="4"/>
      <c r="CT776" s="4"/>
      <c r="CU776" s="4"/>
      <c r="CV776" s="4"/>
      <c r="CW776" s="5">
        <v>39974</v>
      </c>
      <c r="CX776" s="5">
        <v>39975</v>
      </c>
      <c r="CY776" s="4"/>
      <c r="CZ776" s="4"/>
      <c r="DA776" s="4"/>
      <c r="DB776" s="4"/>
      <c r="DC776" s="4"/>
      <c r="DD776" s="4"/>
      <c r="DE776" s="4"/>
      <c r="DF776" s="4"/>
      <c r="DG776" s="4"/>
      <c r="DH776" s="4"/>
      <c r="DI776" s="4"/>
      <c r="DJ776" s="4" t="b">
        <v>0</v>
      </c>
      <c r="DK776" s="4"/>
      <c r="DL776" s="4">
        <v>2482099</v>
      </c>
      <c r="DM776" s="4">
        <v>5738719</v>
      </c>
      <c r="DN776" s="4" t="s">
        <v>2497</v>
      </c>
      <c r="DO776" s="4"/>
      <c r="DP776" s="4"/>
      <c r="DQ776" s="4" t="s">
        <v>148</v>
      </c>
      <c r="DR776" s="4"/>
      <c r="DS776" s="4"/>
      <c r="DT776" s="5">
        <v>42306</v>
      </c>
      <c r="DU776" s="4"/>
      <c r="DV776" s="4"/>
      <c r="DW776" s="4"/>
      <c r="DX776" s="4"/>
      <c r="DY776" s="5">
        <v>39953</v>
      </c>
      <c r="DZ776" s="5">
        <v>39953</v>
      </c>
      <c r="EA776" s="4"/>
      <c r="EB776" s="4"/>
      <c r="EC776" s="4"/>
      <c r="ED776" s="4"/>
      <c r="EE776" s="4"/>
      <c r="EF776" s="4"/>
      <c r="EG776" s="4"/>
      <c r="EH776" s="4"/>
      <c r="EI776" s="5">
        <v>39882</v>
      </c>
    </row>
    <row r="777" spans="1:139" hidden="1" x14ac:dyDescent="0.2">
      <c r="A777">
        <f>VLOOKUP(B777,Sheet1!$A$1:$B$18,2,FALSE)</f>
        <v>0</v>
      </c>
      <c r="B777" t="str">
        <f>LEFT(D777,3)</f>
        <v>CHC</v>
      </c>
      <c r="C777" s="2">
        <v>776</v>
      </c>
      <c r="D777" s="3" t="str">
        <f>HYPERLINK("https://sitebase.nzcomms.co.nz/spm/spmnominalview/CHC-060-051/","CHC-060-051")</f>
        <v>CHC-060-051</v>
      </c>
      <c r="E777" s="4"/>
      <c r="F777" s="3" t="str">
        <f>HYPERLINK("https://sitebase.nzcomms.co.nz/spm/spmcandidateview/CHC-060-051-F/","CHC-060-051-F")</f>
        <v>CHC-060-051-F</v>
      </c>
      <c r="G777" s="4" t="s">
        <v>2498</v>
      </c>
      <c r="H777" s="4" t="s">
        <v>2353</v>
      </c>
      <c r="I777" s="4"/>
      <c r="J777" s="4" t="s">
        <v>139</v>
      </c>
      <c r="K777" s="4" t="s">
        <v>141</v>
      </c>
      <c r="L777" s="4" t="s">
        <v>189</v>
      </c>
      <c r="M777" s="4" t="s">
        <v>354</v>
      </c>
      <c r="N777" s="4" t="s">
        <v>2348</v>
      </c>
      <c r="O777" s="4" t="s">
        <v>356</v>
      </c>
      <c r="P777" s="4"/>
      <c r="Q777" s="4"/>
      <c r="R777" s="4">
        <v>18</v>
      </c>
      <c r="S777" s="4">
        <v>18</v>
      </c>
      <c r="T777" s="4"/>
      <c r="U777" s="4">
        <v>-43.516740970000001</v>
      </c>
      <c r="V777" s="4">
        <v>172.57196775</v>
      </c>
      <c r="W777" s="4"/>
      <c r="X777" s="4"/>
      <c r="Y777" s="4"/>
      <c r="Z777" s="4"/>
      <c r="AA777" s="4" t="s">
        <v>171</v>
      </c>
      <c r="AB777" s="3" t="str">
        <f>HYPERLINK("https://sitebase.nzcomms.co.nz/spm/spmcandidateview/CHC-060-070-G/","CHC-060-070-G")</f>
        <v>CHC-060-070-G</v>
      </c>
      <c r="AC777" s="4"/>
      <c r="AD777" s="4"/>
      <c r="AE777" s="4"/>
      <c r="AF777" s="4"/>
      <c r="AG777" s="4"/>
      <c r="AH777" s="4" t="s">
        <v>2390</v>
      </c>
      <c r="AI777" s="4"/>
      <c r="AJ777" s="4"/>
      <c r="AK777" s="4"/>
      <c r="AL777" s="4"/>
      <c r="AM777" s="5">
        <v>39933</v>
      </c>
      <c r="AN777" s="5">
        <v>39932</v>
      </c>
      <c r="AO777" s="4">
        <v>4</v>
      </c>
      <c r="AP777" s="5">
        <v>39933</v>
      </c>
      <c r="AQ777" s="5">
        <v>39988</v>
      </c>
      <c r="AR777" s="4"/>
      <c r="AS777" s="4"/>
      <c r="AT777" s="5">
        <v>39962</v>
      </c>
      <c r="AU777" s="5">
        <v>39962</v>
      </c>
      <c r="AV777" s="4">
        <v>2</v>
      </c>
      <c r="AW777" s="5">
        <v>39962</v>
      </c>
      <c r="AX777" s="5">
        <v>39962</v>
      </c>
      <c r="AY777" s="4"/>
      <c r="AZ777" s="5">
        <v>39945</v>
      </c>
      <c r="BA777" s="4"/>
      <c r="BB777" s="5">
        <v>39948</v>
      </c>
      <c r="BC777" s="4"/>
      <c r="BD777" s="4"/>
      <c r="BE777" s="5">
        <v>39962</v>
      </c>
      <c r="BF777" s="5">
        <v>39962</v>
      </c>
      <c r="BG777" s="5">
        <v>39944</v>
      </c>
      <c r="BH777" s="5">
        <v>39960</v>
      </c>
      <c r="BI777" s="4"/>
      <c r="BJ777" s="5">
        <v>39974</v>
      </c>
      <c r="BK777" s="4">
        <v>1</v>
      </c>
      <c r="BL777" s="4">
        <v>3</v>
      </c>
      <c r="BM777" s="5">
        <v>39973</v>
      </c>
      <c r="BN777" s="5">
        <v>39974</v>
      </c>
      <c r="BO777" s="5">
        <v>39987</v>
      </c>
      <c r="BP777" s="4"/>
      <c r="BQ777" s="4"/>
      <c r="BR777" s="4"/>
      <c r="BS777" s="4"/>
      <c r="BT777" s="5">
        <v>39983</v>
      </c>
      <c r="BU777" s="5">
        <v>39983</v>
      </c>
      <c r="BV777" s="5">
        <v>39996</v>
      </c>
      <c r="BW777" s="5">
        <v>39996</v>
      </c>
      <c r="BX777" s="4"/>
      <c r="BY777" s="5">
        <v>40002</v>
      </c>
      <c r="BZ777" s="5">
        <v>40002</v>
      </c>
      <c r="CA777" s="4"/>
      <c r="CB777" s="4"/>
      <c r="CC777" s="4"/>
      <c r="CD777" s="4"/>
      <c r="CE777" s="4"/>
      <c r="CF777" s="4"/>
      <c r="CG777" s="4"/>
      <c r="CH777" s="4"/>
      <c r="CI777" s="5">
        <v>40008</v>
      </c>
      <c r="CJ777" s="5">
        <v>40004</v>
      </c>
      <c r="CK777" s="5">
        <v>40008</v>
      </c>
      <c r="CL777" s="4"/>
      <c r="CM777" s="4"/>
      <c r="CN777" s="4"/>
      <c r="CO777" s="4"/>
      <c r="CP777" s="4"/>
      <c r="CQ777" s="4"/>
      <c r="CR777" s="5">
        <v>40004</v>
      </c>
      <c r="CS777" s="4"/>
      <c r="CT777" s="4"/>
      <c r="CU777" s="4"/>
      <c r="CV777" s="4"/>
      <c r="CW777" s="5">
        <v>39987</v>
      </c>
      <c r="CX777" s="5">
        <v>39987</v>
      </c>
      <c r="CY777" s="4"/>
      <c r="CZ777" s="4"/>
      <c r="DA777" s="4"/>
      <c r="DB777" s="4"/>
      <c r="DC777" s="4"/>
      <c r="DD777" s="4"/>
      <c r="DE777" s="4"/>
      <c r="DF777" s="4"/>
      <c r="DG777" s="4"/>
      <c r="DH777" s="4"/>
      <c r="DI777" s="4"/>
      <c r="DJ777" s="4" t="b">
        <v>0</v>
      </c>
      <c r="DK777" s="4"/>
      <c r="DL777" s="4">
        <v>2475404</v>
      </c>
      <c r="DM777" s="4">
        <v>5743323</v>
      </c>
      <c r="DN777" s="4" t="s">
        <v>2499</v>
      </c>
      <c r="DO777" s="4"/>
      <c r="DP777" s="4"/>
      <c r="DQ777" s="4" t="s">
        <v>148</v>
      </c>
      <c r="DR777" s="4"/>
      <c r="DS777" s="4"/>
      <c r="DT777" s="5">
        <v>41901</v>
      </c>
      <c r="DU777" s="4"/>
      <c r="DV777" s="4"/>
      <c r="DW777" s="4"/>
      <c r="DX777" s="4"/>
      <c r="DY777" s="5">
        <v>39983</v>
      </c>
      <c r="DZ777" s="5">
        <v>39983</v>
      </c>
      <c r="EA777" s="4"/>
      <c r="EB777" s="4"/>
      <c r="EC777" s="4"/>
      <c r="ED777" s="4"/>
      <c r="EE777" s="4"/>
      <c r="EF777" s="4"/>
      <c r="EG777" s="4"/>
      <c r="EH777" s="4"/>
      <c r="EI777" s="5">
        <v>39948</v>
      </c>
    </row>
    <row r="778" spans="1:139" hidden="1" x14ac:dyDescent="0.2">
      <c r="A778">
        <f>VLOOKUP(B778,Sheet1!$A$1:$B$18,2,FALSE)</f>
        <v>0</v>
      </c>
      <c r="B778" t="str">
        <f>LEFT(D778,3)</f>
        <v>CHC</v>
      </c>
      <c r="C778" s="2">
        <v>777</v>
      </c>
      <c r="D778" s="3" t="str">
        <f>HYPERLINK("https://sitebase.nzcomms.co.nz/spm/spmnominalview/CHC-060-052/","CHC-060-052")</f>
        <v>CHC-060-052</v>
      </c>
      <c r="E778" s="4"/>
      <c r="F778" s="3" t="str">
        <f>HYPERLINK("https://sitebase.nzcomms.co.nz/spm/spmcandidateview/CHC-060-052-D/","CHC-060-052-D")</f>
        <v>CHC-060-052-D</v>
      </c>
      <c r="G778" s="4" t="s">
        <v>2500</v>
      </c>
      <c r="H778" s="4" t="s">
        <v>2353</v>
      </c>
      <c r="I778" s="4"/>
      <c r="J778" s="4" t="s">
        <v>139</v>
      </c>
      <c r="K778" s="4" t="s">
        <v>141</v>
      </c>
      <c r="L778" s="4" t="s">
        <v>150</v>
      </c>
      <c r="M778" s="4" t="s">
        <v>296</v>
      </c>
      <c r="N778" s="4" t="s">
        <v>291</v>
      </c>
      <c r="O778" s="4" t="s">
        <v>144</v>
      </c>
      <c r="P778" s="4"/>
      <c r="Q778" s="4"/>
      <c r="R778" s="4">
        <v>15</v>
      </c>
      <c r="S778" s="4">
        <v>15</v>
      </c>
      <c r="T778" s="4"/>
      <c r="U778" s="4">
        <v>-43.52558063</v>
      </c>
      <c r="V778" s="4">
        <v>172.64643437000001</v>
      </c>
      <c r="W778" s="4"/>
      <c r="X778" s="4"/>
      <c r="Y778" s="4"/>
      <c r="Z778" s="4"/>
      <c r="AA778" s="4" t="s">
        <v>171</v>
      </c>
      <c r="AB778" s="3" t="str">
        <f>HYPERLINK("https://sitebase.nzcomms.co.nz/spm/spmcandidateview/CHC-060-003-F/","CHC-060-003-F")</f>
        <v>CHC-060-003-F</v>
      </c>
      <c r="AC778" s="4"/>
      <c r="AD778" s="4"/>
      <c r="AE778" s="4"/>
      <c r="AF778" s="4"/>
      <c r="AG778" s="4"/>
      <c r="AH778" s="4" t="s">
        <v>2501</v>
      </c>
      <c r="AI778" s="4"/>
      <c r="AJ778" s="4"/>
      <c r="AK778" s="4"/>
      <c r="AL778" s="4"/>
      <c r="AM778" s="4"/>
      <c r="AN778" s="5">
        <v>39742</v>
      </c>
      <c r="AO778" s="4">
        <v>4</v>
      </c>
      <c r="AP778" s="5">
        <v>39909</v>
      </c>
      <c r="AQ778" s="5">
        <v>39905</v>
      </c>
      <c r="AR778" s="4"/>
      <c r="AS778" s="4"/>
      <c r="AT778" s="5">
        <v>39818</v>
      </c>
      <c r="AU778" s="5">
        <v>39826</v>
      </c>
      <c r="AV778" s="4">
        <v>1</v>
      </c>
      <c r="AW778" s="5">
        <v>39909</v>
      </c>
      <c r="AX778" s="5">
        <v>39911</v>
      </c>
      <c r="AY778" s="4"/>
      <c r="AZ778" s="5">
        <v>39744</v>
      </c>
      <c r="BA778" s="4"/>
      <c r="BB778" s="5">
        <v>39779</v>
      </c>
      <c r="BC778" s="4"/>
      <c r="BD778" s="4"/>
      <c r="BE778" s="5">
        <v>39909</v>
      </c>
      <c r="BF778" s="5">
        <v>39779</v>
      </c>
      <c r="BG778" s="5">
        <v>40092</v>
      </c>
      <c r="BH778" s="5">
        <v>39794</v>
      </c>
      <c r="BI778" s="4"/>
      <c r="BJ778" s="5">
        <v>39861</v>
      </c>
      <c r="BK778" s="4">
        <v>3</v>
      </c>
      <c r="BL778" s="4"/>
      <c r="BM778" s="5">
        <v>40102</v>
      </c>
      <c r="BN778" s="5">
        <v>39905</v>
      </c>
      <c r="BO778" s="5">
        <v>39926</v>
      </c>
      <c r="BP778" s="4"/>
      <c r="BQ778" s="4"/>
      <c r="BR778" s="4"/>
      <c r="BS778" s="4"/>
      <c r="BT778" s="4"/>
      <c r="BU778" s="5">
        <v>39892</v>
      </c>
      <c r="BV778" s="5">
        <v>39933</v>
      </c>
      <c r="BW778" s="5">
        <v>39932</v>
      </c>
      <c r="BX778" s="4"/>
      <c r="BY778" s="5">
        <v>39969</v>
      </c>
      <c r="BZ778" s="5">
        <v>39969</v>
      </c>
      <c r="CA778" s="4"/>
      <c r="CB778" s="4"/>
      <c r="CC778" s="4"/>
      <c r="CD778" s="4"/>
      <c r="CE778" s="4"/>
      <c r="CF778" s="4"/>
      <c r="CG778" s="4"/>
      <c r="CH778" s="4"/>
      <c r="CI778" s="5">
        <v>39993</v>
      </c>
      <c r="CJ778" s="5">
        <v>39986</v>
      </c>
      <c r="CK778" s="5">
        <v>39993</v>
      </c>
      <c r="CL778" s="4"/>
      <c r="CM778" s="4"/>
      <c r="CN778" s="4"/>
      <c r="CO778" s="4"/>
      <c r="CP778" s="4" t="s">
        <v>2502</v>
      </c>
      <c r="CQ778" s="4"/>
      <c r="CR778" s="5">
        <v>39993</v>
      </c>
      <c r="CS778" s="4"/>
      <c r="CT778" s="4"/>
      <c r="CU778" s="4"/>
      <c r="CV778" s="4"/>
      <c r="CW778" s="5">
        <v>39926</v>
      </c>
      <c r="CX778" s="5">
        <v>39926</v>
      </c>
      <c r="CY778" s="4"/>
      <c r="CZ778" s="4"/>
      <c r="DA778" s="4"/>
      <c r="DB778" s="4"/>
      <c r="DC778" s="4"/>
      <c r="DD778" s="4"/>
      <c r="DE778" s="4"/>
      <c r="DF778" s="4"/>
      <c r="DG778" s="4"/>
      <c r="DH778" s="4"/>
      <c r="DI778" s="4"/>
      <c r="DJ778" s="4" t="b">
        <v>0</v>
      </c>
      <c r="DK778" s="4"/>
      <c r="DL778" s="4">
        <v>2481429</v>
      </c>
      <c r="DM778" s="4">
        <v>5742369</v>
      </c>
      <c r="DN778" s="4" t="s">
        <v>2503</v>
      </c>
      <c r="DO778" s="4"/>
      <c r="DP778" s="4"/>
      <c r="DQ778" s="4" t="s">
        <v>148</v>
      </c>
      <c r="DR778" s="4"/>
      <c r="DS778" s="4"/>
      <c r="DT778" s="5">
        <v>42298</v>
      </c>
      <c r="DU778" s="4"/>
      <c r="DV778" s="4"/>
      <c r="DW778" s="4"/>
      <c r="DX778" s="4"/>
      <c r="DY778" s="5">
        <v>39892</v>
      </c>
      <c r="DZ778" s="5">
        <v>39892</v>
      </c>
      <c r="EA778" s="4"/>
      <c r="EB778" s="4"/>
      <c r="EC778" s="4"/>
      <c r="ED778" s="4"/>
      <c r="EE778" s="4"/>
      <c r="EF778" s="4"/>
      <c r="EG778" s="4"/>
      <c r="EH778" s="4"/>
      <c r="EI778" s="5">
        <v>39721</v>
      </c>
    </row>
    <row r="779" spans="1:139" hidden="1" x14ac:dyDescent="0.2">
      <c r="A779">
        <f>VLOOKUP(B779,Sheet1!$A$1:$B$18,2,FALSE)</f>
        <v>0</v>
      </c>
      <c r="B779" t="str">
        <f>LEFT(D779,3)</f>
        <v>CHC</v>
      </c>
      <c r="C779" s="2">
        <v>778</v>
      </c>
      <c r="D779" s="3" t="str">
        <f>HYPERLINK("https://sitebase.nzcomms.co.nz/spm/spmnominalview/CHC-060-053/","CHC-060-053")</f>
        <v>CHC-060-053</v>
      </c>
      <c r="E779" s="4"/>
      <c r="F779" s="3" t="str">
        <f>HYPERLINK("https://sitebase.nzcomms.co.nz/spm/spmcandidateview/CHC-060-053-E/","CHC-060-053-E")</f>
        <v>CHC-060-053-E</v>
      </c>
      <c r="G779" s="4" t="s">
        <v>2504</v>
      </c>
      <c r="H779" s="4" t="s">
        <v>2353</v>
      </c>
      <c r="I779" s="4"/>
      <c r="J779" s="4" t="s">
        <v>139</v>
      </c>
      <c r="K779" s="4" t="s">
        <v>141</v>
      </c>
      <c r="L779" s="4" t="s">
        <v>189</v>
      </c>
      <c r="M779" s="4" t="s">
        <v>143</v>
      </c>
      <c r="N779" s="4" t="s">
        <v>2348</v>
      </c>
      <c r="O779" s="4" t="s">
        <v>356</v>
      </c>
      <c r="P779" s="4"/>
      <c r="Q779" s="4"/>
      <c r="R779" s="4">
        <v>18</v>
      </c>
      <c r="S779" s="4">
        <v>18</v>
      </c>
      <c r="T779" s="4"/>
      <c r="U779" s="4">
        <v>-43.542547849999998</v>
      </c>
      <c r="V779" s="4">
        <v>172.66478451</v>
      </c>
      <c r="W779" s="4"/>
      <c r="X779" s="4"/>
      <c r="Y779" s="4"/>
      <c r="Z779" s="4"/>
      <c r="AA779" s="4" t="s">
        <v>217</v>
      </c>
      <c r="AB779" s="4" t="s">
        <v>2363</v>
      </c>
      <c r="AC779" s="4"/>
      <c r="AD779" s="4"/>
      <c r="AE779" s="4"/>
      <c r="AF779" s="4"/>
      <c r="AG779" s="4"/>
      <c r="AH779" s="4" t="s">
        <v>2505</v>
      </c>
      <c r="AI779" s="4"/>
      <c r="AJ779" s="4"/>
      <c r="AK779" s="4"/>
      <c r="AL779" s="4"/>
      <c r="AM779" s="4"/>
      <c r="AN779" s="5">
        <v>39532</v>
      </c>
      <c r="AO779" s="4">
        <v>3</v>
      </c>
      <c r="AP779" s="5">
        <v>39532</v>
      </c>
      <c r="AQ779" s="5">
        <v>39680</v>
      </c>
      <c r="AR779" s="4"/>
      <c r="AS779" s="4"/>
      <c r="AT779" s="5">
        <v>39533</v>
      </c>
      <c r="AU779" s="5">
        <v>39533</v>
      </c>
      <c r="AV779" s="4">
        <v>3</v>
      </c>
      <c r="AW779" s="5">
        <v>39533</v>
      </c>
      <c r="AX779" s="5">
        <v>39533</v>
      </c>
      <c r="AY779" s="4"/>
      <c r="AZ779" s="4"/>
      <c r="BA779" s="4"/>
      <c r="BB779" s="4"/>
      <c r="BC779" s="4"/>
      <c r="BD779" s="4"/>
      <c r="BE779" s="5">
        <v>39573</v>
      </c>
      <c r="BF779" s="5">
        <v>39573</v>
      </c>
      <c r="BG779" s="4"/>
      <c r="BH779" s="5">
        <v>39567</v>
      </c>
      <c r="BI779" s="4"/>
      <c r="BJ779" s="5">
        <v>39609</v>
      </c>
      <c r="BK779" s="4">
        <v>2</v>
      </c>
      <c r="BL779" s="4">
        <v>3</v>
      </c>
      <c r="BM779" s="5">
        <v>39682</v>
      </c>
      <c r="BN779" s="5">
        <v>39682</v>
      </c>
      <c r="BO779" s="4"/>
      <c r="BP779" s="4"/>
      <c r="BQ779" s="4"/>
      <c r="BR779" s="4"/>
      <c r="BS779" s="4"/>
      <c r="BT779" s="4"/>
      <c r="BU779" s="5">
        <v>39693</v>
      </c>
      <c r="BV779" s="5">
        <v>39742</v>
      </c>
      <c r="BW779" s="5">
        <v>39743</v>
      </c>
      <c r="BX779" s="4"/>
      <c r="BY779" s="5">
        <v>39750</v>
      </c>
      <c r="BZ779" s="5">
        <v>39751</v>
      </c>
      <c r="CA779" s="4"/>
      <c r="CB779" s="4"/>
      <c r="CC779" s="4"/>
      <c r="CD779" s="4"/>
      <c r="CE779" s="4"/>
      <c r="CF779" s="4"/>
      <c r="CG779" s="4"/>
      <c r="CH779" s="4"/>
      <c r="CI779" s="5">
        <v>39802</v>
      </c>
      <c r="CJ779" s="5">
        <v>39871</v>
      </c>
      <c r="CK779" s="5">
        <v>39802</v>
      </c>
      <c r="CL779" s="4"/>
      <c r="CM779" s="4"/>
      <c r="CN779" s="4"/>
      <c r="CO779" s="4"/>
      <c r="CP779" s="4"/>
      <c r="CQ779" s="4"/>
      <c r="CR779" s="5">
        <v>39871</v>
      </c>
      <c r="CS779" s="4"/>
      <c r="CT779" s="4"/>
      <c r="CU779" s="4"/>
      <c r="CV779" s="4"/>
      <c r="CW779" s="4"/>
      <c r="CX779" s="4"/>
      <c r="CY779" s="4"/>
      <c r="CZ779" s="4"/>
      <c r="DA779" s="4"/>
      <c r="DB779" s="4"/>
      <c r="DC779" s="4"/>
      <c r="DD779" s="4"/>
      <c r="DE779" s="4"/>
      <c r="DF779" s="4"/>
      <c r="DG779" s="4"/>
      <c r="DH779" s="4"/>
      <c r="DI779" s="4"/>
      <c r="DJ779" s="4" t="b">
        <v>0</v>
      </c>
      <c r="DK779" s="4"/>
      <c r="DL779" s="4">
        <v>2482920</v>
      </c>
      <c r="DM779" s="4">
        <v>5740490</v>
      </c>
      <c r="DN779" s="4" t="s">
        <v>2506</v>
      </c>
      <c r="DO779" s="4"/>
      <c r="DP779" s="4"/>
      <c r="DQ779" s="4" t="s">
        <v>148</v>
      </c>
      <c r="DR779" s="4"/>
      <c r="DS779" s="4"/>
      <c r="DT779" s="5">
        <v>42306</v>
      </c>
      <c r="DU779" s="4"/>
      <c r="DV779" s="4"/>
      <c r="DW779" s="4"/>
      <c r="DX779" s="4"/>
      <c r="DY779" s="4"/>
      <c r="DZ779" s="5">
        <v>39689</v>
      </c>
      <c r="EA779" s="4"/>
      <c r="EB779" s="4"/>
      <c r="EC779" s="4"/>
      <c r="ED779" s="4"/>
      <c r="EE779" s="4"/>
      <c r="EF779" s="4"/>
      <c r="EG779" s="4"/>
      <c r="EH779" s="4"/>
      <c r="EI779" s="5">
        <v>39511</v>
      </c>
    </row>
    <row r="780" spans="1:139" hidden="1" x14ac:dyDescent="0.2">
      <c r="A780">
        <f>VLOOKUP(B780,Sheet1!$A$1:$B$18,2,FALSE)</f>
        <v>0</v>
      </c>
      <c r="B780" t="str">
        <f>LEFT(D780,3)</f>
        <v>CHC</v>
      </c>
      <c r="C780" s="2">
        <v>779</v>
      </c>
      <c r="D780" s="3" t="str">
        <f>HYPERLINK("https://sitebase.nzcomms.co.nz/spm/spmnominalview/CHC-060-054/","CHC-060-054")</f>
        <v>CHC-060-054</v>
      </c>
      <c r="E780" s="4"/>
      <c r="F780" s="3" t="str">
        <f>HYPERLINK("https://sitebase.nzcomms.co.nz/spm/spmcandidateview/CHC-060-054-H/","CHC-060-054-H")</f>
        <v>CHC-060-054-H</v>
      </c>
      <c r="G780" s="4" t="s">
        <v>2507</v>
      </c>
      <c r="H780" s="4" t="s">
        <v>2353</v>
      </c>
      <c r="I780" s="4"/>
      <c r="J780" s="4" t="s">
        <v>139</v>
      </c>
      <c r="K780" s="4" t="s">
        <v>141</v>
      </c>
      <c r="L780" s="4" t="s">
        <v>150</v>
      </c>
      <c r="M780" s="4" t="s">
        <v>143</v>
      </c>
      <c r="N780" s="4" t="s">
        <v>291</v>
      </c>
      <c r="O780" s="4" t="s">
        <v>144</v>
      </c>
      <c r="P780" s="4"/>
      <c r="Q780" s="4"/>
      <c r="R780" s="4">
        <v>20</v>
      </c>
      <c r="S780" s="4">
        <v>20</v>
      </c>
      <c r="T780" s="4"/>
      <c r="U780" s="4">
        <v>-43.569058300000002</v>
      </c>
      <c r="V780" s="4">
        <v>172.68854191</v>
      </c>
      <c r="W780" s="4"/>
      <c r="X780" s="4"/>
      <c r="Y780" s="4"/>
      <c r="Z780" s="4"/>
      <c r="AA780" s="4" t="s">
        <v>217</v>
      </c>
      <c r="AB780" s="4" t="s">
        <v>2508</v>
      </c>
      <c r="AC780" s="4"/>
      <c r="AD780" s="4"/>
      <c r="AE780" s="4"/>
      <c r="AF780" s="4"/>
      <c r="AG780" s="4"/>
      <c r="AH780" s="4" t="s">
        <v>2505</v>
      </c>
      <c r="AI780" s="4"/>
      <c r="AJ780" s="4"/>
      <c r="AK780" s="4"/>
      <c r="AL780" s="4"/>
      <c r="AM780" s="4"/>
      <c r="AN780" s="5">
        <v>39535</v>
      </c>
      <c r="AO780" s="4">
        <v>2</v>
      </c>
      <c r="AP780" s="5">
        <v>39527</v>
      </c>
      <c r="AQ780" s="5">
        <v>39535</v>
      </c>
      <c r="AR780" s="4"/>
      <c r="AS780" s="4"/>
      <c r="AT780" s="5">
        <v>39541</v>
      </c>
      <c r="AU780" s="5">
        <v>39541</v>
      </c>
      <c r="AV780" s="4">
        <v>2</v>
      </c>
      <c r="AW780" s="5">
        <v>39541</v>
      </c>
      <c r="AX780" s="5">
        <v>39541</v>
      </c>
      <c r="AY780" s="4"/>
      <c r="AZ780" s="4"/>
      <c r="BA780" s="4"/>
      <c r="BB780" s="4"/>
      <c r="BC780" s="4"/>
      <c r="BD780" s="4"/>
      <c r="BE780" s="5">
        <v>39589</v>
      </c>
      <c r="BF780" s="5">
        <v>39589</v>
      </c>
      <c r="BG780" s="4"/>
      <c r="BH780" s="5">
        <v>39542</v>
      </c>
      <c r="BI780" s="4"/>
      <c r="BJ780" s="5">
        <v>39602</v>
      </c>
      <c r="BK780" s="4">
        <v>2</v>
      </c>
      <c r="BL780" s="4">
        <v>2</v>
      </c>
      <c r="BM780" s="5">
        <v>39671</v>
      </c>
      <c r="BN780" s="5">
        <v>39671</v>
      </c>
      <c r="BO780" s="4"/>
      <c r="BP780" s="4"/>
      <c r="BQ780" s="4"/>
      <c r="BR780" s="4"/>
      <c r="BS780" s="4"/>
      <c r="BT780" s="4"/>
      <c r="BU780" s="5">
        <v>39668</v>
      </c>
      <c r="BV780" s="5">
        <v>39715</v>
      </c>
      <c r="BW780" s="5">
        <v>39715</v>
      </c>
      <c r="BX780" s="4"/>
      <c r="BY780" s="5">
        <v>39731</v>
      </c>
      <c r="BZ780" s="5">
        <v>39728</v>
      </c>
      <c r="CA780" s="4"/>
      <c r="CB780" s="4"/>
      <c r="CC780" s="4"/>
      <c r="CD780" s="4"/>
      <c r="CE780" s="4"/>
      <c r="CF780" s="4"/>
      <c r="CG780" s="4"/>
      <c r="CH780" s="4"/>
      <c r="CI780" s="5">
        <v>39804</v>
      </c>
      <c r="CJ780" s="5">
        <v>39793</v>
      </c>
      <c r="CK780" s="5">
        <v>39804</v>
      </c>
      <c r="CL780" s="4"/>
      <c r="CM780" s="4"/>
      <c r="CN780" s="4"/>
      <c r="CO780" s="4"/>
      <c r="CP780" s="4"/>
      <c r="CQ780" s="4"/>
      <c r="CR780" s="5">
        <v>39779</v>
      </c>
      <c r="CS780" s="4"/>
      <c r="CT780" s="4"/>
      <c r="CU780" s="4"/>
      <c r="CV780" s="4"/>
      <c r="CW780" s="4"/>
      <c r="CX780" s="4"/>
      <c r="CY780" s="4"/>
      <c r="CZ780" s="4"/>
      <c r="DA780" s="4"/>
      <c r="DB780" s="4"/>
      <c r="DC780" s="4"/>
      <c r="DD780" s="4"/>
      <c r="DE780" s="4"/>
      <c r="DF780" s="4"/>
      <c r="DG780" s="4"/>
      <c r="DH780" s="4"/>
      <c r="DI780" s="4"/>
      <c r="DJ780" s="4" t="b">
        <v>0</v>
      </c>
      <c r="DK780" s="4"/>
      <c r="DL780" s="4">
        <v>2484851</v>
      </c>
      <c r="DM780" s="4">
        <v>5737552</v>
      </c>
      <c r="DN780" s="4" t="s">
        <v>2509</v>
      </c>
      <c r="DO780" s="4"/>
      <c r="DP780" s="4"/>
      <c r="DQ780" s="4" t="s">
        <v>148</v>
      </c>
      <c r="DR780" s="4"/>
      <c r="DS780" s="4"/>
      <c r="DT780" s="4"/>
      <c r="DU780" s="4"/>
      <c r="DV780" s="4"/>
      <c r="DW780" s="4"/>
      <c r="DX780" s="4"/>
      <c r="DY780" s="4"/>
      <c r="DZ780" s="5">
        <v>39661</v>
      </c>
      <c r="EA780" s="4"/>
      <c r="EB780" s="4"/>
      <c r="EC780" s="4"/>
      <c r="ED780" s="4"/>
      <c r="EE780" s="4"/>
      <c r="EF780" s="4"/>
      <c r="EG780" s="4"/>
      <c r="EH780" s="4"/>
      <c r="EI780" s="5">
        <v>39503</v>
      </c>
    </row>
    <row r="781" spans="1:139" hidden="1" x14ac:dyDescent="0.2">
      <c r="A781">
        <f>VLOOKUP(B781,Sheet1!$A$1:$B$18,2,FALSE)</f>
        <v>0</v>
      </c>
      <c r="B781" t="str">
        <f>LEFT(D781,3)</f>
        <v>CHC</v>
      </c>
      <c r="C781" s="2">
        <v>780</v>
      </c>
      <c r="D781" s="3" t="str">
        <f>HYPERLINK("https://sitebase.nzcomms.co.nz/spm/spmnominalview/CHC-060-055/","CHC-060-055")</f>
        <v>CHC-060-055</v>
      </c>
      <c r="E781" s="4" t="s">
        <v>2510</v>
      </c>
      <c r="F781" s="3" t="str">
        <f>HYPERLINK("https://sitebase.nzcomms.co.nz/spm/spmcandidateview/CHC-060-055-G/","CHC-060-055-G")</f>
        <v>CHC-060-055-G</v>
      </c>
      <c r="G781" s="4" t="s">
        <v>2511</v>
      </c>
      <c r="H781" s="4" t="s">
        <v>2353</v>
      </c>
      <c r="I781" s="4">
        <v>11</v>
      </c>
      <c r="J781" s="4" t="s">
        <v>139</v>
      </c>
      <c r="K781" s="4" t="s">
        <v>141</v>
      </c>
      <c r="L781" s="4" t="s">
        <v>189</v>
      </c>
      <c r="M781" s="4" t="s">
        <v>143</v>
      </c>
      <c r="N781" s="4"/>
      <c r="O781" s="4"/>
      <c r="P781" s="4"/>
      <c r="Q781" s="4"/>
      <c r="R781" s="4"/>
      <c r="S781" s="4"/>
      <c r="T781" s="4"/>
      <c r="U781" s="4">
        <v>-43.524218089999998</v>
      </c>
      <c r="V781" s="4">
        <v>172.7280189</v>
      </c>
      <c r="W781" s="4"/>
      <c r="X781" s="5">
        <v>40939</v>
      </c>
      <c r="Y781" s="4"/>
      <c r="Z781" s="4"/>
      <c r="AA781" s="4"/>
      <c r="AB781" s="4"/>
      <c r="AC781" s="4" t="b">
        <v>0</v>
      </c>
      <c r="AD781" s="4" t="b">
        <v>0</v>
      </c>
      <c r="AE781" s="4"/>
      <c r="AF781" s="4"/>
      <c r="AG781" s="4" t="b">
        <v>0</v>
      </c>
      <c r="AH781" s="4"/>
      <c r="AI781" s="5">
        <v>41129</v>
      </c>
      <c r="AJ781" s="5">
        <v>41129</v>
      </c>
      <c r="AK781" s="5">
        <v>41151</v>
      </c>
      <c r="AL781" s="5">
        <v>41151</v>
      </c>
      <c r="AM781" s="4"/>
      <c r="AN781" s="5">
        <v>41158</v>
      </c>
      <c r="AO781" s="4">
        <v>1</v>
      </c>
      <c r="AP781" s="5">
        <v>41165</v>
      </c>
      <c r="AQ781" s="5">
        <v>41158</v>
      </c>
      <c r="AR781" s="4"/>
      <c r="AS781" s="5">
        <v>41200</v>
      </c>
      <c r="AT781" s="5">
        <v>41190</v>
      </c>
      <c r="AU781" s="5">
        <v>41200</v>
      </c>
      <c r="AV781" s="4"/>
      <c r="AW781" s="4"/>
      <c r="AX781" s="4"/>
      <c r="AY781" s="4" t="s">
        <v>172</v>
      </c>
      <c r="AZ781" s="4"/>
      <c r="BA781" s="5">
        <v>41225</v>
      </c>
      <c r="BB781" s="5">
        <v>41190</v>
      </c>
      <c r="BC781" s="5">
        <v>41225</v>
      </c>
      <c r="BD781" s="4">
        <v>1</v>
      </c>
      <c r="BE781" s="4"/>
      <c r="BF781" s="4"/>
      <c r="BG781" s="4"/>
      <c r="BH781" s="4"/>
      <c r="BI781" s="4"/>
      <c r="BJ781" s="4"/>
      <c r="BK781" s="4"/>
      <c r="BL781" s="4"/>
      <c r="BM781" s="4"/>
      <c r="BN781" s="4"/>
      <c r="BO781" s="4"/>
      <c r="BP781" s="4"/>
      <c r="BQ781" s="4"/>
      <c r="BR781" s="4"/>
      <c r="BS781" s="4"/>
      <c r="BT781" s="5">
        <v>41223</v>
      </c>
      <c r="BU781" s="5">
        <v>41223</v>
      </c>
      <c r="BV781" s="5">
        <v>41253</v>
      </c>
      <c r="BW781" s="5">
        <v>41253</v>
      </c>
      <c r="BX781" s="4"/>
      <c r="BY781" s="4"/>
      <c r="BZ781" s="4"/>
      <c r="CA781" s="4"/>
      <c r="CB781" s="4"/>
      <c r="CC781" s="4"/>
      <c r="CD781" s="4"/>
      <c r="CE781" s="4"/>
      <c r="CF781" s="4"/>
      <c r="CG781" s="4"/>
      <c r="CH781" s="4"/>
      <c r="CI781" s="4"/>
      <c r="CJ781" s="4"/>
      <c r="CK781" s="5">
        <v>41256</v>
      </c>
      <c r="CL781" s="4"/>
      <c r="CM781" s="4"/>
      <c r="CN781" s="4"/>
      <c r="CO781" s="4"/>
      <c r="CP781" s="4" t="s">
        <v>2512</v>
      </c>
      <c r="CQ781" s="4"/>
      <c r="CR781" s="4"/>
      <c r="CS781" s="4"/>
      <c r="CT781" s="4"/>
      <c r="CU781" s="4"/>
      <c r="CV781" s="4"/>
      <c r="CW781" s="4"/>
      <c r="CX781" s="4"/>
      <c r="CY781" s="4"/>
      <c r="CZ781" s="4"/>
      <c r="DA781" s="4"/>
      <c r="DB781" s="4"/>
      <c r="DC781" s="5">
        <v>41169</v>
      </c>
      <c r="DD781" s="4" t="s">
        <v>586</v>
      </c>
      <c r="DE781" s="4" t="s">
        <v>194</v>
      </c>
      <c r="DF781" s="4"/>
      <c r="DG781" s="4"/>
      <c r="DH781" s="4"/>
      <c r="DI781" s="4"/>
      <c r="DJ781" s="4" t="b">
        <v>0</v>
      </c>
      <c r="DK781" s="4"/>
      <c r="DL781" s="4">
        <v>2488024</v>
      </c>
      <c r="DM781" s="4">
        <v>5742545</v>
      </c>
      <c r="DN781" s="4" t="s">
        <v>2513</v>
      </c>
      <c r="DO781" s="4"/>
      <c r="DP781" s="4"/>
      <c r="DQ781" s="4" t="s">
        <v>148</v>
      </c>
      <c r="DR781" s="4"/>
      <c r="DS781" s="4"/>
      <c r="DT781" s="4"/>
      <c r="DU781" s="4"/>
      <c r="DV781" s="4"/>
      <c r="DW781" s="4"/>
      <c r="DX781" s="4"/>
      <c r="DY781" s="4"/>
      <c r="DZ781" s="4"/>
      <c r="EA781" s="4"/>
      <c r="EB781" s="4"/>
      <c r="EC781" s="4"/>
      <c r="ED781" s="4"/>
      <c r="EE781" s="4"/>
      <c r="EF781" s="4"/>
      <c r="EG781" s="4"/>
      <c r="EH781" s="4"/>
      <c r="EI781" s="4"/>
    </row>
    <row r="782" spans="1:139" hidden="1" x14ac:dyDescent="0.2">
      <c r="A782">
        <f>VLOOKUP(B782,Sheet1!$A$1:$B$18,2,FALSE)</f>
        <v>0</v>
      </c>
      <c r="B782" t="str">
        <f>LEFT(D782,3)</f>
        <v>CHC</v>
      </c>
      <c r="C782" s="2">
        <v>781</v>
      </c>
      <c r="D782" s="3" t="str">
        <f>HYPERLINK("https://sitebase.nzcomms.co.nz/spm/spmnominalview/CHC-060-056/","CHC-060-056")</f>
        <v>CHC-060-056</v>
      </c>
      <c r="E782" s="4"/>
      <c r="F782" s="3" t="str">
        <f>HYPERLINK("https://sitebase.nzcomms.co.nz/spm/spmcandidateview/CHC-060-056-D/","CHC-060-056-D")</f>
        <v>CHC-060-056-D</v>
      </c>
      <c r="G782" s="4" t="s">
        <v>2514</v>
      </c>
      <c r="H782" s="4" t="s">
        <v>2353</v>
      </c>
      <c r="I782" s="4"/>
      <c r="J782" s="4" t="s">
        <v>139</v>
      </c>
      <c r="K782" s="4" t="s">
        <v>141</v>
      </c>
      <c r="L782" s="4" t="s">
        <v>142</v>
      </c>
      <c r="M782" s="4" t="s">
        <v>143</v>
      </c>
      <c r="N782" s="4" t="s">
        <v>364</v>
      </c>
      <c r="O782" s="4" t="s">
        <v>144</v>
      </c>
      <c r="P782" s="4"/>
      <c r="Q782" s="4" t="s">
        <v>170</v>
      </c>
      <c r="R782" s="4">
        <v>18</v>
      </c>
      <c r="S782" s="4">
        <v>18</v>
      </c>
      <c r="T782" s="4"/>
      <c r="U782" s="4">
        <v>-43.537381230000001</v>
      </c>
      <c r="V782" s="4">
        <v>172.73761038999999</v>
      </c>
      <c r="W782" s="4"/>
      <c r="X782" s="4"/>
      <c r="Y782" s="4"/>
      <c r="Z782" s="4"/>
      <c r="AA782" s="4" t="s">
        <v>171</v>
      </c>
      <c r="AB782" s="3" t="str">
        <f>HYPERLINK("https://sitebase.nzcomms.co.nz/spm/spmcandidateview/CHC-060-045-A/","CHC-060-045-A")</f>
        <v>CHC-060-045-A</v>
      </c>
      <c r="AC782" s="4"/>
      <c r="AD782" s="4"/>
      <c r="AE782" s="4"/>
      <c r="AF782" s="4"/>
      <c r="AG782" s="4"/>
      <c r="AH782" s="4" t="s">
        <v>2515</v>
      </c>
      <c r="AI782" s="4"/>
      <c r="AJ782" s="4"/>
      <c r="AK782" s="4"/>
      <c r="AL782" s="4"/>
      <c r="AM782" s="4"/>
      <c r="AN782" s="5">
        <v>39203</v>
      </c>
      <c r="AO782" s="4">
        <v>1</v>
      </c>
      <c r="AP782" s="5">
        <v>39203</v>
      </c>
      <c r="AQ782" s="5">
        <v>39203</v>
      </c>
      <c r="AR782" s="4"/>
      <c r="AS782" s="4"/>
      <c r="AT782" s="5">
        <v>39983</v>
      </c>
      <c r="AU782" s="5">
        <v>39979</v>
      </c>
      <c r="AV782" s="4"/>
      <c r="AW782" s="5">
        <v>39983</v>
      </c>
      <c r="AX782" s="5">
        <v>39979</v>
      </c>
      <c r="AY782" s="4"/>
      <c r="AZ782" s="5">
        <v>39948</v>
      </c>
      <c r="BA782" s="4"/>
      <c r="BB782" s="5">
        <v>39990</v>
      </c>
      <c r="BC782" s="4"/>
      <c r="BD782" s="4"/>
      <c r="BE782" s="5">
        <v>39994</v>
      </c>
      <c r="BF782" s="5">
        <v>39993</v>
      </c>
      <c r="BG782" s="5">
        <v>39916</v>
      </c>
      <c r="BH782" s="5">
        <v>39203</v>
      </c>
      <c r="BI782" s="4"/>
      <c r="BJ782" s="5">
        <v>39993</v>
      </c>
      <c r="BK782" s="4">
        <v>1</v>
      </c>
      <c r="BL782" s="4">
        <v>1</v>
      </c>
      <c r="BM782" s="5">
        <v>39993</v>
      </c>
      <c r="BN782" s="5">
        <v>39993</v>
      </c>
      <c r="BO782" s="5">
        <v>40091</v>
      </c>
      <c r="BP782" s="4"/>
      <c r="BQ782" s="4"/>
      <c r="BR782" s="4"/>
      <c r="BS782" s="4"/>
      <c r="BT782" s="5">
        <v>40037</v>
      </c>
      <c r="BU782" s="5">
        <v>40037</v>
      </c>
      <c r="BV782" s="5">
        <v>40102</v>
      </c>
      <c r="BW782" s="5">
        <v>40099</v>
      </c>
      <c r="BX782" s="4"/>
      <c r="BY782" s="5">
        <v>40109</v>
      </c>
      <c r="BZ782" s="5">
        <v>40107</v>
      </c>
      <c r="CA782" s="4"/>
      <c r="CB782" s="4"/>
      <c r="CC782" s="4"/>
      <c r="CD782" s="4"/>
      <c r="CE782" s="4"/>
      <c r="CF782" s="4"/>
      <c r="CG782" s="4"/>
      <c r="CH782" s="4"/>
      <c r="CI782" s="5">
        <v>40123</v>
      </c>
      <c r="CJ782" s="5">
        <v>40121</v>
      </c>
      <c r="CK782" s="5">
        <v>40123</v>
      </c>
      <c r="CL782" s="4"/>
      <c r="CM782" s="4"/>
      <c r="CN782" s="4"/>
      <c r="CO782" s="4"/>
      <c r="CP782" s="4"/>
      <c r="CQ782" s="4"/>
      <c r="CR782" s="5">
        <v>40121</v>
      </c>
      <c r="CS782" s="4"/>
      <c r="CT782" s="4"/>
      <c r="CU782" s="4"/>
      <c r="CV782" s="4"/>
      <c r="CW782" s="5">
        <v>40074</v>
      </c>
      <c r="CX782" s="5">
        <v>40091</v>
      </c>
      <c r="CY782" s="4"/>
      <c r="CZ782" s="4"/>
      <c r="DA782" s="4"/>
      <c r="DB782" s="4"/>
      <c r="DC782" s="4"/>
      <c r="DD782" s="4"/>
      <c r="DE782" s="4"/>
      <c r="DF782" s="4"/>
      <c r="DG782" s="4"/>
      <c r="DH782" s="4"/>
      <c r="DI782" s="4"/>
      <c r="DJ782" s="4" t="b">
        <v>0</v>
      </c>
      <c r="DK782" s="4"/>
      <c r="DL782" s="4">
        <v>2488804</v>
      </c>
      <c r="DM782" s="4">
        <v>5741085</v>
      </c>
      <c r="DN782" s="4" t="s">
        <v>2516</v>
      </c>
      <c r="DO782" s="4"/>
      <c r="DP782" s="4"/>
      <c r="DQ782" s="4" t="s">
        <v>148</v>
      </c>
      <c r="DR782" s="4"/>
      <c r="DS782" s="4"/>
      <c r="DT782" s="4"/>
      <c r="DU782" s="4"/>
      <c r="DV782" s="4"/>
      <c r="DW782" s="4"/>
      <c r="DX782" s="4"/>
      <c r="DY782" s="5">
        <v>40029</v>
      </c>
      <c r="DZ782" s="5">
        <v>40029</v>
      </c>
      <c r="EA782" s="4"/>
      <c r="EB782" s="4"/>
      <c r="EC782" s="4"/>
      <c r="ED782" s="4"/>
      <c r="EE782" s="4"/>
      <c r="EF782" s="4"/>
      <c r="EG782" s="4"/>
      <c r="EH782" s="4"/>
      <c r="EI782" s="5">
        <v>39173</v>
      </c>
    </row>
    <row r="783" spans="1:139" hidden="1" x14ac:dyDescent="0.2">
      <c r="A783">
        <f>VLOOKUP(B783,Sheet1!$A$1:$B$18,2,FALSE)</f>
        <v>0</v>
      </c>
      <c r="B783" t="str">
        <f>LEFT(D783,3)</f>
        <v>CHC</v>
      </c>
      <c r="C783" s="2">
        <v>782</v>
      </c>
      <c r="D783" s="3" t="str">
        <f>HYPERLINK("https://sitebase.nzcomms.co.nz/spm/spmnominalview/CHC-060-057/","CHC-060-057")</f>
        <v>CHC-060-057</v>
      </c>
      <c r="E783" s="4"/>
      <c r="F783" s="4"/>
      <c r="G783" s="4"/>
      <c r="H783" s="4" t="s">
        <v>2353</v>
      </c>
      <c r="I783" s="4">
        <v>8</v>
      </c>
      <c r="J783" s="4" t="s">
        <v>139</v>
      </c>
      <c r="K783" s="4"/>
      <c r="L783" s="4"/>
      <c r="M783" s="4"/>
      <c r="N783" s="4"/>
      <c r="O783" s="4"/>
      <c r="P783" s="4"/>
      <c r="Q783" s="4"/>
      <c r="R783" s="4"/>
      <c r="S783" s="4"/>
      <c r="T783" s="4"/>
      <c r="U783" s="4"/>
      <c r="V783" s="4"/>
      <c r="W783" s="4"/>
      <c r="X783" s="4"/>
      <c r="Y783" s="4"/>
      <c r="Z783" s="4"/>
      <c r="AA783" s="4"/>
      <c r="AB783" s="4"/>
      <c r="AC783" s="4"/>
      <c r="AD783" s="4"/>
      <c r="AE783" s="4"/>
      <c r="AF783" s="4"/>
      <c r="AG783" s="4" t="b">
        <v>0</v>
      </c>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row>
    <row r="784" spans="1:139" hidden="1" x14ac:dyDescent="0.2">
      <c r="A784">
        <f>VLOOKUP(B784,Sheet1!$A$1:$B$18,2,FALSE)</f>
        <v>0</v>
      </c>
      <c r="B784" t="str">
        <f>LEFT(D784,3)</f>
        <v>CHC</v>
      </c>
      <c r="C784" s="2">
        <v>783</v>
      </c>
      <c r="D784" s="3" t="str">
        <f>HYPERLINK("https://sitebase.nzcomms.co.nz/spm/spmnominalview/CHC-060-058/","CHC-060-058")</f>
        <v>CHC-060-058</v>
      </c>
      <c r="E784" s="4"/>
      <c r="F784" s="3" t="str">
        <f>HYPERLINK("https://sitebase.nzcomms.co.nz/spm/spmcandidateview/CHC-060-058-A/","CHC-060-058-A")</f>
        <v>CHC-060-058-A</v>
      </c>
      <c r="G784" s="4" t="s">
        <v>2517</v>
      </c>
      <c r="H784" s="4" t="s">
        <v>2353</v>
      </c>
      <c r="I784" s="4"/>
      <c r="J784" s="4" t="s">
        <v>139</v>
      </c>
      <c r="K784" s="4" t="s">
        <v>141</v>
      </c>
      <c r="L784" s="4" t="s">
        <v>150</v>
      </c>
      <c r="M784" s="4" t="s">
        <v>143</v>
      </c>
      <c r="N784" s="4" t="s">
        <v>291</v>
      </c>
      <c r="O784" s="4" t="s">
        <v>144</v>
      </c>
      <c r="P784" s="4"/>
      <c r="Q784" s="4"/>
      <c r="R784" s="4">
        <v>20</v>
      </c>
      <c r="S784" s="4">
        <v>20</v>
      </c>
      <c r="T784" s="4"/>
      <c r="U784" s="4">
        <v>-43.544136799999997</v>
      </c>
      <c r="V784" s="4">
        <v>172.64242909999999</v>
      </c>
      <c r="W784" s="4"/>
      <c r="X784" s="4"/>
      <c r="Y784" s="4"/>
      <c r="Z784" s="4"/>
      <c r="AA784" s="4" t="s">
        <v>217</v>
      </c>
      <c r="AB784" s="4" t="s">
        <v>2518</v>
      </c>
      <c r="AC784" s="4"/>
      <c r="AD784" s="4"/>
      <c r="AE784" s="4"/>
      <c r="AF784" s="4"/>
      <c r="AG784" s="4"/>
      <c r="AH784" s="4" t="s">
        <v>2519</v>
      </c>
      <c r="AI784" s="4"/>
      <c r="AJ784" s="4"/>
      <c r="AK784" s="4"/>
      <c r="AL784" s="4"/>
      <c r="AM784" s="4"/>
      <c r="AN784" s="5">
        <v>39351</v>
      </c>
      <c r="AO784" s="4">
        <v>6</v>
      </c>
      <c r="AP784" s="5">
        <v>39385</v>
      </c>
      <c r="AQ784" s="5">
        <v>39555</v>
      </c>
      <c r="AR784" s="4"/>
      <c r="AS784" s="4"/>
      <c r="AT784" s="5">
        <v>39568</v>
      </c>
      <c r="AU784" s="5">
        <v>39573</v>
      </c>
      <c r="AV784" s="4">
        <v>6</v>
      </c>
      <c r="AW784" s="5">
        <v>39568</v>
      </c>
      <c r="AX784" s="5">
        <v>39573</v>
      </c>
      <c r="AY784" s="4"/>
      <c r="AZ784" s="4"/>
      <c r="BA784" s="4"/>
      <c r="BB784" s="4"/>
      <c r="BC784" s="4"/>
      <c r="BD784" s="4"/>
      <c r="BE784" s="5">
        <v>39685</v>
      </c>
      <c r="BF784" s="5">
        <v>39685</v>
      </c>
      <c r="BG784" s="4"/>
      <c r="BH784" s="5">
        <v>39504</v>
      </c>
      <c r="BI784" s="4"/>
      <c r="BJ784" s="5">
        <v>39595</v>
      </c>
      <c r="BK784" s="4">
        <v>2</v>
      </c>
      <c r="BL784" s="4">
        <v>6</v>
      </c>
      <c r="BM784" s="5">
        <v>39689</v>
      </c>
      <c r="BN784" s="5">
        <v>39689</v>
      </c>
      <c r="BO784" s="4"/>
      <c r="BP784" s="4"/>
      <c r="BQ784" s="4"/>
      <c r="BR784" s="4"/>
      <c r="BS784" s="4"/>
      <c r="BT784" s="4"/>
      <c r="BU784" s="5">
        <v>39734</v>
      </c>
      <c r="BV784" s="5">
        <v>39794</v>
      </c>
      <c r="BW784" s="5">
        <v>39790</v>
      </c>
      <c r="BX784" s="4"/>
      <c r="BY784" s="5">
        <v>39808</v>
      </c>
      <c r="BZ784" s="5">
        <v>39794</v>
      </c>
      <c r="CA784" s="4"/>
      <c r="CB784" s="4"/>
      <c r="CC784" s="4"/>
      <c r="CD784" s="4"/>
      <c r="CE784" s="4"/>
      <c r="CF784" s="4"/>
      <c r="CG784" s="4"/>
      <c r="CH784" s="4"/>
      <c r="CI784" s="5">
        <v>39801</v>
      </c>
      <c r="CJ784" s="5">
        <v>39813</v>
      </c>
      <c r="CK784" s="5">
        <v>39801</v>
      </c>
      <c r="CL784" s="4"/>
      <c r="CM784" s="4"/>
      <c r="CN784" s="4"/>
      <c r="CO784" s="4"/>
      <c r="CP784" s="4"/>
      <c r="CQ784" s="4"/>
      <c r="CR784" s="5">
        <v>39813</v>
      </c>
      <c r="CS784" s="4"/>
      <c r="CT784" s="4"/>
      <c r="CU784" s="4"/>
      <c r="CV784" s="4"/>
      <c r="CW784" s="4"/>
      <c r="CX784" s="4"/>
      <c r="CY784" s="4"/>
      <c r="CZ784" s="4"/>
      <c r="DA784" s="4"/>
      <c r="DB784" s="4"/>
      <c r="DC784" s="4"/>
      <c r="DD784" s="4"/>
      <c r="DE784" s="4"/>
      <c r="DF784" s="4"/>
      <c r="DG784" s="4"/>
      <c r="DH784" s="4"/>
      <c r="DI784" s="4"/>
      <c r="DJ784" s="4" t="b">
        <v>0</v>
      </c>
      <c r="DK784" s="4"/>
      <c r="DL784" s="4">
        <v>2481114</v>
      </c>
      <c r="DM784" s="4">
        <v>5740306</v>
      </c>
      <c r="DN784" s="4" t="s">
        <v>2520</v>
      </c>
      <c r="DO784" s="4"/>
      <c r="DP784" s="4"/>
      <c r="DQ784" s="4" t="s">
        <v>148</v>
      </c>
      <c r="DR784" s="4"/>
      <c r="DS784" s="4"/>
      <c r="DT784" s="5">
        <v>42306</v>
      </c>
      <c r="DU784" s="4"/>
      <c r="DV784" s="4"/>
      <c r="DW784" s="4"/>
      <c r="DX784" s="4"/>
      <c r="DY784" s="4"/>
      <c r="DZ784" s="5">
        <v>39701</v>
      </c>
      <c r="EA784" s="4"/>
      <c r="EB784" s="4"/>
      <c r="EC784" s="4"/>
      <c r="ED784" s="4"/>
      <c r="EE784" s="4"/>
      <c r="EF784" s="4"/>
      <c r="EG784" s="4"/>
      <c r="EH784" s="4"/>
      <c r="EI784" s="5">
        <v>39332</v>
      </c>
    </row>
    <row r="785" spans="1:139" hidden="1" x14ac:dyDescent="0.2">
      <c r="A785">
        <f>VLOOKUP(B785,Sheet1!$A$1:$B$18,2,FALSE)</f>
        <v>0</v>
      </c>
      <c r="B785" t="str">
        <f>LEFT(D785,3)</f>
        <v>CHC</v>
      </c>
      <c r="C785" s="2">
        <v>784</v>
      </c>
      <c r="D785" s="3" t="str">
        <f>HYPERLINK("https://sitebase.nzcomms.co.nz/spm/spmnominalview/CHC-060-059/","CHC-060-059")</f>
        <v>CHC-060-059</v>
      </c>
      <c r="E785" s="4"/>
      <c r="F785" s="3" t="str">
        <f>HYPERLINK("https://sitebase.nzcomms.co.nz/spm/spmcandidateview/CHC-060-059-H/","CHC-060-059-H")</f>
        <v>CHC-060-059-H</v>
      </c>
      <c r="G785" s="4" t="s">
        <v>2521</v>
      </c>
      <c r="H785" s="4" t="s">
        <v>2353</v>
      </c>
      <c r="I785" s="4"/>
      <c r="J785" s="4" t="s">
        <v>139</v>
      </c>
      <c r="K785" s="4" t="s">
        <v>141</v>
      </c>
      <c r="L785" s="4" t="s">
        <v>150</v>
      </c>
      <c r="M785" s="4" t="s">
        <v>143</v>
      </c>
      <c r="N785" s="4" t="s">
        <v>2348</v>
      </c>
      <c r="O785" s="4" t="s">
        <v>356</v>
      </c>
      <c r="P785" s="4"/>
      <c r="Q785" s="4"/>
      <c r="R785" s="4">
        <v>18</v>
      </c>
      <c r="S785" s="4">
        <v>18</v>
      </c>
      <c r="T785" s="4"/>
      <c r="U785" s="4">
        <v>-43.53713097</v>
      </c>
      <c r="V785" s="4">
        <v>172.64138141000001</v>
      </c>
      <c r="W785" s="4"/>
      <c r="X785" s="4"/>
      <c r="Y785" s="4"/>
      <c r="Z785" s="4"/>
      <c r="AA785" s="4" t="s">
        <v>171</v>
      </c>
      <c r="AB785" s="3" t="str">
        <f>HYPERLINK("https://sitebase.nzcomms.co.nz/spm/spmcandidateview/CHC-060-062-D/","CHC-060-062-D")</f>
        <v>CHC-060-062-D</v>
      </c>
      <c r="AC785" s="4"/>
      <c r="AD785" s="4"/>
      <c r="AE785" s="4"/>
      <c r="AF785" s="4"/>
      <c r="AG785" s="4"/>
      <c r="AH785" s="4" t="s">
        <v>2522</v>
      </c>
      <c r="AI785" s="4"/>
      <c r="AJ785" s="4"/>
      <c r="AK785" s="4"/>
      <c r="AL785" s="4"/>
      <c r="AM785" s="4"/>
      <c r="AN785" s="5">
        <v>39773</v>
      </c>
      <c r="AO785" s="4">
        <v>2</v>
      </c>
      <c r="AP785" s="5">
        <v>39850</v>
      </c>
      <c r="AQ785" s="5">
        <v>39849</v>
      </c>
      <c r="AR785" s="4"/>
      <c r="AS785" s="4"/>
      <c r="AT785" s="5">
        <v>39797</v>
      </c>
      <c r="AU785" s="5">
        <v>39794</v>
      </c>
      <c r="AV785" s="4">
        <v>2</v>
      </c>
      <c r="AW785" s="5">
        <v>39797</v>
      </c>
      <c r="AX785" s="5">
        <v>39799</v>
      </c>
      <c r="AY785" s="4"/>
      <c r="AZ785" s="5">
        <v>39776</v>
      </c>
      <c r="BA785" s="4"/>
      <c r="BB785" s="4"/>
      <c r="BC785" s="4"/>
      <c r="BD785" s="4"/>
      <c r="BE785" s="5">
        <v>39835</v>
      </c>
      <c r="BF785" s="5">
        <v>39835</v>
      </c>
      <c r="BG785" s="4"/>
      <c r="BH785" s="5">
        <v>39800</v>
      </c>
      <c r="BI785" s="4"/>
      <c r="BJ785" s="5">
        <v>39843</v>
      </c>
      <c r="BK785" s="4">
        <v>1</v>
      </c>
      <c r="BL785" s="4">
        <v>1</v>
      </c>
      <c r="BM785" s="5">
        <v>39843</v>
      </c>
      <c r="BN785" s="5">
        <v>39843</v>
      </c>
      <c r="BO785" s="5">
        <v>39912</v>
      </c>
      <c r="BP785" s="4"/>
      <c r="BQ785" s="4"/>
      <c r="BR785" s="4"/>
      <c r="BS785" s="4"/>
      <c r="BT785" s="5">
        <v>39906</v>
      </c>
      <c r="BU785" s="5">
        <v>39906</v>
      </c>
      <c r="BV785" s="5">
        <v>39926</v>
      </c>
      <c r="BW785" s="5">
        <v>39925</v>
      </c>
      <c r="BX785" s="4"/>
      <c r="BY785" s="5">
        <v>39941</v>
      </c>
      <c r="BZ785" s="5">
        <v>39939</v>
      </c>
      <c r="CA785" s="4"/>
      <c r="CB785" s="4"/>
      <c r="CC785" s="4"/>
      <c r="CD785" s="4"/>
      <c r="CE785" s="4"/>
      <c r="CF785" s="4"/>
      <c r="CG785" s="4"/>
      <c r="CH785" s="4"/>
      <c r="CI785" s="5">
        <v>39944</v>
      </c>
      <c r="CJ785" s="5">
        <v>39948</v>
      </c>
      <c r="CK785" s="5">
        <v>39944</v>
      </c>
      <c r="CL785" s="4"/>
      <c r="CM785" s="4"/>
      <c r="CN785" s="4"/>
      <c r="CO785" s="4"/>
      <c r="CP785" s="4"/>
      <c r="CQ785" s="4"/>
      <c r="CR785" s="5">
        <v>39948</v>
      </c>
      <c r="CS785" s="4"/>
      <c r="CT785" s="4"/>
      <c r="CU785" s="4"/>
      <c r="CV785" s="4"/>
      <c r="CW785" s="5">
        <v>39911</v>
      </c>
      <c r="CX785" s="5">
        <v>39912</v>
      </c>
      <c r="CY785" s="4"/>
      <c r="CZ785" s="4"/>
      <c r="DA785" s="4"/>
      <c r="DB785" s="4"/>
      <c r="DC785" s="4"/>
      <c r="DD785" s="4"/>
      <c r="DE785" s="4"/>
      <c r="DF785" s="4"/>
      <c r="DG785" s="4"/>
      <c r="DH785" s="4"/>
      <c r="DI785" s="4"/>
      <c r="DJ785" s="4" t="b">
        <v>0</v>
      </c>
      <c r="DK785" s="4"/>
      <c r="DL785" s="4">
        <v>2481026</v>
      </c>
      <c r="DM785" s="4">
        <v>5741084</v>
      </c>
      <c r="DN785" s="4" t="s">
        <v>2523</v>
      </c>
      <c r="DO785" s="4"/>
      <c r="DP785" s="4"/>
      <c r="DQ785" s="4" t="s">
        <v>148</v>
      </c>
      <c r="DR785" s="4"/>
      <c r="DS785" s="4"/>
      <c r="DT785" s="5">
        <v>42298</v>
      </c>
      <c r="DU785" s="4"/>
      <c r="DV785" s="4"/>
      <c r="DW785" s="4"/>
      <c r="DX785" s="4"/>
      <c r="DY785" s="5">
        <v>39888</v>
      </c>
      <c r="DZ785" s="5">
        <v>39898</v>
      </c>
      <c r="EA785" s="4"/>
      <c r="EB785" s="4"/>
      <c r="EC785" s="4"/>
      <c r="ED785" s="4"/>
      <c r="EE785" s="4"/>
      <c r="EF785" s="4"/>
      <c r="EG785" s="4"/>
      <c r="EH785" s="4"/>
      <c r="EI785" s="5">
        <v>39749</v>
      </c>
    </row>
    <row r="786" spans="1:139" hidden="1" x14ac:dyDescent="0.2">
      <c r="A786">
        <f>VLOOKUP(B786,Sheet1!$A$1:$B$18,2,FALSE)</f>
        <v>0</v>
      </c>
      <c r="B786" t="str">
        <f>LEFT(D786,3)</f>
        <v>CHC</v>
      </c>
      <c r="C786" s="2">
        <v>785</v>
      </c>
      <c r="D786" s="3" t="str">
        <f>HYPERLINK("https://sitebase.nzcomms.co.nz/spm/spmnominalview/CHC-060-060/","CHC-060-060")</f>
        <v>CHC-060-060</v>
      </c>
      <c r="E786" s="4"/>
      <c r="F786" s="3" t="str">
        <f>HYPERLINK("https://sitebase.nzcomms.co.nz/spm/spmcandidateview/CHC-060-060-C/","CHC-060-060-C")</f>
        <v>CHC-060-060-C</v>
      </c>
      <c r="G786" s="4" t="s">
        <v>2524</v>
      </c>
      <c r="H786" s="4" t="s">
        <v>2353</v>
      </c>
      <c r="I786" s="4"/>
      <c r="J786" s="4" t="s">
        <v>139</v>
      </c>
      <c r="K786" s="4" t="s">
        <v>141</v>
      </c>
      <c r="L786" s="4" t="s">
        <v>150</v>
      </c>
      <c r="M786" s="4" t="s">
        <v>143</v>
      </c>
      <c r="N786" s="4" t="s">
        <v>291</v>
      </c>
      <c r="O786" s="4" t="s">
        <v>144</v>
      </c>
      <c r="P786" s="4"/>
      <c r="Q786" s="4"/>
      <c r="R786" s="4">
        <v>15</v>
      </c>
      <c r="S786" s="4">
        <v>15</v>
      </c>
      <c r="T786" s="4"/>
      <c r="U786" s="4">
        <v>-43.521621809999999</v>
      </c>
      <c r="V786" s="4">
        <v>172.6558454</v>
      </c>
      <c r="W786" s="4"/>
      <c r="X786" s="4"/>
      <c r="Y786" s="4"/>
      <c r="Z786" s="4"/>
      <c r="AA786" s="4" t="s">
        <v>217</v>
      </c>
      <c r="AB786" s="4" t="s">
        <v>2367</v>
      </c>
      <c r="AC786" s="4"/>
      <c r="AD786" s="4"/>
      <c r="AE786" s="4"/>
      <c r="AF786" s="4"/>
      <c r="AG786" s="4"/>
      <c r="AH786" s="4" t="s">
        <v>2525</v>
      </c>
      <c r="AI786" s="4"/>
      <c r="AJ786" s="4"/>
      <c r="AK786" s="4"/>
      <c r="AL786" s="4"/>
      <c r="AM786" s="4"/>
      <c r="AN786" s="5">
        <v>39487</v>
      </c>
      <c r="AO786" s="4">
        <v>2</v>
      </c>
      <c r="AP786" s="5">
        <v>39513</v>
      </c>
      <c r="AQ786" s="5">
        <v>39534</v>
      </c>
      <c r="AR786" s="4"/>
      <c r="AS786" s="4"/>
      <c r="AT786" s="5">
        <v>39660</v>
      </c>
      <c r="AU786" s="5">
        <v>39654</v>
      </c>
      <c r="AV786" s="4">
        <v>2</v>
      </c>
      <c r="AW786" s="5">
        <v>39660</v>
      </c>
      <c r="AX786" s="5">
        <v>39654</v>
      </c>
      <c r="AY786" s="4"/>
      <c r="AZ786" s="4"/>
      <c r="BA786" s="4"/>
      <c r="BB786" s="4"/>
      <c r="BC786" s="4"/>
      <c r="BD786" s="4"/>
      <c r="BE786" s="5">
        <v>39766</v>
      </c>
      <c r="BF786" s="5">
        <v>39766</v>
      </c>
      <c r="BG786" s="4"/>
      <c r="BH786" s="5">
        <v>39567</v>
      </c>
      <c r="BI786" s="4"/>
      <c r="BJ786" s="5">
        <v>39729</v>
      </c>
      <c r="BK786" s="4">
        <v>3</v>
      </c>
      <c r="BL786" s="4">
        <v>2</v>
      </c>
      <c r="BM786" s="5">
        <v>39828</v>
      </c>
      <c r="BN786" s="5">
        <v>39828</v>
      </c>
      <c r="BO786" s="5">
        <v>39804</v>
      </c>
      <c r="BP786" s="4"/>
      <c r="BQ786" s="4"/>
      <c r="BR786" s="4"/>
      <c r="BS786" s="4"/>
      <c r="BT786" s="5">
        <v>39890</v>
      </c>
      <c r="BU786" s="5">
        <v>39885</v>
      </c>
      <c r="BV786" s="5">
        <v>39903</v>
      </c>
      <c r="BW786" s="5">
        <v>39903</v>
      </c>
      <c r="BX786" s="4"/>
      <c r="BY786" s="5">
        <v>39912</v>
      </c>
      <c r="BZ786" s="5">
        <v>39911</v>
      </c>
      <c r="CA786" s="4"/>
      <c r="CB786" s="4"/>
      <c r="CC786" s="4"/>
      <c r="CD786" s="4"/>
      <c r="CE786" s="4"/>
      <c r="CF786" s="4"/>
      <c r="CG786" s="4"/>
      <c r="CH786" s="4"/>
      <c r="CI786" s="5">
        <v>39927</v>
      </c>
      <c r="CJ786" s="5">
        <v>39926</v>
      </c>
      <c r="CK786" s="5">
        <v>39927</v>
      </c>
      <c r="CL786" s="4"/>
      <c r="CM786" s="4"/>
      <c r="CN786" s="4"/>
      <c r="CO786" s="4"/>
      <c r="CP786" s="4"/>
      <c r="CQ786" s="4"/>
      <c r="CR786" s="5">
        <v>39927</v>
      </c>
      <c r="CS786" s="4"/>
      <c r="CT786" s="4"/>
      <c r="CU786" s="4"/>
      <c r="CV786" s="4"/>
      <c r="CW786" s="5">
        <v>39895</v>
      </c>
      <c r="CX786" s="5">
        <v>39804</v>
      </c>
      <c r="CY786" s="4"/>
      <c r="CZ786" s="4"/>
      <c r="DA786" s="4"/>
      <c r="DB786" s="4"/>
      <c r="DC786" s="4"/>
      <c r="DD786" s="4"/>
      <c r="DE786" s="4"/>
      <c r="DF786" s="4"/>
      <c r="DG786" s="4"/>
      <c r="DH786" s="4"/>
      <c r="DI786" s="4"/>
      <c r="DJ786" s="4" t="b">
        <v>0</v>
      </c>
      <c r="DK786" s="4"/>
      <c r="DL786" s="4">
        <v>2482188</v>
      </c>
      <c r="DM786" s="4">
        <v>5742812</v>
      </c>
      <c r="DN786" s="4" t="s">
        <v>2526</v>
      </c>
      <c r="DO786" s="4"/>
      <c r="DP786" s="4"/>
      <c r="DQ786" s="4" t="s">
        <v>148</v>
      </c>
      <c r="DR786" s="4"/>
      <c r="DS786" s="4"/>
      <c r="DT786" s="5">
        <v>42292</v>
      </c>
      <c r="DU786" s="4"/>
      <c r="DV786" s="4"/>
      <c r="DW786" s="4"/>
      <c r="DX786" s="4"/>
      <c r="DY786" s="5">
        <v>39885</v>
      </c>
      <c r="DZ786" s="5">
        <v>39878</v>
      </c>
      <c r="EA786" s="4"/>
      <c r="EB786" s="4"/>
      <c r="EC786" s="4"/>
      <c r="ED786" s="4"/>
      <c r="EE786" s="4"/>
      <c r="EF786" s="4"/>
      <c r="EG786" s="4"/>
      <c r="EH786" s="4"/>
      <c r="EI786" s="5">
        <v>39457</v>
      </c>
    </row>
    <row r="787" spans="1:139" hidden="1" x14ac:dyDescent="0.2">
      <c r="A787">
        <f>VLOOKUP(B787,Sheet1!$A$1:$B$18,2,FALSE)</f>
        <v>0</v>
      </c>
      <c r="B787" t="str">
        <f>LEFT(D787,3)</f>
        <v>CHC</v>
      </c>
      <c r="C787" s="2">
        <v>786</v>
      </c>
      <c r="D787" s="3" t="str">
        <f>HYPERLINK("https://sitebase.nzcomms.co.nz/spm/spmnominalview/CHC-060-061/","CHC-060-061")</f>
        <v>CHC-060-061</v>
      </c>
      <c r="E787" s="4"/>
      <c r="F787" s="3" t="str">
        <f>HYPERLINK("https://sitebase.nzcomms.co.nz/spm/spmcandidateview/CHC-060-061-M/","CHC-060-061-M")</f>
        <v>CHC-060-061-M</v>
      </c>
      <c r="G787" s="4" t="s">
        <v>2527</v>
      </c>
      <c r="H787" s="4" t="s">
        <v>2353</v>
      </c>
      <c r="I787" s="4"/>
      <c r="J787" s="4" t="s">
        <v>139</v>
      </c>
      <c r="K787" s="4" t="s">
        <v>141</v>
      </c>
      <c r="L787" s="4" t="s">
        <v>189</v>
      </c>
      <c r="M787" s="4" t="s">
        <v>354</v>
      </c>
      <c r="N787" s="4" t="s">
        <v>2421</v>
      </c>
      <c r="O787" s="4" t="s">
        <v>356</v>
      </c>
      <c r="P787" s="4"/>
      <c r="Q787" s="4"/>
      <c r="R787" s="4">
        <v>14</v>
      </c>
      <c r="S787" s="4">
        <v>14</v>
      </c>
      <c r="T787" s="4"/>
      <c r="U787" s="4">
        <v>-43.532443790000002</v>
      </c>
      <c r="V787" s="4">
        <v>172.63068311000001</v>
      </c>
      <c r="W787" s="4"/>
      <c r="X787" s="4"/>
      <c r="Y787" s="4"/>
      <c r="Z787" s="4"/>
      <c r="AA787" s="4" t="s">
        <v>152</v>
      </c>
      <c r="AB787" s="3" t="str">
        <f>HYPERLINK("https://sitebase.nzcomms.co.nz/spm/spmcandidateview/CHC-060-063-B/","CHC-060-063-B")</f>
        <v>CHC-060-063-B</v>
      </c>
      <c r="AC787" s="4"/>
      <c r="AD787" s="4"/>
      <c r="AE787" s="4"/>
      <c r="AF787" s="4"/>
      <c r="AG787" s="4"/>
      <c r="AH787" s="4"/>
      <c r="AI787" s="4"/>
      <c r="AJ787" s="4"/>
      <c r="AK787" s="4"/>
      <c r="AL787" s="4"/>
      <c r="AM787" s="5">
        <v>39843</v>
      </c>
      <c r="AN787" s="5">
        <v>39843</v>
      </c>
      <c r="AO787" s="4">
        <v>1</v>
      </c>
      <c r="AP787" s="5">
        <v>39843</v>
      </c>
      <c r="AQ787" s="5">
        <v>39843</v>
      </c>
      <c r="AR787" s="4"/>
      <c r="AS787" s="4"/>
      <c r="AT787" s="5">
        <v>39869</v>
      </c>
      <c r="AU787" s="5">
        <v>39854</v>
      </c>
      <c r="AV787" s="4"/>
      <c r="AW787" s="5">
        <v>39869</v>
      </c>
      <c r="AX787" s="5">
        <v>39856</v>
      </c>
      <c r="AY787" s="4"/>
      <c r="AZ787" s="5">
        <v>39871</v>
      </c>
      <c r="BA787" s="4"/>
      <c r="BB787" s="5">
        <v>39848</v>
      </c>
      <c r="BC787" s="4"/>
      <c r="BD787" s="4"/>
      <c r="BE787" s="5">
        <v>39848</v>
      </c>
      <c r="BF787" s="5">
        <v>39848</v>
      </c>
      <c r="BG787" s="4"/>
      <c r="BH787" s="5">
        <v>39863</v>
      </c>
      <c r="BI787" s="4"/>
      <c r="BJ787" s="5">
        <v>39884</v>
      </c>
      <c r="BK787" s="4">
        <v>2</v>
      </c>
      <c r="BL787" s="4">
        <v>1</v>
      </c>
      <c r="BM787" s="5">
        <v>39885</v>
      </c>
      <c r="BN787" s="5">
        <v>39917</v>
      </c>
      <c r="BO787" s="5">
        <v>39926</v>
      </c>
      <c r="BP787" s="4"/>
      <c r="BQ787" s="4"/>
      <c r="BR787" s="4"/>
      <c r="BS787" s="4"/>
      <c r="BT787" s="5">
        <v>39919</v>
      </c>
      <c r="BU787" s="5">
        <v>39919</v>
      </c>
      <c r="BV787" s="5">
        <v>39938</v>
      </c>
      <c r="BW787" s="5">
        <v>39938</v>
      </c>
      <c r="BX787" s="4"/>
      <c r="BY787" s="5">
        <v>39945</v>
      </c>
      <c r="BZ787" s="5">
        <v>39946</v>
      </c>
      <c r="CA787" s="4"/>
      <c r="CB787" s="4"/>
      <c r="CC787" s="4"/>
      <c r="CD787" s="4"/>
      <c r="CE787" s="4"/>
      <c r="CF787" s="4"/>
      <c r="CG787" s="4"/>
      <c r="CH787" s="4"/>
      <c r="CI787" s="5">
        <v>39953</v>
      </c>
      <c r="CJ787" s="5">
        <v>39956</v>
      </c>
      <c r="CK787" s="5">
        <v>39953</v>
      </c>
      <c r="CL787" s="4"/>
      <c r="CM787" s="4"/>
      <c r="CN787" s="4"/>
      <c r="CO787" s="4"/>
      <c r="CP787" s="4"/>
      <c r="CQ787" s="4"/>
      <c r="CR787" s="5">
        <v>39956</v>
      </c>
      <c r="CS787" s="4"/>
      <c r="CT787" s="4"/>
      <c r="CU787" s="4"/>
      <c r="CV787" s="4"/>
      <c r="CW787" s="5">
        <v>39926</v>
      </c>
      <c r="CX787" s="5">
        <v>39926</v>
      </c>
      <c r="CY787" s="4"/>
      <c r="CZ787" s="4"/>
      <c r="DA787" s="4"/>
      <c r="DB787" s="4"/>
      <c r="DC787" s="4"/>
      <c r="DD787" s="4"/>
      <c r="DE787" s="4"/>
      <c r="DF787" s="4"/>
      <c r="DG787" s="4"/>
      <c r="DH787" s="4"/>
      <c r="DI787" s="4"/>
      <c r="DJ787" s="4" t="b">
        <v>0</v>
      </c>
      <c r="DK787" s="4"/>
      <c r="DL787" s="4">
        <v>2480159</v>
      </c>
      <c r="DM787" s="4">
        <v>5741601</v>
      </c>
      <c r="DN787" s="4" t="s">
        <v>2528</v>
      </c>
      <c r="DO787" s="4"/>
      <c r="DP787" s="4"/>
      <c r="DQ787" s="4" t="s">
        <v>148</v>
      </c>
      <c r="DR787" s="4"/>
      <c r="DS787" s="4"/>
      <c r="DT787" s="5">
        <v>41901</v>
      </c>
      <c r="DU787" s="4"/>
      <c r="DV787" s="4"/>
      <c r="DW787" s="4"/>
      <c r="DX787" s="4"/>
      <c r="DY787" s="5">
        <v>39919</v>
      </c>
      <c r="DZ787" s="5">
        <v>39919</v>
      </c>
      <c r="EA787" s="4"/>
      <c r="EB787" s="4"/>
      <c r="EC787" s="4"/>
      <c r="ED787" s="4"/>
      <c r="EE787" s="4"/>
      <c r="EF787" s="4"/>
      <c r="EG787" s="4"/>
      <c r="EH787" s="4"/>
      <c r="EI787" s="5">
        <v>39828</v>
      </c>
    </row>
    <row r="788" spans="1:139" hidden="1" x14ac:dyDescent="0.2">
      <c r="A788">
        <f>VLOOKUP(B788,Sheet1!$A$1:$B$18,2,FALSE)</f>
        <v>0</v>
      </c>
      <c r="B788" t="str">
        <f>LEFT(D788,3)</f>
        <v>CHC</v>
      </c>
      <c r="C788" s="2">
        <v>787</v>
      </c>
      <c r="D788" s="3" t="str">
        <f>HYPERLINK("https://sitebase.nzcomms.co.nz/spm/spmnominalview/CHC-060-062/","CHC-060-062")</f>
        <v>CHC-060-062</v>
      </c>
      <c r="E788" s="4"/>
      <c r="F788" s="3" t="str">
        <f>HYPERLINK("https://sitebase.nzcomms.co.nz/spm/spmcandidateview/CHC-060-062-D/","CHC-060-062-D")</f>
        <v>CHC-060-062-D</v>
      </c>
      <c r="G788" s="4" t="s">
        <v>2529</v>
      </c>
      <c r="H788" s="4" t="s">
        <v>2353</v>
      </c>
      <c r="I788" s="4"/>
      <c r="J788" s="4" t="s">
        <v>139</v>
      </c>
      <c r="K788" s="4" t="s">
        <v>141</v>
      </c>
      <c r="L788" s="4" t="s">
        <v>150</v>
      </c>
      <c r="M788" s="4" t="s">
        <v>143</v>
      </c>
      <c r="N788" s="4" t="s">
        <v>291</v>
      </c>
      <c r="O788" s="4" t="s">
        <v>144</v>
      </c>
      <c r="P788" s="4"/>
      <c r="Q788" s="4"/>
      <c r="R788" s="4">
        <v>20</v>
      </c>
      <c r="S788" s="4">
        <v>20</v>
      </c>
      <c r="T788" s="4"/>
      <c r="U788" s="4">
        <v>-43.541123290000002</v>
      </c>
      <c r="V788" s="4">
        <v>172.63722536</v>
      </c>
      <c r="W788" s="4"/>
      <c r="X788" s="4"/>
      <c r="Y788" s="4"/>
      <c r="Z788" s="4"/>
      <c r="AA788" s="4" t="s">
        <v>217</v>
      </c>
      <c r="AB788" s="4" t="s">
        <v>2518</v>
      </c>
      <c r="AC788" s="4"/>
      <c r="AD788" s="4"/>
      <c r="AE788" s="4"/>
      <c r="AF788" s="4"/>
      <c r="AG788" s="4"/>
      <c r="AH788" s="4" t="s">
        <v>2530</v>
      </c>
      <c r="AI788" s="4"/>
      <c r="AJ788" s="4"/>
      <c r="AK788" s="4"/>
      <c r="AL788" s="4"/>
      <c r="AM788" s="4"/>
      <c r="AN788" s="5">
        <v>39547</v>
      </c>
      <c r="AO788" s="4">
        <v>1</v>
      </c>
      <c r="AP788" s="5">
        <v>39548</v>
      </c>
      <c r="AQ788" s="5">
        <v>39547</v>
      </c>
      <c r="AR788" s="4"/>
      <c r="AS788" s="4"/>
      <c r="AT788" s="5">
        <v>39763</v>
      </c>
      <c r="AU788" s="5">
        <v>39755</v>
      </c>
      <c r="AV788" s="4">
        <v>1</v>
      </c>
      <c r="AW788" s="5">
        <v>39763</v>
      </c>
      <c r="AX788" s="5">
        <v>39755</v>
      </c>
      <c r="AY788" s="4"/>
      <c r="AZ788" s="4"/>
      <c r="BA788" s="4"/>
      <c r="BB788" s="4"/>
      <c r="BC788" s="4"/>
      <c r="BD788" s="4"/>
      <c r="BE788" s="5">
        <v>39587</v>
      </c>
      <c r="BF788" s="5">
        <v>39587</v>
      </c>
      <c r="BG788" s="4"/>
      <c r="BH788" s="5">
        <v>39567</v>
      </c>
      <c r="BI788" s="4"/>
      <c r="BJ788" s="5">
        <v>39685</v>
      </c>
      <c r="BK788" s="4">
        <v>1</v>
      </c>
      <c r="BL788" s="4">
        <v>1</v>
      </c>
      <c r="BM788" s="5">
        <v>39685</v>
      </c>
      <c r="BN788" s="5">
        <v>39685</v>
      </c>
      <c r="BO788" s="5">
        <v>39832</v>
      </c>
      <c r="BP788" s="4"/>
      <c r="BQ788" s="4"/>
      <c r="BR788" s="4"/>
      <c r="BS788" s="4"/>
      <c r="BT788" s="4"/>
      <c r="BU788" s="5">
        <v>39797</v>
      </c>
      <c r="BV788" s="5">
        <v>39843</v>
      </c>
      <c r="BW788" s="5">
        <v>39843</v>
      </c>
      <c r="BX788" s="4"/>
      <c r="BY788" s="5">
        <v>39883</v>
      </c>
      <c r="BZ788" s="5">
        <v>39885</v>
      </c>
      <c r="CA788" s="4"/>
      <c r="CB788" s="4"/>
      <c r="CC788" s="4"/>
      <c r="CD788" s="4"/>
      <c r="CE788" s="4"/>
      <c r="CF788" s="4"/>
      <c r="CG788" s="4"/>
      <c r="CH788" s="4"/>
      <c r="CI788" s="5">
        <v>39890</v>
      </c>
      <c r="CJ788" s="5">
        <v>39885</v>
      </c>
      <c r="CK788" s="5">
        <v>39890</v>
      </c>
      <c r="CL788" s="4"/>
      <c r="CM788" s="4"/>
      <c r="CN788" s="4"/>
      <c r="CO788" s="4"/>
      <c r="CP788" s="4" t="s">
        <v>405</v>
      </c>
      <c r="CQ788" s="4"/>
      <c r="CR788" s="5">
        <v>39885</v>
      </c>
      <c r="CS788" s="4"/>
      <c r="CT788" s="4"/>
      <c r="CU788" s="4"/>
      <c r="CV788" s="4"/>
      <c r="CW788" s="5">
        <v>39832</v>
      </c>
      <c r="CX788" s="5">
        <v>39832</v>
      </c>
      <c r="CY788" s="4"/>
      <c r="CZ788" s="4"/>
      <c r="DA788" s="4"/>
      <c r="DB788" s="4"/>
      <c r="DC788" s="4"/>
      <c r="DD788" s="4"/>
      <c r="DE788" s="4"/>
      <c r="DF788" s="4"/>
      <c r="DG788" s="4"/>
      <c r="DH788" s="4"/>
      <c r="DI788" s="4"/>
      <c r="DJ788" s="4" t="b">
        <v>0</v>
      </c>
      <c r="DK788" s="4"/>
      <c r="DL788" s="4">
        <v>2480692</v>
      </c>
      <c r="DM788" s="4">
        <v>5740639</v>
      </c>
      <c r="DN788" s="4" t="s">
        <v>2531</v>
      </c>
      <c r="DO788" s="4"/>
      <c r="DP788" s="4"/>
      <c r="DQ788" s="4" t="s">
        <v>148</v>
      </c>
      <c r="DR788" s="4"/>
      <c r="DS788" s="4"/>
      <c r="DT788" s="5">
        <v>42306</v>
      </c>
      <c r="DU788" s="4"/>
      <c r="DV788" s="4"/>
      <c r="DW788" s="4"/>
      <c r="DX788" s="4"/>
      <c r="DY788" s="4"/>
      <c r="DZ788" s="5">
        <v>39793</v>
      </c>
      <c r="EA788" s="4"/>
      <c r="EB788" s="4"/>
      <c r="EC788" s="4"/>
      <c r="ED788" s="4"/>
      <c r="EE788" s="4"/>
      <c r="EF788" s="4"/>
      <c r="EG788" s="4"/>
      <c r="EH788" s="4"/>
      <c r="EI788" s="5">
        <v>39490</v>
      </c>
    </row>
    <row r="789" spans="1:139" hidden="1" x14ac:dyDescent="0.2">
      <c r="A789">
        <f>VLOOKUP(B789,Sheet1!$A$1:$B$18,2,FALSE)</f>
        <v>0</v>
      </c>
      <c r="B789" t="str">
        <f>LEFT(D789,3)</f>
        <v>CHC</v>
      </c>
      <c r="C789" s="2">
        <v>788</v>
      </c>
      <c r="D789" s="3" t="str">
        <f>HYPERLINK("https://sitebase.nzcomms.co.nz/spm/spmnominalview/CHC-060-063/","CHC-060-063")</f>
        <v>CHC-060-063</v>
      </c>
      <c r="E789" s="4"/>
      <c r="F789" s="4"/>
      <c r="G789" s="4"/>
      <c r="H789" s="4" t="s">
        <v>2353</v>
      </c>
      <c r="I789" s="4"/>
      <c r="J789" s="4" t="s">
        <v>139</v>
      </c>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row>
    <row r="790" spans="1:139" hidden="1" x14ac:dyDescent="0.2">
      <c r="A790">
        <f>VLOOKUP(B790,Sheet1!$A$1:$B$18,2,FALSE)</f>
        <v>0</v>
      </c>
      <c r="B790" t="str">
        <f>LEFT(D790,3)</f>
        <v>CHC</v>
      </c>
      <c r="C790" s="2">
        <v>789</v>
      </c>
      <c r="D790" s="3" t="str">
        <f>HYPERLINK("https://sitebase.nzcomms.co.nz/spm/spmnominalview/CHC-060-064/","CHC-060-064")</f>
        <v>CHC-060-064</v>
      </c>
      <c r="E790" s="4"/>
      <c r="F790" s="3" t="str">
        <f>HYPERLINK("https://sitebase.nzcomms.co.nz/spm/spmcandidateview/CHC-060-064-J/","CHC-060-064-J")</f>
        <v>CHC-060-064-J</v>
      </c>
      <c r="G790" s="4" t="s">
        <v>2532</v>
      </c>
      <c r="H790" s="4" t="s">
        <v>2353</v>
      </c>
      <c r="I790" s="4"/>
      <c r="J790" s="4" t="s">
        <v>139</v>
      </c>
      <c r="K790" s="4" t="s">
        <v>141</v>
      </c>
      <c r="L790" s="4" t="s">
        <v>150</v>
      </c>
      <c r="M790" s="4" t="s">
        <v>143</v>
      </c>
      <c r="N790" s="4" t="s">
        <v>291</v>
      </c>
      <c r="O790" s="4" t="s">
        <v>144</v>
      </c>
      <c r="P790" s="4"/>
      <c r="Q790" s="4"/>
      <c r="R790" s="4">
        <v>20</v>
      </c>
      <c r="S790" s="4">
        <v>20</v>
      </c>
      <c r="T790" s="4"/>
      <c r="U790" s="4">
        <v>-43.548950550000001</v>
      </c>
      <c r="V790" s="4">
        <v>172.65973764</v>
      </c>
      <c r="W790" s="4"/>
      <c r="X790" s="4"/>
      <c r="Y790" s="4"/>
      <c r="Z790" s="4"/>
      <c r="AA790" s="4" t="s">
        <v>217</v>
      </c>
      <c r="AB790" s="4" t="s">
        <v>2518</v>
      </c>
      <c r="AC790" s="4"/>
      <c r="AD790" s="4"/>
      <c r="AE790" s="4"/>
      <c r="AF790" s="4"/>
      <c r="AG790" s="4"/>
      <c r="AH790" s="4" t="s">
        <v>2533</v>
      </c>
      <c r="AI790" s="4"/>
      <c r="AJ790" s="4"/>
      <c r="AK790" s="4"/>
      <c r="AL790" s="4"/>
      <c r="AM790" s="4"/>
      <c r="AN790" s="5">
        <v>39682</v>
      </c>
      <c r="AO790" s="4">
        <v>3</v>
      </c>
      <c r="AP790" s="5">
        <v>39682</v>
      </c>
      <c r="AQ790" s="5">
        <v>41954</v>
      </c>
      <c r="AR790" s="4"/>
      <c r="AS790" s="4"/>
      <c r="AT790" s="5">
        <v>39720</v>
      </c>
      <c r="AU790" s="5">
        <v>39717</v>
      </c>
      <c r="AV790" s="4">
        <v>2</v>
      </c>
      <c r="AW790" s="5">
        <v>39720</v>
      </c>
      <c r="AX790" s="5">
        <v>39717</v>
      </c>
      <c r="AY790" s="4"/>
      <c r="AZ790" s="5">
        <v>39692</v>
      </c>
      <c r="BA790" s="4"/>
      <c r="BB790" s="4"/>
      <c r="BC790" s="4"/>
      <c r="BD790" s="4"/>
      <c r="BE790" s="5">
        <v>39717</v>
      </c>
      <c r="BF790" s="5">
        <v>39717</v>
      </c>
      <c r="BG790" s="4"/>
      <c r="BH790" s="5">
        <v>39707</v>
      </c>
      <c r="BI790" s="4"/>
      <c r="BJ790" s="5">
        <v>39729</v>
      </c>
      <c r="BK790" s="4">
        <v>3</v>
      </c>
      <c r="BL790" s="4"/>
      <c r="BM790" s="5">
        <v>39729</v>
      </c>
      <c r="BN790" s="5">
        <v>42040</v>
      </c>
      <c r="BO790" s="4"/>
      <c r="BP790" s="4"/>
      <c r="BQ790" s="4"/>
      <c r="BR790" s="4"/>
      <c r="BS790" s="4"/>
      <c r="BT790" s="4"/>
      <c r="BU790" s="4"/>
      <c r="BV790" s="5">
        <v>39800</v>
      </c>
      <c r="BW790" s="4"/>
      <c r="BX790" s="4"/>
      <c r="BY790" s="5">
        <v>39806</v>
      </c>
      <c r="BZ790" s="5">
        <v>39806</v>
      </c>
      <c r="CA790" s="4"/>
      <c r="CB790" s="4"/>
      <c r="CC790" s="4"/>
      <c r="CD790" s="4"/>
      <c r="CE790" s="4"/>
      <c r="CF790" s="4"/>
      <c r="CG790" s="4"/>
      <c r="CH790" s="4"/>
      <c r="CI790" s="5">
        <v>39806</v>
      </c>
      <c r="CJ790" s="5">
        <v>39813</v>
      </c>
      <c r="CK790" s="5">
        <v>39806</v>
      </c>
      <c r="CL790" s="4"/>
      <c r="CM790" s="4"/>
      <c r="CN790" s="4"/>
      <c r="CO790" s="4"/>
      <c r="CP790" s="4"/>
      <c r="CQ790" s="4"/>
      <c r="CR790" s="5">
        <v>39806</v>
      </c>
      <c r="CS790" s="4"/>
      <c r="CT790" s="4"/>
      <c r="CU790" s="4"/>
      <c r="CV790" s="4"/>
      <c r="CW790" s="4"/>
      <c r="CX790" s="4"/>
      <c r="CY790" s="4"/>
      <c r="CZ790" s="4"/>
      <c r="DA790" s="4"/>
      <c r="DB790" s="4"/>
      <c r="DC790" s="4"/>
      <c r="DD790" s="4"/>
      <c r="DE790" s="4"/>
      <c r="DF790" s="4"/>
      <c r="DG790" s="4"/>
      <c r="DH790" s="4"/>
      <c r="DI790" s="4"/>
      <c r="DJ790" s="4" t="b">
        <v>0</v>
      </c>
      <c r="DK790" s="4"/>
      <c r="DL790" s="4">
        <v>2482515</v>
      </c>
      <c r="DM790" s="4">
        <v>5739777</v>
      </c>
      <c r="DN790" s="4" t="s">
        <v>2534</v>
      </c>
      <c r="DO790" s="4"/>
      <c r="DP790" s="4"/>
      <c r="DQ790" s="4" t="s">
        <v>148</v>
      </c>
      <c r="DR790" s="4"/>
      <c r="DS790" s="4"/>
      <c r="DT790" s="5">
        <v>42306</v>
      </c>
      <c r="DU790" s="4"/>
      <c r="DV790" s="4"/>
      <c r="DW790" s="4"/>
      <c r="DX790" s="4"/>
      <c r="DY790" s="4"/>
      <c r="DZ790" s="5">
        <v>39741</v>
      </c>
      <c r="EA790" s="4"/>
      <c r="EB790" s="4"/>
      <c r="EC790" s="4"/>
      <c r="ED790" s="4"/>
      <c r="EE790" s="4"/>
      <c r="EF790" s="4"/>
      <c r="EG790" s="4"/>
      <c r="EH790" s="4"/>
      <c r="EI790" s="5">
        <v>39651</v>
      </c>
    </row>
    <row r="791" spans="1:139" hidden="1" x14ac:dyDescent="0.2">
      <c r="A791">
        <f>VLOOKUP(B791,Sheet1!$A$1:$B$18,2,FALSE)</f>
        <v>0</v>
      </c>
      <c r="B791" t="str">
        <f>LEFT(D791,3)</f>
        <v>CHC</v>
      </c>
      <c r="C791" s="2">
        <v>790</v>
      </c>
      <c r="D791" s="3" t="str">
        <f>HYPERLINK("https://sitebase.nzcomms.co.nz/spm/spmnominalview/CHC-060-065/","CHC-060-065")</f>
        <v>CHC-060-065</v>
      </c>
      <c r="E791" s="4"/>
      <c r="F791" s="4"/>
      <c r="G791" s="4"/>
      <c r="H791" s="4" t="s">
        <v>2353</v>
      </c>
      <c r="I791" s="4"/>
      <c r="J791" s="4" t="s">
        <v>139</v>
      </c>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row>
    <row r="792" spans="1:139" hidden="1" x14ac:dyDescent="0.2">
      <c r="A792">
        <f>VLOOKUP(B792,Sheet1!$A$1:$B$18,2,FALSE)</f>
        <v>0</v>
      </c>
      <c r="B792" t="str">
        <f>LEFT(D792,3)</f>
        <v>CHC</v>
      </c>
      <c r="C792" s="2">
        <v>791</v>
      </c>
      <c r="D792" s="3" t="str">
        <f>HYPERLINK("https://sitebase.nzcomms.co.nz/spm/spmnominalview/CHC-060-066/","CHC-060-066")</f>
        <v>CHC-060-066</v>
      </c>
      <c r="E792" s="4"/>
      <c r="F792" s="3" t="str">
        <f>HYPERLINK("https://sitebase.nzcomms.co.nz/spm/spmcandidateview/CHC-060-066-E/","CHC-060-066-E")</f>
        <v>CHC-060-066-E</v>
      </c>
      <c r="G792" s="4" t="s">
        <v>2535</v>
      </c>
      <c r="H792" s="4" t="s">
        <v>2353</v>
      </c>
      <c r="I792" s="4"/>
      <c r="J792" s="4" t="s">
        <v>139</v>
      </c>
      <c r="K792" s="4" t="s">
        <v>141</v>
      </c>
      <c r="L792" s="4" t="s">
        <v>189</v>
      </c>
      <c r="M792" s="4" t="s">
        <v>463</v>
      </c>
      <c r="N792" s="4" t="s">
        <v>2348</v>
      </c>
      <c r="O792" s="4" t="s">
        <v>356</v>
      </c>
      <c r="P792" s="4"/>
      <c r="Q792" s="4"/>
      <c r="R792" s="4">
        <v>15</v>
      </c>
      <c r="S792" s="4">
        <v>15</v>
      </c>
      <c r="T792" s="4"/>
      <c r="U792" s="4">
        <v>-43.51093831</v>
      </c>
      <c r="V792" s="4">
        <v>172.58255754000001</v>
      </c>
      <c r="W792" s="4"/>
      <c r="X792" s="4"/>
      <c r="Y792" s="4"/>
      <c r="Z792" s="4"/>
      <c r="AA792" s="4" t="s">
        <v>217</v>
      </c>
      <c r="AB792" s="4" t="s">
        <v>2442</v>
      </c>
      <c r="AC792" s="4"/>
      <c r="AD792" s="4"/>
      <c r="AE792" s="4"/>
      <c r="AF792" s="4"/>
      <c r="AG792" s="4"/>
      <c r="AH792" s="4" t="s">
        <v>2536</v>
      </c>
      <c r="AI792" s="4"/>
      <c r="AJ792" s="4"/>
      <c r="AK792" s="4"/>
      <c r="AL792" s="4"/>
      <c r="AM792" s="4"/>
      <c r="AN792" s="5">
        <v>39766</v>
      </c>
      <c r="AO792" s="4">
        <v>6</v>
      </c>
      <c r="AP792" s="4"/>
      <c r="AQ792" s="5">
        <v>39954</v>
      </c>
      <c r="AR792" s="4"/>
      <c r="AS792" s="4"/>
      <c r="AT792" s="5">
        <v>39954</v>
      </c>
      <c r="AU792" s="5">
        <v>39939</v>
      </c>
      <c r="AV792" s="4">
        <v>2</v>
      </c>
      <c r="AW792" s="5">
        <v>39969</v>
      </c>
      <c r="AX792" s="5">
        <v>39969</v>
      </c>
      <c r="AY792" s="4"/>
      <c r="AZ792" s="5">
        <v>39918</v>
      </c>
      <c r="BA792" s="4"/>
      <c r="BB792" s="5">
        <v>39930</v>
      </c>
      <c r="BC792" s="4"/>
      <c r="BD792" s="4"/>
      <c r="BE792" s="5">
        <v>39954</v>
      </c>
      <c r="BF792" s="5">
        <v>39948</v>
      </c>
      <c r="BG792" s="5">
        <v>39916</v>
      </c>
      <c r="BH792" s="5">
        <v>39820</v>
      </c>
      <c r="BI792" s="4"/>
      <c r="BJ792" s="5">
        <v>39954</v>
      </c>
      <c r="BK792" s="4">
        <v>1</v>
      </c>
      <c r="BL792" s="4">
        <v>1</v>
      </c>
      <c r="BM792" s="5">
        <v>39962</v>
      </c>
      <c r="BN792" s="5">
        <v>39954</v>
      </c>
      <c r="BO792" s="5">
        <v>40008</v>
      </c>
      <c r="BP792" s="4"/>
      <c r="BQ792" s="4"/>
      <c r="BR792" s="4"/>
      <c r="BS792" s="4"/>
      <c r="BT792" s="5">
        <v>39979</v>
      </c>
      <c r="BU792" s="5">
        <v>39979</v>
      </c>
      <c r="BV792" s="5">
        <v>40014</v>
      </c>
      <c r="BW792" s="5">
        <v>40014</v>
      </c>
      <c r="BX792" s="4"/>
      <c r="BY792" s="5">
        <v>40018</v>
      </c>
      <c r="BZ792" s="5">
        <v>40018</v>
      </c>
      <c r="CA792" s="4"/>
      <c r="CB792" s="4"/>
      <c r="CC792" s="4"/>
      <c r="CD792" s="4"/>
      <c r="CE792" s="4"/>
      <c r="CF792" s="4"/>
      <c r="CG792" s="4"/>
      <c r="CH792" s="4"/>
      <c r="CI792" s="5">
        <v>40025</v>
      </c>
      <c r="CJ792" s="5">
        <v>40025</v>
      </c>
      <c r="CK792" s="5">
        <v>40025</v>
      </c>
      <c r="CL792" s="4"/>
      <c r="CM792" s="4"/>
      <c r="CN792" s="4"/>
      <c r="CO792" s="4"/>
      <c r="CP792" s="4"/>
      <c r="CQ792" s="4"/>
      <c r="CR792" s="5">
        <v>40025</v>
      </c>
      <c r="CS792" s="4"/>
      <c r="CT792" s="4"/>
      <c r="CU792" s="4"/>
      <c r="CV792" s="4"/>
      <c r="CW792" s="5">
        <v>40008</v>
      </c>
      <c r="CX792" s="5">
        <v>40008</v>
      </c>
      <c r="CY792" s="4"/>
      <c r="CZ792" s="4"/>
      <c r="DA792" s="4"/>
      <c r="DB792" s="4"/>
      <c r="DC792" s="4"/>
      <c r="DD792" s="4"/>
      <c r="DE792" s="4"/>
      <c r="DF792" s="4"/>
      <c r="DG792" s="4"/>
      <c r="DH792" s="4"/>
      <c r="DI792" s="4"/>
      <c r="DJ792" s="4" t="b">
        <v>0</v>
      </c>
      <c r="DK792" s="4"/>
      <c r="DL792" s="4">
        <v>2476257</v>
      </c>
      <c r="DM792" s="4">
        <v>5743972</v>
      </c>
      <c r="DN792" s="4" t="s">
        <v>2537</v>
      </c>
      <c r="DO792" s="4"/>
      <c r="DP792" s="4"/>
      <c r="DQ792" s="4" t="s">
        <v>148</v>
      </c>
      <c r="DR792" s="4"/>
      <c r="DS792" s="4"/>
      <c r="DT792" s="5">
        <v>41901</v>
      </c>
      <c r="DU792" s="4"/>
      <c r="DV792" s="4"/>
      <c r="DW792" s="4"/>
      <c r="DX792" s="4"/>
      <c r="DY792" s="5">
        <v>39979</v>
      </c>
      <c r="DZ792" s="5">
        <v>39979</v>
      </c>
      <c r="EA792" s="4"/>
      <c r="EB792" s="4"/>
      <c r="EC792" s="4"/>
      <c r="ED792" s="4"/>
      <c r="EE792" s="4"/>
      <c r="EF792" s="4"/>
      <c r="EG792" s="4"/>
      <c r="EH792" s="4"/>
      <c r="EI792" s="5">
        <v>39731</v>
      </c>
    </row>
    <row r="793" spans="1:139" hidden="1" x14ac:dyDescent="0.2">
      <c r="A793">
        <f>VLOOKUP(B793,Sheet1!$A$1:$B$18,2,FALSE)</f>
        <v>0</v>
      </c>
      <c r="B793" t="str">
        <f>LEFT(D793,3)</f>
        <v>CHC</v>
      </c>
      <c r="C793" s="2">
        <v>792</v>
      </c>
      <c r="D793" s="3" t="str">
        <f>HYPERLINK("https://sitebase.nzcomms.co.nz/spm/spmnominalview/CHC-060-067/","CHC-060-067")</f>
        <v>CHC-060-067</v>
      </c>
      <c r="E793" s="4"/>
      <c r="F793" s="3" t="str">
        <f>HYPERLINK("https://sitebase.nzcomms.co.nz/spm/spmcandidateview/CHC-060-067-F/","CHC-060-067-F")</f>
        <v>CHC-060-067-F</v>
      </c>
      <c r="G793" s="4" t="s">
        <v>2538</v>
      </c>
      <c r="H793" s="4" t="s">
        <v>2353</v>
      </c>
      <c r="I793" s="4"/>
      <c r="J793" s="4" t="s">
        <v>139</v>
      </c>
      <c r="K793" s="4" t="s">
        <v>141</v>
      </c>
      <c r="L793" s="4" t="s">
        <v>150</v>
      </c>
      <c r="M793" s="4" t="s">
        <v>143</v>
      </c>
      <c r="N793" s="4" t="s">
        <v>156</v>
      </c>
      <c r="O793" s="4" t="s">
        <v>356</v>
      </c>
      <c r="P793" s="4"/>
      <c r="Q793" s="4"/>
      <c r="R793" s="4">
        <v>25</v>
      </c>
      <c r="S793" s="4">
        <v>25</v>
      </c>
      <c r="T793" s="4"/>
      <c r="U793" s="4">
        <v>-43.419908190000001</v>
      </c>
      <c r="V793" s="4">
        <v>172.68589521999999</v>
      </c>
      <c r="W793" s="4"/>
      <c r="X793" s="4"/>
      <c r="Y793" s="4"/>
      <c r="Z793" s="4"/>
      <c r="AA793" s="4" t="s">
        <v>217</v>
      </c>
      <c r="AB793" s="4" t="s">
        <v>2435</v>
      </c>
      <c r="AC793" s="4"/>
      <c r="AD793" s="4"/>
      <c r="AE793" s="4"/>
      <c r="AF793" s="4"/>
      <c r="AG793" s="4"/>
      <c r="AH793" s="4" t="s">
        <v>2539</v>
      </c>
      <c r="AI793" s="4"/>
      <c r="AJ793" s="4"/>
      <c r="AK793" s="4"/>
      <c r="AL793" s="4"/>
      <c r="AM793" s="4"/>
      <c r="AN793" s="5">
        <v>39773</v>
      </c>
      <c r="AO793" s="4">
        <v>2</v>
      </c>
      <c r="AP793" s="5">
        <v>39777</v>
      </c>
      <c r="AQ793" s="5">
        <v>39881</v>
      </c>
      <c r="AR793" s="4"/>
      <c r="AS793" s="4"/>
      <c r="AT793" s="5">
        <v>39903</v>
      </c>
      <c r="AU793" s="5">
        <v>39903</v>
      </c>
      <c r="AV793" s="4">
        <v>1</v>
      </c>
      <c r="AW793" s="5">
        <v>39963</v>
      </c>
      <c r="AX793" s="5">
        <v>39955</v>
      </c>
      <c r="AY793" s="4"/>
      <c r="AZ793" s="5">
        <v>39780</v>
      </c>
      <c r="BA793" s="4"/>
      <c r="BB793" s="5">
        <v>39895</v>
      </c>
      <c r="BC793" s="4"/>
      <c r="BD793" s="4"/>
      <c r="BE793" s="5">
        <v>39895</v>
      </c>
      <c r="BF793" s="5">
        <v>39889</v>
      </c>
      <c r="BG793" s="4"/>
      <c r="BH793" s="5">
        <v>39820</v>
      </c>
      <c r="BI793" s="4"/>
      <c r="BJ793" s="5">
        <v>39836</v>
      </c>
      <c r="BK793" s="4">
        <v>1</v>
      </c>
      <c r="BL793" s="4">
        <v>1</v>
      </c>
      <c r="BM793" s="5">
        <v>39836</v>
      </c>
      <c r="BN793" s="5">
        <v>39836</v>
      </c>
      <c r="BO793" s="5">
        <v>39843</v>
      </c>
      <c r="BP793" s="4"/>
      <c r="BQ793" s="4"/>
      <c r="BR793" s="4"/>
      <c r="BS793" s="4"/>
      <c r="BT793" s="5">
        <v>39912</v>
      </c>
      <c r="BU793" s="5">
        <v>39924</v>
      </c>
      <c r="BV793" s="5">
        <v>39976</v>
      </c>
      <c r="BW793" s="5">
        <v>39975</v>
      </c>
      <c r="BX793" s="4"/>
      <c r="BY793" s="5">
        <v>39983</v>
      </c>
      <c r="BZ793" s="5">
        <v>39983</v>
      </c>
      <c r="CA793" s="4"/>
      <c r="CB793" s="4"/>
      <c r="CC793" s="4"/>
      <c r="CD793" s="4"/>
      <c r="CE793" s="4"/>
      <c r="CF793" s="4"/>
      <c r="CG793" s="4"/>
      <c r="CH793" s="4"/>
      <c r="CI793" s="5">
        <v>40058</v>
      </c>
      <c r="CJ793" s="5">
        <v>40049</v>
      </c>
      <c r="CK793" s="5">
        <v>40058</v>
      </c>
      <c r="CL793" s="4"/>
      <c r="CM793" s="4"/>
      <c r="CN793" s="4"/>
      <c r="CO793" s="4"/>
      <c r="CP793" s="4"/>
      <c r="CQ793" s="4"/>
      <c r="CR793" s="5">
        <v>40049</v>
      </c>
      <c r="CS793" s="4"/>
      <c r="CT793" s="4"/>
      <c r="CU793" s="4"/>
      <c r="CV793" s="4"/>
      <c r="CW793" s="5">
        <v>39923</v>
      </c>
      <c r="CX793" s="5">
        <v>39843</v>
      </c>
      <c r="CY793" s="4"/>
      <c r="CZ793" s="4"/>
      <c r="DA793" s="4"/>
      <c r="DB793" s="4"/>
      <c r="DC793" s="4"/>
      <c r="DD793" s="4"/>
      <c r="DE793" s="4"/>
      <c r="DF793" s="4"/>
      <c r="DG793" s="4"/>
      <c r="DH793" s="4"/>
      <c r="DI793" s="4"/>
      <c r="DJ793" s="4" t="b">
        <v>0</v>
      </c>
      <c r="DK793" s="4"/>
      <c r="DL793" s="4">
        <v>2484575</v>
      </c>
      <c r="DM793" s="4">
        <v>5754122</v>
      </c>
      <c r="DN793" s="4" t="s">
        <v>2540</v>
      </c>
      <c r="DO793" s="4"/>
      <c r="DP793" s="4"/>
      <c r="DQ793" s="4" t="s">
        <v>148</v>
      </c>
      <c r="DR793" s="4"/>
      <c r="DS793" s="4"/>
      <c r="DT793" s="4"/>
      <c r="DU793" s="4"/>
      <c r="DV793" s="4"/>
      <c r="DW793" s="4"/>
      <c r="DX793" s="4"/>
      <c r="DY793" s="5">
        <v>39925</v>
      </c>
      <c r="DZ793" s="5">
        <v>39924</v>
      </c>
      <c r="EA793" s="4"/>
      <c r="EB793" s="4"/>
      <c r="EC793" s="4"/>
      <c r="ED793" s="4"/>
      <c r="EE793" s="4"/>
      <c r="EF793" s="4"/>
      <c r="EG793" s="4"/>
      <c r="EH793" s="4"/>
      <c r="EI793" s="5">
        <v>39763</v>
      </c>
    </row>
    <row r="794" spans="1:139" hidden="1" x14ac:dyDescent="0.2">
      <c r="A794">
        <f>VLOOKUP(B794,Sheet1!$A$1:$B$18,2,FALSE)</f>
        <v>0</v>
      </c>
      <c r="B794" t="str">
        <f>LEFT(D794,3)</f>
        <v>CHC</v>
      </c>
      <c r="C794" s="2">
        <v>793</v>
      </c>
      <c r="D794" s="3" t="str">
        <f>HYPERLINK("https://sitebase.nzcomms.co.nz/spm/spmnominalview/CHC-060-068/","CHC-060-068")</f>
        <v>CHC-060-068</v>
      </c>
      <c r="E794" s="4"/>
      <c r="F794" s="3" t="str">
        <f>HYPERLINK("https://sitebase.nzcomms.co.nz/spm/spmcandidateview/CHC-060-068-E/","CHC-060-068-E")</f>
        <v>CHC-060-068-E</v>
      </c>
      <c r="G794" s="4" t="s">
        <v>2541</v>
      </c>
      <c r="H794" s="4" t="s">
        <v>2353</v>
      </c>
      <c r="I794" s="4"/>
      <c r="J794" s="4" t="s">
        <v>139</v>
      </c>
      <c r="K794" s="4" t="s">
        <v>141</v>
      </c>
      <c r="L794" s="4" t="s">
        <v>150</v>
      </c>
      <c r="M794" s="4" t="s">
        <v>143</v>
      </c>
      <c r="N794" s="4" t="s">
        <v>2348</v>
      </c>
      <c r="O794" s="4" t="s">
        <v>356</v>
      </c>
      <c r="P794" s="4"/>
      <c r="Q794" s="4"/>
      <c r="R794" s="4">
        <v>18</v>
      </c>
      <c r="S794" s="4">
        <v>18</v>
      </c>
      <c r="T794" s="4"/>
      <c r="U794" s="4">
        <v>-43.486451700000003</v>
      </c>
      <c r="V794" s="4">
        <v>172.71704947999999</v>
      </c>
      <c r="W794" s="4"/>
      <c r="X794" s="4"/>
      <c r="Y794" s="4"/>
      <c r="Z794" s="4"/>
      <c r="AA794" s="4"/>
      <c r="AB794" s="4"/>
      <c r="AC794" s="4"/>
      <c r="AD794" s="4"/>
      <c r="AE794" s="4"/>
      <c r="AF794" s="4"/>
      <c r="AG794" s="4"/>
      <c r="AH794" s="4"/>
      <c r="AI794" s="4"/>
      <c r="AJ794" s="4"/>
      <c r="AK794" s="4"/>
      <c r="AL794" s="4"/>
      <c r="AM794" s="5">
        <v>39933</v>
      </c>
      <c r="AN794" s="5">
        <v>39926</v>
      </c>
      <c r="AO794" s="4">
        <v>2</v>
      </c>
      <c r="AP794" s="5">
        <v>39933</v>
      </c>
      <c r="AQ794" s="5">
        <v>39954</v>
      </c>
      <c r="AR794" s="4"/>
      <c r="AS794" s="4"/>
      <c r="AT794" s="5">
        <v>39974</v>
      </c>
      <c r="AU794" s="5">
        <v>39975</v>
      </c>
      <c r="AV794" s="4">
        <v>2</v>
      </c>
      <c r="AW794" s="5">
        <v>39974</v>
      </c>
      <c r="AX794" s="5">
        <v>39975</v>
      </c>
      <c r="AY794" s="4"/>
      <c r="AZ794" s="5">
        <v>39943</v>
      </c>
      <c r="BA794" s="4"/>
      <c r="BB794" s="5">
        <v>39944</v>
      </c>
      <c r="BC794" s="4"/>
      <c r="BD794" s="4"/>
      <c r="BE794" s="5">
        <v>39953</v>
      </c>
      <c r="BF794" s="5">
        <v>39948</v>
      </c>
      <c r="BG794" s="5">
        <v>39933</v>
      </c>
      <c r="BH794" s="5">
        <v>39948</v>
      </c>
      <c r="BI794" s="4"/>
      <c r="BJ794" s="5">
        <v>39954</v>
      </c>
      <c r="BK794" s="4">
        <v>1</v>
      </c>
      <c r="BL794" s="4">
        <v>1</v>
      </c>
      <c r="BM794" s="5">
        <v>39953</v>
      </c>
      <c r="BN794" s="5">
        <v>39954</v>
      </c>
      <c r="BO794" s="5">
        <v>39982</v>
      </c>
      <c r="BP794" s="4"/>
      <c r="BQ794" s="4"/>
      <c r="BR794" s="4"/>
      <c r="BS794" s="4"/>
      <c r="BT794" s="5">
        <v>39979</v>
      </c>
      <c r="BU794" s="5">
        <v>39981</v>
      </c>
      <c r="BV794" s="5">
        <v>39990</v>
      </c>
      <c r="BW794" s="5">
        <v>39990</v>
      </c>
      <c r="BX794" s="4"/>
      <c r="BY794" s="5">
        <v>39993</v>
      </c>
      <c r="BZ794" s="5">
        <v>39993</v>
      </c>
      <c r="CA794" s="4"/>
      <c r="CB794" s="4"/>
      <c r="CC794" s="4"/>
      <c r="CD794" s="4"/>
      <c r="CE794" s="4"/>
      <c r="CF794" s="4"/>
      <c r="CG794" s="4"/>
      <c r="CH794" s="4"/>
      <c r="CI794" s="5">
        <v>39994</v>
      </c>
      <c r="CJ794" s="5">
        <v>39994</v>
      </c>
      <c r="CK794" s="5">
        <v>39994</v>
      </c>
      <c r="CL794" s="4"/>
      <c r="CM794" s="4"/>
      <c r="CN794" s="4"/>
      <c r="CO794" s="4"/>
      <c r="CP794" s="4"/>
      <c r="CQ794" s="4"/>
      <c r="CR794" s="5">
        <v>39994</v>
      </c>
      <c r="CS794" s="4"/>
      <c r="CT794" s="4"/>
      <c r="CU794" s="4"/>
      <c r="CV794" s="4"/>
      <c r="CW794" s="5">
        <v>39982</v>
      </c>
      <c r="CX794" s="5">
        <v>39982</v>
      </c>
      <c r="CY794" s="4"/>
      <c r="CZ794" s="4"/>
      <c r="DA794" s="4"/>
      <c r="DB794" s="4"/>
      <c r="DC794" s="4"/>
      <c r="DD794" s="4"/>
      <c r="DE794" s="4"/>
      <c r="DF794" s="4"/>
      <c r="DG794" s="4"/>
      <c r="DH794" s="4"/>
      <c r="DI794" s="4"/>
      <c r="DJ794" s="4" t="b">
        <v>0</v>
      </c>
      <c r="DK794" s="4"/>
      <c r="DL794" s="4">
        <v>2487123</v>
      </c>
      <c r="DM794" s="4">
        <v>5746738</v>
      </c>
      <c r="DN794" s="4" t="s">
        <v>2542</v>
      </c>
      <c r="DO794" s="4"/>
      <c r="DP794" s="4"/>
      <c r="DQ794" s="4" t="s">
        <v>148</v>
      </c>
      <c r="DR794" s="4"/>
      <c r="DS794" s="4"/>
      <c r="DT794" s="4"/>
      <c r="DU794" s="4"/>
      <c r="DV794" s="4"/>
      <c r="DW794" s="4"/>
      <c r="DX794" s="4"/>
      <c r="DY794" s="5">
        <v>39979</v>
      </c>
      <c r="DZ794" s="5">
        <v>39974</v>
      </c>
      <c r="EA794" s="4"/>
      <c r="EB794" s="4"/>
      <c r="EC794" s="4"/>
      <c r="ED794" s="4"/>
      <c r="EE794" s="4"/>
      <c r="EF794" s="4"/>
      <c r="EG794" s="4"/>
      <c r="EH794" s="4"/>
      <c r="EI794" s="5">
        <v>39912</v>
      </c>
    </row>
    <row r="795" spans="1:139" hidden="1" x14ac:dyDescent="0.2">
      <c r="A795">
        <f>VLOOKUP(B795,Sheet1!$A$1:$B$18,2,FALSE)</f>
        <v>0</v>
      </c>
      <c r="B795" t="str">
        <f>LEFT(D795,3)</f>
        <v>CHC</v>
      </c>
      <c r="C795" s="2">
        <v>794</v>
      </c>
      <c r="D795" s="3" t="str">
        <f>HYPERLINK("https://sitebase.nzcomms.co.nz/spm/spmnominalview/CHC-060-069/","CHC-060-069")</f>
        <v>CHC-060-069</v>
      </c>
      <c r="E795" s="4"/>
      <c r="F795" s="3" t="str">
        <f>HYPERLINK("https://sitebase.nzcomms.co.nz/spm/spmcandidateview/CHC-060-069-B/","CHC-060-069-B")</f>
        <v>CHC-060-069-B</v>
      </c>
      <c r="G795" s="4" t="s">
        <v>2543</v>
      </c>
      <c r="H795" s="4" t="s">
        <v>2353</v>
      </c>
      <c r="I795" s="4"/>
      <c r="J795" s="4" t="s">
        <v>139</v>
      </c>
      <c r="K795" s="4" t="s">
        <v>141</v>
      </c>
      <c r="L795" s="4" t="s">
        <v>189</v>
      </c>
      <c r="M795" s="4" t="s">
        <v>143</v>
      </c>
      <c r="N795" s="4" t="s">
        <v>2348</v>
      </c>
      <c r="O795" s="4" t="s">
        <v>356</v>
      </c>
      <c r="P795" s="4"/>
      <c r="Q795" s="4"/>
      <c r="R795" s="4">
        <v>18</v>
      </c>
      <c r="S795" s="4">
        <v>18</v>
      </c>
      <c r="T795" s="4"/>
      <c r="U795" s="4">
        <v>-43.506549540000002</v>
      </c>
      <c r="V795" s="4">
        <v>172.66949589999999</v>
      </c>
      <c r="W795" s="4"/>
      <c r="X795" s="4"/>
      <c r="Y795" s="4"/>
      <c r="Z795" s="4"/>
      <c r="AA795" s="4" t="s">
        <v>217</v>
      </c>
      <c r="AB795" s="4" t="s">
        <v>2395</v>
      </c>
      <c r="AC795" s="4"/>
      <c r="AD795" s="4"/>
      <c r="AE795" s="4"/>
      <c r="AF795" s="4"/>
      <c r="AG795" s="4"/>
      <c r="AH795" s="4" t="s">
        <v>2505</v>
      </c>
      <c r="AI795" s="4"/>
      <c r="AJ795" s="4"/>
      <c r="AK795" s="4"/>
      <c r="AL795" s="4"/>
      <c r="AM795" s="4"/>
      <c r="AN795" s="5">
        <v>39406</v>
      </c>
      <c r="AO795" s="4">
        <v>6</v>
      </c>
      <c r="AP795" s="5">
        <v>39498</v>
      </c>
      <c r="AQ795" s="5">
        <v>39981</v>
      </c>
      <c r="AR795" s="4"/>
      <c r="AS795" s="4"/>
      <c r="AT795" s="5">
        <v>39785</v>
      </c>
      <c r="AU795" s="5">
        <v>39780</v>
      </c>
      <c r="AV795" s="4">
        <v>4</v>
      </c>
      <c r="AW795" s="5">
        <v>39785</v>
      </c>
      <c r="AX795" s="5">
        <v>39786</v>
      </c>
      <c r="AY795" s="4"/>
      <c r="AZ795" s="4"/>
      <c r="BA795" s="4"/>
      <c r="BB795" s="4"/>
      <c r="BC795" s="4"/>
      <c r="BD795" s="4"/>
      <c r="BE795" s="5">
        <v>39688</v>
      </c>
      <c r="BF795" s="5">
        <v>39686</v>
      </c>
      <c r="BG795" s="4"/>
      <c r="BH795" s="5">
        <v>39538</v>
      </c>
      <c r="BI795" s="4"/>
      <c r="BJ795" s="5">
        <v>39693</v>
      </c>
      <c r="BK795" s="4">
        <v>2</v>
      </c>
      <c r="BL795" s="4">
        <v>3</v>
      </c>
      <c r="BM795" s="5">
        <v>39729</v>
      </c>
      <c r="BN795" s="5">
        <v>39729</v>
      </c>
      <c r="BO795" s="5">
        <v>39833</v>
      </c>
      <c r="BP795" s="4"/>
      <c r="BQ795" s="4"/>
      <c r="BR795" s="4"/>
      <c r="BS795" s="4"/>
      <c r="BT795" s="4"/>
      <c r="BU795" s="5">
        <v>39855</v>
      </c>
      <c r="BV795" s="5">
        <v>39862</v>
      </c>
      <c r="BW795" s="5">
        <v>39863</v>
      </c>
      <c r="BX795" s="4"/>
      <c r="BY795" s="5">
        <v>39871</v>
      </c>
      <c r="BZ795" s="5">
        <v>39871</v>
      </c>
      <c r="CA795" s="4"/>
      <c r="CB795" s="4"/>
      <c r="CC795" s="4"/>
      <c r="CD795" s="4"/>
      <c r="CE795" s="4"/>
      <c r="CF795" s="4"/>
      <c r="CG795" s="4"/>
      <c r="CH795" s="4"/>
      <c r="CI795" s="5">
        <v>39892</v>
      </c>
      <c r="CJ795" s="4"/>
      <c r="CK795" s="5">
        <v>39892</v>
      </c>
      <c r="CL795" s="4"/>
      <c r="CM795" s="4"/>
      <c r="CN795" s="4"/>
      <c r="CO795" s="4"/>
      <c r="CP795" s="4" t="s">
        <v>2544</v>
      </c>
      <c r="CQ795" s="4"/>
      <c r="CR795" s="4"/>
      <c r="CS795" s="4"/>
      <c r="CT795" s="4"/>
      <c r="CU795" s="4"/>
      <c r="CV795" s="4"/>
      <c r="CW795" s="4"/>
      <c r="CX795" s="5">
        <v>39833</v>
      </c>
      <c r="CY795" s="4"/>
      <c r="CZ795" s="4"/>
      <c r="DA795" s="4"/>
      <c r="DB795" s="4"/>
      <c r="DC795" s="4"/>
      <c r="DD795" s="4"/>
      <c r="DE795" s="4"/>
      <c r="DF795" s="4"/>
      <c r="DG795" s="4"/>
      <c r="DH795" s="4"/>
      <c r="DI795" s="4"/>
      <c r="DJ795" s="4" t="b">
        <v>0</v>
      </c>
      <c r="DK795" s="4"/>
      <c r="DL795" s="4">
        <v>2483285</v>
      </c>
      <c r="DM795" s="4">
        <v>5744491</v>
      </c>
      <c r="DN795" s="4" t="s">
        <v>2545</v>
      </c>
      <c r="DO795" s="4"/>
      <c r="DP795" s="4"/>
      <c r="DQ795" s="4" t="s">
        <v>148</v>
      </c>
      <c r="DR795" s="4"/>
      <c r="DS795" s="4"/>
      <c r="DT795" s="5">
        <v>42292</v>
      </c>
      <c r="DU795" s="4"/>
      <c r="DV795" s="4"/>
      <c r="DW795" s="4"/>
      <c r="DX795" s="4"/>
      <c r="DY795" s="4"/>
      <c r="DZ795" s="5">
        <v>39793</v>
      </c>
      <c r="EA795" s="4"/>
      <c r="EB795" s="4"/>
      <c r="EC795" s="4"/>
      <c r="ED795" s="4"/>
      <c r="EE795" s="4"/>
      <c r="EF795" s="4"/>
      <c r="EG795" s="4"/>
      <c r="EH795" s="4"/>
      <c r="EI795" s="5">
        <v>39470</v>
      </c>
    </row>
    <row r="796" spans="1:139" hidden="1" x14ac:dyDescent="0.2">
      <c r="A796">
        <f>VLOOKUP(B796,Sheet1!$A$1:$B$18,2,FALSE)</f>
        <v>0</v>
      </c>
      <c r="B796" t="str">
        <f>LEFT(D796,3)</f>
        <v>CHC</v>
      </c>
      <c r="C796" s="2">
        <v>795</v>
      </c>
      <c r="D796" s="3" t="str">
        <f>HYPERLINK("https://sitebase.nzcomms.co.nz/spm/spmnominalview/CHC-060-070/","CHC-060-070")</f>
        <v>CHC-060-070</v>
      </c>
      <c r="E796" s="4"/>
      <c r="F796" s="3" t="str">
        <f>HYPERLINK("https://sitebase.nzcomms.co.nz/spm/spmcandidateview/CHC-060-070-G/","CHC-060-070-G")</f>
        <v>CHC-060-070-G</v>
      </c>
      <c r="G796" s="4" t="s">
        <v>2546</v>
      </c>
      <c r="H796" s="4" t="s">
        <v>2353</v>
      </c>
      <c r="I796" s="4"/>
      <c r="J796" s="4" t="s">
        <v>139</v>
      </c>
      <c r="K796" s="4" t="s">
        <v>141</v>
      </c>
      <c r="L796" s="4" t="s">
        <v>150</v>
      </c>
      <c r="M796" s="4" t="s">
        <v>143</v>
      </c>
      <c r="N796" s="4" t="s">
        <v>291</v>
      </c>
      <c r="O796" s="4" t="s">
        <v>144</v>
      </c>
      <c r="P796" s="4"/>
      <c r="Q796" s="4"/>
      <c r="R796" s="4">
        <v>20</v>
      </c>
      <c r="S796" s="4">
        <v>20</v>
      </c>
      <c r="T796" s="4"/>
      <c r="U796" s="4">
        <v>-43.51000483</v>
      </c>
      <c r="V796" s="4">
        <v>172.54985364999999</v>
      </c>
      <c r="W796" s="4"/>
      <c r="X796" s="4"/>
      <c r="Y796" s="4"/>
      <c r="Z796" s="4"/>
      <c r="AA796" s="4" t="s">
        <v>217</v>
      </c>
      <c r="AB796" s="4" t="s">
        <v>2376</v>
      </c>
      <c r="AC796" s="4"/>
      <c r="AD796" s="4"/>
      <c r="AE796" s="4"/>
      <c r="AF796" s="4"/>
      <c r="AG796" s="4"/>
      <c r="AH796" s="4" t="s">
        <v>2377</v>
      </c>
      <c r="AI796" s="4"/>
      <c r="AJ796" s="4"/>
      <c r="AK796" s="4"/>
      <c r="AL796" s="4"/>
      <c r="AM796" s="4"/>
      <c r="AN796" s="5">
        <v>39710</v>
      </c>
      <c r="AO796" s="4">
        <v>2</v>
      </c>
      <c r="AP796" s="5">
        <v>39710</v>
      </c>
      <c r="AQ796" s="5">
        <v>39714</v>
      </c>
      <c r="AR796" s="4"/>
      <c r="AS796" s="4"/>
      <c r="AT796" s="5">
        <v>39800</v>
      </c>
      <c r="AU796" s="5">
        <v>39783</v>
      </c>
      <c r="AV796" s="4">
        <v>2</v>
      </c>
      <c r="AW796" s="5">
        <v>39800</v>
      </c>
      <c r="AX796" s="5">
        <v>39786</v>
      </c>
      <c r="AY796" s="4"/>
      <c r="AZ796" s="5">
        <v>39766</v>
      </c>
      <c r="BA796" s="4"/>
      <c r="BB796" s="4"/>
      <c r="BC796" s="4"/>
      <c r="BD796" s="4"/>
      <c r="BE796" s="5">
        <v>39766</v>
      </c>
      <c r="BF796" s="5">
        <v>39766</v>
      </c>
      <c r="BG796" s="4"/>
      <c r="BH796" s="5">
        <v>39713</v>
      </c>
      <c r="BI796" s="4"/>
      <c r="BJ796" s="5">
        <v>39752</v>
      </c>
      <c r="BK796" s="4">
        <v>1</v>
      </c>
      <c r="BL796" s="4">
        <v>2</v>
      </c>
      <c r="BM796" s="5">
        <v>39752</v>
      </c>
      <c r="BN796" s="5">
        <v>39752</v>
      </c>
      <c r="BO796" s="5">
        <v>39832</v>
      </c>
      <c r="BP796" s="4"/>
      <c r="BQ796" s="4"/>
      <c r="BR796" s="4"/>
      <c r="BS796" s="4"/>
      <c r="BT796" s="4"/>
      <c r="BU796" s="5">
        <v>39821</v>
      </c>
      <c r="BV796" s="5">
        <v>39842</v>
      </c>
      <c r="BW796" s="5">
        <v>39842</v>
      </c>
      <c r="BX796" s="4"/>
      <c r="BY796" s="5">
        <v>39857</v>
      </c>
      <c r="BZ796" s="5">
        <v>39853</v>
      </c>
      <c r="CA796" s="4"/>
      <c r="CB796" s="4"/>
      <c r="CC796" s="4"/>
      <c r="CD796" s="4"/>
      <c r="CE796" s="4"/>
      <c r="CF796" s="4"/>
      <c r="CG796" s="4"/>
      <c r="CH796" s="4"/>
      <c r="CI796" s="5">
        <v>39903</v>
      </c>
      <c r="CJ796" s="5">
        <v>39903</v>
      </c>
      <c r="CK796" s="5">
        <v>39903</v>
      </c>
      <c r="CL796" s="4"/>
      <c r="CM796" s="4"/>
      <c r="CN796" s="4"/>
      <c r="CO796" s="4"/>
      <c r="CP796" s="4"/>
      <c r="CQ796" s="4"/>
      <c r="CR796" s="5">
        <v>39903</v>
      </c>
      <c r="CS796" s="4"/>
      <c r="CT796" s="4"/>
      <c r="CU796" s="4"/>
      <c r="CV796" s="4"/>
      <c r="CW796" s="5">
        <v>39832</v>
      </c>
      <c r="CX796" s="5">
        <v>39832</v>
      </c>
      <c r="CY796" s="4"/>
      <c r="CZ796" s="4"/>
      <c r="DA796" s="4"/>
      <c r="DB796" s="4"/>
      <c r="DC796" s="4"/>
      <c r="DD796" s="4"/>
      <c r="DE796" s="4"/>
      <c r="DF796" s="4"/>
      <c r="DG796" s="4"/>
      <c r="DH796" s="4"/>
      <c r="DI796" s="4"/>
      <c r="DJ796" s="4" t="b">
        <v>0</v>
      </c>
      <c r="DK796" s="4"/>
      <c r="DL796" s="4">
        <v>2473612</v>
      </c>
      <c r="DM796" s="4">
        <v>5744062</v>
      </c>
      <c r="DN796" s="4" t="s">
        <v>2547</v>
      </c>
      <c r="DO796" s="4"/>
      <c r="DP796" s="4"/>
      <c r="DQ796" s="4" t="s">
        <v>148</v>
      </c>
      <c r="DR796" s="4"/>
      <c r="DS796" s="4"/>
      <c r="DT796" s="5">
        <v>42313</v>
      </c>
      <c r="DU796" s="4"/>
      <c r="DV796" s="4"/>
      <c r="DW796" s="4"/>
      <c r="DX796" s="4"/>
      <c r="DY796" s="4"/>
      <c r="DZ796" s="5">
        <v>39793</v>
      </c>
      <c r="EA796" s="4"/>
      <c r="EB796" s="4"/>
      <c r="EC796" s="4"/>
      <c r="ED796" s="4"/>
      <c r="EE796" s="4"/>
      <c r="EF796" s="4"/>
      <c r="EG796" s="4"/>
      <c r="EH796" s="4"/>
      <c r="EI796" s="5">
        <v>39685</v>
      </c>
    </row>
    <row r="797" spans="1:139" hidden="1" x14ac:dyDescent="0.2">
      <c r="A797">
        <f>VLOOKUP(B797,Sheet1!$A$1:$B$18,2,FALSE)</f>
        <v>0</v>
      </c>
      <c r="B797" t="str">
        <f>LEFT(D797,3)</f>
        <v>CHC</v>
      </c>
      <c r="C797" s="2">
        <v>796</v>
      </c>
      <c r="D797" s="3" t="str">
        <f>HYPERLINK("https://sitebase.nzcomms.co.nz/spm/spmnominalview/CHC-060-071/","CHC-060-071")</f>
        <v>CHC-060-071</v>
      </c>
      <c r="E797" s="4"/>
      <c r="F797" s="3" t="str">
        <f>HYPERLINK("https://sitebase.nzcomms.co.nz/spm/spmcandidateview/CHC-060-071-E/","CHC-060-071-E")</f>
        <v>CHC-060-071-E</v>
      </c>
      <c r="G797" s="4" t="s">
        <v>2548</v>
      </c>
      <c r="H797" s="4" t="s">
        <v>2353</v>
      </c>
      <c r="I797" s="4"/>
      <c r="J797" s="4" t="s">
        <v>139</v>
      </c>
      <c r="K797" s="4" t="s">
        <v>141</v>
      </c>
      <c r="L797" s="4" t="s">
        <v>189</v>
      </c>
      <c r="M797" s="4" t="s">
        <v>143</v>
      </c>
      <c r="N797" s="4" t="s">
        <v>2348</v>
      </c>
      <c r="O797" s="4" t="s">
        <v>356</v>
      </c>
      <c r="P797" s="4"/>
      <c r="Q797" s="4"/>
      <c r="R797" s="4">
        <v>18</v>
      </c>
      <c r="S797" s="4">
        <v>18</v>
      </c>
      <c r="T797" s="4"/>
      <c r="U797" s="4">
        <v>-43.5665847</v>
      </c>
      <c r="V797" s="4">
        <v>172.54762853</v>
      </c>
      <c r="W797" s="4"/>
      <c r="X797" s="4"/>
      <c r="Y797" s="4"/>
      <c r="Z797" s="4"/>
      <c r="AA797" s="4" t="s">
        <v>217</v>
      </c>
      <c r="AB797" s="4" t="s">
        <v>2435</v>
      </c>
      <c r="AC797" s="4"/>
      <c r="AD797" s="4"/>
      <c r="AE797" s="4"/>
      <c r="AF797" s="4"/>
      <c r="AG797" s="4"/>
      <c r="AH797" s="4" t="s">
        <v>2355</v>
      </c>
      <c r="AI797" s="4"/>
      <c r="AJ797" s="4"/>
      <c r="AK797" s="4"/>
      <c r="AL797" s="4"/>
      <c r="AM797" s="4"/>
      <c r="AN797" s="5">
        <v>39708</v>
      </c>
      <c r="AO797" s="4">
        <v>2</v>
      </c>
      <c r="AP797" s="5">
        <v>39757</v>
      </c>
      <c r="AQ797" s="5">
        <v>39720</v>
      </c>
      <c r="AR797" s="4"/>
      <c r="AS797" s="4"/>
      <c r="AT797" s="5">
        <v>39785</v>
      </c>
      <c r="AU797" s="5">
        <v>39780</v>
      </c>
      <c r="AV797" s="4">
        <v>2</v>
      </c>
      <c r="AW797" s="5">
        <v>39785</v>
      </c>
      <c r="AX797" s="5">
        <v>39786</v>
      </c>
      <c r="AY797" s="4"/>
      <c r="AZ797" s="5">
        <v>39716</v>
      </c>
      <c r="BA797" s="4"/>
      <c r="BB797" s="5">
        <v>39738</v>
      </c>
      <c r="BC797" s="4"/>
      <c r="BD797" s="4"/>
      <c r="BE797" s="5">
        <v>39738</v>
      </c>
      <c r="BF797" s="5">
        <v>39738</v>
      </c>
      <c r="BG797" s="4"/>
      <c r="BH797" s="5">
        <v>39777</v>
      </c>
      <c r="BI797" s="4"/>
      <c r="BJ797" s="5">
        <v>39843</v>
      </c>
      <c r="BK797" s="4">
        <v>1</v>
      </c>
      <c r="BL797" s="4">
        <v>2</v>
      </c>
      <c r="BM797" s="5">
        <v>39843</v>
      </c>
      <c r="BN797" s="5">
        <v>39843</v>
      </c>
      <c r="BO797" s="5">
        <v>39833</v>
      </c>
      <c r="BP797" s="4"/>
      <c r="BQ797" s="4"/>
      <c r="BR797" s="4"/>
      <c r="BS797" s="4"/>
      <c r="BT797" s="4"/>
      <c r="BU797" s="5">
        <v>39857</v>
      </c>
      <c r="BV797" s="5">
        <v>39871</v>
      </c>
      <c r="BW797" s="5">
        <v>39871</v>
      </c>
      <c r="BX797" s="4"/>
      <c r="BY797" s="5">
        <v>39882</v>
      </c>
      <c r="BZ797" s="5">
        <v>39882</v>
      </c>
      <c r="CA797" s="4"/>
      <c r="CB797" s="4"/>
      <c r="CC797" s="4"/>
      <c r="CD797" s="4"/>
      <c r="CE797" s="4"/>
      <c r="CF797" s="4"/>
      <c r="CG797" s="4"/>
      <c r="CH797" s="4"/>
      <c r="CI797" s="5">
        <v>39919</v>
      </c>
      <c r="CJ797" s="5">
        <v>39918</v>
      </c>
      <c r="CK797" s="5">
        <v>39919</v>
      </c>
      <c r="CL797" s="4"/>
      <c r="CM797" s="4"/>
      <c r="CN797" s="4"/>
      <c r="CO797" s="4"/>
      <c r="CP797" s="4" t="s">
        <v>2424</v>
      </c>
      <c r="CQ797" s="4"/>
      <c r="CR797" s="5">
        <v>39918</v>
      </c>
      <c r="CS797" s="4"/>
      <c r="CT797" s="4"/>
      <c r="CU797" s="4"/>
      <c r="CV797" s="4"/>
      <c r="CW797" s="4"/>
      <c r="CX797" s="5">
        <v>39833</v>
      </c>
      <c r="CY797" s="4"/>
      <c r="CZ797" s="4"/>
      <c r="DA797" s="4"/>
      <c r="DB797" s="4"/>
      <c r="DC797" s="4"/>
      <c r="DD797" s="4"/>
      <c r="DE797" s="4"/>
      <c r="DF797" s="4"/>
      <c r="DG797" s="4"/>
      <c r="DH797" s="4"/>
      <c r="DI797" s="4"/>
      <c r="DJ797" s="4" t="b">
        <v>0</v>
      </c>
      <c r="DK797" s="4"/>
      <c r="DL797" s="4">
        <v>2473466</v>
      </c>
      <c r="DM797" s="4">
        <v>5737775</v>
      </c>
      <c r="DN797" s="4" t="s">
        <v>2549</v>
      </c>
      <c r="DO797" s="4"/>
      <c r="DP797" s="4"/>
      <c r="DQ797" s="4" t="s">
        <v>148</v>
      </c>
      <c r="DR797" s="4"/>
      <c r="DS797" s="4"/>
      <c r="DT797" s="5">
        <v>42313</v>
      </c>
      <c r="DU797" s="4"/>
      <c r="DV797" s="4"/>
      <c r="DW797" s="4"/>
      <c r="DX797" s="4"/>
      <c r="DY797" s="4"/>
      <c r="DZ797" s="5">
        <v>39853</v>
      </c>
      <c r="EA797" s="4"/>
      <c r="EB797" s="4"/>
      <c r="EC797" s="4"/>
      <c r="ED797" s="4"/>
      <c r="EE797" s="4"/>
      <c r="EF797" s="4"/>
      <c r="EG797" s="4"/>
      <c r="EH797" s="4"/>
      <c r="EI797" s="5">
        <v>39692</v>
      </c>
    </row>
    <row r="798" spans="1:139" hidden="1" x14ac:dyDescent="0.2">
      <c r="A798">
        <f>VLOOKUP(B798,Sheet1!$A$1:$B$18,2,FALSE)</f>
        <v>0</v>
      </c>
      <c r="B798" t="str">
        <f>LEFT(D798,3)</f>
        <v>CHC</v>
      </c>
      <c r="C798" s="2">
        <v>797</v>
      </c>
      <c r="D798" s="3" t="str">
        <f>HYPERLINK("https://sitebase.nzcomms.co.nz/spm/spmnominalview/CHC-060-072/","CHC-060-072")</f>
        <v>CHC-060-072</v>
      </c>
      <c r="E798" s="4"/>
      <c r="F798" s="3" t="str">
        <f>HYPERLINK("https://sitebase.nzcomms.co.nz/spm/spmcandidateview/CHC-060-072-E/","CHC-060-072-E")</f>
        <v>CHC-060-072-E</v>
      </c>
      <c r="G798" s="4" t="s">
        <v>2550</v>
      </c>
      <c r="H798" s="4" t="s">
        <v>2353</v>
      </c>
      <c r="I798" s="4"/>
      <c r="J798" s="4" t="s">
        <v>139</v>
      </c>
      <c r="K798" s="4" t="s">
        <v>141</v>
      </c>
      <c r="L798" s="4" t="s">
        <v>189</v>
      </c>
      <c r="M798" s="4" t="s">
        <v>143</v>
      </c>
      <c r="N798" s="4" t="s">
        <v>2348</v>
      </c>
      <c r="O798" s="4" t="s">
        <v>356</v>
      </c>
      <c r="P798" s="4"/>
      <c r="Q798" s="4"/>
      <c r="R798" s="4">
        <v>15</v>
      </c>
      <c r="S798" s="4">
        <v>15</v>
      </c>
      <c r="T798" s="4"/>
      <c r="U798" s="4">
        <v>-43.482495800000002</v>
      </c>
      <c r="V798" s="4">
        <v>172.68096141000001</v>
      </c>
      <c r="W798" s="4"/>
      <c r="X798" s="4"/>
      <c r="Y798" s="4"/>
      <c r="Z798" s="4"/>
      <c r="AA798" s="4" t="s">
        <v>217</v>
      </c>
      <c r="AB798" s="4" t="s">
        <v>2551</v>
      </c>
      <c r="AC798" s="4"/>
      <c r="AD798" s="4"/>
      <c r="AE798" s="4"/>
      <c r="AF798" s="4"/>
      <c r="AG798" s="4"/>
      <c r="AH798" s="4" t="s">
        <v>2439</v>
      </c>
      <c r="AI798" s="4"/>
      <c r="AJ798" s="4"/>
      <c r="AK798" s="4"/>
      <c r="AL798" s="4"/>
      <c r="AM798" s="4"/>
      <c r="AN798" s="5">
        <v>39591</v>
      </c>
      <c r="AO798" s="4">
        <v>1</v>
      </c>
      <c r="AP798" s="5">
        <v>39629</v>
      </c>
      <c r="AQ798" s="5">
        <v>39591</v>
      </c>
      <c r="AR798" s="4"/>
      <c r="AS798" s="4"/>
      <c r="AT798" s="5">
        <v>39717</v>
      </c>
      <c r="AU798" s="5">
        <v>39717</v>
      </c>
      <c r="AV798" s="4">
        <v>1</v>
      </c>
      <c r="AW798" s="5">
        <v>39717</v>
      </c>
      <c r="AX798" s="5">
        <v>39717</v>
      </c>
      <c r="AY798" s="4"/>
      <c r="AZ798" s="4"/>
      <c r="BA798" s="4"/>
      <c r="BB798" s="5">
        <v>39629</v>
      </c>
      <c r="BC798" s="4"/>
      <c r="BD798" s="4"/>
      <c r="BE798" s="5">
        <v>39629</v>
      </c>
      <c r="BF798" s="5">
        <v>39629</v>
      </c>
      <c r="BG798" s="4"/>
      <c r="BH798" s="5">
        <v>39604</v>
      </c>
      <c r="BI798" s="4"/>
      <c r="BJ798" s="5">
        <v>39695</v>
      </c>
      <c r="BK798" s="4">
        <v>2</v>
      </c>
      <c r="BL798" s="4">
        <v>1</v>
      </c>
      <c r="BM798" s="5">
        <v>39797</v>
      </c>
      <c r="BN798" s="5">
        <v>39797</v>
      </c>
      <c r="BO798" s="5">
        <v>39833</v>
      </c>
      <c r="BP798" s="4"/>
      <c r="BQ798" s="4"/>
      <c r="BR798" s="4"/>
      <c r="BS798" s="4"/>
      <c r="BT798" s="4"/>
      <c r="BU798" s="5">
        <v>39787</v>
      </c>
      <c r="BV798" s="5">
        <v>39871</v>
      </c>
      <c r="BW798" s="5">
        <v>39871</v>
      </c>
      <c r="BX798" s="4"/>
      <c r="BY798" s="5">
        <v>39885</v>
      </c>
      <c r="BZ798" s="5">
        <v>39885</v>
      </c>
      <c r="CA798" s="4"/>
      <c r="CB798" s="4"/>
      <c r="CC798" s="4"/>
      <c r="CD798" s="4"/>
      <c r="CE798" s="4"/>
      <c r="CF798" s="4"/>
      <c r="CG798" s="4"/>
      <c r="CH798" s="4"/>
      <c r="CI798" s="5">
        <v>39892</v>
      </c>
      <c r="CJ798" s="5">
        <v>39892</v>
      </c>
      <c r="CK798" s="5">
        <v>39892</v>
      </c>
      <c r="CL798" s="4"/>
      <c r="CM798" s="4"/>
      <c r="CN798" s="4"/>
      <c r="CO798" s="4"/>
      <c r="CP798" s="4"/>
      <c r="CQ798" s="4"/>
      <c r="CR798" s="5">
        <v>39892</v>
      </c>
      <c r="CS798" s="4"/>
      <c r="CT798" s="4"/>
      <c r="CU798" s="4"/>
      <c r="CV798" s="4"/>
      <c r="CW798" s="4"/>
      <c r="CX798" s="5">
        <v>39833</v>
      </c>
      <c r="CY798" s="4"/>
      <c r="CZ798" s="4"/>
      <c r="DA798" s="4"/>
      <c r="DB798" s="4"/>
      <c r="DC798" s="4"/>
      <c r="DD798" s="4"/>
      <c r="DE798" s="4"/>
      <c r="DF798" s="4"/>
      <c r="DG798" s="4"/>
      <c r="DH798" s="4"/>
      <c r="DI798" s="4"/>
      <c r="DJ798" s="4" t="b">
        <v>0</v>
      </c>
      <c r="DK798" s="4"/>
      <c r="DL798" s="4">
        <v>2484202</v>
      </c>
      <c r="DM798" s="4">
        <v>5747167</v>
      </c>
      <c r="DN798" s="4" t="s">
        <v>2552</v>
      </c>
      <c r="DO798" s="4"/>
      <c r="DP798" s="4"/>
      <c r="DQ798" s="4" t="s">
        <v>148</v>
      </c>
      <c r="DR798" s="4"/>
      <c r="DS798" s="4"/>
      <c r="DT798" s="4"/>
      <c r="DU798" s="4"/>
      <c r="DV798" s="4"/>
      <c r="DW798" s="4"/>
      <c r="DX798" s="4"/>
      <c r="DY798" s="4"/>
      <c r="DZ798" s="5">
        <v>39741</v>
      </c>
      <c r="EA798" s="4"/>
      <c r="EB798" s="4"/>
      <c r="EC798" s="4"/>
      <c r="ED798" s="4"/>
      <c r="EE798" s="4"/>
      <c r="EF798" s="4"/>
      <c r="EG798" s="4"/>
      <c r="EH798" s="4"/>
      <c r="EI798" s="5">
        <v>39525</v>
      </c>
    </row>
    <row r="799" spans="1:139" hidden="1" x14ac:dyDescent="0.2">
      <c r="A799">
        <f>VLOOKUP(B799,Sheet1!$A$1:$B$18,2,FALSE)</f>
        <v>0</v>
      </c>
      <c r="B799" t="str">
        <f>LEFT(D799,3)</f>
        <v>CHC</v>
      </c>
      <c r="C799" s="2">
        <v>798</v>
      </c>
      <c r="D799" s="3" t="str">
        <f>HYPERLINK("https://sitebase.nzcomms.co.nz/spm/spmnominalview/CHC-060-073/","CHC-060-073")</f>
        <v>CHC-060-073</v>
      </c>
      <c r="E799" s="4"/>
      <c r="F799" s="3" t="str">
        <f>HYPERLINK("https://sitebase.nzcomms.co.nz/spm/spmcandidateview/CHC-060-073-E/","CHC-060-073-E")</f>
        <v>CHC-060-073-E</v>
      </c>
      <c r="G799" s="4" t="s">
        <v>2553</v>
      </c>
      <c r="H799" s="4" t="s">
        <v>2353</v>
      </c>
      <c r="I799" s="4"/>
      <c r="J799" s="4" t="s">
        <v>139</v>
      </c>
      <c r="K799" s="4" t="s">
        <v>141</v>
      </c>
      <c r="L799" s="4" t="s">
        <v>189</v>
      </c>
      <c r="M799" s="4" t="s">
        <v>143</v>
      </c>
      <c r="N799" s="4" t="s">
        <v>2348</v>
      </c>
      <c r="O799" s="4" t="s">
        <v>356</v>
      </c>
      <c r="P799" s="4"/>
      <c r="Q799" s="4"/>
      <c r="R799" s="4">
        <v>18</v>
      </c>
      <c r="S799" s="4">
        <v>18</v>
      </c>
      <c r="T799" s="4"/>
      <c r="U799" s="4">
        <v>-43.485716740000001</v>
      </c>
      <c r="V799" s="4">
        <v>172.62673835000001</v>
      </c>
      <c r="W799" s="4"/>
      <c r="X799" s="4"/>
      <c r="Y799" s="4"/>
      <c r="Z799" s="4"/>
      <c r="AA799" s="4" t="s">
        <v>171</v>
      </c>
      <c r="AB799" s="3" t="str">
        <f>HYPERLINK("https://sitebase.nzcomms.co.nz/spm/spmcandidateview/CHC-060-094-B/","CHC-060-094-B")</f>
        <v>CHC-060-094-B</v>
      </c>
      <c r="AC799" s="4"/>
      <c r="AD799" s="4"/>
      <c r="AE799" s="4"/>
      <c r="AF799" s="4"/>
      <c r="AG799" s="4"/>
      <c r="AH799" s="4" t="s">
        <v>2554</v>
      </c>
      <c r="AI799" s="4"/>
      <c r="AJ799" s="4"/>
      <c r="AK799" s="4"/>
      <c r="AL799" s="4"/>
      <c r="AM799" s="5">
        <v>39843</v>
      </c>
      <c r="AN799" s="5">
        <v>39843</v>
      </c>
      <c r="AO799" s="4">
        <v>1</v>
      </c>
      <c r="AP799" s="5">
        <v>39843</v>
      </c>
      <c r="AQ799" s="5">
        <v>39843</v>
      </c>
      <c r="AR799" s="4"/>
      <c r="AS799" s="4"/>
      <c r="AT799" s="5">
        <v>39869</v>
      </c>
      <c r="AU799" s="5">
        <v>39854</v>
      </c>
      <c r="AV799" s="4"/>
      <c r="AW799" s="5">
        <v>39856</v>
      </c>
      <c r="AX799" s="5">
        <v>39856</v>
      </c>
      <c r="AY799" s="4"/>
      <c r="AZ799" s="5">
        <v>39856</v>
      </c>
      <c r="BA799" s="4"/>
      <c r="BB799" s="5">
        <v>39875</v>
      </c>
      <c r="BC799" s="4"/>
      <c r="BD799" s="4"/>
      <c r="BE799" s="5">
        <v>39875</v>
      </c>
      <c r="BF799" s="5">
        <v>39871</v>
      </c>
      <c r="BG799" s="5">
        <v>39874</v>
      </c>
      <c r="BH799" s="5">
        <v>39881</v>
      </c>
      <c r="BI799" s="4"/>
      <c r="BJ799" s="5">
        <v>39891</v>
      </c>
      <c r="BK799" s="4">
        <v>3</v>
      </c>
      <c r="BL799" s="4">
        <v>1</v>
      </c>
      <c r="BM799" s="5">
        <v>39892</v>
      </c>
      <c r="BN799" s="5">
        <v>39923</v>
      </c>
      <c r="BO799" s="5">
        <v>39931</v>
      </c>
      <c r="BP799" s="4"/>
      <c r="BQ799" s="4"/>
      <c r="BR799" s="4"/>
      <c r="BS799" s="4"/>
      <c r="BT799" s="5">
        <v>39931</v>
      </c>
      <c r="BU799" s="5">
        <v>39931</v>
      </c>
      <c r="BV799" s="5">
        <v>39933</v>
      </c>
      <c r="BW799" s="5">
        <v>39933</v>
      </c>
      <c r="BX799" s="4"/>
      <c r="BY799" s="5">
        <v>39961</v>
      </c>
      <c r="BZ799" s="5">
        <v>39961</v>
      </c>
      <c r="CA799" s="4"/>
      <c r="CB799" s="4"/>
      <c r="CC799" s="4"/>
      <c r="CD799" s="4"/>
      <c r="CE799" s="4"/>
      <c r="CF799" s="4"/>
      <c r="CG799" s="4"/>
      <c r="CH799" s="4"/>
      <c r="CI799" s="5">
        <v>39969</v>
      </c>
      <c r="CJ799" s="5">
        <v>39969</v>
      </c>
      <c r="CK799" s="5">
        <v>39969</v>
      </c>
      <c r="CL799" s="4"/>
      <c r="CM799" s="4"/>
      <c r="CN799" s="4"/>
      <c r="CO799" s="4"/>
      <c r="CP799" s="4"/>
      <c r="CQ799" s="4"/>
      <c r="CR799" s="5">
        <v>39969</v>
      </c>
      <c r="CS799" s="4"/>
      <c r="CT799" s="4"/>
      <c r="CU799" s="4"/>
      <c r="CV799" s="4"/>
      <c r="CW799" s="5">
        <v>39930</v>
      </c>
      <c r="CX799" s="5">
        <v>39931</v>
      </c>
      <c r="CY799" s="4"/>
      <c r="CZ799" s="4"/>
      <c r="DA799" s="4"/>
      <c r="DB799" s="4"/>
      <c r="DC799" s="4"/>
      <c r="DD799" s="4"/>
      <c r="DE799" s="4"/>
      <c r="DF799" s="4"/>
      <c r="DG799" s="4"/>
      <c r="DH799" s="4"/>
      <c r="DI799" s="4"/>
      <c r="DJ799" s="4" t="b">
        <v>0</v>
      </c>
      <c r="DK799" s="4"/>
      <c r="DL799" s="4">
        <v>2479817</v>
      </c>
      <c r="DM799" s="4">
        <v>5746791</v>
      </c>
      <c r="DN799" s="4" t="s">
        <v>2555</v>
      </c>
      <c r="DO799" s="4"/>
      <c r="DP799" s="4"/>
      <c r="DQ799" s="4" t="s">
        <v>148</v>
      </c>
      <c r="DR799" s="4"/>
      <c r="DS799" s="4"/>
      <c r="DT799" s="5">
        <v>42292</v>
      </c>
      <c r="DU799" s="4"/>
      <c r="DV799" s="4"/>
      <c r="DW799" s="4"/>
      <c r="DX799" s="4"/>
      <c r="DY799" s="5">
        <v>39931</v>
      </c>
      <c r="DZ799" s="5">
        <v>39931</v>
      </c>
      <c r="EA799" s="4"/>
      <c r="EB799" s="4"/>
      <c r="EC799" s="4"/>
      <c r="ED799" s="4"/>
      <c r="EE799" s="4"/>
      <c r="EF799" s="4"/>
      <c r="EG799" s="4"/>
      <c r="EH799" s="4"/>
      <c r="EI799" s="5">
        <v>39828</v>
      </c>
    </row>
    <row r="800" spans="1:139" hidden="1" x14ac:dyDescent="0.2">
      <c r="A800">
        <f>VLOOKUP(B800,Sheet1!$A$1:$B$18,2,FALSE)</f>
        <v>0</v>
      </c>
      <c r="B800" t="str">
        <f>LEFT(D800,3)</f>
        <v>CHC</v>
      </c>
      <c r="C800" s="2">
        <v>799</v>
      </c>
      <c r="D800" s="3" t="str">
        <f>HYPERLINK("https://sitebase.nzcomms.co.nz/spm/spmnominalview/CHC-060-074/","CHC-060-074")</f>
        <v>CHC-060-074</v>
      </c>
      <c r="E800" s="4"/>
      <c r="F800" s="3" t="str">
        <f>HYPERLINK("https://sitebase.nzcomms.co.nz/spm/spmcandidateview/CHC-060-074-A/","CHC-060-074-A")</f>
        <v>CHC-060-074-A</v>
      </c>
      <c r="G800" s="4" t="s">
        <v>2556</v>
      </c>
      <c r="H800" s="4" t="s">
        <v>2353</v>
      </c>
      <c r="I800" s="4"/>
      <c r="J800" s="4" t="s">
        <v>139</v>
      </c>
      <c r="K800" s="4" t="s">
        <v>141</v>
      </c>
      <c r="L800" s="4" t="s">
        <v>150</v>
      </c>
      <c r="M800" s="4" t="s">
        <v>143</v>
      </c>
      <c r="N800" s="4" t="s">
        <v>291</v>
      </c>
      <c r="O800" s="4" t="s">
        <v>356</v>
      </c>
      <c r="P800" s="4"/>
      <c r="Q800" s="4"/>
      <c r="R800" s="4">
        <v>20</v>
      </c>
      <c r="S800" s="4">
        <v>20</v>
      </c>
      <c r="T800" s="4"/>
      <c r="U800" s="4">
        <v>-43.48109401</v>
      </c>
      <c r="V800" s="4">
        <v>172.70541825000001</v>
      </c>
      <c r="W800" s="4"/>
      <c r="X800" s="4"/>
      <c r="Y800" s="4"/>
      <c r="Z800" s="4"/>
      <c r="AA800" s="4" t="s">
        <v>217</v>
      </c>
      <c r="AB800" s="4" t="s">
        <v>2367</v>
      </c>
      <c r="AC800" s="4"/>
      <c r="AD800" s="4"/>
      <c r="AE800" s="4"/>
      <c r="AF800" s="4"/>
      <c r="AG800" s="4"/>
      <c r="AH800" s="4" t="s">
        <v>2557</v>
      </c>
      <c r="AI800" s="4"/>
      <c r="AJ800" s="4"/>
      <c r="AK800" s="4"/>
      <c r="AL800" s="4"/>
      <c r="AM800" s="4"/>
      <c r="AN800" s="5">
        <v>39478</v>
      </c>
      <c r="AO800" s="4">
        <v>3</v>
      </c>
      <c r="AP800" s="4"/>
      <c r="AQ800" s="5">
        <v>39568</v>
      </c>
      <c r="AR800" s="4"/>
      <c r="AS800" s="4"/>
      <c r="AT800" s="5">
        <v>39660</v>
      </c>
      <c r="AU800" s="5">
        <v>39629</v>
      </c>
      <c r="AV800" s="4">
        <v>3</v>
      </c>
      <c r="AW800" s="5">
        <v>39660</v>
      </c>
      <c r="AX800" s="5">
        <v>39629</v>
      </c>
      <c r="AY800" s="4"/>
      <c r="AZ800" s="4"/>
      <c r="BA800" s="4"/>
      <c r="BB800" s="4"/>
      <c r="BC800" s="4"/>
      <c r="BD800" s="4"/>
      <c r="BE800" s="5">
        <v>39594</v>
      </c>
      <c r="BF800" s="5">
        <v>39594</v>
      </c>
      <c r="BG800" s="4"/>
      <c r="BH800" s="5">
        <v>39504</v>
      </c>
      <c r="BI800" s="4"/>
      <c r="BJ800" s="5">
        <v>39584</v>
      </c>
      <c r="BK800" s="4">
        <v>2</v>
      </c>
      <c r="BL800" s="4">
        <v>3</v>
      </c>
      <c r="BM800" s="5">
        <v>39584</v>
      </c>
      <c r="BN800" s="5">
        <v>39661</v>
      </c>
      <c r="BO800" s="5">
        <v>39800</v>
      </c>
      <c r="BP800" s="4"/>
      <c r="BQ800" s="4"/>
      <c r="BR800" s="4"/>
      <c r="BS800" s="4"/>
      <c r="BT800" s="4"/>
      <c r="BU800" s="5">
        <v>39776</v>
      </c>
      <c r="BV800" s="5">
        <v>39836</v>
      </c>
      <c r="BW800" s="5">
        <v>39829</v>
      </c>
      <c r="BX800" s="4"/>
      <c r="BY800" s="5">
        <v>39850</v>
      </c>
      <c r="BZ800" s="5">
        <v>39836</v>
      </c>
      <c r="CA800" s="4"/>
      <c r="CB800" s="4"/>
      <c r="CC800" s="4"/>
      <c r="CD800" s="4"/>
      <c r="CE800" s="4"/>
      <c r="CF800" s="4"/>
      <c r="CG800" s="4"/>
      <c r="CH800" s="4"/>
      <c r="CI800" s="5">
        <v>39849</v>
      </c>
      <c r="CJ800" s="5">
        <v>39862</v>
      </c>
      <c r="CK800" s="5">
        <v>39849</v>
      </c>
      <c r="CL800" s="4"/>
      <c r="CM800" s="4"/>
      <c r="CN800" s="4"/>
      <c r="CO800" s="4"/>
      <c r="CP800" s="4" t="s">
        <v>2558</v>
      </c>
      <c r="CQ800" s="4"/>
      <c r="CR800" s="5">
        <v>39862</v>
      </c>
      <c r="CS800" s="4"/>
      <c r="CT800" s="4"/>
      <c r="CU800" s="4"/>
      <c r="CV800" s="4"/>
      <c r="CW800" s="4"/>
      <c r="CX800" s="5">
        <v>39800</v>
      </c>
      <c r="CY800" s="4"/>
      <c r="CZ800" s="4"/>
      <c r="DA800" s="4"/>
      <c r="DB800" s="4"/>
      <c r="DC800" s="4"/>
      <c r="DD800" s="4"/>
      <c r="DE800" s="4"/>
      <c r="DF800" s="4"/>
      <c r="DG800" s="4"/>
      <c r="DH800" s="4"/>
      <c r="DI800" s="4"/>
      <c r="DJ800" s="4" t="b">
        <v>0</v>
      </c>
      <c r="DK800" s="4"/>
      <c r="DL800" s="4">
        <v>2486180</v>
      </c>
      <c r="DM800" s="4">
        <v>5747330</v>
      </c>
      <c r="DN800" s="4" t="s">
        <v>2559</v>
      </c>
      <c r="DO800" s="4"/>
      <c r="DP800" s="4"/>
      <c r="DQ800" s="4" t="s">
        <v>148</v>
      </c>
      <c r="DR800" s="4"/>
      <c r="DS800" s="4"/>
      <c r="DT800" s="4"/>
      <c r="DU800" s="4"/>
      <c r="DV800" s="4"/>
      <c r="DW800" s="4"/>
      <c r="DX800" s="4"/>
      <c r="DY800" s="4"/>
      <c r="DZ800" s="5">
        <v>39706</v>
      </c>
      <c r="EA800" s="4"/>
      <c r="EB800" s="4"/>
      <c r="EC800" s="4"/>
      <c r="ED800" s="4"/>
      <c r="EE800" s="4"/>
      <c r="EF800" s="4"/>
      <c r="EG800" s="4"/>
      <c r="EH800" s="4"/>
      <c r="EI800" s="5">
        <v>39461</v>
      </c>
    </row>
    <row r="801" spans="1:139" hidden="1" x14ac:dyDescent="0.2">
      <c r="A801">
        <f>VLOOKUP(B801,Sheet1!$A$1:$B$18,2,FALSE)</f>
        <v>0</v>
      </c>
      <c r="B801" t="str">
        <f>LEFT(D801,3)</f>
        <v>CHC</v>
      </c>
      <c r="C801" s="2">
        <v>800</v>
      </c>
      <c r="D801" s="3" t="str">
        <f>HYPERLINK("https://sitebase.nzcomms.co.nz/spm/spmnominalview/CHC-060-075/","CHC-060-075")</f>
        <v>CHC-060-075</v>
      </c>
      <c r="E801" s="4"/>
      <c r="F801" s="3" t="str">
        <f>HYPERLINK("https://sitebase.nzcomms.co.nz/spm/spmcandidateview/CHC-060-075-C/","CHC-060-075-C")</f>
        <v>CHC-060-075-C</v>
      </c>
      <c r="G801" s="4" t="s">
        <v>2560</v>
      </c>
      <c r="H801" s="4" t="s">
        <v>2353</v>
      </c>
      <c r="I801" s="4"/>
      <c r="J801" s="4" t="s">
        <v>139</v>
      </c>
      <c r="K801" s="4" t="s">
        <v>141</v>
      </c>
      <c r="L801" s="4" t="s">
        <v>150</v>
      </c>
      <c r="M801" s="4" t="s">
        <v>143</v>
      </c>
      <c r="N801" s="4" t="s">
        <v>156</v>
      </c>
      <c r="O801" s="4" t="s">
        <v>144</v>
      </c>
      <c r="P801" s="4"/>
      <c r="Q801" s="4"/>
      <c r="R801" s="4">
        <v>30</v>
      </c>
      <c r="S801" s="4">
        <v>30</v>
      </c>
      <c r="T801" s="4"/>
      <c r="U801" s="4">
        <v>-43.57829959</v>
      </c>
      <c r="V801" s="4">
        <v>172.58233147000001</v>
      </c>
      <c r="W801" s="4"/>
      <c r="X801" s="4"/>
      <c r="Y801" s="4"/>
      <c r="Z801" s="4"/>
      <c r="AA801" s="4" t="s">
        <v>217</v>
      </c>
      <c r="AB801" s="4" t="s">
        <v>2376</v>
      </c>
      <c r="AC801" s="4"/>
      <c r="AD801" s="4"/>
      <c r="AE801" s="4"/>
      <c r="AF801" s="4"/>
      <c r="AG801" s="4"/>
      <c r="AH801" s="4" t="s">
        <v>2359</v>
      </c>
      <c r="AI801" s="4"/>
      <c r="AJ801" s="4"/>
      <c r="AK801" s="4"/>
      <c r="AL801" s="4"/>
      <c r="AM801" s="4"/>
      <c r="AN801" s="5">
        <v>39703</v>
      </c>
      <c r="AO801" s="4">
        <v>3</v>
      </c>
      <c r="AP801" s="5">
        <v>39864</v>
      </c>
      <c r="AQ801" s="5">
        <v>39861</v>
      </c>
      <c r="AR801" s="4"/>
      <c r="AS801" s="4"/>
      <c r="AT801" s="5">
        <v>39783</v>
      </c>
      <c r="AU801" s="5">
        <v>39783</v>
      </c>
      <c r="AV801" s="4">
        <v>1</v>
      </c>
      <c r="AW801" s="5">
        <v>39933</v>
      </c>
      <c r="AX801" s="5">
        <v>39895</v>
      </c>
      <c r="AY801" s="4"/>
      <c r="AZ801" s="4"/>
      <c r="BA801" s="4"/>
      <c r="BB801" s="4"/>
      <c r="BC801" s="4"/>
      <c r="BD801" s="4"/>
      <c r="BE801" s="5">
        <v>39752</v>
      </c>
      <c r="BF801" s="5">
        <v>39752</v>
      </c>
      <c r="BG801" s="4"/>
      <c r="BH801" s="5">
        <v>39772</v>
      </c>
      <c r="BI801" s="4"/>
      <c r="BJ801" s="5">
        <v>39787</v>
      </c>
      <c r="BK801" s="4">
        <v>3</v>
      </c>
      <c r="BL801" s="4">
        <v>1</v>
      </c>
      <c r="BM801" s="5">
        <v>39861</v>
      </c>
      <c r="BN801" s="5">
        <v>39874</v>
      </c>
      <c r="BO801" s="5">
        <v>39877</v>
      </c>
      <c r="BP801" s="4"/>
      <c r="BQ801" s="4"/>
      <c r="BR801" s="4"/>
      <c r="BS801" s="4"/>
      <c r="BT801" s="5">
        <v>39890</v>
      </c>
      <c r="BU801" s="5">
        <v>39885</v>
      </c>
      <c r="BV801" s="5">
        <v>39951</v>
      </c>
      <c r="BW801" s="5">
        <v>39951</v>
      </c>
      <c r="BX801" s="4"/>
      <c r="BY801" s="5">
        <v>39958</v>
      </c>
      <c r="BZ801" s="5">
        <v>39958</v>
      </c>
      <c r="CA801" s="4"/>
      <c r="CB801" s="4"/>
      <c r="CC801" s="4"/>
      <c r="CD801" s="4"/>
      <c r="CE801" s="4"/>
      <c r="CF801" s="4"/>
      <c r="CG801" s="4"/>
      <c r="CH801" s="4"/>
      <c r="CI801" s="5">
        <v>39963</v>
      </c>
      <c r="CJ801" s="5">
        <v>39963</v>
      </c>
      <c r="CK801" s="5">
        <v>39963</v>
      </c>
      <c r="CL801" s="4"/>
      <c r="CM801" s="4"/>
      <c r="CN801" s="4"/>
      <c r="CO801" s="4"/>
      <c r="CP801" s="4"/>
      <c r="CQ801" s="4"/>
      <c r="CR801" s="5">
        <v>39963</v>
      </c>
      <c r="CS801" s="4"/>
      <c r="CT801" s="4"/>
      <c r="CU801" s="4"/>
      <c r="CV801" s="4"/>
      <c r="CW801" s="5">
        <v>39878</v>
      </c>
      <c r="CX801" s="5">
        <v>39877</v>
      </c>
      <c r="CY801" s="4"/>
      <c r="CZ801" s="4"/>
      <c r="DA801" s="4"/>
      <c r="DB801" s="4"/>
      <c r="DC801" s="4"/>
      <c r="DD801" s="4"/>
      <c r="DE801" s="4"/>
      <c r="DF801" s="4"/>
      <c r="DG801" s="4"/>
      <c r="DH801" s="4"/>
      <c r="DI801" s="4"/>
      <c r="DJ801" s="4" t="b">
        <v>0</v>
      </c>
      <c r="DK801" s="4"/>
      <c r="DL801" s="4">
        <v>2476276</v>
      </c>
      <c r="DM801" s="4">
        <v>5736488</v>
      </c>
      <c r="DN801" s="4" t="s">
        <v>2561</v>
      </c>
      <c r="DO801" s="4"/>
      <c r="DP801" s="4"/>
      <c r="DQ801" s="4" t="s">
        <v>148</v>
      </c>
      <c r="DR801" s="4"/>
      <c r="DS801" s="4"/>
      <c r="DT801" s="4"/>
      <c r="DU801" s="4"/>
      <c r="DV801" s="4"/>
      <c r="DW801" s="4"/>
      <c r="DX801" s="4"/>
      <c r="DY801" s="5">
        <v>39878</v>
      </c>
      <c r="DZ801" s="5">
        <v>39878</v>
      </c>
      <c r="EA801" s="4"/>
      <c r="EB801" s="4"/>
      <c r="EC801" s="4"/>
      <c r="ED801" s="4"/>
      <c r="EE801" s="4"/>
      <c r="EF801" s="4"/>
      <c r="EG801" s="4"/>
      <c r="EH801" s="4"/>
      <c r="EI801" s="5">
        <v>39685</v>
      </c>
    </row>
    <row r="802" spans="1:139" hidden="1" x14ac:dyDescent="0.2">
      <c r="A802">
        <f>VLOOKUP(B802,Sheet1!$A$1:$B$18,2,FALSE)</f>
        <v>0</v>
      </c>
      <c r="B802" t="str">
        <f>LEFT(D802,3)</f>
        <v>CHC</v>
      </c>
      <c r="C802" s="2">
        <v>801</v>
      </c>
      <c r="D802" s="3" t="str">
        <f>HYPERLINK("https://sitebase.nzcomms.co.nz/spm/spmnominalview/CHC-060-076/","CHC-060-076")</f>
        <v>CHC-060-076</v>
      </c>
      <c r="E802" s="4"/>
      <c r="F802" s="3" t="str">
        <f>HYPERLINK("https://sitebase.nzcomms.co.nz/spm/spmcandidateview/CHC-060-076-A/","CHC-060-076-A")</f>
        <v>CHC-060-076-A</v>
      </c>
      <c r="G802" s="4" t="s">
        <v>2562</v>
      </c>
      <c r="H802" s="4" t="s">
        <v>2353</v>
      </c>
      <c r="I802" s="4"/>
      <c r="J802" s="4" t="s">
        <v>139</v>
      </c>
      <c r="K802" s="4" t="s">
        <v>141</v>
      </c>
      <c r="L802" s="4" t="s">
        <v>189</v>
      </c>
      <c r="M802" s="4" t="s">
        <v>143</v>
      </c>
      <c r="N802" s="4" t="s">
        <v>2348</v>
      </c>
      <c r="O802" s="4" t="s">
        <v>356</v>
      </c>
      <c r="P802" s="4"/>
      <c r="Q802" s="4"/>
      <c r="R802" s="4">
        <v>15</v>
      </c>
      <c r="S802" s="4">
        <v>15</v>
      </c>
      <c r="T802" s="4"/>
      <c r="U802" s="4">
        <v>-43.555967070000001</v>
      </c>
      <c r="V802" s="4">
        <v>172.72208544</v>
      </c>
      <c r="W802" s="4"/>
      <c r="X802" s="4"/>
      <c r="Y802" s="4"/>
      <c r="Z802" s="4"/>
      <c r="AA802" s="4" t="s">
        <v>152</v>
      </c>
      <c r="AB802" s="3" t="str">
        <f>HYPERLINK("https://sitebase.nzcomms.co.nz/spm/spmcandidateview/CHC-060-063-B/","CHC-060-063-B")</f>
        <v>CHC-060-063-B</v>
      </c>
      <c r="AC802" s="4"/>
      <c r="AD802" s="4"/>
      <c r="AE802" s="4"/>
      <c r="AF802" s="4"/>
      <c r="AG802" s="4"/>
      <c r="AH802" s="4"/>
      <c r="AI802" s="4"/>
      <c r="AJ802" s="4"/>
      <c r="AK802" s="4"/>
      <c r="AL802" s="4"/>
      <c r="AM802" s="4"/>
      <c r="AN802" s="5">
        <v>39436</v>
      </c>
      <c r="AO802" s="4">
        <v>5</v>
      </c>
      <c r="AP802" s="5">
        <v>39802</v>
      </c>
      <c r="AQ802" s="5">
        <v>39708</v>
      </c>
      <c r="AR802" s="4"/>
      <c r="AS802" s="4"/>
      <c r="AT802" s="5">
        <v>39503</v>
      </c>
      <c r="AU802" s="5">
        <v>39703</v>
      </c>
      <c r="AV802" s="4">
        <v>4</v>
      </c>
      <c r="AW802" s="5">
        <v>39503</v>
      </c>
      <c r="AX802" s="5">
        <v>39703</v>
      </c>
      <c r="AY802" s="4"/>
      <c r="AZ802" s="4"/>
      <c r="BA802" s="4"/>
      <c r="BB802" s="4"/>
      <c r="BC802" s="4"/>
      <c r="BD802" s="4"/>
      <c r="BE802" s="5">
        <v>39717</v>
      </c>
      <c r="BF802" s="5">
        <v>39717</v>
      </c>
      <c r="BG802" s="4"/>
      <c r="BH802" s="5">
        <v>39567</v>
      </c>
      <c r="BI802" s="4"/>
      <c r="BJ802" s="5">
        <v>39582</v>
      </c>
      <c r="BK802" s="4">
        <v>3</v>
      </c>
      <c r="BL802" s="4">
        <v>5</v>
      </c>
      <c r="BM802" s="5">
        <v>39729</v>
      </c>
      <c r="BN802" s="5">
        <v>39729</v>
      </c>
      <c r="BO802" s="4"/>
      <c r="BP802" s="4"/>
      <c r="BQ802" s="4"/>
      <c r="BR802" s="4"/>
      <c r="BS802" s="4"/>
      <c r="BT802" s="4"/>
      <c r="BU802" s="5">
        <v>39744</v>
      </c>
      <c r="BV802" s="5">
        <v>39780</v>
      </c>
      <c r="BW802" s="5">
        <v>39782</v>
      </c>
      <c r="BX802" s="4"/>
      <c r="BY802" s="5">
        <v>39794</v>
      </c>
      <c r="BZ802" s="5">
        <v>39801</v>
      </c>
      <c r="CA802" s="4"/>
      <c r="CB802" s="4"/>
      <c r="CC802" s="4"/>
      <c r="CD802" s="4"/>
      <c r="CE802" s="4"/>
      <c r="CF802" s="4"/>
      <c r="CG802" s="4"/>
      <c r="CH802" s="4"/>
      <c r="CI802" s="5">
        <v>39802</v>
      </c>
      <c r="CJ802" s="5">
        <v>39871</v>
      </c>
      <c r="CK802" s="5">
        <v>39802</v>
      </c>
      <c r="CL802" s="4"/>
      <c r="CM802" s="4"/>
      <c r="CN802" s="4"/>
      <c r="CO802" s="4"/>
      <c r="CP802" s="4"/>
      <c r="CQ802" s="4"/>
      <c r="CR802" s="5">
        <v>39871</v>
      </c>
      <c r="CS802" s="4"/>
      <c r="CT802" s="4"/>
      <c r="CU802" s="4"/>
      <c r="CV802" s="4"/>
      <c r="CW802" s="4"/>
      <c r="CX802" s="4"/>
      <c r="CY802" s="4"/>
      <c r="CZ802" s="4"/>
      <c r="DA802" s="4"/>
      <c r="DB802" s="4"/>
      <c r="DC802" s="4"/>
      <c r="DD802" s="4"/>
      <c r="DE802" s="4"/>
      <c r="DF802" s="4"/>
      <c r="DG802" s="4"/>
      <c r="DH802" s="4"/>
      <c r="DI802" s="4"/>
      <c r="DJ802" s="4" t="b">
        <v>0</v>
      </c>
      <c r="DK802" s="4"/>
      <c r="DL802" s="4">
        <v>2487556</v>
      </c>
      <c r="DM802" s="4">
        <v>5739016</v>
      </c>
      <c r="DN802" s="4" t="s">
        <v>2563</v>
      </c>
      <c r="DO802" s="4"/>
      <c r="DP802" s="4"/>
      <c r="DQ802" s="4" t="s">
        <v>148</v>
      </c>
      <c r="DR802" s="4"/>
      <c r="DS802" s="4"/>
      <c r="DT802" s="4"/>
      <c r="DU802" s="4"/>
      <c r="DV802" s="4"/>
      <c r="DW802" s="4"/>
      <c r="DX802" s="4"/>
      <c r="DY802" s="4"/>
      <c r="DZ802" s="5">
        <v>39734</v>
      </c>
      <c r="EA802" s="4"/>
      <c r="EB802" s="4"/>
      <c r="EC802" s="4"/>
      <c r="ED802" s="4"/>
      <c r="EE802" s="4"/>
      <c r="EF802" s="4"/>
      <c r="EG802" s="4"/>
      <c r="EH802" s="4"/>
      <c r="EI802" s="5">
        <v>39407</v>
      </c>
    </row>
    <row r="803" spans="1:139" hidden="1" x14ac:dyDescent="0.2">
      <c r="A803">
        <f>VLOOKUP(B803,Sheet1!$A$1:$B$18,2,FALSE)</f>
        <v>0</v>
      </c>
      <c r="B803" t="str">
        <f>LEFT(D803,3)</f>
        <v>CHC</v>
      </c>
      <c r="C803" s="2">
        <v>802</v>
      </c>
      <c r="D803" s="3" t="str">
        <f>HYPERLINK("https://sitebase.nzcomms.co.nz/spm/spmnominalview/CHC-060-077/","CHC-060-077")</f>
        <v>CHC-060-077</v>
      </c>
      <c r="E803" s="4"/>
      <c r="F803" s="3" t="str">
        <f>HYPERLINK("https://sitebase.nzcomms.co.nz/spm/spmcandidateview/CHC-060-077-D/","CHC-060-077-D")</f>
        <v>CHC-060-077-D</v>
      </c>
      <c r="G803" s="4" t="s">
        <v>2564</v>
      </c>
      <c r="H803" s="4" t="s">
        <v>2353</v>
      </c>
      <c r="I803" s="4"/>
      <c r="J803" s="4" t="s">
        <v>139</v>
      </c>
      <c r="K803" s="4" t="s">
        <v>141</v>
      </c>
      <c r="L803" s="4" t="s">
        <v>150</v>
      </c>
      <c r="M803" s="4" t="s">
        <v>143</v>
      </c>
      <c r="N803" s="4" t="s">
        <v>2348</v>
      </c>
      <c r="O803" s="4" t="s">
        <v>356</v>
      </c>
      <c r="P803" s="4"/>
      <c r="Q803" s="4"/>
      <c r="R803" s="4">
        <v>12</v>
      </c>
      <c r="S803" s="4">
        <v>12</v>
      </c>
      <c r="T803" s="4"/>
      <c r="U803" s="4">
        <v>-43.563072740000003</v>
      </c>
      <c r="V803" s="4">
        <v>172.71642141999999</v>
      </c>
      <c r="W803" s="4"/>
      <c r="X803" s="4"/>
      <c r="Y803" s="4"/>
      <c r="Z803" s="4"/>
      <c r="AA803" s="4" t="s">
        <v>152</v>
      </c>
      <c r="AB803" s="3" t="str">
        <f>HYPERLINK("https://sitebase.nzcomms.co.nz/spm/spmcandidateview/CHC-060-063-B/","CHC-060-063-B")</f>
        <v>CHC-060-063-B</v>
      </c>
      <c r="AC803" s="4"/>
      <c r="AD803" s="4"/>
      <c r="AE803" s="4"/>
      <c r="AF803" s="4"/>
      <c r="AG803" s="4"/>
      <c r="AH803" s="4"/>
      <c r="AI803" s="4"/>
      <c r="AJ803" s="4"/>
      <c r="AK803" s="4"/>
      <c r="AL803" s="4"/>
      <c r="AM803" s="4"/>
      <c r="AN803" s="5">
        <v>39511</v>
      </c>
      <c r="AO803" s="4">
        <v>9</v>
      </c>
      <c r="AP803" s="5">
        <v>39850</v>
      </c>
      <c r="AQ803" s="5">
        <v>40240</v>
      </c>
      <c r="AR803" s="4"/>
      <c r="AS803" s="4"/>
      <c r="AT803" s="5">
        <v>39899</v>
      </c>
      <c r="AU803" s="5">
        <v>39874</v>
      </c>
      <c r="AV803" s="4">
        <v>8</v>
      </c>
      <c r="AW803" s="5">
        <v>39894</v>
      </c>
      <c r="AX803" s="5">
        <v>39899</v>
      </c>
      <c r="AY803" s="4"/>
      <c r="AZ803" s="5">
        <v>39835</v>
      </c>
      <c r="BA803" s="4"/>
      <c r="BB803" s="5">
        <v>39848</v>
      </c>
      <c r="BC803" s="4"/>
      <c r="BD803" s="4"/>
      <c r="BE803" s="5">
        <v>39885</v>
      </c>
      <c r="BF803" s="5">
        <v>39848</v>
      </c>
      <c r="BG803" s="4"/>
      <c r="BH803" s="5">
        <v>39834</v>
      </c>
      <c r="BI803" s="4"/>
      <c r="BJ803" s="5">
        <v>39902</v>
      </c>
      <c r="BK803" s="4">
        <v>2</v>
      </c>
      <c r="BL803" s="4">
        <v>8</v>
      </c>
      <c r="BM803" s="5">
        <v>39899</v>
      </c>
      <c r="BN803" s="5">
        <v>39923</v>
      </c>
      <c r="BO803" s="5">
        <v>39931</v>
      </c>
      <c r="BP803" s="4"/>
      <c r="BQ803" s="4"/>
      <c r="BR803" s="4"/>
      <c r="BS803" s="4"/>
      <c r="BT803" s="5">
        <v>39923</v>
      </c>
      <c r="BU803" s="5">
        <v>39923</v>
      </c>
      <c r="BV803" s="5">
        <v>39933</v>
      </c>
      <c r="BW803" s="5">
        <v>39933</v>
      </c>
      <c r="BX803" s="4"/>
      <c r="BY803" s="5">
        <v>39954</v>
      </c>
      <c r="BZ803" s="5">
        <v>39954</v>
      </c>
      <c r="CA803" s="4"/>
      <c r="CB803" s="4"/>
      <c r="CC803" s="4"/>
      <c r="CD803" s="4"/>
      <c r="CE803" s="4"/>
      <c r="CF803" s="4"/>
      <c r="CG803" s="4"/>
      <c r="CH803" s="4"/>
      <c r="CI803" s="5">
        <v>39954</v>
      </c>
      <c r="CJ803" s="5">
        <v>39957</v>
      </c>
      <c r="CK803" s="5">
        <v>39954</v>
      </c>
      <c r="CL803" s="4"/>
      <c r="CM803" s="4"/>
      <c r="CN803" s="4"/>
      <c r="CO803" s="4"/>
      <c r="CP803" s="4"/>
      <c r="CQ803" s="4"/>
      <c r="CR803" s="5">
        <v>39957</v>
      </c>
      <c r="CS803" s="4"/>
      <c r="CT803" s="4"/>
      <c r="CU803" s="4"/>
      <c r="CV803" s="4"/>
      <c r="CW803" s="5">
        <v>39930</v>
      </c>
      <c r="CX803" s="5">
        <v>39931</v>
      </c>
      <c r="CY803" s="4"/>
      <c r="CZ803" s="4"/>
      <c r="DA803" s="4"/>
      <c r="DB803" s="4"/>
      <c r="DC803" s="4"/>
      <c r="DD803" s="4"/>
      <c r="DE803" s="4"/>
      <c r="DF803" s="4"/>
      <c r="DG803" s="4"/>
      <c r="DH803" s="4"/>
      <c r="DI803" s="4"/>
      <c r="DJ803" s="4" t="b">
        <v>0</v>
      </c>
      <c r="DK803" s="4"/>
      <c r="DL803" s="4">
        <v>2487101</v>
      </c>
      <c r="DM803" s="4">
        <v>5738225</v>
      </c>
      <c r="DN803" s="4" t="s">
        <v>2565</v>
      </c>
      <c r="DO803" s="4"/>
      <c r="DP803" s="4"/>
      <c r="DQ803" s="4" t="s">
        <v>148</v>
      </c>
      <c r="DR803" s="4"/>
      <c r="DS803" s="4"/>
      <c r="DT803" s="4"/>
      <c r="DU803" s="4"/>
      <c r="DV803" s="4"/>
      <c r="DW803" s="4"/>
      <c r="DX803" s="4"/>
      <c r="DY803" s="5">
        <v>39923</v>
      </c>
      <c r="DZ803" s="5">
        <v>39925</v>
      </c>
      <c r="EA803" s="4"/>
      <c r="EB803" s="4"/>
      <c r="EC803" s="4"/>
      <c r="ED803" s="4"/>
      <c r="EE803" s="4"/>
      <c r="EF803" s="4"/>
      <c r="EG803" s="4"/>
      <c r="EH803" s="4"/>
      <c r="EI803" s="5">
        <v>39489</v>
      </c>
    </row>
    <row r="804" spans="1:139" hidden="1" x14ac:dyDescent="0.2">
      <c r="A804">
        <f>VLOOKUP(B804,Sheet1!$A$1:$B$18,2,FALSE)</f>
        <v>0</v>
      </c>
      <c r="B804" t="str">
        <f>LEFT(D804,3)</f>
        <v>CHC</v>
      </c>
      <c r="C804" s="2">
        <v>803</v>
      </c>
      <c r="D804" s="3" t="str">
        <f>HYPERLINK("https://sitebase.nzcomms.co.nz/spm/spmnominalview/CHC-060-078/","CHC-060-078")</f>
        <v>CHC-060-078</v>
      </c>
      <c r="E804" s="4"/>
      <c r="F804" s="3" t="str">
        <f>HYPERLINK("https://sitebase.nzcomms.co.nz/spm/spmcandidateview/CHC-060-078-E/","CHC-060-078-E")</f>
        <v>CHC-060-078-E</v>
      </c>
      <c r="G804" s="4" t="s">
        <v>2566</v>
      </c>
      <c r="H804" s="4" t="s">
        <v>2353</v>
      </c>
      <c r="I804" s="4"/>
      <c r="J804" s="4" t="s">
        <v>139</v>
      </c>
      <c r="K804" s="4" t="s">
        <v>141</v>
      </c>
      <c r="L804" s="4" t="s">
        <v>189</v>
      </c>
      <c r="M804" s="4" t="s">
        <v>143</v>
      </c>
      <c r="N804" s="4" t="s">
        <v>2348</v>
      </c>
      <c r="O804" s="4" t="s">
        <v>356</v>
      </c>
      <c r="P804" s="4"/>
      <c r="Q804" s="4"/>
      <c r="R804" s="4">
        <v>18</v>
      </c>
      <c r="S804" s="4">
        <v>18</v>
      </c>
      <c r="T804" s="4"/>
      <c r="U804" s="4">
        <v>-43.49794498</v>
      </c>
      <c r="V804" s="4">
        <v>172.62829553</v>
      </c>
      <c r="W804" s="4"/>
      <c r="X804" s="4"/>
      <c r="Y804" s="4"/>
      <c r="Z804" s="4"/>
      <c r="AA804" s="4" t="s">
        <v>171</v>
      </c>
      <c r="AB804" s="3" t="str">
        <f>HYPERLINK("https://sitebase.nzcomms.co.nz/spm/spmcandidateview/CHC-060-097-A/","CHC-060-097-A")</f>
        <v>CHC-060-097-A</v>
      </c>
      <c r="AC804" s="4"/>
      <c r="AD804" s="4"/>
      <c r="AE804" s="4"/>
      <c r="AF804" s="4"/>
      <c r="AG804" s="4"/>
      <c r="AH804" s="4" t="s">
        <v>2567</v>
      </c>
      <c r="AI804" s="4"/>
      <c r="AJ804" s="4"/>
      <c r="AK804" s="4"/>
      <c r="AL804" s="4"/>
      <c r="AM804" s="4"/>
      <c r="AN804" s="5">
        <v>39794</v>
      </c>
      <c r="AO804" s="4">
        <v>2</v>
      </c>
      <c r="AP804" s="5">
        <v>39820</v>
      </c>
      <c r="AQ804" s="5">
        <v>39820</v>
      </c>
      <c r="AR804" s="4"/>
      <c r="AS804" s="4"/>
      <c r="AT804" s="5">
        <v>39857</v>
      </c>
      <c r="AU804" s="5">
        <v>39854</v>
      </c>
      <c r="AV804" s="4">
        <v>1</v>
      </c>
      <c r="AW804" s="5">
        <v>39856</v>
      </c>
      <c r="AX804" s="5">
        <v>39856</v>
      </c>
      <c r="AY804" s="4"/>
      <c r="AZ804" s="5">
        <v>39825</v>
      </c>
      <c r="BA804" s="4"/>
      <c r="BB804" s="4"/>
      <c r="BC804" s="4"/>
      <c r="BD804" s="4"/>
      <c r="BE804" s="5">
        <v>39842</v>
      </c>
      <c r="BF804" s="5">
        <v>39842</v>
      </c>
      <c r="BG804" s="5">
        <v>39874</v>
      </c>
      <c r="BH804" s="5">
        <v>39881</v>
      </c>
      <c r="BI804" s="4"/>
      <c r="BJ804" s="5">
        <v>39888</v>
      </c>
      <c r="BK804" s="4">
        <v>3</v>
      </c>
      <c r="BL804" s="4">
        <v>2</v>
      </c>
      <c r="BM804" s="5">
        <v>39886</v>
      </c>
      <c r="BN804" s="5">
        <v>39923</v>
      </c>
      <c r="BO804" s="5">
        <v>39919</v>
      </c>
      <c r="BP804" s="4"/>
      <c r="BQ804" s="4"/>
      <c r="BR804" s="4"/>
      <c r="BS804" s="4"/>
      <c r="BT804" s="5">
        <v>39923</v>
      </c>
      <c r="BU804" s="5">
        <v>39923</v>
      </c>
      <c r="BV804" s="5">
        <v>39933</v>
      </c>
      <c r="BW804" s="5">
        <v>39933</v>
      </c>
      <c r="BX804" s="4"/>
      <c r="BY804" s="5">
        <v>39951</v>
      </c>
      <c r="BZ804" s="5">
        <v>39951</v>
      </c>
      <c r="CA804" s="4"/>
      <c r="CB804" s="4"/>
      <c r="CC804" s="4"/>
      <c r="CD804" s="4"/>
      <c r="CE804" s="4"/>
      <c r="CF804" s="4"/>
      <c r="CG804" s="4"/>
      <c r="CH804" s="4"/>
      <c r="CI804" s="5">
        <v>39959</v>
      </c>
      <c r="CJ804" s="5">
        <v>39960</v>
      </c>
      <c r="CK804" s="5">
        <v>39959</v>
      </c>
      <c r="CL804" s="4"/>
      <c r="CM804" s="4"/>
      <c r="CN804" s="4"/>
      <c r="CO804" s="4"/>
      <c r="CP804" s="4" t="s">
        <v>2424</v>
      </c>
      <c r="CQ804" s="4"/>
      <c r="CR804" s="5">
        <v>39960</v>
      </c>
      <c r="CS804" s="4"/>
      <c r="CT804" s="4"/>
      <c r="CU804" s="4"/>
      <c r="CV804" s="4"/>
      <c r="CW804" s="5">
        <v>39919</v>
      </c>
      <c r="CX804" s="5">
        <v>39919</v>
      </c>
      <c r="CY804" s="4"/>
      <c r="CZ804" s="4"/>
      <c r="DA804" s="4"/>
      <c r="DB804" s="4"/>
      <c r="DC804" s="4"/>
      <c r="DD804" s="4"/>
      <c r="DE804" s="4"/>
      <c r="DF804" s="4"/>
      <c r="DG804" s="4"/>
      <c r="DH804" s="4"/>
      <c r="DI804" s="4"/>
      <c r="DJ804" s="4" t="b">
        <v>0</v>
      </c>
      <c r="DK804" s="4"/>
      <c r="DL804" s="4">
        <v>2479949</v>
      </c>
      <c r="DM804" s="4">
        <v>5745433</v>
      </c>
      <c r="DN804" s="4" t="s">
        <v>2568</v>
      </c>
      <c r="DO804" s="4"/>
      <c r="DP804" s="4"/>
      <c r="DQ804" s="4" t="s">
        <v>148</v>
      </c>
      <c r="DR804" s="4"/>
      <c r="DS804" s="4"/>
      <c r="DT804" s="5">
        <v>42292</v>
      </c>
      <c r="DU804" s="4"/>
      <c r="DV804" s="4"/>
      <c r="DW804" s="4"/>
      <c r="DX804" s="4"/>
      <c r="DY804" s="5">
        <v>39923</v>
      </c>
      <c r="DZ804" s="5">
        <v>39923</v>
      </c>
      <c r="EA804" s="4"/>
      <c r="EB804" s="4"/>
      <c r="EC804" s="4"/>
      <c r="ED804" s="4"/>
      <c r="EE804" s="4"/>
      <c r="EF804" s="4"/>
      <c r="EG804" s="4"/>
      <c r="EH804" s="4"/>
      <c r="EI804" s="5">
        <v>39786</v>
      </c>
    </row>
    <row r="805" spans="1:139" hidden="1" x14ac:dyDescent="0.2">
      <c r="A805">
        <f>VLOOKUP(B805,Sheet1!$A$1:$B$18,2,FALSE)</f>
        <v>0</v>
      </c>
      <c r="B805" t="str">
        <f>LEFT(D805,3)</f>
        <v>CHC</v>
      </c>
      <c r="C805" s="2">
        <v>804</v>
      </c>
      <c r="D805" s="3" t="str">
        <f>HYPERLINK("https://sitebase.nzcomms.co.nz/spm/spmnominalview/CHC-060-079/","CHC-060-079")</f>
        <v>CHC-060-079</v>
      </c>
      <c r="E805" s="4"/>
      <c r="F805" s="3" t="str">
        <f>HYPERLINK("https://sitebase.nzcomms.co.nz/spm/spmcandidateview/CHC-060-079-B/","CHC-060-079-B")</f>
        <v>CHC-060-079-B</v>
      </c>
      <c r="G805" s="4" t="s">
        <v>2569</v>
      </c>
      <c r="H805" s="4" t="s">
        <v>2353</v>
      </c>
      <c r="I805" s="4">
        <v>8</v>
      </c>
      <c r="J805" s="4" t="s">
        <v>139</v>
      </c>
      <c r="K805" s="4" t="s">
        <v>141</v>
      </c>
      <c r="L805" s="4" t="s">
        <v>189</v>
      </c>
      <c r="M805" s="4" t="s">
        <v>143</v>
      </c>
      <c r="N805" s="4" t="s">
        <v>2421</v>
      </c>
      <c r="O805" s="4" t="s">
        <v>356</v>
      </c>
      <c r="P805" s="4"/>
      <c r="Q805" s="4"/>
      <c r="R805" s="4">
        <v>15</v>
      </c>
      <c r="S805" s="4">
        <v>15</v>
      </c>
      <c r="T805" s="4"/>
      <c r="U805" s="4">
        <v>-43.501226780000003</v>
      </c>
      <c r="V805" s="4">
        <v>172.69096536000001</v>
      </c>
      <c r="W805" s="4"/>
      <c r="X805" s="4"/>
      <c r="Y805" s="4"/>
      <c r="Z805" s="4"/>
      <c r="AA805" s="4" t="s">
        <v>152</v>
      </c>
      <c r="AB805" s="3" t="str">
        <f>HYPERLINK("https://sitebase.nzcomms.co.nz/spm/spmcandidateview/CHC-060-063-B/","CHC-060-063-B")</f>
        <v>CHC-060-063-B</v>
      </c>
      <c r="AC805" s="4" t="b">
        <v>0</v>
      </c>
      <c r="AD805" s="4" t="b">
        <v>0</v>
      </c>
      <c r="AE805" s="4"/>
      <c r="AF805" s="4"/>
      <c r="AG805" s="4" t="b">
        <v>0</v>
      </c>
      <c r="AH805" s="4"/>
      <c r="AI805" s="4"/>
      <c r="AJ805" s="4"/>
      <c r="AK805" s="4"/>
      <c r="AL805" s="4"/>
      <c r="AM805" s="4"/>
      <c r="AN805" s="5">
        <v>39498</v>
      </c>
      <c r="AO805" s="4">
        <v>4</v>
      </c>
      <c r="AP805" s="5">
        <v>39533</v>
      </c>
      <c r="AQ805" s="5">
        <v>40204</v>
      </c>
      <c r="AR805" s="4"/>
      <c r="AS805" s="4"/>
      <c r="AT805" s="5">
        <v>39503</v>
      </c>
      <c r="AU805" s="5">
        <v>39503</v>
      </c>
      <c r="AV805" s="4">
        <v>1</v>
      </c>
      <c r="AW805" s="5">
        <v>39503</v>
      </c>
      <c r="AX805" s="5">
        <v>39503</v>
      </c>
      <c r="AY805" s="4"/>
      <c r="AZ805" s="4"/>
      <c r="BA805" s="4"/>
      <c r="BB805" s="4"/>
      <c r="BC805" s="4"/>
      <c r="BD805" s="4"/>
      <c r="BE805" s="5">
        <v>39587</v>
      </c>
      <c r="BF805" s="5">
        <v>39587</v>
      </c>
      <c r="BG805" s="4"/>
      <c r="BH805" s="5">
        <v>39538</v>
      </c>
      <c r="BI805" s="4"/>
      <c r="BJ805" s="5">
        <v>39563</v>
      </c>
      <c r="BK805" s="4">
        <v>2</v>
      </c>
      <c r="BL805" s="4">
        <v>1</v>
      </c>
      <c r="BM805" s="5">
        <v>39695</v>
      </c>
      <c r="BN805" s="5">
        <v>39695</v>
      </c>
      <c r="BO805" s="4"/>
      <c r="BP805" s="4"/>
      <c r="BQ805" s="4"/>
      <c r="BR805" s="4"/>
      <c r="BS805" s="4"/>
      <c r="BT805" s="4"/>
      <c r="BU805" s="5">
        <v>39707</v>
      </c>
      <c r="BV805" s="5">
        <v>39721</v>
      </c>
      <c r="BW805" s="5">
        <v>39721</v>
      </c>
      <c r="BX805" s="4"/>
      <c r="BY805" s="5">
        <v>39742</v>
      </c>
      <c r="BZ805" s="5">
        <v>39741</v>
      </c>
      <c r="CA805" s="4"/>
      <c r="CB805" s="4"/>
      <c r="CC805" s="4"/>
      <c r="CD805" s="4"/>
      <c r="CE805" s="4"/>
      <c r="CF805" s="4"/>
      <c r="CG805" s="4"/>
      <c r="CH805" s="4"/>
      <c r="CI805" s="5">
        <v>39806</v>
      </c>
      <c r="CJ805" s="5">
        <v>39871</v>
      </c>
      <c r="CK805" s="5">
        <v>39806</v>
      </c>
      <c r="CL805" s="4"/>
      <c r="CM805" s="4"/>
      <c r="CN805" s="4"/>
      <c r="CO805" s="4"/>
      <c r="CP805" s="4" t="s">
        <v>2570</v>
      </c>
      <c r="CQ805" s="4"/>
      <c r="CR805" s="5">
        <v>39871</v>
      </c>
      <c r="CS805" s="4"/>
      <c r="CT805" s="4"/>
      <c r="CU805" s="4"/>
      <c r="CV805" s="4"/>
      <c r="CW805" s="4"/>
      <c r="CX805" s="4"/>
      <c r="CY805" s="4"/>
      <c r="CZ805" s="4"/>
      <c r="DA805" s="4"/>
      <c r="DB805" s="4"/>
      <c r="DC805" s="4"/>
      <c r="DD805" s="4"/>
      <c r="DE805" s="4"/>
      <c r="DF805" s="4"/>
      <c r="DG805" s="4"/>
      <c r="DH805" s="4"/>
      <c r="DI805" s="4"/>
      <c r="DJ805" s="4" t="b">
        <v>0</v>
      </c>
      <c r="DK805" s="4"/>
      <c r="DL805" s="4">
        <v>2485019</v>
      </c>
      <c r="DM805" s="4">
        <v>5745089</v>
      </c>
      <c r="DN805" s="4" t="s">
        <v>2571</v>
      </c>
      <c r="DO805" s="4"/>
      <c r="DP805" s="4"/>
      <c r="DQ805" s="4" t="s">
        <v>148</v>
      </c>
      <c r="DR805" s="4"/>
      <c r="DS805" s="4"/>
      <c r="DT805" s="4"/>
      <c r="DU805" s="4"/>
      <c r="DV805" s="4"/>
      <c r="DW805" s="4"/>
      <c r="DX805" s="4"/>
      <c r="DY805" s="4"/>
      <c r="DZ805" s="5">
        <v>39701</v>
      </c>
      <c r="EA805" s="4"/>
      <c r="EB805" s="4"/>
      <c r="EC805" s="4"/>
      <c r="ED805" s="4"/>
      <c r="EE805" s="4"/>
      <c r="EF805" s="4"/>
      <c r="EG805" s="4"/>
      <c r="EH805" s="4"/>
      <c r="EI805" s="5">
        <v>39462</v>
      </c>
    </row>
    <row r="806" spans="1:139" hidden="1" x14ac:dyDescent="0.2">
      <c r="A806">
        <f>VLOOKUP(B806,Sheet1!$A$1:$B$18,2,FALSE)</f>
        <v>0</v>
      </c>
      <c r="B806" t="str">
        <f>LEFT(D806,3)</f>
        <v>CHC</v>
      </c>
      <c r="C806" s="2">
        <v>805</v>
      </c>
      <c r="D806" s="3" t="str">
        <f>HYPERLINK("https://sitebase.nzcomms.co.nz/spm/spmnominalview/CHC-060-080/","CHC-060-080")</f>
        <v>CHC-060-080</v>
      </c>
      <c r="E806" s="4" t="s">
        <v>2426</v>
      </c>
      <c r="F806" s="3" t="str">
        <f>HYPERLINK("https://sitebase.nzcomms.co.nz/spm/spmcandidateview/CHC-060-080-B/","CHC-060-080-B")</f>
        <v>CHC-060-080-B</v>
      </c>
      <c r="G806" s="4" t="s">
        <v>2572</v>
      </c>
      <c r="H806" s="4" t="s">
        <v>2353</v>
      </c>
      <c r="I806" s="4">
        <v>11</v>
      </c>
      <c r="J806" s="4" t="s">
        <v>139</v>
      </c>
      <c r="K806" s="4" t="s">
        <v>141</v>
      </c>
      <c r="L806" s="4" t="s">
        <v>150</v>
      </c>
      <c r="M806" s="4" t="s">
        <v>143</v>
      </c>
      <c r="N806" s="4" t="s">
        <v>291</v>
      </c>
      <c r="O806" s="4" t="s">
        <v>356</v>
      </c>
      <c r="P806" s="4"/>
      <c r="Q806" s="4"/>
      <c r="R806" s="4">
        <v>15</v>
      </c>
      <c r="S806" s="4">
        <v>15</v>
      </c>
      <c r="T806" s="4"/>
      <c r="U806" s="4">
        <v>-43.494976180000002</v>
      </c>
      <c r="V806" s="4">
        <v>172.71013578</v>
      </c>
      <c r="W806" s="4"/>
      <c r="X806" s="4"/>
      <c r="Y806" s="4"/>
      <c r="Z806" s="4"/>
      <c r="AA806" s="4" t="s">
        <v>217</v>
      </c>
      <c r="AB806" s="4" t="s">
        <v>2573</v>
      </c>
      <c r="AC806" s="4" t="b">
        <v>0</v>
      </c>
      <c r="AD806" s="4" t="b">
        <v>0</v>
      </c>
      <c r="AE806" s="4"/>
      <c r="AF806" s="4"/>
      <c r="AG806" s="4" t="b">
        <v>0</v>
      </c>
      <c r="AH806" s="4" t="s">
        <v>2574</v>
      </c>
      <c r="AI806" s="4"/>
      <c r="AJ806" s="4"/>
      <c r="AK806" s="4"/>
      <c r="AL806" s="4"/>
      <c r="AM806" s="4"/>
      <c r="AN806" s="5">
        <v>39493</v>
      </c>
      <c r="AO806" s="4">
        <v>3</v>
      </c>
      <c r="AP806" s="4"/>
      <c r="AQ806" s="4"/>
      <c r="AR806" s="4"/>
      <c r="AS806" s="4"/>
      <c r="AT806" s="5">
        <v>39660</v>
      </c>
      <c r="AU806" s="5">
        <v>39666</v>
      </c>
      <c r="AV806" s="4">
        <v>3</v>
      </c>
      <c r="AW806" s="5">
        <v>39660</v>
      </c>
      <c r="AX806" s="5">
        <v>39666</v>
      </c>
      <c r="AY806" s="4" t="s">
        <v>172</v>
      </c>
      <c r="AZ806" s="4"/>
      <c r="BA806" s="4"/>
      <c r="BB806" s="4"/>
      <c r="BC806" s="4"/>
      <c r="BD806" s="4"/>
      <c r="BE806" s="5">
        <v>39744</v>
      </c>
      <c r="BF806" s="5">
        <v>39744</v>
      </c>
      <c r="BG806" s="4"/>
      <c r="BH806" s="5">
        <v>39567</v>
      </c>
      <c r="BI806" s="4"/>
      <c r="BJ806" s="5">
        <v>39826</v>
      </c>
      <c r="BK806" s="4">
        <v>3</v>
      </c>
      <c r="BL806" s="4"/>
      <c r="BM806" s="4"/>
      <c r="BN806" s="5">
        <v>41620</v>
      </c>
      <c r="BO806" s="5">
        <v>39818</v>
      </c>
      <c r="BP806" s="4"/>
      <c r="BQ806" s="4"/>
      <c r="BR806" s="4"/>
      <c r="BS806" s="4"/>
      <c r="BT806" s="4"/>
      <c r="BU806" s="5">
        <v>39769</v>
      </c>
      <c r="BV806" s="4"/>
      <c r="BW806" s="5">
        <v>39828</v>
      </c>
      <c r="BX806" s="4"/>
      <c r="BY806" s="4"/>
      <c r="BZ806" s="4"/>
      <c r="CA806" s="4"/>
      <c r="CB806" s="4"/>
      <c r="CC806" s="4"/>
      <c r="CD806" s="4"/>
      <c r="CE806" s="4"/>
      <c r="CF806" s="4"/>
      <c r="CG806" s="4"/>
      <c r="CH806" s="4"/>
      <c r="CI806" s="5">
        <v>39849</v>
      </c>
      <c r="CJ806" s="4"/>
      <c r="CK806" s="5">
        <v>41292</v>
      </c>
      <c r="CL806" s="4"/>
      <c r="CM806" s="4"/>
      <c r="CN806" s="4"/>
      <c r="CO806" s="4"/>
      <c r="CP806" s="4" t="s">
        <v>2575</v>
      </c>
      <c r="CQ806" s="4"/>
      <c r="CR806" s="5">
        <v>39854</v>
      </c>
      <c r="CS806" s="4"/>
      <c r="CT806" s="4"/>
      <c r="CU806" s="4"/>
      <c r="CV806" s="4"/>
      <c r="CW806" s="4"/>
      <c r="CX806" s="5">
        <v>39818</v>
      </c>
      <c r="CY806" s="4"/>
      <c r="CZ806" s="4"/>
      <c r="DA806" s="4"/>
      <c r="DB806" s="4"/>
      <c r="DC806" s="4"/>
      <c r="DD806" s="4"/>
      <c r="DE806" s="4" t="s">
        <v>194</v>
      </c>
      <c r="DF806" s="4"/>
      <c r="DG806" s="4"/>
      <c r="DH806" s="4" t="s">
        <v>174</v>
      </c>
      <c r="DI806" s="4"/>
      <c r="DJ806" s="4" t="b">
        <v>0</v>
      </c>
      <c r="DK806" s="4"/>
      <c r="DL806" s="4">
        <v>2486567</v>
      </c>
      <c r="DM806" s="4">
        <v>5745789</v>
      </c>
      <c r="DN806" s="4" t="s">
        <v>2576</v>
      </c>
      <c r="DO806" s="4"/>
      <c r="DP806" s="4" t="s">
        <v>2577</v>
      </c>
      <c r="DQ806" s="4" t="s">
        <v>148</v>
      </c>
      <c r="DR806" s="4"/>
      <c r="DS806" s="4"/>
      <c r="DT806" s="4"/>
      <c r="DU806" s="4"/>
      <c r="DV806" s="4"/>
      <c r="DW806" s="4"/>
      <c r="DX806" s="4"/>
      <c r="DY806" s="4"/>
      <c r="DZ806" s="5">
        <v>39766</v>
      </c>
      <c r="EA806" s="4"/>
      <c r="EB806" s="4"/>
      <c r="EC806" s="4"/>
      <c r="ED806" s="4"/>
      <c r="EE806" s="4"/>
      <c r="EF806" s="4"/>
      <c r="EG806" s="4"/>
      <c r="EH806" s="4"/>
      <c r="EI806" s="5">
        <v>39400</v>
      </c>
    </row>
    <row r="807" spans="1:139" hidden="1" x14ac:dyDescent="0.2">
      <c r="A807">
        <f>VLOOKUP(B807,Sheet1!$A$1:$B$18,2,FALSE)</f>
        <v>0</v>
      </c>
      <c r="B807" t="str">
        <f>LEFT(D807,3)</f>
        <v>CHC</v>
      </c>
      <c r="C807" s="2">
        <v>806</v>
      </c>
      <c r="D807" s="3" t="str">
        <f>HYPERLINK("https://sitebase.nzcomms.co.nz/spm/spmnominalview/CHC-060-081/","CHC-060-081")</f>
        <v>CHC-060-081</v>
      </c>
      <c r="E807" s="4" t="s">
        <v>2578</v>
      </c>
      <c r="F807" s="3" t="str">
        <f>HYPERLINK("https://sitebase.nzcomms.co.nz/spm/spmcandidateview/CHC-060-081-F/","CHC-060-081-F")</f>
        <v>CHC-060-081-F</v>
      </c>
      <c r="G807" s="4" t="s">
        <v>2578</v>
      </c>
      <c r="H807" s="4" t="s">
        <v>2353</v>
      </c>
      <c r="I807" s="4"/>
      <c r="J807" s="4" t="s">
        <v>139</v>
      </c>
      <c r="K807" s="4" t="s">
        <v>141</v>
      </c>
      <c r="L807" s="4" t="s">
        <v>150</v>
      </c>
      <c r="M807" s="4" t="s">
        <v>143</v>
      </c>
      <c r="N807" s="4" t="s">
        <v>291</v>
      </c>
      <c r="O807" s="4" t="s">
        <v>356</v>
      </c>
      <c r="P807" s="4"/>
      <c r="Q807" s="4"/>
      <c r="R807" s="4">
        <v>20</v>
      </c>
      <c r="S807" s="4">
        <v>20</v>
      </c>
      <c r="T807" s="4"/>
      <c r="U807" s="4">
        <v>-43.575230879999999</v>
      </c>
      <c r="V807" s="4">
        <v>172.60550312999999</v>
      </c>
      <c r="W807" s="4"/>
      <c r="X807" s="4"/>
      <c r="Y807" s="4"/>
      <c r="Z807" s="4"/>
      <c r="AA807" s="4" t="s">
        <v>171</v>
      </c>
      <c r="AB807" s="3" t="str">
        <f>HYPERLINK("https://sitebase.nzcomms.co.nz/spm/spmcandidateview/CHC-060-096-G/","CHC-060-096-G")</f>
        <v>CHC-060-096-G</v>
      </c>
      <c r="AC807" s="4"/>
      <c r="AD807" s="4"/>
      <c r="AE807" s="4"/>
      <c r="AF807" s="4"/>
      <c r="AG807" s="4"/>
      <c r="AH807" s="4" t="s">
        <v>2579</v>
      </c>
      <c r="AI807" s="4"/>
      <c r="AJ807" s="4"/>
      <c r="AK807" s="4"/>
      <c r="AL807" s="4"/>
      <c r="AM807" s="4"/>
      <c r="AN807" s="5">
        <v>39730</v>
      </c>
      <c r="AO807" s="4">
        <v>4</v>
      </c>
      <c r="AP807" s="5">
        <v>39777</v>
      </c>
      <c r="AQ807" s="5">
        <v>41954</v>
      </c>
      <c r="AR807" s="4"/>
      <c r="AS807" s="4"/>
      <c r="AT807" s="5">
        <v>39721</v>
      </c>
      <c r="AU807" s="5">
        <v>39717</v>
      </c>
      <c r="AV807" s="4">
        <v>3</v>
      </c>
      <c r="AW807" s="5">
        <v>39721</v>
      </c>
      <c r="AX807" s="5">
        <v>39717</v>
      </c>
      <c r="AY807" s="4"/>
      <c r="AZ807" s="4"/>
      <c r="BA807" s="4"/>
      <c r="BB807" s="4"/>
      <c r="BC807" s="4"/>
      <c r="BD807" s="4"/>
      <c r="BE807" s="5">
        <v>39800</v>
      </c>
      <c r="BF807" s="5">
        <v>39800</v>
      </c>
      <c r="BG807" s="4"/>
      <c r="BH807" s="5">
        <v>39742</v>
      </c>
      <c r="BI807" s="4"/>
      <c r="BJ807" s="5">
        <v>39780</v>
      </c>
      <c r="BK807" s="4">
        <v>3</v>
      </c>
      <c r="BL807" s="4"/>
      <c r="BM807" s="5">
        <v>39780</v>
      </c>
      <c r="BN807" s="5">
        <v>42040</v>
      </c>
      <c r="BO807" s="5">
        <v>39849</v>
      </c>
      <c r="BP807" s="4"/>
      <c r="BQ807" s="4"/>
      <c r="BR807" s="4"/>
      <c r="BS807" s="4"/>
      <c r="BT807" s="4"/>
      <c r="BU807" s="4"/>
      <c r="BV807" s="5">
        <v>39871</v>
      </c>
      <c r="BW807" s="4"/>
      <c r="BX807" s="4"/>
      <c r="BY807" s="5">
        <v>39886</v>
      </c>
      <c r="BZ807" s="5">
        <v>39864</v>
      </c>
      <c r="CA807" s="4"/>
      <c r="CB807" s="4"/>
      <c r="CC807" s="4"/>
      <c r="CD807" s="4"/>
      <c r="CE807" s="4"/>
      <c r="CF807" s="4"/>
      <c r="CG807" s="4"/>
      <c r="CH807" s="4"/>
      <c r="CI807" s="5">
        <v>39902</v>
      </c>
      <c r="CJ807" s="5">
        <v>39902</v>
      </c>
      <c r="CK807" s="5">
        <v>39902</v>
      </c>
      <c r="CL807" s="4"/>
      <c r="CM807" s="4"/>
      <c r="CN807" s="4"/>
      <c r="CO807" s="4"/>
      <c r="CP807" s="4" t="s">
        <v>2580</v>
      </c>
      <c r="CQ807" s="4"/>
      <c r="CR807" s="5">
        <v>39902</v>
      </c>
      <c r="CS807" s="4"/>
      <c r="CT807" s="4"/>
      <c r="CU807" s="4"/>
      <c r="CV807" s="4"/>
      <c r="CW807" s="4"/>
      <c r="CX807" s="5">
        <v>39849</v>
      </c>
      <c r="CY807" s="4"/>
      <c r="CZ807" s="4"/>
      <c r="DA807" s="4"/>
      <c r="DB807" s="4"/>
      <c r="DC807" s="4"/>
      <c r="DD807" s="4"/>
      <c r="DE807" s="4"/>
      <c r="DF807" s="4"/>
      <c r="DG807" s="4"/>
      <c r="DH807" s="4"/>
      <c r="DI807" s="4"/>
      <c r="DJ807" s="4" t="b">
        <v>0</v>
      </c>
      <c r="DK807" s="4"/>
      <c r="DL807" s="4">
        <v>2478146</v>
      </c>
      <c r="DM807" s="4">
        <v>5736838</v>
      </c>
      <c r="DN807" s="4" t="s">
        <v>2581</v>
      </c>
      <c r="DO807" s="4"/>
      <c r="DP807" s="4"/>
      <c r="DQ807" s="4" t="s">
        <v>148</v>
      </c>
      <c r="DR807" s="4"/>
      <c r="DS807" s="4"/>
      <c r="DT807" s="4"/>
      <c r="DU807" s="4"/>
      <c r="DV807" s="4"/>
      <c r="DW807" s="4"/>
      <c r="DX807" s="4"/>
      <c r="DY807" s="4"/>
      <c r="DZ807" s="5">
        <v>39850</v>
      </c>
      <c r="EA807" s="4"/>
      <c r="EB807" s="4"/>
      <c r="EC807" s="4"/>
      <c r="ED807" s="4"/>
      <c r="EE807" s="4"/>
      <c r="EF807" s="4"/>
      <c r="EG807" s="4"/>
      <c r="EH807" s="4"/>
      <c r="EI807" s="5">
        <v>39706</v>
      </c>
    </row>
    <row r="808" spans="1:139" hidden="1" x14ac:dyDescent="0.2">
      <c r="A808">
        <f>VLOOKUP(B808,Sheet1!$A$1:$B$18,2,FALSE)</f>
        <v>0</v>
      </c>
      <c r="B808" t="str">
        <f>LEFT(D808,3)</f>
        <v>CHC</v>
      </c>
      <c r="C808" s="2">
        <v>807</v>
      </c>
      <c r="D808" s="3" t="str">
        <f>HYPERLINK("https://sitebase.nzcomms.co.nz/spm/spmnominalview/CHC-060-082/","CHC-060-082")</f>
        <v>CHC-060-082</v>
      </c>
      <c r="E808" s="4"/>
      <c r="F808" s="3" t="str">
        <f>HYPERLINK("https://sitebase.nzcomms.co.nz/spm/spmcandidateview/CHC-060-082-K/","CHC-060-082-K")</f>
        <v>CHC-060-082-K</v>
      </c>
      <c r="G808" s="4" t="s">
        <v>2582</v>
      </c>
      <c r="H808" s="4" t="s">
        <v>2353</v>
      </c>
      <c r="I808" s="4"/>
      <c r="J808" s="4" t="s">
        <v>139</v>
      </c>
      <c r="K808" s="4" t="s">
        <v>141</v>
      </c>
      <c r="L808" s="4" t="s">
        <v>189</v>
      </c>
      <c r="M808" s="4" t="s">
        <v>296</v>
      </c>
      <c r="N808" s="4" t="s">
        <v>2348</v>
      </c>
      <c r="O808" s="4" t="s">
        <v>356</v>
      </c>
      <c r="P808" s="4"/>
      <c r="Q808" s="4" t="s">
        <v>192</v>
      </c>
      <c r="R808" s="4">
        <v>14</v>
      </c>
      <c r="S808" s="4"/>
      <c r="T808" s="4"/>
      <c r="U808" s="4">
        <v>-43.524929329999999</v>
      </c>
      <c r="V808" s="4">
        <v>172.67273606000001</v>
      </c>
      <c r="W808" s="4"/>
      <c r="X808" s="4"/>
      <c r="Y808" s="4"/>
      <c r="Z808" s="4"/>
      <c r="AA808" s="4"/>
      <c r="AB808" s="4"/>
      <c r="AC808" s="4"/>
      <c r="AD808" s="4"/>
      <c r="AE808" s="4"/>
      <c r="AF808" s="4"/>
      <c r="AG808" s="4"/>
      <c r="AH808" s="4"/>
      <c r="AI808" s="4"/>
      <c r="AJ808" s="4"/>
      <c r="AK808" s="4"/>
      <c r="AL808" s="4"/>
      <c r="AM808" s="4"/>
      <c r="AN808" s="5">
        <v>39977</v>
      </c>
      <c r="AO808" s="4">
        <v>2</v>
      </c>
      <c r="AP808" s="5">
        <v>39977</v>
      </c>
      <c r="AQ808" s="5">
        <v>39987</v>
      </c>
      <c r="AR808" s="4"/>
      <c r="AS808" s="4"/>
      <c r="AT808" s="5">
        <v>40017</v>
      </c>
      <c r="AU808" s="5">
        <v>40017</v>
      </c>
      <c r="AV808" s="4">
        <v>2</v>
      </c>
      <c r="AW808" s="5">
        <v>40017</v>
      </c>
      <c r="AX808" s="5">
        <v>40017</v>
      </c>
      <c r="AY808" s="4"/>
      <c r="AZ808" s="4"/>
      <c r="BA808" s="4"/>
      <c r="BB808" s="5">
        <v>39994</v>
      </c>
      <c r="BC808" s="4"/>
      <c r="BD808" s="4"/>
      <c r="BE808" s="5">
        <v>39994</v>
      </c>
      <c r="BF808" s="5">
        <v>39993</v>
      </c>
      <c r="BG808" s="4"/>
      <c r="BH808" s="5">
        <v>39997</v>
      </c>
      <c r="BI808" s="4"/>
      <c r="BJ808" s="5">
        <v>39997</v>
      </c>
      <c r="BK808" s="4">
        <v>1</v>
      </c>
      <c r="BL808" s="4">
        <v>2</v>
      </c>
      <c r="BM808" s="5">
        <v>39997</v>
      </c>
      <c r="BN808" s="5">
        <v>39997</v>
      </c>
      <c r="BO808" s="5">
        <v>40052</v>
      </c>
      <c r="BP808" s="4"/>
      <c r="BQ808" s="4"/>
      <c r="BR808" s="4"/>
      <c r="BS808" s="4"/>
      <c r="BT808" s="5">
        <v>40043</v>
      </c>
      <c r="BU808" s="5">
        <v>40043</v>
      </c>
      <c r="BV808" s="5">
        <v>40052</v>
      </c>
      <c r="BW808" s="5">
        <v>40052</v>
      </c>
      <c r="BX808" s="4"/>
      <c r="BY808" s="5">
        <v>40067</v>
      </c>
      <c r="BZ808" s="5">
        <v>40067</v>
      </c>
      <c r="CA808" s="4"/>
      <c r="CB808" s="4"/>
      <c r="CC808" s="4"/>
      <c r="CD808" s="4"/>
      <c r="CE808" s="4"/>
      <c r="CF808" s="4"/>
      <c r="CG808" s="4"/>
      <c r="CH808" s="4"/>
      <c r="CI808" s="5">
        <v>40073</v>
      </c>
      <c r="CJ808" s="5">
        <v>40074</v>
      </c>
      <c r="CK808" s="5">
        <v>40073</v>
      </c>
      <c r="CL808" s="4"/>
      <c r="CM808" s="4"/>
      <c r="CN808" s="4"/>
      <c r="CO808" s="4"/>
      <c r="CP808" s="4"/>
      <c r="CQ808" s="4"/>
      <c r="CR808" s="5">
        <v>40067</v>
      </c>
      <c r="CS808" s="4"/>
      <c r="CT808" s="4"/>
      <c r="CU808" s="4"/>
      <c r="CV808" s="4"/>
      <c r="CW808" s="5">
        <v>40052</v>
      </c>
      <c r="CX808" s="5">
        <v>40052</v>
      </c>
      <c r="CY808" s="4"/>
      <c r="CZ808" s="4"/>
      <c r="DA808" s="4"/>
      <c r="DB808" s="4"/>
      <c r="DC808" s="4"/>
      <c r="DD808" s="4"/>
      <c r="DE808" s="4"/>
      <c r="DF808" s="4"/>
      <c r="DG808" s="4"/>
      <c r="DH808" s="4"/>
      <c r="DI808" s="4"/>
      <c r="DJ808" s="4" t="b">
        <v>0</v>
      </c>
      <c r="DK808" s="4"/>
      <c r="DL808" s="4">
        <v>2483555</v>
      </c>
      <c r="DM808" s="4">
        <v>5742450</v>
      </c>
      <c r="DN808" s="4" t="s">
        <v>2583</v>
      </c>
      <c r="DO808" s="4"/>
      <c r="DP808" s="4"/>
      <c r="DQ808" s="4" t="s">
        <v>148</v>
      </c>
      <c r="DR808" s="4"/>
      <c r="DS808" s="4"/>
      <c r="DT808" s="5">
        <v>42292</v>
      </c>
      <c r="DU808" s="4"/>
      <c r="DV808" s="4"/>
      <c r="DW808" s="4"/>
      <c r="DX808" s="4"/>
      <c r="DY808" s="5">
        <v>40043</v>
      </c>
      <c r="DZ808" s="5">
        <v>40043</v>
      </c>
      <c r="EA808" s="4"/>
      <c r="EB808" s="4"/>
      <c r="EC808" s="4"/>
      <c r="ED808" s="4"/>
      <c r="EE808" s="4"/>
      <c r="EF808" s="4"/>
      <c r="EG808" s="4"/>
      <c r="EH808" s="4"/>
      <c r="EI808" s="5">
        <v>39969</v>
      </c>
    </row>
    <row r="809" spans="1:139" hidden="1" x14ac:dyDescent="0.2">
      <c r="A809">
        <f>VLOOKUP(B809,Sheet1!$A$1:$B$18,2,FALSE)</f>
        <v>0</v>
      </c>
      <c r="B809" t="str">
        <f>LEFT(D809,3)</f>
        <v>CHC</v>
      </c>
      <c r="C809" s="2">
        <v>808</v>
      </c>
      <c r="D809" s="3" t="str">
        <f>HYPERLINK("https://sitebase.nzcomms.co.nz/spm/spmnominalview/CHC-060-083/","CHC-060-083")</f>
        <v>CHC-060-083</v>
      </c>
      <c r="E809" s="4"/>
      <c r="F809" s="3" t="str">
        <f>HYPERLINK("https://sitebase.nzcomms.co.nz/spm/spmcandidateview/CHC-060-083-F/","CHC-060-083-F")</f>
        <v>CHC-060-083-F</v>
      </c>
      <c r="G809" s="4" t="s">
        <v>2584</v>
      </c>
      <c r="H809" s="4" t="s">
        <v>2353</v>
      </c>
      <c r="I809" s="4"/>
      <c r="J809" s="4" t="s">
        <v>139</v>
      </c>
      <c r="K809" s="4" t="s">
        <v>141</v>
      </c>
      <c r="L809" s="4" t="s">
        <v>189</v>
      </c>
      <c r="M809" s="4" t="s">
        <v>143</v>
      </c>
      <c r="N809" s="4" t="s">
        <v>2348</v>
      </c>
      <c r="O809" s="4" t="s">
        <v>144</v>
      </c>
      <c r="P809" s="4"/>
      <c r="Q809" s="4"/>
      <c r="R809" s="4">
        <v>18</v>
      </c>
      <c r="S809" s="4">
        <v>18</v>
      </c>
      <c r="T809" s="4"/>
      <c r="U809" s="4">
        <v>-43.56244805</v>
      </c>
      <c r="V809" s="4">
        <v>172.57951889</v>
      </c>
      <c r="W809" s="4"/>
      <c r="X809" s="4"/>
      <c r="Y809" s="4"/>
      <c r="Z809" s="4"/>
      <c r="AA809" s="4" t="s">
        <v>217</v>
      </c>
      <c r="AB809" s="4" t="s">
        <v>2376</v>
      </c>
      <c r="AC809" s="4"/>
      <c r="AD809" s="4"/>
      <c r="AE809" s="4"/>
      <c r="AF809" s="4"/>
      <c r="AG809" s="4"/>
      <c r="AH809" s="4" t="s">
        <v>2585</v>
      </c>
      <c r="AI809" s="4"/>
      <c r="AJ809" s="4"/>
      <c r="AK809" s="4"/>
      <c r="AL809" s="4"/>
      <c r="AM809" s="4"/>
      <c r="AN809" s="5">
        <v>39881</v>
      </c>
      <c r="AO809" s="4">
        <v>7</v>
      </c>
      <c r="AP809" s="5">
        <v>39878</v>
      </c>
      <c r="AQ809" s="5">
        <v>41533</v>
      </c>
      <c r="AR809" s="4"/>
      <c r="AS809" s="4"/>
      <c r="AT809" s="5">
        <v>39924</v>
      </c>
      <c r="AU809" s="5">
        <v>39925</v>
      </c>
      <c r="AV809" s="4">
        <v>1</v>
      </c>
      <c r="AW809" s="5">
        <v>39924</v>
      </c>
      <c r="AX809" s="5">
        <v>39925</v>
      </c>
      <c r="AY809" s="4"/>
      <c r="AZ809" s="5">
        <v>39880</v>
      </c>
      <c r="BA809" s="4"/>
      <c r="BB809" s="5">
        <v>39909</v>
      </c>
      <c r="BC809" s="4"/>
      <c r="BD809" s="4"/>
      <c r="BE809" s="5">
        <v>39909</v>
      </c>
      <c r="BF809" s="5">
        <v>39892</v>
      </c>
      <c r="BG809" s="5">
        <v>39885</v>
      </c>
      <c r="BH809" s="5">
        <v>39888</v>
      </c>
      <c r="BI809" s="4"/>
      <c r="BJ809" s="5">
        <v>39890</v>
      </c>
      <c r="BK809" s="4">
        <v>3</v>
      </c>
      <c r="BL809" s="4">
        <v>4</v>
      </c>
      <c r="BM809" s="5">
        <v>39892</v>
      </c>
      <c r="BN809" s="5">
        <v>39923</v>
      </c>
      <c r="BO809" s="5">
        <v>39911</v>
      </c>
      <c r="BP809" s="4"/>
      <c r="BQ809" s="4"/>
      <c r="BR809" s="4"/>
      <c r="BS809" s="4"/>
      <c r="BT809" s="5">
        <v>39923</v>
      </c>
      <c r="BU809" s="5">
        <v>39925</v>
      </c>
      <c r="BV809" s="5">
        <v>39933</v>
      </c>
      <c r="BW809" s="5">
        <v>39933</v>
      </c>
      <c r="BX809" s="4"/>
      <c r="BY809" s="5">
        <v>39960</v>
      </c>
      <c r="BZ809" s="5">
        <v>39960</v>
      </c>
      <c r="CA809" s="4"/>
      <c r="CB809" s="4"/>
      <c r="CC809" s="4"/>
      <c r="CD809" s="4"/>
      <c r="CE809" s="4"/>
      <c r="CF809" s="4"/>
      <c r="CG809" s="4"/>
      <c r="CH809" s="4"/>
      <c r="CI809" s="5">
        <v>39966</v>
      </c>
      <c r="CJ809" s="5">
        <v>39963</v>
      </c>
      <c r="CK809" s="5">
        <v>39966</v>
      </c>
      <c r="CL809" s="4"/>
      <c r="CM809" s="4"/>
      <c r="CN809" s="4"/>
      <c r="CO809" s="4"/>
      <c r="CP809" s="4" t="s">
        <v>2586</v>
      </c>
      <c r="CQ809" s="4"/>
      <c r="CR809" s="5">
        <v>39967</v>
      </c>
      <c r="CS809" s="4"/>
      <c r="CT809" s="4"/>
      <c r="CU809" s="4"/>
      <c r="CV809" s="4"/>
      <c r="CW809" s="5">
        <v>39948</v>
      </c>
      <c r="CX809" s="5">
        <v>39911</v>
      </c>
      <c r="CY809" s="4"/>
      <c r="CZ809" s="4"/>
      <c r="DA809" s="4"/>
      <c r="DB809" s="4"/>
      <c r="DC809" s="4"/>
      <c r="DD809" s="4"/>
      <c r="DE809" s="4"/>
      <c r="DF809" s="4"/>
      <c r="DG809" s="4"/>
      <c r="DH809" s="4"/>
      <c r="DI809" s="4"/>
      <c r="DJ809" s="4" t="b">
        <v>0</v>
      </c>
      <c r="DK809" s="4"/>
      <c r="DL809" s="4">
        <v>2476040</v>
      </c>
      <c r="DM809" s="4">
        <v>5738248</v>
      </c>
      <c r="DN809" s="4" t="s">
        <v>2587</v>
      </c>
      <c r="DO809" s="4"/>
      <c r="DP809" s="4"/>
      <c r="DQ809" s="4" t="s">
        <v>148</v>
      </c>
      <c r="DR809" s="4"/>
      <c r="DS809" s="4"/>
      <c r="DT809" s="5">
        <v>42313</v>
      </c>
      <c r="DU809" s="4"/>
      <c r="DV809" s="4"/>
      <c r="DW809" s="4"/>
      <c r="DX809" s="4"/>
      <c r="DY809" s="5">
        <v>39923</v>
      </c>
      <c r="DZ809" s="5">
        <v>39923</v>
      </c>
      <c r="EA809" s="4"/>
      <c r="EB809" s="4"/>
      <c r="EC809" s="4"/>
      <c r="ED809" s="4"/>
      <c r="EE809" s="4"/>
      <c r="EF809" s="4"/>
      <c r="EG809" s="4"/>
      <c r="EH809" s="4"/>
      <c r="EI809" s="5">
        <v>39881</v>
      </c>
    </row>
    <row r="810" spans="1:139" hidden="1" x14ac:dyDescent="0.2">
      <c r="A810">
        <f>VLOOKUP(B810,Sheet1!$A$1:$B$18,2,FALSE)</f>
        <v>0</v>
      </c>
      <c r="B810" t="str">
        <f>LEFT(D810,3)</f>
        <v>CHC</v>
      </c>
      <c r="C810" s="2">
        <v>809</v>
      </c>
      <c r="D810" s="3" t="str">
        <f>HYPERLINK("https://sitebase.nzcomms.co.nz/spm/spmnominalview/CHC-060-084/","CHC-060-084")</f>
        <v>CHC-060-084</v>
      </c>
      <c r="E810" s="4"/>
      <c r="F810" s="3" t="str">
        <f>HYPERLINK("https://sitebase.nzcomms.co.nz/spm/spmcandidateview/CHC-060-084-D/","CHC-060-084-D")</f>
        <v>CHC-060-084-D</v>
      </c>
      <c r="G810" s="4" t="s">
        <v>2588</v>
      </c>
      <c r="H810" s="4" t="s">
        <v>2353</v>
      </c>
      <c r="I810" s="4"/>
      <c r="J810" s="4" t="s">
        <v>139</v>
      </c>
      <c r="K810" s="4" t="s">
        <v>141</v>
      </c>
      <c r="L810" s="4" t="s">
        <v>150</v>
      </c>
      <c r="M810" s="4" t="s">
        <v>143</v>
      </c>
      <c r="N810" s="4" t="s">
        <v>291</v>
      </c>
      <c r="O810" s="4" t="s">
        <v>356</v>
      </c>
      <c r="P810" s="4"/>
      <c r="Q810" s="4"/>
      <c r="R810" s="4">
        <v>20</v>
      </c>
      <c r="S810" s="4">
        <v>20</v>
      </c>
      <c r="T810" s="4"/>
      <c r="U810" s="4">
        <v>-43.452304470000001</v>
      </c>
      <c r="V810" s="4">
        <v>172.61026371</v>
      </c>
      <c r="W810" s="4"/>
      <c r="X810" s="4"/>
      <c r="Y810" s="4"/>
      <c r="Z810" s="4"/>
      <c r="AA810" s="4" t="s">
        <v>217</v>
      </c>
      <c r="AB810" s="4" t="s">
        <v>2367</v>
      </c>
      <c r="AC810" s="4"/>
      <c r="AD810" s="4"/>
      <c r="AE810" s="4"/>
      <c r="AF810" s="4"/>
      <c r="AG810" s="4"/>
      <c r="AH810" s="4" t="s">
        <v>2589</v>
      </c>
      <c r="AI810" s="4"/>
      <c r="AJ810" s="4"/>
      <c r="AK810" s="4"/>
      <c r="AL810" s="4"/>
      <c r="AM810" s="4"/>
      <c r="AN810" s="5">
        <v>39671</v>
      </c>
      <c r="AO810" s="4">
        <v>2</v>
      </c>
      <c r="AP810" s="5">
        <v>39777</v>
      </c>
      <c r="AQ810" s="5">
        <v>39777</v>
      </c>
      <c r="AR810" s="4"/>
      <c r="AS810" s="4"/>
      <c r="AT810" s="5">
        <v>39752</v>
      </c>
      <c r="AU810" s="5">
        <v>39730</v>
      </c>
      <c r="AV810" s="4">
        <v>2</v>
      </c>
      <c r="AW810" s="5">
        <v>39752</v>
      </c>
      <c r="AX810" s="5">
        <v>39730</v>
      </c>
      <c r="AY810" s="4"/>
      <c r="AZ810" s="5">
        <v>39682</v>
      </c>
      <c r="BA810" s="4"/>
      <c r="BB810" s="5">
        <v>39717</v>
      </c>
      <c r="BC810" s="4"/>
      <c r="BD810" s="4"/>
      <c r="BE810" s="5">
        <v>39800</v>
      </c>
      <c r="BF810" s="5">
        <v>39800</v>
      </c>
      <c r="BG810" s="4"/>
      <c r="BH810" s="5">
        <v>39689</v>
      </c>
      <c r="BI810" s="4"/>
      <c r="BJ810" s="5">
        <v>39710</v>
      </c>
      <c r="BK810" s="4">
        <v>2</v>
      </c>
      <c r="BL810" s="4">
        <v>2</v>
      </c>
      <c r="BM810" s="5">
        <v>39778</v>
      </c>
      <c r="BN810" s="5">
        <v>39778</v>
      </c>
      <c r="BO810" s="5">
        <v>39829</v>
      </c>
      <c r="BP810" s="4"/>
      <c r="BQ810" s="4"/>
      <c r="BR810" s="4"/>
      <c r="BS810" s="4"/>
      <c r="BT810" s="4"/>
      <c r="BU810" s="5">
        <v>39827</v>
      </c>
      <c r="BV810" s="5">
        <v>39864</v>
      </c>
      <c r="BW810" s="5">
        <v>39864</v>
      </c>
      <c r="BX810" s="4"/>
      <c r="BY810" s="5">
        <v>39878</v>
      </c>
      <c r="BZ810" s="5">
        <v>39878</v>
      </c>
      <c r="CA810" s="4"/>
      <c r="CB810" s="4"/>
      <c r="CC810" s="4"/>
      <c r="CD810" s="4"/>
      <c r="CE810" s="4"/>
      <c r="CF810" s="4"/>
      <c r="CG810" s="4"/>
      <c r="CH810" s="4"/>
      <c r="CI810" s="5">
        <v>39882</v>
      </c>
      <c r="CJ810" s="5">
        <v>39888</v>
      </c>
      <c r="CK810" s="5">
        <v>39882</v>
      </c>
      <c r="CL810" s="4"/>
      <c r="CM810" s="4"/>
      <c r="CN810" s="4"/>
      <c r="CO810" s="4"/>
      <c r="CP810" s="4"/>
      <c r="CQ810" s="4"/>
      <c r="CR810" s="5">
        <v>39888</v>
      </c>
      <c r="CS810" s="4"/>
      <c r="CT810" s="4"/>
      <c r="CU810" s="4"/>
      <c r="CV810" s="4"/>
      <c r="CW810" s="5">
        <v>39825</v>
      </c>
      <c r="CX810" s="5">
        <v>39829</v>
      </c>
      <c r="CY810" s="4"/>
      <c r="CZ810" s="4"/>
      <c r="DA810" s="4"/>
      <c r="DB810" s="4"/>
      <c r="DC810" s="4"/>
      <c r="DD810" s="4"/>
      <c r="DE810" s="4"/>
      <c r="DF810" s="4"/>
      <c r="DG810" s="4"/>
      <c r="DH810" s="4"/>
      <c r="DI810" s="4"/>
      <c r="DJ810" s="4" t="b">
        <v>0</v>
      </c>
      <c r="DK810" s="4"/>
      <c r="DL810" s="4">
        <v>2478467</v>
      </c>
      <c r="DM810" s="4">
        <v>5750497</v>
      </c>
      <c r="DN810" s="4" t="s">
        <v>2590</v>
      </c>
      <c r="DO810" s="4"/>
      <c r="DP810" s="4"/>
      <c r="DQ810" s="4" t="s">
        <v>148</v>
      </c>
      <c r="DR810" s="4"/>
      <c r="DS810" s="4"/>
      <c r="DT810" s="5">
        <v>42296</v>
      </c>
      <c r="DU810" s="4"/>
      <c r="DV810" s="4"/>
      <c r="DW810" s="4"/>
      <c r="DX810" s="4"/>
      <c r="DY810" s="4"/>
      <c r="DZ810" s="5">
        <v>39801</v>
      </c>
      <c r="EA810" s="4"/>
      <c r="EB810" s="4"/>
      <c r="EC810" s="4"/>
      <c r="ED810" s="4"/>
      <c r="EE810" s="4"/>
      <c r="EF810" s="4"/>
      <c r="EG810" s="4"/>
      <c r="EH810" s="4"/>
      <c r="EI810" s="5">
        <v>39629</v>
      </c>
    </row>
    <row r="811" spans="1:139" hidden="1" x14ac:dyDescent="0.2">
      <c r="A811">
        <f>VLOOKUP(B811,Sheet1!$A$1:$B$18,2,FALSE)</f>
        <v>0</v>
      </c>
      <c r="B811" t="str">
        <f>LEFT(D811,3)</f>
        <v>CHC</v>
      </c>
      <c r="C811" s="2">
        <v>810</v>
      </c>
      <c r="D811" s="3" t="str">
        <f>HYPERLINK("https://sitebase.nzcomms.co.nz/spm/spmnominalview/CHC-060-085/","CHC-060-085")</f>
        <v>CHC-060-085</v>
      </c>
      <c r="E811" s="4"/>
      <c r="F811" s="3" t="str">
        <f>HYPERLINK("https://sitebase.nzcomms.co.nz/spm/spmcandidateview/CHC-060-085-C/","CHC-060-085-C")</f>
        <v>CHC-060-085-C</v>
      </c>
      <c r="G811" s="4" t="s">
        <v>2591</v>
      </c>
      <c r="H811" s="4" t="s">
        <v>2353</v>
      </c>
      <c r="I811" s="4"/>
      <c r="J811" s="4" t="s">
        <v>139</v>
      </c>
      <c r="K811" s="4" t="s">
        <v>141</v>
      </c>
      <c r="L811" s="4" t="s">
        <v>142</v>
      </c>
      <c r="M811" s="4" t="s">
        <v>143</v>
      </c>
      <c r="N811" s="4" t="s">
        <v>142</v>
      </c>
      <c r="O811" s="4" t="s">
        <v>144</v>
      </c>
      <c r="P811" s="4"/>
      <c r="Q811" s="4" t="s">
        <v>170</v>
      </c>
      <c r="R811" s="4">
        <v>20</v>
      </c>
      <c r="S811" s="4">
        <v>20</v>
      </c>
      <c r="T811" s="4"/>
      <c r="U811" s="4">
        <v>-43.538821120000001</v>
      </c>
      <c r="V811" s="4">
        <v>172.51118629000001</v>
      </c>
      <c r="W811" s="4"/>
      <c r="X811" s="4"/>
      <c r="Y811" s="4"/>
      <c r="Z811" s="4"/>
      <c r="AA811" s="4" t="s">
        <v>217</v>
      </c>
      <c r="AB811" s="4" t="s">
        <v>2376</v>
      </c>
      <c r="AC811" s="4"/>
      <c r="AD811" s="4"/>
      <c r="AE811" s="4"/>
      <c r="AF811" s="4"/>
      <c r="AG811" s="4"/>
      <c r="AH811" s="4" t="s">
        <v>2592</v>
      </c>
      <c r="AI811" s="4"/>
      <c r="AJ811" s="4"/>
      <c r="AK811" s="4"/>
      <c r="AL811" s="4"/>
      <c r="AM811" s="4"/>
      <c r="AN811" s="5">
        <v>39494</v>
      </c>
      <c r="AO811" s="4">
        <v>5</v>
      </c>
      <c r="AP811" s="5">
        <v>39720</v>
      </c>
      <c r="AQ811" s="5">
        <v>39720</v>
      </c>
      <c r="AR811" s="4"/>
      <c r="AS811" s="4"/>
      <c r="AT811" s="5">
        <v>39814</v>
      </c>
      <c r="AU811" s="5">
        <v>39804</v>
      </c>
      <c r="AV811" s="4">
        <v>5</v>
      </c>
      <c r="AW811" s="5">
        <v>39818</v>
      </c>
      <c r="AX811" s="5">
        <v>39814</v>
      </c>
      <c r="AY811" s="4"/>
      <c r="AZ811" s="5">
        <v>39777</v>
      </c>
      <c r="BA811" s="4"/>
      <c r="BB811" s="5">
        <v>39777</v>
      </c>
      <c r="BC811" s="4"/>
      <c r="BD811" s="4"/>
      <c r="BE811" s="5">
        <v>39777</v>
      </c>
      <c r="BF811" s="5">
        <v>39777</v>
      </c>
      <c r="BG811" s="4"/>
      <c r="BH811" s="5">
        <v>39567</v>
      </c>
      <c r="BI811" s="4"/>
      <c r="BJ811" s="5">
        <v>39765</v>
      </c>
      <c r="BK811" s="4">
        <v>2</v>
      </c>
      <c r="BL811" s="4">
        <v>5</v>
      </c>
      <c r="BM811" s="5">
        <v>39765</v>
      </c>
      <c r="BN811" s="5">
        <v>40073</v>
      </c>
      <c r="BO811" s="4"/>
      <c r="BP811" s="4"/>
      <c r="BQ811" s="4"/>
      <c r="BR811" s="4"/>
      <c r="BS811" s="4"/>
      <c r="BT811" s="4"/>
      <c r="BU811" s="5">
        <v>39860</v>
      </c>
      <c r="BV811" s="5">
        <v>39881</v>
      </c>
      <c r="BW811" s="5">
        <v>39871</v>
      </c>
      <c r="BX811" s="4"/>
      <c r="BY811" s="5">
        <v>39906</v>
      </c>
      <c r="BZ811" s="5">
        <v>39906</v>
      </c>
      <c r="CA811" s="4"/>
      <c r="CB811" s="4"/>
      <c r="CC811" s="4"/>
      <c r="CD811" s="4"/>
      <c r="CE811" s="4"/>
      <c r="CF811" s="4"/>
      <c r="CG811" s="4"/>
      <c r="CH811" s="4"/>
      <c r="CI811" s="5">
        <v>39909</v>
      </c>
      <c r="CJ811" s="5">
        <v>39913</v>
      </c>
      <c r="CK811" s="5">
        <v>39909</v>
      </c>
      <c r="CL811" s="4"/>
      <c r="CM811" s="4"/>
      <c r="CN811" s="4"/>
      <c r="CO811" s="4"/>
      <c r="CP811" s="4"/>
      <c r="CQ811" s="4"/>
      <c r="CR811" s="5">
        <v>39913</v>
      </c>
      <c r="CS811" s="4"/>
      <c r="CT811" s="4"/>
      <c r="CU811" s="4"/>
      <c r="CV811" s="4"/>
      <c r="CW811" s="4"/>
      <c r="CX811" s="4"/>
      <c r="CY811" s="4"/>
      <c r="CZ811" s="4"/>
      <c r="DA811" s="4"/>
      <c r="DB811" s="4"/>
      <c r="DC811" s="4"/>
      <c r="DD811" s="4"/>
      <c r="DE811" s="4"/>
      <c r="DF811" s="4"/>
      <c r="DG811" s="4"/>
      <c r="DH811" s="4"/>
      <c r="DI811" s="4"/>
      <c r="DJ811" s="4" t="b">
        <v>0</v>
      </c>
      <c r="DK811" s="4"/>
      <c r="DL811" s="4">
        <v>2470504</v>
      </c>
      <c r="DM811" s="4">
        <v>5740843</v>
      </c>
      <c r="DN811" s="4" t="s">
        <v>2593</v>
      </c>
      <c r="DO811" s="4"/>
      <c r="DP811" s="4"/>
      <c r="DQ811" s="4" t="s">
        <v>148</v>
      </c>
      <c r="DR811" s="4"/>
      <c r="DS811" s="4"/>
      <c r="DT811" s="5">
        <v>42313</v>
      </c>
      <c r="DU811" s="4"/>
      <c r="DV811" s="4"/>
      <c r="DW811" s="4"/>
      <c r="DX811" s="4"/>
      <c r="DY811" s="4"/>
      <c r="DZ811" s="5">
        <v>39853</v>
      </c>
      <c r="EA811" s="4"/>
      <c r="EB811" s="4"/>
      <c r="EC811" s="4"/>
      <c r="ED811" s="4"/>
      <c r="EE811" s="4"/>
      <c r="EF811" s="4"/>
      <c r="EG811" s="4"/>
      <c r="EH811" s="4"/>
      <c r="EI811" s="5">
        <v>39457</v>
      </c>
    </row>
    <row r="812" spans="1:139" hidden="1" x14ac:dyDescent="0.2">
      <c r="A812">
        <f>VLOOKUP(B812,Sheet1!$A$1:$B$18,2,FALSE)</f>
        <v>0</v>
      </c>
      <c r="B812" t="str">
        <f>LEFT(D812,3)</f>
        <v>CHC</v>
      </c>
      <c r="C812" s="2">
        <v>811</v>
      </c>
      <c r="D812" s="3" t="str">
        <f>HYPERLINK("https://sitebase.nzcomms.co.nz/spm/spmnominalview/CHC-060-086/","CHC-060-086")</f>
        <v>CHC-060-086</v>
      </c>
      <c r="E812" s="4" t="s">
        <v>2594</v>
      </c>
      <c r="F812" s="3" t="str">
        <f>HYPERLINK("https://sitebase.nzcomms.co.nz/spm/spmcandidateview/CHC-060-086-C/","CHC-060-086-C")</f>
        <v>CHC-060-086-C</v>
      </c>
      <c r="G812" s="4" t="s">
        <v>2595</v>
      </c>
      <c r="H812" s="4" t="s">
        <v>2353</v>
      </c>
      <c r="I812" s="4"/>
      <c r="J812" s="4" t="s">
        <v>139</v>
      </c>
      <c r="K812" s="4" t="s">
        <v>141</v>
      </c>
      <c r="L812" s="4" t="s">
        <v>150</v>
      </c>
      <c r="M812" s="4" t="s">
        <v>143</v>
      </c>
      <c r="N812" s="4" t="s">
        <v>291</v>
      </c>
      <c r="O812" s="4" t="s">
        <v>168</v>
      </c>
      <c r="P812" s="4" t="s">
        <v>182</v>
      </c>
      <c r="Q812" s="4"/>
      <c r="R812" s="4">
        <v>20</v>
      </c>
      <c r="S812" s="4">
        <v>20</v>
      </c>
      <c r="T812" s="4"/>
      <c r="U812" s="4">
        <v>-43.477501320000002</v>
      </c>
      <c r="V812" s="4">
        <v>172.59047452999999</v>
      </c>
      <c r="W812" s="4"/>
      <c r="X812" s="4"/>
      <c r="Y812" s="4"/>
      <c r="Z812" s="4"/>
      <c r="AA812" s="4"/>
      <c r="AB812" s="4"/>
      <c r="AC812" s="4"/>
      <c r="AD812" s="4"/>
      <c r="AE812" s="4"/>
      <c r="AF812" s="4"/>
      <c r="AG812" s="4"/>
      <c r="AH812" s="4"/>
      <c r="AI812" s="5">
        <v>41876</v>
      </c>
      <c r="AJ812" s="5">
        <v>41876</v>
      </c>
      <c r="AK812" s="5">
        <v>41879</v>
      </c>
      <c r="AL812" s="5">
        <v>41879</v>
      </c>
      <c r="AM812" s="5">
        <v>41894</v>
      </c>
      <c r="AN812" s="5">
        <v>41890</v>
      </c>
      <c r="AO812" s="4">
        <v>1</v>
      </c>
      <c r="AP812" s="5">
        <v>41901</v>
      </c>
      <c r="AQ812" s="5">
        <v>41890</v>
      </c>
      <c r="AR812" s="5">
        <v>41901</v>
      </c>
      <c r="AS812" s="4"/>
      <c r="AT812" s="5">
        <v>41908</v>
      </c>
      <c r="AU812" s="4"/>
      <c r="AV812" s="4"/>
      <c r="AW812" s="5">
        <v>41908</v>
      </c>
      <c r="AX812" s="4"/>
      <c r="AY812" s="4" t="s">
        <v>172</v>
      </c>
      <c r="AZ812" s="5">
        <v>41904</v>
      </c>
      <c r="BA812" s="4"/>
      <c r="BB812" s="5">
        <v>41929</v>
      </c>
      <c r="BC812" s="4"/>
      <c r="BD812" s="4"/>
      <c r="BE812" s="5">
        <v>41929</v>
      </c>
      <c r="BF812" s="4"/>
      <c r="BG812" s="4"/>
      <c r="BH812" s="4"/>
      <c r="BI812" s="4"/>
      <c r="BJ812" s="5">
        <v>41911</v>
      </c>
      <c r="BK812" s="4">
        <v>1</v>
      </c>
      <c r="BL812" s="4"/>
      <c r="BM812" s="4"/>
      <c r="BN812" s="5">
        <v>41911</v>
      </c>
      <c r="BO812" s="4"/>
      <c r="BP812" s="4"/>
      <c r="BQ812" s="4"/>
      <c r="BR812" s="4"/>
      <c r="BS812" s="4"/>
      <c r="BT812" s="5">
        <v>41961</v>
      </c>
      <c r="BU812" s="5">
        <v>41961</v>
      </c>
      <c r="BV812" s="5">
        <v>41961</v>
      </c>
      <c r="BW812" s="5">
        <v>41961</v>
      </c>
      <c r="BX812" s="4"/>
      <c r="BY812" s="4"/>
      <c r="BZ812" s="4"/>
      <c r="CA812" s="4"/>
      <c r="CB812" s="4"/>
      <c r="CC812" s="4"/>
      <c r="CD812" s="4"/>
      <c r="CE812" s="4"/>
      <c r="CF812" s="4"/>
      <c r="CG812" s="4"/>
      <c r="CH812" s="4"/>
      <c r="CI812" s="4"/>
      <c r="CJ812" s="4"/>
      <c r="CK812" s="5">
        <v>41961</v>
      </c>
      <c r="CL812" s="4"/>
      <c r="CM812" s="4"/>
      <c r="CN812" s="4"/>
      <c r="CO812" s="4"/>
      <c r="CP812" s="4" t="s">
        <v>2596</v>
      </c>
      <c r="CQ812" s="4"/>
      <c r="CR812" s="4"/>
      <c r="CS812" s="4"/>
      <c r="CT812" s="4"/>
      <c r="CU812" s="4"/>
      <c r="CV812" s="4"/>
      <c r="CW812" s="4"/>
      <c r="CX812" s="4"/>
      <c r="CY812" s="4"/>
      <c r="CZ812" s="4"/>
      <c r="DA812" s="4"/>
      <c r="DB812" s="4"/>
      <c r="DC812" s="4"/>
      <c r="DD812" s="4"/>
      <c r="DE812" s="4"/>
      <c r="DF812" s="4"/>
      <c r="DG812" s="4"/>
      <c r="DH812" s="4" t="s">
        <v>174</v>
      </c>
      <c r="DI812" s="4"/>
      <c r="DJ812" s="4" t="b">
        <v>0</v>
      </c>
      <c r="DK812" s="4"/>
      <c r="DL812" s="4">
        <v>2476879</v>
      </c>
      <c r="DM812" s="4">
        <v>5747690</v>
      </c>
      <c r="DN812" s="4" t="s">
        <v>2597</v>
      </c>
      <c r="DO812" s="4"/>
      <c r="DP812" s="4"/>
      <c r="DQ812" s="4" t="s">
        <v>148</v>
      </c>
      <c r="DR812" s="4"/>
      <c r="DS812" s="4"/>
      <c r="DT812" s="5">
        <v>42289</v>
      </c>
      <c r="DU812" s="4"/>
      <c r="DV812" s="4"/>
      <c r="DW812" s="4"/>
      <c r="DX812" s="4"/>
      <c r="DY812" s="4"/>
      <c r="DZ812" s="4"/>
      <c r="EA812" s="4"/>
      <c r="EB812" s="4"/>
      <c r="EC812" s="4"/>
      <c r="ED812" s="4"/>
      <c r="EE812" s="4"/>
      <c r="EF812" s="4"/>
      <c r="EG812" s="4"/>
      <c r="EH812" s="4"/>
      <c r="EI812" s="5">
        <v>41879</v>
      </c>
    </row>
    <row r="813" spans="1:139" hidden="1" x14ac:dyDescent="0.2">
      <c r="A813">
        <f>VLOOKUP(B813,Sheet1!$A$1:$B$18,2,FALSE)</f>
        <v>0</v>
      </c>
      <c r="B813" t="str">
        <f>LEFT(D813,3)</f>
        <v>CHC</v>
      </c>
      <c r="C813" s="2">
        <v>812</v>
      </c>
      <c r="D813" s="3" t="str">
        <f>HYPERLINK("https://sitebase.nzcomms.co.nz/spm/spmnominalview/CHC-060-087/","CHC-060-087")</f>
        <v>CHC-060-087</v>
      </c>
      <c r="E813" s="4"/>
      <c r="F813" s="3" t="str">
        <f>HYPERLINK("https://sitebase.nzcomms.co.nz/spm/spmcandidateview/CHC-060-087-A/","CHC-060-087-A")</f>
        <v>CHC-060-087-A</v>
      </c>
      <c r="G813" s="4" t="s">
        <v>2598</v>
      </c>
      <c r="H813" s="4" t="s">
        <v>2353</v>
      </c>
      <c r="I813" s="4">
        <v>8</v>
      </c>
      <c r="J813" s="4" t="s">
        <v>139</v>
      </c>
      <c r="K813" s="4" t="s">
        <v>141</v>
      </c>
      <c r="L813" s="4" t="s">
        <v>150</v>
      </c>
      <c r="M813" s="4" t="s">
        <v>143</v>
      </c>
      <c r="N813" s="4" t="s">
        <v>291</v>
      </c>
      <c r="O813" s="4" t="s">
        <v>144</v>
      </c>
      <c r="P813" s="4"/>
      <c r="Q813" s="4"/>
      <c r="R813" s="4">
        <v>20</v>
      </c>
      <c r="S813" s="4">
        <v>20</v>
      </c>
      <c r="T813" s="4"/>
      <c r="U813" s="4">
        <v>-43.503142420000003</v>
      </c>
      <c r="V813" s="4">
        <v>172.71116033000001</v>
      </c>
      <c r="W813" s="4"/>
      <c r="X813" s="4"/>
      <c r="Y813" s="4"/>
      <c r="Z813" s="4"/>
      <c r="AA813" s="4" t="s">
        <v>171</v>
      </c>
      <c r="AB813" s="3" t="str">
        <f>HYPERLINK("https://sitebase.nzcomms.co.nz/spm/spmcandidateview/CHC-060-097-A/","CHC-060-097-A")</f>
        <v>CHC-060-097-A</v>
      </c>
      <c r="AC813" s="4" t="b">
        <v>0</v>
      </c>
      <c r="AD813" s="4" t="b">
        <v>0</v>
      </c>
      <c r="AE813" s="4"/>
      <c r="AF813" s="4"/>
      <c r="AG813" s="4" t="b">
        <v>0</v>
      </c>
      <c r="AH813" s="4"/>
      <c r="AI813" s="4"/>
      <c r="AJ813" s="4"/>
      <c r="AK813" s="4"/>
      <c r="AL813" s="4"/>
      <c r="AM813" s="4"/>
      <c r="AN813" s="5">
        <v>39470</v>
      </c>
      <c r="AO813" s="4">
        <v>1</v>
      </c>
      <c r="AP813" s="5">
        <v>39470</v>
      </c>
      <c r="AQ813" s="5">
        <v>39470</v>
      </c>
      <c r="AR813" s="4"/>
      <c r="AS813" s="4"/>
      <c r="AT813" s="5">
        <v>39541</v>
      </c>
      <c r="AU813" s="5">
        <v>39541</v>
      </c>
      <c r="AV813" s="4">
        <v>1</v>
      </c>
      <c r="AW813" s="5">
        <v>39541</v>
      </c>
      <c r="AX813" s="5">
        <v>39541</v>
      </c>
      <c r="AY813" s="4"/>
      <c r="AZ813" s="4"/>
      <c r="BA813" s="4"/>
      <c r="BB813" s="4"/>
      <c r="BC813" s="4"/>
      <c r="BD813" s="4"/>
      <c r="BE813" s="5">
        <v>39500</v>
      </c>
      <c r="BF813" s="5">
        <v>39500</v>
      </c>
      <c r="BG813" s="4"/>
      <c r="BH813" s="5">
        <v>39519</v>
      </c>
      <c r="BI813" s="4"/>
      <c r="BJ813" s="5">
        <v>39568</v>
      </c>
      <c r="BK813" s="4">
        <v>1</v>
      </c>
      <c r="BL813" s="4">
        <v>1</v>
      </c>
      <c r="BM813" s="5">
        <v>39568</v>
      </c>
      <c r="BN813" s="5">
        <v>39568</v>
      </c>
      <c r="BO813" s="4"/>
      <c r="BP813" s="4"/>
      <c r="BQ813" s="4"/>
      <c r="BR813" s="4"/>
      <c r="BS813" s="4"/>
      <c r="BT813" s="4"/>
      <c r="BU813" s="5">
        <v>39598</v>
      </c>
      <c r="BV813" s="5">
        <v>39668</v>
      </c>
      <c r="BW813" s="5">
        <v>39668</v>
      </c>
      <c r="BX813" s="4"/>
      <c r="BY813" s="5">
        <v>39682</v>
      </c>
      <c r="BZ813" s="5">
        <v>39692</v>
      </c>
      <c r="CA813" s="4"/>
      <c r="CB813" s="4"/>
      <c r="CC813" s="4"/>
      <c r="CD813" s="4"/>
      <c r="CE813" s="4"/>
      <c r="CF813" s="4"/>
      <c r="CG813" s="4"/>
      <c r="CH813" s="4"/>
      <c r="CI813" s="5">
        <v>39822</v>
      </c>
      <c r="CJ813" s="5">
        <v>39903</v>
      </c>
      <c r="CK813" s="5">
        <v>39822</v>
      </c>
      <c r="CL813" s="4"/>
      <c r="CM813" s="4"/>
      <c r="CN813" s="4"/>
      <c r="CO813" s="4"/>
      <c r="CP813" s="4" t="s">
        <v>2599</v>
      </c>
      <c r="CQ813" s="4"/>
      <c r="CR813" s="5">
        <v>39903</v>
      </c>
      <c r="CS813" s="4"/>
      <c r="CT813" s="4"/>
      <c r="CU813" s="4"/>
      <c r="CV813" s="4"/>
      <c r="CW813" s="4"/>
      <c r="CX813" s="4"/>
      <c r="CY813" s="4"/>
      <c r="CZ813" s="4"/>
      <c r="DA813" s="4"/>
      <c r="DB813" s="4"/>
      <c r="DC813" s="4"/>
      <c r="DD813" s="4"/>
      <c r="DE813" s="4"/>
      <c r="DF813" s="4"/>
      <c r="DG813" s="4"/>
      <c r="DH813" s="4"/>
      <c r="DI813" s="4"/>
      <c r="DJ813" s="4" t="b">
        <v>0</v>
      </c>
      <c r="DK813" s="4"/>
      <c r="DL813" s="4">
        <v>2486653</v>
      </c>
      <c r="DM813" s="4">
        <v>5744882</v>
      </c>
      <c r="DN813" s="4" t="s">
        <v>2600</v>
      </c>
      <c r="DO813" s="4"/>
      <c r="DP813" s="4"/>
      <c r="DQ813" s="4" t="s">
        <v>148</v>
      </c>
      <c r="DR813" s="4"/>
      <c r="DS813" s="4"/>
      <c r="DT813" s="4"/>
      <c r="DU813" s="4"/>
      <c r="DV813" s="4"/>
      <c r="DW813" s="4"/>
      <c r="DX813" s="4"/>
      <c r="DY813" s="4"/>
      <c r="DZ813" s="5">
        <v>39650</v>
      </c>
      <c r="EA813" s="4"/>
      <c r="EB813" s="4"/>
      <c r="EC813" s="4"/>
      <c r="ED813" s="4"/>
      <c r="EE813" s="4"/>
      <c r="EF813" s="4"/>
      <c r="EG813" s="4"/>
      <c r="EH813" s="4"/>
      <c r="EI813" s="5">
        <v>39367</v>
      </c>
    </row>
    <row r="814" spans="1:139" hidden="1" x14ac:dyDescent="0.2">
      <c r="A814">
        <f>VLOOKUP(B814,Sheet1!$A$1:$B$18,2,FALSE)</f>
        <v>0</v>
      </c>
      <c r="B814" t="str">
        <f>LEFT(D814,3)</f>
        <v>CHC</v>
      </c>
      <c r="C814" s="2">
        <v>813</v>
      </c>
      <c r="D814" s="3" t="str">
        <f>HYPERLINK("https://sitebase.nzcomms.co.nz/spm/spmnominalview/CHC-060-088/","CHC-060-088")</f>
        <v>CHC-060-088</v>
      </c>
      <c r="E814" s="4" t="s">
        <v>2601</v>
      </c>
      <c r="F814" s="3" t="str">
        <f>HYPERLINK("https://sitebase.nzcomms.co.nz/spm/spmcandidateview/CHC-060-088-L/","CHC-060-088-L")</f>
        <v>CHC-060-088-L</v>
      </c>
      <c r="G814" s="4" t="s">
        <v>2601</v>
      </c>
      <c r="H814" s="4" t="s">
        <v>2353</v>
      </c>
      <c r="I814" s="4"/>
      <c r="J814" s="4" t="s">
        <v>139</v>
      </c>
      <c r="K814" s="4" t="s">
        <v>141</v>
      </c>
      <c r="L814" s="4" t="s">
        <v>189</v>
      </c>
      <c r="M814" s="4" t="s">
        <v>354</v>
      </c>
      <c r="N814" s="4" t="s">
        <v>2348</v>
      </c>
      <c r="O814" s="4" t="s">
        <v>356</v>
      </c>
      <c r="P814" s="4"/>
      <c r="Q814" s="4"/>
      <c r="R814" s="4">
        <v>18</v>
      </c>
      <c r="S814" s="4">
        <v>18</v>
      </c>
      <c r="T814" s="4"/>
      <c r="U814" s="4">
        <v>-43.547679950000003</v>
      </c>
      <c r="V814" s="4">
        <v>172.62170606000001</v>
      </c>
      <c r="W814" s="4"/>
      <c r="X814" s="4"/>
      <c r="Y814" s="4"/>
      <c r="Z814" s="4"/>
      <c r="AA814" s="4" t="s">
        <v>217</v>
      </c>
      <c r="AB814" s="4" t="s">
        <v>2518</v>
      </c>
      <c r="AC814" s="4"/>
      <c r="AD814" s="4"/>
      <c r="AE814" s="4"/>
      <c r="AF814" s="4"/>
      <c r="AG814" s="4"/>
      <c r="AH814" s="4" t="s">
        <v>2602</v>
      </c>
      <c r="AI814" s="4"/>
      <c r="AJ814" s="4"/>
      <c r="AK814" s="4"/>
      <c r="AL814" s="4"/>
      <c r="AM814" s="5">
        <v>39843</v>
      </c>
      <c r="AN814" s="5">
        <v>39843</v>
      </c>
      <c r="AO814" s="4">
        <v>4</v>
      </c>
      <c r="AP814" s="5">
        <v>39892</v>
      </c>
      <c r="AQ814" s="5">
        <v>41954</v>
      </c>
      <c r="AR814" s="4"/>
      <c r="AS814" s="4"/>
      <c r="AT814" s="5">
        <v>39869</v>
      </c>
      <c r="AU814" s="5">
        <v>39854</v>
      </c>
      <c r="AV814" s="4"/>
      <c r="AW814" s="5">
        <v>39912</v>
      </c>
      <c r="AX814" s="5">
        <v>39911</v>
      </c>
      <c r="AY814" s="4"/>
      <c r="AZ814" s="5">
        <v>39847</v>
      </c>
      <c r="BA814" s="4"/>
      <c r="BB814" s="5">
        <v>39871</v>
      </c>
      <c r="BC814" s="4"/>
      <c r="BD814" s="4"/>
      <c r="BE814" s="5">
        <v>39918</v>
      </c>
      <c r="BF814" s="5">
        <v>39918</v>
      </c>
      <c r="BG814" s="4"/>
      <c r="BH814" s="5">
        <v>39902</v>
      </c>
      <c r="BI814" s="4"/>
      <c r="BJ814" s="5">
        <v>39902</v>
      </c>
      <c r="BK814" s="4">
        <v>4</v>
      </c>
      <c r="BL814" s="4"/>
      <c r="BM814" s="5">
        <v>39899</v>
      </c>
      <c r="BN814" s="5">
        <v>42040</v>
      </c>
      <c r="BO814" s="5">
        <v>39919</v>
      </c>
      <c r="BP814" s="4"/>
      <c r="BQ814" s="4"/>
      <c r="BR814" s="4"/>
      <c r="BS814" s="4"/>
      <c r="BT814" s="5">
        <v>39937</v>
      </c>
      <c r="BU814" s="4"/>
      <c r="BV814" s="5">
        <v>39962</v>
      </c>
      <c r="BW814" s="4"/>
      <c r="BX814" s="4"/>
      <c r="BY814" s="5">
        <v>39973</v>
      </c>
      <c r="BZ814" s="5">
        <v>39972</v>
      </c>
      <c r="CA814" s="4"/>
      <c r="CB814" s="4"/>
      <c r="CC814" s="4"/>
      <c r="CD814" s="4"/>
      <c r="CE814" s="4"/>
      <c r="CF814" s="4"/>
      <c r="CG814" s="4"/>
      <c r="CH814" s="4"/>
      <c r="CI814" s="5">
        <v>39976</v>
      </c>
      <c r="CJ814" s="5">
        <v>39976</v>
      </c>
      <c r="CK814" s="5">
        <v>39976</v>
      </c>
      <c r="CL814" s="4"/>
      <c r="CM814" s="4"/>
      <c r="CN814" s="4"/>
      <c r="CO814" s="4"/>
      <c r="CP814" s="4" t="s">
        <v>2603</v>
      </c>
      <c r="CQ814" s="4"/>
      <c r="CR814" s="5">
        <v>39976</v>
      </c>
      <c r="CS814" s="4"/>
      <c r="CT814" s="4"/>
      <c r="CU814" s="4"/>
      <c r="CV814" s="4"/>
      <c r="CW814" s="5">
        <v>39919</v>
      </c>
      <c r="CX814" s="5">
        <v>39919</v>
      </c>
      <c r="CY814" s="4"/>
      <c r="CZ814" s="4"/>
      <c r="DA814" s="4"/>
      <c r="DB814" s="4"/>
      <c r="DC814" s="4"/>
      <c r="DD814" s="4"/>
      <c r="DE814" s="4"/>
      <c r="DF814" s="4"/>
      <c r="DG814" s="4"/>
      <c r="DH814" s="4"/>
      <c r="DI814" s="4"/>
      <c r="DJ814" s="4" t="b">
        <v>0</v>
      </c>
      <c r="DK814" s="4"/>
      <c r="DL814" s="4">
        <v>2479441</v>
      </c>
      <c r="DM814" s="4">
        <v>5739905</v>
      </c>
      <c r="DN814" s="4" t="s">
        <v>2604</v>
      </c>
      <c r="DO814" s="4"/>
      <c r="DP814" s="4"/>
      <c r="DQ814" s="4" t="s">
        <v>148</v>
      </c>
      <c r="DR814" s="4"/>
      <c r="DS814" s="4"/>
      <c r="DT814" s="5">
        <v>41901</v>
      </c>
      <c r="DU814" s="4"/>
      <c r="DV814" s="4"/>
      <c r="DW814" s="4"/>
      <c r="DX814" s="4"/>
      <c r="DY814" s="5">
        <v>39918</v>
      </c>
      <c r="DZ814" s="5">
        <v>39925</v>
      </c>
      <c r="EA814" s="4"/>
      <c r="EB814" s="4"/>
      <c r="EC814" s="4"/>
      <c r="ED814" s="4"/>
      <c r="EE814" s="4"/>
      <c r="EF814" s="4"/>
      <c r="EG814" s="4"/>
      <c r="EH814" s="4"/>
      <c r="EI814" s="5">
        <v>39828</v>
      </c>
    </row>
    <row r="815" spans="1:139" hidden="1" x14ac:dyDescent="0.2">
      <c r="A815">
        <f>VLOOKUP(B815,Sheet1!$A$1:$B$18,2,FALSE)</f>
        <v>0</v>
      </c>
      <c r="B815" t="str">
        <f>LEFT(D815,3)</f>
        <v>CHC</v>
      </c>
      <c r="C815" s="2">
        <v>814</v>
      </c>
      <c r="D815" s="3" t="str">
        <f>HYPERLINK("https://sitebase.nzcomms.co.nz/spm/spmnominalview/CHC-060-089/","CHC-060-089")</f>
        <v>CHC-060-089</v>
      </c>
      <c r="E815" s="4"/>
      <c r="F815" s="3" t="str">
        <f>HYPERLINK("https://sitebase.nzcomms.co.nz/spm/spmcandidateview/CHC-060-089-A/","CHC-060-089-A")</f>
        <v>CHC-060-089-A</v>
      </c>
      <c r="G815" s="4" t="s">
        <v>2605</v>
      </c>
      <c r="H815" s="4" t="s">
        <v>2353</v>
      </c>
      <c r="I815" s="4"/>
      <c r="J815" s="4" t="s">
        <v>139</v>
      </c>
      <c r="K815" s="4" t="s">
        <v>141</v>
      </c>
      <c r="L815" s="4" t="s">
        <v>150</v>
      </c>
      <c r="M815" s="4" t="s">
        <v>143</v>
      </c>
      <c r="N815" s="4" t="s">
        <v>291</v>
      </c>
      <c r="O815" s="4" t="s">
        <v>144</v>
      </c>
      <c r="P815" s="4"/>
      <c r="Q815" s="4"/>
      <c r="R815" s="4">
        <v>20</v>
      </c>
      <c r="S815" s="4">
        <v>20</v>
      </c>
      <c r="T815" s="4"/>
      <c r="U815" s="4">
        <v>-43.549145680000002</v>
      </c>
      <c r="V815" s="4">
        <v>172.68076092999999</v>
      </c>
      <c r="W815" s="4"/>
      <c r="X815" s="4"/>
      <c r="Y815" s="4"/>
      <c r="Z815" s="4"/>
      <c r="AA815" s="4" t="s">
        <v>217</v>
      </c>
      <c r="AB815" s="4" t="s">
        <v>2606</v>
      </c>
      <c r="AC815" s="4"/>
      <c r="AD815" s="4"/>
      <c r="AE815" s="4"/>
      <c r="AF815" s="4"/>
      <c r="AG815" s="4"/>
      <c r="AH815" s="4" t="s">
        <v>2607</v>
      </c>
      <c r="AI815" s="4"/>
      <c r="AJ815" s="4"/>
      <c r="AK815" s="4"/>
      <c r="AL815" s="4"/>
      <c r="AM815" s="4"/>
      <c r="AN815" s="5">
        <v>39351</v>
      </c>
      <c r="AO815" s="4">
        <v>3</v>
      </c>
      <c r="AP815" s="5">
        <v>39751</v>
      </c>
      <c r="AQ815" s="5">
        <v>39464</v>
      </c>
      <c r="AR815" s="4"/>
      <c r="AS815" s="4"/>
      <c r="AT815" s="5">
        <v>39752</v>
      </c>
      <c r="AU815" s="5">
        <v>39722</v>
      </c>
      <c r="AV815" s="4">
        <v>3</v>
      </c>
      <c r="AW815" s="5">
        <v>39752</v>
      </c>
      <c r="AX815" s="5">
        <v>39722</v>
      </c>
      <c r="AY815" s="4"/>
      <c r="AZ815" s="4"/>
      <c r="BA815" s="4"/>
      <c r="BB815" s="5">
        <v>39749</v>
      </c>
      <c r="BC815" s="4"/>
      <c r="BD815" s="4"/>
      <c r="BE815" s="5">
        <v>39749</v>
      </c>
      <c r="BF815" s="5">
        <v>39749</v>
      </c>
      <c r="BG815" s="4"/>
      <c r="BH815" s="5">
        <v>39713</v>
      </c>
      <c r="BI815" s="4"/>
      <c r="BJ815" s="5">
        <v>39806</v>
      </c>
      <c r="BK815" s="4">
        <v>1</v>
      </c>
      <c r="BL815" s="4">
        <v>3</v>
      </c>
      <c r="BM815" s="5">
        <v>39806</v>
      </c>
      <c r="BN815" s="5">
        <v>39806</v>
      </c>
      <c r="BO815" s="5">
        <v>39836</v>
      </c>
      <c r="BP815" s="4"/>
      <c r="BQ815" s="4"/>
      <c r="BR815" s="4"/>
      <c r="BS815" s="4"/>
      <c r="BT815" s="4"/>
      <c r="BU815" s="5">
        <v>39863</v>
      </c>
      <c r="BV815" s="5">
        <v>39885</v>
      </c>
      <c r="BW815" s="5">
        <v>39884</v>
      </c>
      <c r="BX815" s="4"/>
      <c r="BY815" s="5">
        <v>39895</v>
      </c>
      <c r="BZ815" s="5">
        <v>39892</v>
      </c>
      <c r="CA815" s="4"/>
      <c r="CB815" s="4"/>
      <c r="CC815" s="4"/>
      <c r="CD815" s="4"/>
      <c r="CE815" s="4"/>
      <c r="CF815" s="4"/>
      <c r="CG815" s="4"/>
      <c r="CH815" s="4"/>
      <c r="CI815" s="5">
        <v>39903</v>
      </c>
      <c r="CJ815" s="5">
        <v>39903</v>
      </c>
      <c r="CK815" s="5">
        <v>39903</v>
      </c>
      <c r="CL815" s="4"/>
      <c r="CM815" s="4"/>
      <c r="CN815" s="4"/>
      <c r="CO815" s="4"/>
      <c r="CP815" s="4"/>
      <c r="CQ815" s="4"/>
      <c r="CR815" s="5">
        <v>39903</v>
      </c>
      <c r="CS815" s="4"/>
      <c r="CT815" s="4"/>
      <c r="CU815" s="4"/>
      <c r="CV815" s="4"/>
      <c r="CW815" s="5">
        <v>39832</v>
      </c>
      <c r="CX815" s="5">
        <v>39836</v>
      </c>
      <c r="CY815" s="4"/>
      <c r="CZ815" s="4"/>
      <c r="DA815" s="4"/>
      <c r="DB815" s="4"/>
      <c r="DC815" s="4"/>
      <c r="DD815" s="4"/>
      <c r="DE815" s="4"/>
      <c r="DF815" s="4"/>
      <c r="DG815" s="4"/>
      <c r="DH815" s="4"/>
      <c r="DI815" s="4"/>
      <c r="DJ815" s="4" t="b">
        <v>0</v>
      </c>
      <c r="DK815" s="4"/>
      <c r="DL815" s="4">
        <v>2484214</v>
      </c>
      <c r="DM815" s="4">
        <v>5739762</v>
      </c>
      <c r="DN815" s="4" t="s">
        <v>2608</v>
      </c>
      <c r="DO815" s="4"/>
      <c r="DP815" s="4"/>
      <c r="DQ815" s="4" t="s">
        <v>148</v>
      </c>
      <c r="DR815" s="4"/>
      <c r="DS815" s="4"/>
      <c r="DT815" s="4"/>
      <c r="DU815" s="4"/>
      <c r="DV815" s="4"/>
      <c r="DW815" s="4"/>
      <c r="DX815" s="4"/>
      <c r="DY815" s="4"/>
      <c r="DZ815" s="5">
        <v>39806</v>
      </c>
      <c r="EA815" s="4"/>
      <c r="EB815" s="4"/>
      <c r="EC815" s="4"/>
      <c r="ED815" s="4"/>
      <c r="EE815" s="4"/>
      <c r="EF815" s="4"/>
      <c r="EG815" s="4"/>
      <c r="EH815" s="4"/>
      <c r="EI815" s="5">
        <v>39332</v>
      </c>
    </row>
    <row r="816" spans="1:139" hidden="1" x14ac:dyDescent="0.2">
      <c r="A816">
        <f>VLOOKUP(B816,Sheet1!$A$1:$B$18,2,FALSE)</f>
        <v>0</v>
      </c>
      <c r="B816" t="str">
        <f>LEFT(D816,3)</f>
        <v>CHC</v>
      </c>
      <c r="C816" s="2">
        <v>815</v>
      </c>
      <c r="D816" s="3" t="str">
        <f>HYPERLINK("https://sitebase.nzcomms.co.nz/spm/spmnominalview/CHC-060-090/","CHC-060-090")</f>
        <v>CHC-060-090</v>
      </c>
      <c r="E816" s="4"/>
      <c r="F816" s="3" t="str">
        <f>HYPERLINK("https://sitebase.nzcomms.co.nz/spm/spmcandidateview/CHC-060-090-D/","CHC-060-090-D")</f>
        <v>CHC-060-090-D</v>
      </c>
      <c r="G816" s="4" t="s">
        <v>2609</v>
      </c>
      <c r="H816" s="4" t="s">
        <v>2353</v>
      </c>
      <c r="I816" s="4"/>
      <c r="J816" s="4" t="s">
        <v>139</v>
      </c>
      <c r="K816" s="4" t="s">
        <v>141</v>
      </c>
      <c r="L816" s="4" t="s">
        <v>150</v>
      </c>
      <c r="M816" s="4" t="s">
        <v>143</v>
      </c>
      <c r="N816" s="4" t="s">
        <v>291</v>
      </c>
      <c r="O816" s="4" t="s">
        <v>144</v>
      </c>
      <c r="P816" s="4"/>
      <c r="Q816" s="4"/>
      <c r="R816" s="4">
        <v>20</v>
      </c>
      <c r="S816" s="4">
        <v>20</v>
      </c>
      <c r="T816" s="4"/>
      <c r="U816" s="4">
        <v>-43.51183211</v>
      </c>
      <c r="V816" s="4">
        <v>172.50393277000001</v>
      </c>
      <c r="W816" s="4"/>
      <c r="X816" s="4"/>
      <c r="Y816" s="4"/>
      <c r="Z816" s="4"/>
      <c r="AA816" s="4" t="s">
        <v>217</v>
      </c>
      <c r="AB816" s="4" t="s">
        <v>2405</v>
      </c>
      <c r="AC816" s="4"/>
      <c r="AD816" s="4"/>
      <c r="AE816" s="4"/>
      <c r="AF816" s="4"/>
      <c r="AG816" s="4"/>
      <c r="AH816" s="4" t="s">
        <v>2610</v>
      </c>
      <c r="AI816" s="4"/>
      <c r="AJ816" s="4"/>
      <c r="AK816" s="4"/>
      <c r="AL816" s="4"/>
      <c r="AM816" s="4"/>
      <c r="AN816" s="5">
        <v>39416</v>
      </c>
      <c r="AO816" s="4">
        <v>2</v>
      </c>
      <c r="AP816" s="5">
        <v>39464</v>
      </c>
      <c r="AQ816" s="5">
        <v>39464</v>
      </c>
      <c r="AR816" s="4"/>
      <c r="AS816" s="4"/>
      <c r="AT816" s="5">
        <v>39519</v>
      </c>
      <c r="AU816" s="5">
        <v>39519</v>
      </c>
      <c r="AV816" s="4">
        <v>2</v>
      </c>
      <c r="AW816" s="5">
        <v>39519</v>
      </c>
      <c r="AX816" s="5">
        <v>39519</v>
      </c>
      <c r="AY816" s="4"/>
      <c r="AZ816" s="4"/>
      <c r="BA816" s="4"/>
      <c r="BB816" s="4"/>
      <c r="BC816" s="4"/>
      <c r="BD816" s="4"/>
      <c r="BE816" s="5">
        <v>39500</v>
      </c>
      <c r="BF816" s="5">
        <v>39500</v>
      </c>
      <c r="BG816" s="4"/>
      <c r="BH816" s="5">
        <v>39490</v>
      </c>
      <c r="BI816" s="4"/>
      <c r="BJ816" s="5">
        <v>39581</v>
      </c>
      <c r="BK816" s="4">
        <v>2</v>
      </c>
      <c r="BL816" s="4">
        <v>2</v>
      </c>
      <c r="BM816" s="5">
        <v>39633</v>
      </c>
      <c r="BN816" s="5">
        <v>39633</v>
      </c>
      <c r="BO816" s="4"/>
      <c r="BP816" s="4"/>
      <c r="BQ816" s="4"/>
      <c r="BR816" s="4"/>
      <c r="BS816" s="4"/>
      <c r="BT816" s="4"/>
      <c r="BU816" s="5">
        <v>39602</v>
      </c>
      <c r="BV816" s="5">
        <v>39629</v>
      </c>
      <c r="BW816" s="5">
        <v>39629</v>
      </c>
      <c r="BX816" s="4"/>
      <c r="BY816" s="5">
        <v>39643</v>
      </c>
      <c r="BZ816" s="5">
        <v>39654</v>
      </c>
      <c r="CA816" s="4"/>
      <c r="CB816" s="4"/>
      <c r="CC816" s="4"/>
      <c r="CD816" s="4"/>
      <c r="CE816" s="4"/>
      <c r="CF816" s="4"/>
      <c r="CG816" s="4"/>
      <c r="CH816" s="4"/>
      <c r="CI816" s="5">
        <v>39912</v>
      </c>
      <c r="CJ816" s="5">
        <v>39913</v>
      </c>
      <c r="CK816" s="5">
        <v>39912</v>
      </c>
      <c r="CL816" s="4"/>
      <c r="CM816" s="4"/>
      <c r="CN816" s="4"/>
      <c r="CO816" s="4"/>
      <c r="CP816" s="4"/>
      <c r="CQ816" s="4"/>
      <c r="CR816" s="5">
        <v>39913</v>
      </c>
      <c r="CS816" s="4"/>
      <c r="CT816" s="4"/>
      <c r="CU816" s="4"/>
      <c r="CV816" s="4"/>
      <c r="CW816" s="4"/>
      <c r="CX816" s="4"/>
      <c r="CY816" s="4"/>
      <c r="CZ816" s="4"/>
      <c r="DA816" s="4"/>
      <c r="DB816" s="4"/>
      <c r="DC816" s="4"/>
      <c r="DD816" s="4"/>
      <c r="DE816" s="4"/>
      <c r="DF816" s="4"/>
      <c r="DG816" s="4"/>
      <c r="DH816" s="4"/>
      <c r="DI816" s="4"/>
      <c r="DJ816" s="4" t="b">
        <v>0</v>
      </c>
      <c r="DK816" s="4"/>
      <c r="DL816" s="4">
        <v>2469900</v>
      </c>
      <c r="DM816" s="4">
        <v>5743838</v>
      </c>
      <c r="DN816" s="4" t="s">
        <v>2611</v>
      </c>
      <c r="DO816" s="4"/>
      <c r="DP816" s="4"/>
      <c r="DQ816" s="4" t="s">
        <v>148</v>
      </c>
      <c r="DR816" s="4"/>
      <c r="DS816" s="4"/>
      <c r="DT816" s="4"/>
      <c r="DU816" s="4"/>
      <c r="DV816" s="4"/>
      <c r="DW816" s="4"/>
      <c r="DX816" s="4"/>
      <c r="DY816" s="4"/>
      <c r="DZ816" s="5">
        <v>39582</v>
      </c>
      <c r="EA816" s="4"/>
      <c r="EB816" s="4"/>
      <c r="EC816" s="4"/>
      <c r="ED816" s="4"/>
      <c r="EE816" s="4"/>
      <c r="EF816" s="4"/>
      <c r="EG816" s="4"/>
      <c r="EH816" s="4"/>
      <c r="EI816" s="5">
        <v>39384</v>
      </c>
    </row>
    <row r="817" spans="1:139" hidden="1" x14ac:dyDescent="0.2">
      <c r="A817">
        <f>VLOOKUP(B817,Sheet1!$A$1:$B$18,2,FALSE)</f>
        <v>0</v>
      </c>
      <c r="B817" t="str">
        <f>LEFT(D817,3)</f>
        <v>CHC</v>
      </c>
      <c r="C817" s="2">
        <v>816</v>
      </c>
      <c r="D817" s="3" t="str">
        <f>HYPERLINK("https://sitebase.nzcomms.co.nz/spm/spmnominalview/CHC-060-091/","CHC-060-091")</f>
        <v>CHC-060-091</v>
      </c>
      <c r="E817" s="4"/>
      <c r="F817" s="3" t="str">
        <f>HYPERLINK("https://sitebase.nzcomms.co.nz/spm/spmcandidateview/CHC-060-091-D/","CHC-060-091-D")</f>
        <v>CHC-060-091-D</v>
      </c>
      <c r="G817" s="4" t="s">
        <v>2612</v>
      </c>
      <c r="H817" s="4" t="s">
        <v>2353</v>
      </c>
      <c r="I817" s="4"/>
      <c r="J817" s="4" t="s">
        <v>139</v>
      </c>
      <c r="K817" s="4" t="s">
        <v>141</v>
      </c>
      <c r="L817" s="4" t="s">
        <v>189</v>
      </c>
      <c r="M817" s="4" t="s">
        <v>143</v>
      </c>
      <c r="N817" s="4" t="s">
        <v>2348</v>
      </c>
      <c r="O817" s="4" t="s">
        <v>356</v>
      </c>
      <c r="P817" s="4"/>
      <c r="Q817" s="4"/>
      <c r="R817" s="4">
        <v>18</v>
      </c>
      <c r="S817" s="4">
        <v>18</v>
      </c>
      <c r="T817" s="4"/>
      <c r="U817" s="4">
        <v>-43.559796679999998</v>
      </c>
      <c r="V817" s="4">
        <v>172.61950210000001</v>
      </c>
      <c r="W817" s="4"/>
      <c r="X817" s="4"/>
      <c r="Y817" s="4"/>
      <c r="Z817" s="4"/>
      <c r="AA817" s="4" t="s">
        <v>171</v>
      </c>
      <c r="AB817" s="3" t="str">
        <f>HYPERLINK("https://sitebase.nzcomms.co.nz/spm/spmcandidateview/CHC-060-035-C/","CHC-060-035-C")</f>
        <v>CHC-060-035-C</v>
      </c>
      <c r="AC817" s="4"/>
      <c r="AD817" s="4"/>
      <c r="AE817" s="4"/>
      <c r="AF817" s="4"/>
      <c r="AG817" s="4"/>
      <c r="AH817" s="4" t="s">
        <v>2613</v>
      </c>
      <c r="AI817" s="4"/>
      <c r="AJ817" s="4"/>
      <c r="AK817" s="4"/>
      <c r="AL817" s="4"/>
      <c r="AM817" s="4"/>
      <c r="AN817" s="5">
        <v>39541</v>
      </c>
      <c r="AO817" s="4">
        <v>5</v>
      </c>
      <c r="AP817" s="5">
        <v>39541</v>
      </c>
      <c r="AQ817" s="5">
        <v>39966</v>
      </c>
      <c r="AR817" s="4"/>
      <c r="AS817" s="4"/>
      <c r="AT817" s="5">
        <v>39503</v>
      </c>
      <c r="AU817" s="5">
        <v>39503</v>
      </c>
      <c r="AV817" s="4">
        <v>1</v>
      </c>
      <c r="AW817" s="5">
        <v>39503</v>
      </c>
      <c r="AX817" s="5">
        <v>39503</v>
      </c>
      <c r="AY817" s="4"/>
      <c r="AZ817" s="4"/>
      <c r="BA817" s="4"/>
      <c r="BB817" s="4"/>
      <c r="BC817" s="4"/>
      <c r="BD817" s="4"/>
      <c r="BE817" s="5">
        <v>39594</v>
      </c>
      <c r="BF817" s="5">
        <v>39976</v>
      </c>
      <c r="BG817" s="4"/>
      <c r="BH817" s="5">
        <v>39567</v>
      </c>
      <c r="BI817" s="4"/>
      <c r="BJ817" s="5">
        <v>39595</v>
      </c>
      <c r="BK817" s="4">
        <v>3</v>
      </c>
      <c r="BL817" s="4">
        <v>5</v>
      </c>
      <c r="BM817" s="5">
        <v>39710</v>
      </c>
      <c r="BN817" s="5">
        <v>39966</v>
      </c>
      <c r="BO817" s="4"/>
      <c r="BP817" s="4"/>
      <c r="BQ817" s="4"/>
      <c r="BR817" s="4"/>
      <c r="BS817" s="4"/>
      <c r="BT817" s="4"/>
      <c r="BU817" s="5">
        <v>39715</v>
      </c>
      <c r="BV817" s="5">
        <v>39752</v>
      </c>
      <c r="BW817" s="5">
        <v>39752</v>
      </c>
      <c r="BX817" s="4"/>
      <c r="BY817" s="5">
        <v>39836</v>
      </c>
      <c r="BZ817" s="5">
        <v>39829</v>
      </c>
      <c r="CA817" s="4"/>
      <c r="CB817" s="4"/>
      <c r="CC817" s="4"/>
      <c r="CD817" s="4"/>
      <c r="CE817" s="4"/>
      <c r="CF817" s="4"/>
      <c r="CG817" s="4"/>
      <c r="CH817" s="4"/>
      <c r="CI817" s="5">
        <v>39842</v>
      </c>
      <c r="CJ817" s="5">
        <v>39843</v>
      </c>
      <c r="CK817" s="5">
        <v>39842</v>
      </c>
      <c r="CL817" s="4"/>
      <c r="CM817" s="4"/>
      <c r="CN817" s="4"/>
      <c r="CO817" s="4"/>
      <c r="CP817" s="4"/>
      <c r="CQ817" s="4"/>
      <c r="CR817" s="5">
        <v>39843</v>
      </c>
      <c r="CS817" s="4"/>
      <c r="CT817" s="4"/>
      <c r="CU817" s="4"/>
      <c r="CV817" s="4"/>
      <c r="CW817" s="4"/>
      <c r="CX817" s="4"/>
      <c r="CY817" s="4"/>
      <c r="CZ817" s="4"/>
      <c r="DA817" s="4"/>
      <c r="DB817" s="4"/>
      <c r="DC817" s="4"/>
      <c r="DD817" s="4"/>
      <c r="DE817" s="4"/>
      <c r="DF817" s="4"/>
      <c r="DG817" s="4"/>
      <c r="DH817" s="4"/>
      <c r="DI817" s="4"/>
      <c r="DJ817" s="4" t="b">
        <v>0</v>
      </c>
      <c r="DK817" s="4"/>
      <c r="DL817" s="4">
        <v>2479269</v>
      </c>
      <c r="DM817" s="4">
        <v>5738558</v>
      </c>
      <c r="DN817" s="4" t="s">
        <v>2614</v>
      </c>
      <c r="DO817" s="4"/>
      <c r="DP817" s="4"/>
      <c r="DQ817" s="4" t="s">
        <v>148</v>
      </c>
      <c r="DR817" s="4"/>
      <c r="DS817" s="4"/>
      <c r="DT817" s="5">
        <v>42306</v>
      </c>
      <c r="DU817" s="4"/>
      <c r="DV817" s="4"/>
      <c r="DW817" s="4"/>
      <c r="DX817" s="4"/>
      <c r="DY817" s="4"/>
      <c r="DZ817" s="5">
        <v>39714</v>
      </c>
      <c r="EA817" s="4"/>
      <c r="EB817" s="4"/>
      <c r="EC817" s="4"/>
      <c r="ED817" s="4"/>
      <c r="EE817" s="4"/>
      <c r="EF817" s="4"/>
      <c r="EG817" s="4"/>
      <c r="EH817" s="4"/>
      <c r="EI817" s="5">
        <v>39485</v>
      </c>
    </row>
    <row r="818" spans="1:139" hidden="1" x14ac:dyDescent="0.2">
      <c r="A818">
        <f>VLOOKUP(B818,Sheet1!$A$1:$B$18,2,FALSE)</f>
        <v>0</v>
      </c>
      <c r="B818" t="str">
        <f>LEFT(D818,3)</f>
        <v>CHC</v>
      </c>
      <c r="C818" s="2">
        <v>817</v>
      </c>
      <c r="D818" s="3" t="str">
        <f>HYPERLINK("https://sitebase.nzcomms.co.nz/spm/spmnominalview/CHC-060-092/","CHC-060-092")</f>
        <v>CHC-060-092</v>
      </c>
      <c r="E818" s="4"/>
      <c r="F818" s="3" t="str">
        <f>HYPERLINK("https://sitebase.nzcomms.co.nz/spm/spmcandidateview/CHC-060-092-G/","CHC-060-092-G")</f>
        <v>CHC-060-092-G</v>
      </c>
      <c r="G818" s="4" t="s">
        <v>419</v>
      </c>
      <c r="H818" s="4" t="s">
        <v>2353</v>
      </c>
      <c r="I818" s="4"/>
      <c r="J818" s="4" t="s">
        <v>139</v>
      </c>
      <c r="K818" s="4" t="s">
        <v>141</v>
      </c>
      <c r="L818" s="4" t="s">
        <v>189</v>
      </c>
      <c r="M818" s="4" t="s">
        <v>143</v>
      </c>
      <c r="N818" s="4" t="s">
        <v>2348</v>
      </c>
      <c r="O818" s="4" t="s">
        <v>297</v>
      </c>
      <c r="P818" s="4"/>
      <c r="Q818" s="4" t="s">
        <v>192</v>
      </c>
      <c r="R818" s="4">
        <v>18</v>
      </c>
      <c r="S818" s="4">
        <v>18</v>
      </c>
      <c r="T818" s="4">
        <v>1</v>
      </c>
      <c r="U818" s="4">
        <v>-43.48432768</v>
      </c>
      <c r="V818" s="4">
        <v>172.60696842999999</v>
      </c>
      <c r="W818" s="5">
        <v>40098</v>
      </c>
      <c r="X818" s="5">
        <v>40098</v>
      </c>
      <c r="Y818" s="5">
        <v>40221</v>
      </c>
      <c r="Z818" s="5">
        <v>40221</v>
      </c>
      <c r="AA818" s="4" t="s">
        <v>171</v>
      </c>
      <c r="AB818" s="3" t="str">
        <f>HYPERLINK("https://sitebase.nzcomms.co.nz/spm/spmcandidateview/CHC-060-086-A/","CHC-060-086-A")</f>
        <v>CHC-060-086-A</v>
      </c>
      <c r="AC818" s="4" t="b">
        <v>1</v>
      </c>
      <c r="AD818" s="4" t="b">
        <v>1</v>
      </c>
      <c r="AE818" s="5">
        <v>40098</v>
      </c>
      <c r="AF818" s="5">
        <v>40098</v>
      </c>
      <c r="AG818" s="4" t="b">
        <v>1</v>
      </c>
      <c r="AH818" s="4" t="s">
        <v>2615</v>
      </c>
      <c r="AI818" s="4"/>
      <c r="AJ818" s="4"/>
      <c r="AK818" s="4"/>
      <c r="AL818" s="4"/>
      <c r="AM818" s="4"/>
      <c r="AN818" s="5">
        <v>40217</v>
      </c>
      <c r="AO818" s="4">
        <v>2</v>
      </c>
      <c r="AP818" s="5">
        <v>40325</v>
      </c>
      <c r="AQ818" s="5">
        <v>40359</v>
      </c>
      <c r="AR818" s="4"/>
      <c r="AS818" s="4"/>
      <c r="AT818" s="5">
        <v>40385</v>
      </c>
      <c r="AU818" s="5">
        <v>40386</v>
      </c>
      <c r="AV818" s="4"/>
      <c r="AW818" s="5">
        <v>40385</v>
      </c>
      <c r="AX818" s="5">
        <v>40395</v>
      </c>
      <c r="AY818" s="4" t="s">
        <v>172</v>
      </c>
      <c r="AZ818" s="5">
        <v>40301</v>
      </c>
      <c r="BA818" s="4"/>
      <c r="BB818" s="5">
        <v>40317</v>
      </c>
      <c r="BC818" s="4"/>
      <c r="BD818" s="4"/>
      <c r="BE818" s="5">
        <v>40322</v>
      </c>
      <c r="BF818" s="5">
        <v>40317</v>
      </c>
      <c r="BG818" s="4"/>
      <c r="BH818" s="4"/>
      <c r="BI818" s="4"/>
      <c r="BJ818" s="5">
        <v>40359</v>
      </c>
      <c r="BK818" s="4">
        <v>1</v>
      </c>
      <c r="BL818" s="4">
        <v>1</v>
      </c>
      <c r="BM818" s="5">
        <v>40359</v>
      </c>
      <c r="BN818" s="5">
        <v>40359</v>
      </c>
      <c r="BO818" s="5">
        <v>40385</v>
      </c>
      <c r="BP818" s="4"/>
      <c r="BQ818" s="4"/>
      <c r="BR818" s="4"/>
      <c r="BS818" s="4"/>
      <c r="BT818" s="5">
        <v>40406</v>
      </c>
      <c r="BU818" s="5">
        <v>40406</v>
      </c>
      <c r="BV818" s="5">
        <v>40413</v>
      </c>
      <c r="BW818" s="5">
        <v>40413</v>
      </c>
      <c r="BX818" s="4"/>
      <c r="BY818" s="5">
        <v>40416</v>
      </c>
      <c r="BZ818" s="5">
        <v>40421</v>
      </c>
      <c r="CA818" s="4"/>
      <c r="CB818" s="4"/>
      <c r="CC818" s="4"/>
      <c r="CD818" s="4"/>
      <c r="CE818" s="4"/>
      <c r="CF818" s="4"/>
      <c r="CG818" s="4"/>
      <c r="CH818" s="4"/>
      <c r="CI818" s="5">
        <v>40421</v>
      </c>
      <c r="CJ818" s="5">
        <v>40421</v>
      </c>
      <c r="CK818" s="5">
        <v>40421</v>
      </c>
      <c r="CL818" s="4"/>
      <c r="CM818" s="4"/>
      <c r="CN818" s="4"/>
      <c r="CO818" s="4"/>
      <c r="CP818" s="4" t="s">
        <v>2616</v>
      </c>
      <c r="CQ818" s="4"/>
      <c r="CR818" s="5">
        <v>40421</v>
      </c>
      <c r="CS818" s="4"/>
      <c r="CT818" s="4"/>
      <c r="CU818" s="4"/>
      <c r="CV818" s="4"/>
      <c r="CW818" s="5">
        <v>40385</v>
      </c>
      <c r="CX818" s="5">
        <v>40385</v>
      </c>
      <c r="CY818" s="4"/>
      <c r="CZ818" s="4"/>
      <c r="DA818" s="4"/>
      <c r="DB818" s="4"/>
      <c r="DC818" s="4"/>
      <c r="DD818" s="4"/>
      <c r="DE818" s="4"/>
      <c r="DF818" s="4"/>
      <c r="DG818" s="4"/>
      <c r="DH818" s="4"/>
      <c r="DI818" s="4"/>
      <c r="DJ818" s="4" t="b">
        <v>0</v>
      </c>
      <c r="DK818" s="4"/>
      <c r="DL818" s="4">
        <v>2478217</v>
      </c>
      <c r="DM818" s="4">
        <v>5746938</v>
      </c>
      <c r="DN818" s="4" t="s">
        <v>2617</v>
      </c>
      <c r="DO818" s="4"/>
      <c r="DP818" s="4"/>
      <c r="DQ818" s="4" t="s">
        <v>148</v>
      </c>
      <c r="DR818" s="4"/>
      <c r="DS818" s="4"/>
      <c r="DT818" s="5">
        <v>42289</v>
      </c>
      <c r="DU818" s="4"/>
      <c r="DV818" s="4"/>
      <c r="DW818" s="4"/>
      <c r="DX818" s="4"/>
      <c r="DY818" s="5">
        <v>40406</v>
      </c>
      <c r="DZ818" s="5">
        <v>40406</v>
      </c>
      <c r="EA818" s="4"/>
      <c r="EB818" s="4"/>
      <c r="EC818" s="4"/>
      <c r="ED818" s="4"/>
      <c r="EE818" s="4"/>
      <c r="EF818" s="4"/>
      <c r="EG818" s="4"/>
      <c r="EH818" s="4"/>
      <c r="EI818" s="5">
        <v>40203</v>
      </c>
    </row>
    <row r="819" spans="1:139" hidden="1" x14ac:dyDescent="0.2">
      <c r="A819">
        <f>VLOOKUP(B819,Sheet1!$A$1:$B$18,2,FALSE)</f>
        <v>0</v>
      </c>
      <c r="B819" t="str">
        <f>LEFT(D819,3)</f>
        <v>CHC</v>
      </c>
      <c r="C819" s="2">
        <v>818</v>
      </c>
      <c r="D819" s="3" t="str">
        <f>HYPERLINK("https://sitebase.nzcomms.co.nz/spm/spmnominalview/CHC-060-093/","CHC-060-093")</f>
        <v>CHC-060-093</v>
      </c>
      <c r="E819" s="4"/>
      <c r="F819" s="3" t="str">
        <f>HYPERLINK("https://sitebase.nzcomms.co.nz/spm/spmcandidateview/CHC-060-093-E/","CHC-060-093-E")</f>
        <v>CHC-060-093-E</v>
      </c>
      <c r="G819" s="4" t="s">
        <v>2618</v>
      </c>
      <c r="H819" s="4" t="s">
        <v>2353</v>
      </c>
      <c r="I819" s="4"/>
      <c r="J819" s="4" t="s">
        <v>139</v>
      </c>
      <c r="K819" s="4" t="s">
        <v>141</v>
      </c>
      <c r="L819" s="4" t="s">
        <v>189</v>
      </c>
      <c r="M819" s="4" t="s">
        <v>143</v>
      </c>
      <c r="N819" s="4" t="s">
        <v>2348</v>
      </c>
      <c r="O819" s="4" t="s">
        <v>144</v>
      </c>
      <c r="P819" s="4"/>
      <c r="Q819" s="4"/>
      <c r="R819" s="4">
        <v>18</v>
      </c>
      <c r="S819" s="4">
        <v>18</v>
      </c>
      <c r="T819" s="4"/>
      <c r="U819" s="4">
        <v>-43.550583160000002</v>
      </c>
      <c r="V819" s="4">
        <v>172.63440949</v>
      </c>
      <c r="W819" s="4"/>
      <c r="X819" s="4"/>
      <c r="Y819" s="4"/>
      <c r="Z819" s="4"/>
      <c r="AA819" s="4" t="s">
        <v>217</v>
      </c>
      <c r="AB819" s="4" t="s">
        <v>2619</v>
      </c>
      <c r="AC819" s="4"/>
      <c r="AD819" s="4"/>
      <c r="AE819" s="4"/>
      <c r="AF819" s="4"/>
      <c r="AG819" s="4"/>
      <c r="AH819" s="4" t="s">
        <v>2620</v>
      </c>
      <c r="AI819" s="5">
        <v>39840</v>
      </c>
      <c r="AJ819" s="4"/>
      <c r="AK819" s="4"/>
      <c r="AL819" s="4"/>
      <c r="AM819" s="5">
        <v>39850</v>
      </c>
      <c r="AN819" s="5">
        <v>39849</v>
      </c>
      <c r="AO819" s="4">
        <v>1</v>
      </c>
      <c r="AP819" s="5">
        <v>39850</v>
      </c>
      <c r="AQ819" s="5">
        <v>39849</v>
      </c>
      <c r="AR819" s="4"/>
      <c r="AS819" s="4"/>
      <c r="AT819" s="5">
        <v>39872</v>
      </c>
      <c r="AU819" s="5">
        <v>39875</v>
      </c>
      <c r="AV819" s="4">
        <v>1</v>
      </c>
      <c r="AW819" s="5">
        <v>39878</v>
      </c>
      <c r="AX819" s="5">
        <v>39875</v>
      </c>
      <c r="AY819" s="4"/>
      <c r="AZ819" s="5">
        <v>39850</v>
      </c>
      <c r="BA819" s="4"/>
      <c r="BB819" s="5">
        <v>39864</v>
      </c>
      <c r="BC819" s="4"/>
      <c r="BD819" s="4"/>
      <c r="BE819" s="5">
        <v>39863</v>
      </c>
      <c r="BF819" s="5">
        <v>39863</v>
      </c>
      <c r="BG819" s="4"/>
      <c r="BH819" s="5">
        <v>39849</v>
      </c>
      <c r="BI819" s="4"/>
      <c r="BJ819" s="5">
        <v>39881</v>
      </c>
      <c r="BK819" s="4">
        <v>2</v>
      </c>
      <c r="BL819" s="4">
        <v>1</v>
      </c>
      <c r="BM819" s="5">
        <v>39878</v>
      </c>
      <c r="BN819" s="5">
        <v>39917</v>
      </c>
      <c r="BO819" s="5">
        <v>39912</v>
      </c>
      <c r="BP819" s="4"/>
      <c r="BQ819" s="4"/>
      <c r="BR819" s="4"/>
      <c r="BS819" s="4"/>
      <c r="BT819" s="5">
        <v>39917</v>
      </c>
      <c r="BU819" s="5">
        <v>39917</v>
      </c>
      <c r="BV819" s="5">
        <v>39933</v>
      </c>
      <c r="BW819" s="5">
        <v>39933</v>
      </c>
      <c r="BX819" s="4"/>
      <c r="BY819" s="5">
        <v>39958</v>
      </c>
      <c r="BZ819" s="5">
        <v>39958</v>
      </c>
      <c r="CA819" s="4"/>
      <c r="CB819" s="4"/>
      <c r="CC819" s="4"/>
      <c r="CD819" s="4"/>
      <c r="CE819" s="4"/>
      <c r="CF819" s="4"/>
      <c r="CG819" s="4"/>
      <c r="CH819" s="4"/>
      <c r="CI819" s="5">
        <v>39983</v>
      </c>
      <c r="CJ819" s="5">
        <v>39983</v>
      </c>
      <c r="CK819" s="5">
        <v>39983</v>
      </c>
      <c r="CL819" s="4"/>
      <c r="CM819" s="4"/>
      <c r="CN819" s="4"/>
      <c r="CO819" s="4"/>
      <c r="CP819" s="4" t="s">
        <v>2621</v>
      </c>
      <c r="CQ819" s="4"/>
      <c r="CR819" s="5">
        <v>39983</v>
      </c>
      <c r="CS819" s="4"/>
      <c r="CT819" s="4"/>
      <c r="CU819" s="4"/>
      <c r="CV819" s="4"/>
      <c r="CW819" s="5">
        <v>39911</v>
      </c>
      <c r="CX819" s="5">
        <v>39912</v>
      </c>
      <c r="CY819" s="4"/>
      <c r="CZ819" s="4"/>
      <c r="DA819" s="4"/>
      <c r="DB819" s="4"/>
      <c r="DC819" s="4"/>
      <c r="DD819" s="4"/>
      <c r="DE819" s="4"/>
      <c r="DF819" s="4"/>
      <c r="DG819" s="4"/>
      <c r="DH819" s="4"/>
      <c r="DI819" s="4"/>
      <c r="DJ819" s="4" t="b">
        <v>0</v>
      </c>
      <c r="DK819" s="4"/>
      <c r="DL819" s="4">
        <v>2480469</v>
      </c>
      <c r="DM819" s="4">
        <v>5739587</v>
      </c>
      <c r="DN819" s="4" t="s">
        <v>2622</v>
      </c>
      <c r="DO819" s="4"/>
      <c r="DP819" s="4"/>
      <c r="DQ819" s="4" t="s">
        <v>148</v>
      </c>
      <c r="DR819" s="4"/>
      <c r="DS819" s="4"/>
      <c r="DT819" s="5">
        <v>42306</v>
      </c>
      <c r="DU819" s="4"/>
      <c r="DV819" s="4"/>
      <c r="DW819" s="4"/>
      <c r="DX819" s="4"/>
      <c r="DY819" s="5">
        <v>39917</v>
      </c>
      <c r="DZ819" s="5">
        <v>39917</v>
      </c>
      <c r="EA819" s="4"/>
      <c r="EB819" s="4"/>
      <c r="EC819" s="4"/>
      <c r="ED819" s="4"/>
      <c r="EE819" s="4"/>
      <c r="EF819" s="4"/>
      <c r="EG819" s="4"/>
      <c r="EH819" s="4"/>
      <c r="EI819" s="5">
        <v>39841</v>
      </c>
    </row>
    <row r="820" spans="1:139" hidden="1" x14ac:dyDescent="0.2">
      <c r="A820">
        <f>VLOOKUP(B820,Sheet1!$A$1:$B$18,2,FALSE)</f>
        <v>0</v>
      </c>
      <c r="B820" t="str">
        <f>LEFT(D820,3)</f>
        <v>CHC</v>
      </c>
      <c r="C820" s="2">
        <v>819</v>
      </c>
      <c r="D820" s="3" t="str">
        <f>HYPERLINK("https://sitebase.nzcomms.co.nz/spm/spmnominalview/CHC-060-094/","CHC-060-094")</f>
        <v>CHC-060-094</v>
      </c>
      <c r="E820" s="4"/>
      <c r="F820" s="3" t="str">
        <f>HYPERLINK("https://sitebase.nzcomms.co.nz/spm/spmcandidateview/CHC-060-094-B/","CHC-060-094-B")</f>
        <v>CHC-060-094-B</v>
      </c>
      <c r="G820" s="4" t="s">
        <v>2623</v>
      </c>
      <c r="H820" s="4" t="s">
        <v>2353</v>
      </c>
      <c r="I820" s="4"/>
      <c r="J820" s="4" t="s">
        <v>139</v>
      </c>
      <c r="K820" s="4" t="s">
        <v>141</v>
      </c>
      <c r="L820" s="4" t="s">
        <v>150</v>
      </c>
      <c r="M820" s="4" t="s">
        <v>354</v>
      </c>
      <c r="N820" s="4" t="s">
        <v>1986</v>
      </c>
      <c r="O820" s="4" t="s">
        <v>144</v>
      </c>
      <c r="P820" s="4"/>
      <c r="Q820" s="4"/>
      <c r="R820" s="4">
        <v>35</v>
      </c>
      <c r="S820" s="4">
        <v>35</v>
      </c>
      <c r="T820" s="4"/>
      <c r="U820" s="4">
        <v>-43.540532460000001</v>
      </c>
      <c r="V820" s="4">
        <v>172.57989266000001</v>
      </c>
      <c r="W820" s="4"/>
      <c r="X820" s="4"/>
      <c r="Y820" s="4"/>
      <c r="Z820" s="4"/>
      <c r="AA820" s="4"/>
      <c r="AB820" s="4"/>
      <c r="AC820" s="4"/>
      <c r="AD820" s="4"/>
      <c r="AE820" s="4"/>
      <c r="AF820" s="4"/>
      <c r="AG820" s="4"/>
      <c r="AH820" s="4"/>
      <c r="AI820" s="4"/>
      <c r="AJ820" s="4"/>
      <c r="AK820" s="4"/>
      <c r="AL820" s="4"/>
      <c r="AM820" s="4"/>
      <c r="AN820" s="5">
        <v>39576</v>
      </c>
      <c r="AO820" s="4">
        <v>6</v>
      </c>
      <c r="AP820" s="5">
        <v>39787</v>
      </c>
      <c r="AQ820" s="5">
        <v>42250</v>
      </c>
      <c r="AR820" s="4"/>
      <c r="AS820" s="4"/>
      <c r="AT820" s="5">
        <v>39934</v>
      </c>
      <c r="AU820" s="5">
        <v>39937</v>
      </c>
      <c r="AV820" s="4">
        <v>4</v>
      </c>
      <c r="AW820" s="5">
        <v>39829</v>
      </c>
      <c r="AX820" s="5">
        <v>39829</v>
      </c>
      <c r="AY820" s="4" t="s">
        <v>183</v>
      </c>
      <c r="AZ820" s="4"/>
      <c r="BA820" s="5">
        <v>40791</v>
      </c>
      <c r="BB820" s="5">
        <v>39764</v>
      </c>
      <c r="BC820" s="5">
        <v>40919</v>
      </c>
      <c r="BD820" s="4">
        <v>4</v>
      </c>
      <c r="BE820" s="5">
        <v>39764</v>
      </c>
      <c r="BF820" s="5">
        <v>39764</v>
      </c>
      <c r="BG820" s="4"/>
      <c r="BH820" s="5">
        <v>39699</v>
      </c>
      <c r="BI820" s="4"/>
      <c r="BJ820" s="5">
        <v>39769</v>
      </c>
      <c r="BK820" s="4">
        <v>8</v>
      </c>
      <c r="BL820" s="4"/>
      <c r="BM820" s="5">
        <v>39806</v>
      </c>
      <c r="BN820" s="5">
        <v>40834</v>
      </c>
      <c r="BO820" s="5">
        <v>39843</v>
      </c>
      <c r="BP820" s="4"/>
      <c r="BQ820" s="4"/>
      <c r="BR820" s="4"/>
      <c r="BS820" s="4"/>
      <c r="BT820" s="4"/>
      <c r="BU820" s="5">
        <v>39833</v>
      </c>
      <c r="BV820" s="5">
        <v>39892</v>
      </c>
      <c r="BW820" s="5">
        <v>39892</v>
      </c>
      <c r="BX820" s="4"/>
      <c r="BY820" s="5">
        <v>39925</v>
      </c>
      <c r="BZ820" s="5">
        <v>39925</v>
      </c>
      <c r="CA820" s="4"/>
      <c r="CB820" s="4"/>
      <c r="CC820" s="4"/>
      <c r="CD820" s="4"/>
      <c r="CE820" s="4"/>
      <c r="CF820" s="4"/>
      <c r="CG820" s="4"/>
      <c r="CH820" s="4"/>
      <c r="CI820" s="5">
        <v>39931</v>
      </c>
      <c r="CJ820" s="5">
        <v>39933</v>
      </c>
      <c r="CK820" s="5">
        <v>39931</v>
      </c>
      <c r="CL820" s="4"/>
      <c r="CM820" s="4"/>
      <c r="CN820" s="4"/>
      <c r="CO820" s="4"/>
      <c r="CP820" s="4"/>
      <c r="CQ820" s="4"/>
      <c r="CR820" s="5">
        <v>39933</v>
      </c>
      <c r="CS820" s="4"/>
      <c r="CT820" s="4"/>
      <c r="CU820" s="4"/>
      <c r="CV820" s="4"/>
      <c r="CW820" s="5">
        <v>39819</v>
      </c>
      <c r="CX820" s="5">
        <v>39843</v>
      </c>
      <c r="CY820" s="4"/>
      <c r="CZ820" s="4"/>
      <c r="DA820" s="4"/>
      <c r="DB820" s="4"/>
      <c r="DC820" s="4"/>
      <c r="DD820" s="4"/>
      <c r="DE820" s="4"/>
      <c r="DF820" s="4"/>
      <c r="DG820" s="4"/>
      <c r="DH820" s="4"/>
      <c r="DI820" s="4"/>
      <c r="DJ820" s="4" t="b">
        <v>0</v>
      </c>
      <c r="DK820" s="4"/>
      <c r="DL820" s="4">
        <v>2476058</v>
      </c>
      <c r="DM820" s="4">
        <v>5740683</v>
      </c>
      <c r="DN820" s="4" t="s">
        <v>2624</v>
      </c>
      <c r="DO820" s="4"/>
      <c r="DP820" s="4" t="s">
        <v>2625</v>
      </c>
      <c r="DQ820" s="4" t="s">
        <v>148</v>
      </c>
      <c r="DR820" s="4"/>
      <c r="DS820" s="4"/>
      <c r="DT820" s="5">
        <v>41901</v>
      </c>
      <c r="DU820" s="4"/>
      <c r="DV820" s="4"/>
      <c r="DW820" s="4"/>
      <c r="DX820" s="4"/>
      <c r="DY820" s="5">
        <v>39819</v>
      </c>
      <c r="DZ820" s="5">
        <v>39829</v>
      </c>
      <c r="EA820" s="4"/>
      <c r="EB820" s="4"/>
      <c r="EC820" s="4"/>
      <c r="ED820" s="4"/>
      <c r="EE820" s="4"/>
      <c r="EF820" s="4"/>
      <c r="EG820" s="4"/>
      <c r="EH820" s="4"/>
      <c r="EI820" s="5">
        <v>39440</v>
      </c>
    </row>
    <row r="821" spans="1:139" hidden="1" x14ac:dyDescent="0.2">
      <c r="A821">
        <f>VLOOKUP(B821,Sheet1!$A$1:$B$18,2,FALSE)</f>
        <v>0</v>
      </c>
      <c r="B821" t="str">
        <f>LEFT(D821,3)</f>
        <v>CHC</v>
      </c>
      <c r="C821" s="2">
        <v>820</v>
      </c>
      <c r="D821" s="3" t="str">
        <f>HYPERLINK("https://sitebase.nzcomms.co.nz/spm/spmnominalview/CHC-060-095/","CHC-060-095")</f>
        <v>CHC-060-095</v>
      </c>
      <c r="E821" s="4"/>
      <c r="F821" s="3" t="str">
        <f>HYPERLINK("https://sitebase.nzcomms.co.nz/spm/spmcandidateview/CHC-060-095-B/","CHC-060-095-B")</f>
        <v>CHC-060-095-B</v>
      </c>
      <c r="G821" s="4" t="s">
        <v>2626</v>
      </c>
      <c r="H821" s="4" t="s">
        <v>2353</v>
      </c>
      <c r="I821" s="4">
        <v>8</v>
      </c>
      <c r="J821" s="4" t="s">
        <v>139</v>
      </c>
      <c r="K821" s="4" t="s">
        <v>141</v>
      </c>
      <c r="L821" s="4" t="s">
        <v>189</v>
      </c>
      <c r="M821" s="4" t="s">
        <v>143</v>
      </c>
      <c r="N821" s="4" t="s">
        <v>2348</v>
      </c>
      <c r="O821" s="4" t="s">
        <v>356</v>
      </c>
      <c r="P821" s="4"/>
      <c r="Q821" s="4"/>
      <c r="R821" s="4">
        <v>18</v>
      </c>
      <c r="S821" s="4">
        <v>18</v>
      </c>
      <c r="T821" s="4"/>
      <c r="U821" s="4">
        <v>-43.508082330000001</v>
      </c>
      <c r="V821" s="4">
        <v>172.63750844</v>
      </c>
      <c r="W821" s="4"/>
      <c r="X821" s="4"/>
      <c r="Y821" s="4"/>
      <c r="Z821" s="4"/>
      <c r="AA821" s="4" t="s">
        <v>217</v>
      </c>
      <c r="AB821" s="4" t="s">
        <v>2367</v>
      </c>
      <c r="AC821" s="4" t="b">
        <v>0</v>
      </c>
      <c r="AD821" s="4" t="b">
        <v>0</v>
      </c>
      <c r="AE821" s="4"/>
      <c r="AF821" s="4"/>
      <c r="AG821" s="4" t="b">
        <v>0</v>
      </c>
      <c r="AH821" s="4" t="s">
        <v>2627</v>
      </c>
      <c r="AI821" s="4"/>
      <c r="AJ821" s="4"/>
      <c r="AK821" s="4"/>
      <c r="AL821" s="4"/>
      <c r="AM821" s="4"/>
      <c r="AN821" s="5">
        <v>39766</v>
      </c>
      <c r="AO821" s="4">
        <v>3</v>
      </c>
      <c r="AP821" s="5">
        <v>40893</v>
      </c>
      <c r="AQ821" s="5">
        <v>40877</v>
      </c>
      <c r="AR821" s="4"/>
      <c r="AS821" s="4"/>
      <c r="AT821" s="5">
        <v>39869</v>
      </c>
      <c r="AU821" s="5">
        <v>39854</v>
      </c>
      <c r="AV821" s="4">
        <v>1</v>
      </c>
      <c r="AW821" s="5">
        <v>39856</v>
      </c>
      <c r="AX821" s="5">
        <v>39856</v>
      </c>
      <c r="AY821" s="4"/>
      <c r="AZ821" s="4"/>
      <c r="BA821" s="4"/>
      <c r="BB821" s="4"/>
      <c r="BC821" s="4"/>
      <c r="BD821" s="4"/>
      <c r="BE821" s="5">
        <v>39940</v>
      </c>
      <c r="BF821" s="5">
        <v>39940</v>
      </c>
      <c r="BG821" s="4"/>
      <c r="BH821" s="5">
        <v>39800</v>
      </c>
      <c r="BI821" s="4"/>
      <c r="BJ821" s="5">
        <v>39843</v>
      </c>
      <c r="BK821" s="4">
        <v>3</v>
      </c>
      <c r="BL821" s="4">
        <v>2</v>
      </c>
      <c r="BM821" s="5">
        <v>40558</v>
      </c>
      <c r="BN821" s="5">
        <v>39945</v>
      </c>
      <c r="BO821" s="5">
        <v>39931</v>
      </c>
      <c r="BP821" s="4"/>
      <c r="BQ821" s="4"/>
      <c r="BR821" s="4"/>
      <c r="BS821" s="4"/>
      <c r="BT821" s="5">
        <v>39927</v>
      </c>
      <c r="BU821" s="5">
        <v>39927</v>
      </c>
      <c r="BV821" s="5">
        <v>39956</v>
      </c>
      <c r="BW821" s="5">
        <v>39956</v>
      </c>
      <c r="BX821" s="4"/>
      <c r="BY821" s="5">
        <v>39961</v>
      </c>
      <c r="BZ821" s="5">
        <v>39961</v>
      </c>
      <c r="CA821" s="4"/>
      <c r="CB821" s="4"/>
      <c r="CC821" s="4"/>
      <c r="CD821" s="4"/>
      <c r="CE821" s="4"/>
      <c r="CF821" s="4"/>
      <c r="CG821" s="4"/>
      <c r="CH821" s="4"/>
      <c r="CI821" s="5">
        <v>39963</v>
      </c>
      <c r="CJ821" s="5">
        <v>39969</v>
      </c>
      <c r="CK821" s="5">
        <v>39963</v>
      </c>
      <c r="CL821" s="4"/>
      <c r="CM821" s="4"/>
      <c r="CN821" s="4"/>
      <c r="CO821" s="4"/>
      <c r="CP821" s="4" t="s">
        <v>2628</v>
      </c>
      <c r="CQ821" s="4"/>
      <c r="CR821" s="5">
        <v>39969</v>
      </c>
      <c r="CS821" s="4"/>
      <c r="CT821" s="4"/>
      <c r="CU821" s="4"/>
      <c r="CV821" s="4"/>
      <c r="CW821" s="5">
        <v>39930</v>
      </c>
      <c r="CX821" s="5">
        <v>39931</v>
      </c>
      <c r="CY821" s="4"/>
      <c r="CZ821" s="4"/>
      <c r="DA821" s="4"/>
      <c r="DB821" s="4"/>
      <c r="DC821" s="4"/>
      <c r="DD821" s="4"/>
      <c r="DE821" s="4"/>
      <c r="DF821" s="4"/>
      <c r="DG821" s="4"/>
      <c r="DH821" s="4"/>
      <c r="DI821" s="4"/>
      <c r="DJ821" s="4" t="b">
        <v>0</v>
      </c>
      <c r="DK821" s="4"/>
      <c r="DL821" s="4">
        <v>2480699</v>
      </c>
      <c r="DM821" s="4">
        <v>5744310</v>
      </c>
      <c r="DN821" s="4" t="s">
        <v>2629</v>
      </c>
      <c r="DO821" s="4"/>
      <c r="DP821" s="4"/>
      <c r="DQ821" s="4" t="s">
        <v>148</v>
      </c>
      <c r="DR821" s="4"/>
      <c r="DS821" s="4"/>
      <c r="DT821" s="5">
        <v>42292</v>
      </c>
      <c r="DU821" s="4"/>
      <c r="DV821" s="4"/>
      <c r="DW821" s="4"/>
      <c r="DX821" s="4"/>
      <c r="DY821" s="5">
        <v>39927</v>
      </c>
      <c r="DZ821" s="5">
        <v>39927</v>
      </c>
      <c r="EA821" s="4"/>
      <c r="EB821" s="4"/>
      <c r="EC821" s="4"/>
      <c r="ED821" s="4"/>
      <c r="EE821" s="4"/>
      <c r="EF821" s="4"/>
      <c r="EG821" s="4"/>
      <c r="EH821" s="4"/>
      <c r="EI821" s="5">
        <v>39731</v>
      </c>
    </row>
    <row r="822" spans="1:139" hidden="1" x14ac:dyDescent="0.2">
      <c r="A822">
        <f>VLOOKUP(B822,Sheet1!$A$1:$B$18,2,FALSE)</f>
        <v>0</v>
      </c>
      <c r="B822" t="str">
        <f>LEFT(D822,3)</f>
        <v>CHC</v>
      </c>
      <c r="C822" s="2">
        <v>821</v>
      </c>
      <c r="D822" s="3" t="str">
        <f>HYPERLINK("https://sitebase.nzcomms.co.nz/spm/spmnominalview/CHC-060-096/","CHC-060-096")</f>
        <v>CHC-060-096</v>
      </c>
      <c r="E822" s="4"/>
      <c r="F822" s="3" t="str">
        <f>HYPERLINK("https://sitebase.nzcomms.co.nz/spm/spmcandidateview/CHC-060-096-G/","CHC-060-096-G")</f>
        <v>CHC-060-096-G</v>
      </c>
      <c r="G822" s="4" t="s">
        <v>2630</v>
      </c>
      <c r="H822" s="4" t="s">
        <v>2353</v>
      </c>
      <c r="I822" s="4"/>
      <c r="J822" s="4" t="s">
        <v>139</v>
      </c>
      <c r="K822" s="4" t="s">
        <v>141</v>
      </c>
      <c r="L822" s="4" t="s">
        <v>142</v>
      </c>
      <c r="M822" s="4" t="s">
        <v>324</v>
      </c>
      <c r="N822" s="4" t="s">
        <v>142</v>
      </c>
      <c r="O822" s="4"/>
      <c r="P822" s="4"/>
      <c r="Q822" s="4" t="s">
        <v>170</v>
      </c>
      <c r="R822" s="4">
        <v>0</v>
      </c>
      <c r="S822" s="4">
        <v>0</v>
      </c>
      <c r="T822" s="4"/>
      <c r="U822" s="4">
        <v>-43.603101950000003</v>
      </c>
      <c r="V822" s="4">
        <v>172.64894512000001</v>
      </c>
      <c r="W822" s="4"/>
      <c r="X822" s="4"/>
      <c r="Y822" s="4"/>
      <c r="Z822" s="4"/>
      <c r="AA822" s="4" t="s">
        <v>171</v>
      </c>
      <c r="AB822" s="3" t="str">
        <f>HYPERLINK("https://sitebase.nzcomms.co.nz/spm/spmcandidateview/CHC-060-063-B/","CHC-060-063-B")</f>
        <v>CHC-060-063-B</v>
      </c>
      <c r="AC822" s="4"/>
      <c r="AD822" s="4"/>
      <c r="AE822" s="4"/>
      <c r="AF822" s="4"/>
      <c r="AG822" s="4"/>
      <c r="AH822" s="4"/>
      <c r="AI822" s="4"/>
      <c r="AJ822" s="4"/>
      <c r="AK822" s="4"/>
      <c r="AL822" s="4"/>
      <c r="AM822" s="4"/>
      <c r="AN822" s="5">
        <v>39203</v>
      </c>
      <c r="AO822" s="4">
        <v>1</v>
      </c>
      <c r="AP822" s="5">
        <v>39203</v>
      </c>
      <c r="AQ822" s="5">
        <v>39203</v>
      </c>
      <c r="AR822" s="4"/>
      <c r="AS822" s="4"/>
      <c r="AT822" s="5">
        <v>39826</v>
      </c>
      <c r="AU822" s="5">
        <v>39826</v>
      </c>
      <c r="AV822" s="4"/>
      <c r="AW822" s="5">
        <v>39833</v>
      </c>
      <c r="AX822" s="5">
        <v>39833</v>
      </c>
      <c r="AY822" s="4"/>
      <c r="AZ822" s="4"/>
      <c r="BA822" s="4"/>
      <c r="BB822" s="5">
        <v>39807</v>
      </c>
      <c r="BC822" s="4"/>
      <c r="BD822" s="4"/>
      <c r="BE822" s="5">
        <v>39807</v>
      </c>
      <c r="BF822" s="5">
        <v>39807</v>
      </c>
      <c r="BG822" s="4"/>
      <c r="BH822" s="5">
        <v>39203</v>
      </c>
      <c r="BI822" s="4"/>
      <c r="BJ822" s="5">
        <v>39203</v>
      </c>
      <c r="BK822" s="4">
        <v>1</v>
      </c>
      <c r="BL822" s="4">
        <v>1</v>
      </c>
      <c r="BM822" s="5">
        <v>39203</v>
      </c>
      <c r="BN822" s="5">
        <v>39203</v>
      </c>
      <c r="BO822" s="4"/>
      <c r="BP822" s="4"/>
      <c r="BQ822" s="4"/>
      <c r="BR822" s="4"/>
      <c r="BS822" s="4"/>
      <c r="BT822" s="4"/>
      <c r="BU822" s="5">
        <v>39822</v>
      </c>
      <c r="BV822" s="5">
        <v>39853</v>
      </c>
      <c r="BW822" s="5">
        <v>39842</v>
      </c>
      <c r="BX822" s="4"/>
      <c r="BY822" s="5">
        <v>39903</v>
      </c>
      <c r="BZ822" s="5">
        <v>39902</v>
      </c>
      <c r="CA822" s="4"/>
      <c r="CB822" s="4"/>
      <c r="CC822" s="4"/>
      <c r="CD822" s="4"/>
      <c r="CE822" s="4"/>
      <c r="CF822" s="4"/>
      <c r="CG822" s="4"/>
      <c r="CH822" s="4"/>
      <c r="CI822" s="5">
        <v>39903</v>
      </c>
      <c r="CJ822" s="5">
        <v>39903</v>
      </c>
      <c r="CK822" s="5">
        <v>39903</v>
      </c>
      <c r="CL822" s="4"/>
      <c r="CM822" s="4"/>
      <c r="CN822" s="4"/>
      <c r="CO822" s="4"/>
      <c r="CP822" s="4"/>
      <c r="CQ822" s="4"/>
      <c r="CR822" s="5">
        <v>39903</v>
      </c>
      <c r="CS822" s="4"/>
      <c r="CT822" s="4"/>
      <c r="CU822" s="4"/>
      <c r="CV822" s="4"/>
      <c r="CW822" s="4"/>
      <c r="CX822" s="4"/>
      <c r="CY822" s="4"/>
      <c r="CZ822" s="4"/>
      <c r="DA822" s="4"/>
      <c r="DB822" s="4"/>
      <c r="DC822" s="4"/>
      <c r="DD822" s="4"/>
      <c r="DE822" s="4"/>
      <c r="DF822" s="4"/>
      <c r="DG822" s="4"/>
      <c r="DH822" s="4"/>
      <c r="DI822" s="4"/>
      <c r="DJ822" s="4" t="b">
        <v>0</v>
      </c>
      <c r="DK822" s="4"/>
      <c r="DL822" s="4">
        <v>2481668</v>
      </c>
      <c r="DM822" s="4">
        <v>5733757</v>
      </c>
      <c r="DN822" s="4" t="s">
        <v>2631</v>
      </c>
      <c r="DO822" s="4"/>
      <c r="DP822" s="4"/>
      <c r="DQ822" s="4" t="s">
        <v>328</v>
      </c>
      <c r="DR822" s="4"/>
      <c r="DS822" s="4"/>
      <c r="DT822" s="4"/>
      <c r="DU822" s="4"/>
      <c r="DV822" s="4"/>
      <c r="DW822" s="4"/>
      <c r="DX822" s="4"/>
      <c r="DY822" s="4"/>
      <c r="DZ822" s="5">
        <v>39821</v>
      </c>
      <c r="EA822" s="4"/>
      <c r="EB822" s="4"/>
      <c r="EC822" s="4"/>
      <c r="ED822" s="4"/>
      <c r="EE822" s="4"/>
      <c r="EF822" s="4"/>
      <c r="EG822" s="4"/>
      <c r="EH822" s="4"/>
      <c r="EI822" s="5">
        <v>39173</v>
      </c>
    </row>
    <row r="823" spans="1:139" hidden="1" x14ac:dyDescent="0.2">
      <c r="A823">
        <f>VLOOKUP(B823,Sheet1!$A$1:$B$18,2,FALSE)</f>
        <v>0</v>
      </c>
      <c r="B823" t="str">
        <f>LEFT(D823,3)</f>
        <v>CHC</v>
      </c>
      <c r="C823" s="2">
        <v>822</v>
      </c>
      <c r="D823" s="3" t="str">
        <f>HYPERLINK("https://sitebase.nzcomms.co.nz/spm/spmnominalview/CHC-060-097/","CHC-060-097")</f>
        <v>CHC-060-097</v>
      </c>
      <c r="E823" s="4"/>
      <c r="F823" s="4"/>
      <c r="G823" s="4"/>
      <c r="H823" s="4" t="s">
        <v>2353</v>
      </c>
      <c r="I823" s="4"/>
      <c r="J823" s="4" t="s">
        <v>139</v>
      </c>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row>
    <row r="824" spans="1:139" hidden="1" x14ac:dyDescent="0.2">
      <c r="A824">
        <f>VLOOKUP(B824,Sheet1!$A$1:$B$18,2,FALSE)</f>
        <v>0</v>
      </c>
      <c r="B824" t="str">
        <f>LEFT(D824,3)</f>
        <v>CHC</v>
      </c>
      <c r="C824" s="2">
        <v>823</v>
      </c>
      <c r="D824" s="3" t="str">
        <f>HYPERLINK("https://sitebase.nzcomms.co.nz/spm/spmnominalview/CHC-060-098/","CHC-060-098")</f>
        <v>CHC-060-098</v>
      </c>
      <c r="E824" s="4"/>
      <c r="F824" s="3" t="str">
        <f>HYPERLINK("https://sitebase.nzcomms.co.nz/spm/spmcandidateview/CHC-060-098-D/","CHC-060-098-D")</f>
        <v>CHC-060-098-D</v>
      </c>
      <c r="G824" s="4" t="s">
        <v>2632</v>
      </c>
      <c r="H824" s="4" t="s">
        <v>2353</v>
      </c>
      <c r="I824" s="4"/>
      <c r="J824" s="4" t="s">
        <v>139</v>
      </c>
      <c r="K824" s="4" t="s">
        <v>141</v>
      </c>
      <c r="L824" s="4" t="s">
        <v>150</v>
      </c>
      <c r="M824" s="4" t="s">
        <v>143</v>
      </c>
      <c r="N824" s="4" t="s">
        <v>620</v>
      </c>
      <c r="O824" s="4" t="s">
        <v>356</v>
      </c>
      <c r="P824" s="4"/>
      <c r="Q824" s="4"/>
      <c r="R824" s="4">
        <v>28</v>
      </c>
      <c r="S824" s="4">
        <v>28</v>
      </c>
      <c r="T824" s="4"/>
      <c r="U824" s="4">
        <v>-43.458921920000002</v>
      </c>
      <c r="V824" s="4">
        <v>172.65884359</v>
      </c>
      <c r="W824" s="4"/>
      <c r="X824" s="4"/>
      <c r="Y824" s="4"/>
      <c r="Z824" s="4"/>
      <c r="AA824" s="4" t="s">
        <v>217</v>
      </c>
      <c r="AB824" s="4" t="s">
        <v>2435</v>
      </c>
      <c r="AC824" s="4"/>
      <c r="AD824" s="4"/>
      <c r="AE824" s="4"/>
      <c r="AF824" s="4"/>
      <c r="AG824" s="4"/>
      <c r="AH824" s="4" t="s">
        <v>2633</v>
      </c>
      <c r="AI824" s="4"/>
      <c r="AJ824" s="4"/>
      <c r="AK824" s="4"/>
      <c r="AL824" s="4"/>
      <c r="AM824" s="4"/>
      <c r="AN824" s="5">
        <v>39773</v>
      </c>
      <c r="AO824" s="4">
        <v>4</v>
      </c>
      <c r="AP824" s="5">
        <v>39864</v>
      </c>
      <c r="AQ824" s="5">
        <v>39904</v>
      </c>
      <c r="AR824" s="4"/>
      <c r="AS824" s="4"/>
      <c r="AT824" s="5">
        <v>39892</v>
      </c>
      <c r="AU824" s="5">
        <v>39888</v>
      </c>
      <c r="AV824" s="4">
        <v>3</v>
      </c>
      <c r="AW824" s="5">
        <v>39892</v>
      </c>
      <c r="AX824" s="5">
        <v>39888</v>
      </c>
      <c r="AY824" s="4"/>
      <c r="AZ824" s="5">
        <v>39785</v>
      </c>
      <c r="BA824" s="4"/>
      <c r="BB824" s="5">
        <v>39888</v>
      </c>
      <c r="BC824" s="4"/>
      <c r="BD824" s="4"/>
      <c r="BE824" s="5">
        <v>39888</v>
      </c>
      <c r="BF824" s="5">
        <v>39889</v>
      </c>
      <c r="BG824" s="5">
        <v>39874</v>
      </c>
      <c r="BH824" s="5">
        <v>39794</v>
      </c>
      <c r="BI824" s="4"/>
      <c r="BJ824" s="5">
        <v>39904</v>
      </c>
      <c r="BK824" s="4">
        <v>1</v>
      </c>
      <c r="BL824" s="4">
        <v>4</v>
      </c>
      <c r="BM824" s="5">
        <v>39906</v>
      </c>
      <c r="BN824" s="5">
        <v>39904</v>
      </c>
      <c r="BO824" s="5">
        <v>39946</v>
      </c>
      <c r="BP824" s="4"/>
      <c r="BQ824" s="4"/>
      <c r="BR824" s="4"/>
      <c r="BS824" s="4"/>
      <c r="BT824" s="5">
        <v>39934</v>
      </c>
      <c r="BU824" s="5">
        <v>39934</v>
      </c>
      <c r="BV824" s="5">
        <v>39967</v>
      </c>
      <c r="BW824" s="5">
        <v>39967</v>
      </c>
      <c r="BX824" s="4"/>
      <c r="BY824" s="5">
        <v>39975</v>
      </c>
      <c r="BZ824" s="5">
        <v>39976</v>
      </c>
      <c r="CA824" s="4"/>
      <c r="CB824" s="4"/>
      <c r="CC824" s="4"/>
      <c r="CD824" s="4"/>
      <c r="CE824" s="4"/>
      <c r="CF824" s="4"/>
      <c r="CG824" s="4"/>
      <c r="CH824" s="4"/>
      <c r="CI824" s="5">
        <v>39990</v>
      </c>
      <c r="CJ824" s="5">
        <v>39994</v>
      </c>
      <c r="CK824" s="5">
        <v>39990</v>
      </c>
      <c r="CL824" s="4"/>
      <c r="CM824" s="4"/>
      <c r="CN824" s="4"/>
      <c r="CO824" s="4"/>
      <c r="CP824" s="4"/>
      <c r="CQ824" s="4"/>
      <c r="CR824" s="5">
        <v>39994</v>
      </c>
      <c r="CS824" s="4"/>
      <c r="CT824" s="4"/>
      <c r="CU824" s="4"/>
      <c r="CV824" s="4"/>
      <c r="CW824" s="5">
        <v>39945</v>
      </c>
      <c r="CX824" s="5">
        <v>39946</v>
      </c>
      <c r="CY824" s="4"/>
      <c r="CZ824" s="4"/>
      <c r="DA824" s="4"/>
      <c r="DB824" s="4"/>
      <c r="DC824" s="4"/>
      <c r="DD824" s="4"/>
      <c r="DE824" s="4"/>
      <c r="DF824" s="4"/>
      <c r="DG824" s="4"/>
      <c r="DH824" s="4"/>
      <c r="DI824" s="4"/>
      <c r="DJ824" s="4" t="b">
        <v>0</v>
      </c>
      <c r="DK824" s="4"/>
      <c r="DL824" s="4">
        <v>2482402</v>
      </c>
      <c r="DM824" s="4">
        <v>5749779</v>
      </c>
      <c r="DN824" s="4" t="s">
        <v>2634</v>
      </c>
      <c r="DO824" s="4"/>
      <c r="DP824" s="4"/>
      <c r="DQ824" s="4" t="s">
        <v>148</v>
      </c>
      <c r="DR824" s="4"/>
      <c r="DS824" s="4"/>
      <c r="DT824" s="4"/>
      <c r="DU824" s="4"/>
      <c r="DV824" s="4"/>
      <c r="DW824" s="4"/>
      <c r="DX824" s="4"/>
      <c r="DY824" s="5">
        <v>39917</v>
      </c>
      <c r="DZ824" s="5">
        <v>39925</v>
      </c>
      <c r="EA824" s="4"/>
      <c r="EB824" s="4"/>
      <c r="EC824" s="4"/>
      <c r="ED824" s="4"/>
      <c r="EE824" s="4"/>
      <c r="EF824" s="4"/>
      <c r="EG824" s="4"/>
      <c r="EH824" s="4"/>
      <c r="EI824" s="5">
        <v>39749</v>
      </c>
    </row>
    <row r="825" spans="1:139" hidden="1" x14ac:dyDescent="0.2">
      <c r="A825">
        <f>VLOOKUP(B825,Sheet1!$A$1:$B$18,2,FALSE)</f>
        <v>0</v>
      </c>
      <c r="B825" t="str">
        <f>LEFT(D825,3)</f>
        <v>CHC</v>
      </c>
      <c r="C825" s="2">
        <v>824</v>
      </c>
      <c r="D825" s="3" t="str">
        <f>HYPERLINK("https://sitebase.nzcomms.co.nz/spm/spmnominalview/CHC-060-099/","CHC-060-099")</f>
        <v>CHC-060-099</v>
      </c>
      <c r="E825" s="4" t="s">
        <v>2635</v>
      </c>
      <c r="F825" s="4"/>
      <c r="G825" s="4"/>
      <c r="H825" s="4" t="s">
        <v>2353</v>
      </c>
      <c r="I825" s="4"/>
      <c r="J825" s="4" t="s">
        <v>196</v>
      </c>
      <c r="K825" s="4"/>
      <c r="L825" s="4"/>
      <c r="M825" s="4"/>
      <c r="N825" s="4"/>
      <c r="O825" s="4"/>
      <c r="P825" s="4"/>
      <c r="Q825" s="4"/>
      <c r="R825" s="4"/>
      <c r="S825" s="4"/>
      <c r="T825" s="4"/>
      <c r="U825" s="4"/>
      <c r="V825" s="4"/>
      <c r="W825" s="4"/>
      <c r="X825" s="4"/>
      <c r="Y825" s="4"/>
      <c r="Z825" s="4"/>
      <c r="AA825" s="4"/>
      <c r="AB825" s="4"/>
      <c r="AC825" s="4"/>
      <c r="AD825" s="4"/>
      <c r="AE825" s="4"/>
      <c r="AF825" s="4"/>
      <c r="AG825" s="4" t="b">
        <v>0</v>
      </c>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row>
    <row r="826" spans="1:139" hidden="1" x14ac:dyDescent="0.2">
      <c r="A826">
        <f>VLOOKUP(B826,Sheet1!$A$1:$B$18,2,FALSE)</f>
        <v>0</v>
      </c>
      <c r="B826" t="str">
        <f>LEFT(D826,3)</f>
        <v>CHC</v>
      </c>
      <c r="C826" s="2">
        <v>825</v>
      </c>
      <c r="D826" s="3" t="str">
        <f>HYPERLINK("https://sitebase.nzcomms.co.nz/spm/spmnominalview/CHC-060-100/","CHC-060-100")</f>
        <v>CHC-060-100</v>
      </c>
      <c r="E826" s="4" t="s">
        <v>2636</v>
      </c>
      <c r="F826" s="3" t="str">
        <f>HYPERLINK("https://sitebase.nzcomms.co.nz/spm/spmcandidateview/CHC-060-100-A/","CHC-060-100-A")</f>
        <v>CHC-060-100-A</v>
      </c>
      <c r="G826" s="4" t="s">
        <v>2637</v>
      </c>
      <c r="H826" s="4" t="s">
        <v>2353</v>
      </c>
      <c r="I826" s="4">
        <v>21</v>
      </c>
      <c r="J826" s="4" t="s">
        <v>165</v>
      </c>
      <c r="K826" s="4" t="s">
        <v>141</v>
      </c>
      <c r="L826" s="4" t="s">
        <v>150</v>
      </c>
      <c r="M826" s="4" t="s">
        <v>166</v>
      </c>
      <c r="N826" s="4" t="s">
        <v>346</v>
      </c>
      <c r="O826" s="4"/>
      <c r="P826" s="4" t="s">
        <v>169</v>
      </c>
      <c r="Q826" s="4" t="s">
        <v>170</v>
      </c>
      <c r="R826" s="4"/>
      <c r="S826" s="4"/>
      <c r="T826" s="4">
        <v>1</v>
      </c>
      <c r="U826" s="4">
        <v>-43.73735241</v>
      </c>
      <c r="V826" s="4">
        <v>172.87604696</v>
      </c>
      <c r="W826" s="4"/>
      <c r="X826" s="5">
        <v>40938</v>
      </c>
      <c r="Y826" s="4"/>
      <c r="Z826" s="4"/>
      <c r="AA826" s="4" t="s">
        <v>171</v>
      </c>
      <c r="AB826" s="3" t="str">
        <f>HYPERLINK("https://sitebase.nzcomms.co.nz/spm/spmcandidateview/CHC-060-116-A/","CHC-060-116-A")</f>
        <v>CHC-060-116-A</v>
      </c>
      <c r="AC826" s="4" t="b">
        <v>0</v>
      </c>
      <c r="AD826" s="4" t="b">
        <v>0</v>
      </c>
      <c r="AE826" s="5">
        <v>41947</v>
      </c>
      <c r="AF826" s="4"/>
      <c r="AG826" s="4" t="b">
        <v>1</v>
      </c>
      <c r="AH826" s="4" t="s">
        <v>2638</v>
      </c>
      <c r="AI826" s="5">
        <v>40968</v>
      </c>
      <c r="AJ826" s="5">
        <v>40968</v>
      </c>
      <c r="AK826" s="5">
        <v>42130</v>
      </c>
      <c r="AL826" s="5">
        <v>42130</v>
      </c>
      <c r="AM826" s="5">
        <v>42237</v>
      </c>
      <c r="AN826" s="5">
        <v>42234</v>
      </c>
      <c r="AO826" s="4">
        <v>3</v>
      </c>
      <c r="AP826" s="4"/>
      <c r="AQ826" s="5">
        <v>42342</v>
      </c>
      <c r="AR826" s="5">
        <v>42258</v>
      </c>
      <c r="AS826" s="5">
        <v>42254</v>
      </c>
      <c r="AT826" s="5">
        <v>42440</v>
      </c>
      <c r="AU826" s="4"/>
      <c r="AV826" s="4"/>
      <c r="AW826" s="4"/>
      <c r="AX826" s="4"/>
      <c r="AY826" s="4" t="s">
        <v>183</v>
      </c>
      <c r="AZ826" s="5">
        <v>42412</v>
      </c>
      <c r="BA826" s="5">
        <v>42390</v>
      </c>
      <c r="BB826" s="5">
        <v>42447</v>
      </c>
      <c r="BC826" s="4"/>
      <c r="BD826" s="4">
        <v>3</v>
      </c>
      <c r="BE826" s="5">
        <v>42489</v>
      </c>
      <c r="BF826" s="4"/>
      <c r="BG826" s="5">
        <v>42263</v>
      </c>
      <c r="BH826" s="5">
        <v>42264</v>
      </c>
      <c r="BI826" s="5">
        <v>75228</v>
      </c>
      <c r="BJ826" s="5">
        <v>42277</v>
      </c>
      <c r="BK826" s="4">
        <v>4</v>
      </c>
      <c r="BL826" s="4"/>
      <c r="BM826" s="4"/>
      <c r="BN826" s="5">
        <v>42397</v>
      </c>
      <c r="BO826" s="4"/>
      <c r="BP826" s="4"/>
      <c r="BQ826" s="4"/>
      <c r="BR826" s="4"/>
      <c r="BS826" s="4"/>
      <c r="BT826" s="5">
        <v>42492</v>
      </c>
      <c r="BU826" s="4"/>
      <c r="BV826" s="5">
        <v>42517</v>
      </c>
      <c r="BW826" s="4"/>
      <c r="BX826" s="4"/>
      <c r="BY826" s="5">
        <v>42538</v>
      </c>
      <c r="BZ826" s="4"/>
      <c r="CA826" s="5">
        <v>42356</v>
      </c>
      <c r="CB826" s="4"/>
      <c r="CC826" s="4"/>
      <c r="CD826" s="4"/>
      <c r="CE826" s="4"/>
      <c r="CF826" s="4"/>
      <c r="CG826" s="4"/>
      <c r="CH826" s="4"/>
      <c r="CI826" s="4"/>
      <c r="CJ826" s="5">
        <v>42566</v>
      </c>
      <c r="CK826" s="4"/>
      <c r="CL826" s="4"/>
      <c r="CM826" s="4"/>
      <c r="CN826" s="4"/>
      <c r="CO826" s="4"/>
      <c r="CP826" s="4" t="s">
        <v>2639</v>
      </c>
      <c r="CQ826" s="4" t="s">
        <v>205</v>
      </c>
      <c r="CR826" s="5">
        <v>42340</v>
      </c>
      <c r="CS826" s="4"/>
      <c r="CT826" s="4"/>
      <c r="CU826" s="4"/>
      <c r="CV826" s="4"/>
      <c r="CW826" s="4"/>
      <c r="CX826" s="4"/>
      <c r="CY826" s="4"/>
      <c r="CZ826" s="4"/>
      <c r="DA826" s="5">
        <v>42550</v>
      </c>
      <c r="DB826" s="4"/>
      <c r="DC826" s="4"/>
      <c r="DD826" s="4" t="s">
        <v>573</v>
      </c>
      <c r="DE826" s="4" t="s">
        <v>2054</v>
      </c>
      <c r="DF826" s="4"/>
      <c r="DG826" s="4"/>
      <c r="DH826" s="4" t="s">
        <v>174</v>
      </c>
      <c r="DI826" s="4"/>
      <c r="DJ826" s="4" t="b">
        <v>0</v>
      </c>
      <c r="DK826" s="4"/>
      <c r="DL826" s="4">
        <v>2500026</v>
      </c>
      <c r="DM826" s="4">
        <v>5718892</v>
      </c>
      <c r="DN826" s="4" t="s">
        <v>2640</v>
      </c>
      <c r="DO826" s="4"/>
      <c r="DP826" s="4" t="s">
        <v>2641</v>
      </c>
      <c r="DQ826" s="4" t="s">
        <v>148</v>
      </c>
      <c r="DR826" s="4" t="s">
        <v>255</v>
      </c>
      <c r="DS826" s="4"/>
      <c r="DT826" s="4"/>
      <c r="DU826" s="4" t="s">
        <v>178</v>
      </c>
      <c r="DV826" s="4"/>
      <c r="DW826" s="4"/>
      <c r="DX826" s="5">
        <v>42410</v>
      </c>
      <c r="DY826" s="5">
        <v>42447</v>
      </c>
      <c r="DZ826" s="4"/>
      <c r="EA826" s="4"/>
      <c r="EB826" s="4"/>
      <c r="EC826" s="4"/>
      <c r="ED826" s="4"/>
      <c r="EE826" s="5">
        <v>42475</v>
      </c>
      <c r="EF826" s="4"/>
      <c r="EG826" s="5">
        <v>42343</v>
      </c>
      <c r="EH826" s="4"/>
      <c r="EI826" s="5">
        <v>42130</v>
      </c>
    </row>
    <row r="827" spans="1:139" hidden="1" x14ac:dyDescent="0.2">
      <c r="A827">
        <f>VLOOKUP(B827,Sheet1!$A$1:$B$18,2,FALSE)</f>
        <v>0</v>
      </c>
      <c r="B827" t="str">
        <f>LEFT(D827,3)</f>
        <v>CHC</v>
      </c>
      <c r="C827" s="2">
        <v>826</v>
      </c>
      <c r="D827" s="3" t="str">
        <f>HYPERLINK("https://sitebase.nzcomms.co.nz/spm/spmnominalview/CHC-060-101/","CHC-060-101")</f>
        <v>CHC-060-101</v>
      </c>
      <c r="E827" s="4" t="s">
        <v>2642</v>
      </c>
      <c r="F827" s="4"/>
      <c r="G827" s="4"/>
      <c r="H827" s="4" t="s">
        <v>2353</v>
      </c>
      <c r="I827" s="4"/>
      <c r="J827" s="4" t="s">
        <v>139</v>
      </c>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row>
    <row r="828" spans="1:139" hidden="1" x14ac:dyDescent="0.2">
      <c r="A828">
        <f>VLOOKUP(B828,Sheet1!$A$1:$B$18,2,FALSE)</f>
        <v>0</v>
      </c>
      <c r="B828" t="str">
        <f>LEFT(D828,3)</f>
        <v>CHC</v>
      </c>
      <c r="C828" s="2">
        <v>827</v>
      </c>
      <c r="D828" s="3" t="str">
        <f>HYPERLINK("https://sitebase.nzcomms.co.nz/spm/spmnominalview/CHC-060-102/","CHC-060-102")</f>
        <v>CHC-060-102</v>
      </c>
      <c r="E828" s="4" t="s">
        <v>2643</v>
      </c>
      <c r="F828" s="3" t="str">
        <f>HYPERLINK("https://sitebase.nzcomms.co.nz/spm/spmcandidateview/CHC-060-102-A/","CHC-060-102-A")</f>
        <v>CHC-060-102-A</v>
      </c>
      <c r="G828" s="4" t="s">
        <v>2644</v>
      </c>
      <c r="H828" s="4" t="s">
        <v>2353</v>
      </c>
      <c r="I828" s="4">
        <v>8</v>
      </c>
      <c r="J828" s="4" t="s">
        <v>194</v>
      </c>
      <c r="K828" s="4" t="s">
        <v>141</v>
      </c>
      <c r="L828" s="4" t="s">
        <v>325</v>
      </c>
      <c r="M828" s="4" t="s">
        <v>571</v>
      </c>
      <c r="N828" s="4" t="s">
        <v>325</v>
      </c>
      <c r="O828" s="4" t="s">
        <v>144</v>
      </c>
      <c r="P828" s="4" t="s">
        <v>182</v>
      </c>
      <c r="Q828" s="4" t="s">
        <v>192</v>
      </c>
      <c r="R828" s="4">
        <v>32</v>
      </c>
      <c r="S828" s="4">
        <v>77.7</v>
      </c>
      <c r="T828" s="4">
        <v>1</v>
      </c>
      <c r="U828" s="4">
        <v>-43.488481909999997</v>
      </c>
      <c r="V828" s="4">
        <v>172.54036979</v>
      </c>
      <c r="W828" s="4"/>
      <c r="X828" s="4"/>
      <c r="Y828" s="4"/>
      <c r="Z828" s="4"/>
      <c r="AA828" s="4" t="s">
        <v>171</v>
      </c>
      <c r="AB828" s="3" t="str">
        <f>HYPERLINK("https://sitebase.nzcomms.co.nz/spm/spmcandidateview/CHC-060-094-B/","CHC-060-094-B")</f>
        <v>CHC-060-094-B</v>
      </c>
      <c r="AC828" s="4" t="b">
        <v>0</v>
      </c>
      <c r="AD828" s="4" t="b">
        <v>0</v>
      </c>
      <c r="AE828" s="4"/>
      <c r="AF828" s="4"/>
      <c r="AG828" s="4" t="b">
        <v>0</v>
      </c>
      <c r="AH828" s="4" t="s">
        <v>2645</v>
      </c>
      <c r="AI828" s="5">
        <v>40690</v>
      </c>
      <c r="AJ828" s="5">
        <v>40690</v>
      </c>
      <c r="AK828" s="5">
        <v>40690</v>
      </c>
      <c r="AL828" s="5">
        <v>40690</v>
      </c>
      <c r="AM828" s="5">
        <v>40700</v>
      </c>
      <c r="AN828" s="5">
        <v>40365</v>
      </c>
      <c r="AO828" s="4">
        <v>1</v>
      </c>
      <c r="AP828" s="5">
        <v>40700</v>
      </c>
      <c r="AQ828" s="5">
        <v>40365</v>
      </c>
      <c r="AR828" s="4"/>
      <c r="AS828" s="4"/>
      <c r="AT828" s="5">
        <v>40865</v>
      </c>
      <c r="AU828" s="5">
        <v>40940</v>
      </c>
      <c r="AV828" s="4"/>
      <c r="AW828" s="5">
        <v>40865</v>
      </c>
      <c r="AX828" s="5">
        <v>40940</v>
      </c>
      <c r="AY828" s="4" t="s">
        <v>172</v>
      </c>
      <c r="AZ828" s="5">
        <v>40802</v>
      </c>
      <c r="BA828" s="5">
        <v>40802</v>
      </c>
      <c r="BB828" s="5">
        <v>40835</v>
      </c>
      <c r="BC828" s="5">
        <v>40815</v>
      </c>
      <c r="BD828" s="4">
        <v>1</v>
      </c>
      <c r="BE828" s="4"/>
      <c r="BF828" s="5">
        <v>40823</v>
      </c>
      <c r="BG828" s="4"/>
      <c r="BH828" s="4"/>
      <c r="BI828" s="4"/>
      <c r="BJ828" s="4"/>
      <c r="BK828" s="4"/>
      <c r="BL828" s="4"/>
      <c r="BM828" s="4"/>
      <c r="BN828" s="4"/>
      <c r="BO828" s="4"/>
      <c r="BP828" s="4"/>
      <c r="BQ828" s="4"/>
      <c r="BR828" s="4"/>
      <c r="BS828" s="4"/>
      <c r="BT828" s="4"/>
      <c r="BU828" s="5">
        <v>40918</v>
      </c>
      <c r="BV828" s="4"/>
      <c r="BW828" s="5">
        <v>40935</v>
      </c>
      <c r="BX828" s="4"/>
      <c r="BY828" s="5">
        <v>40935</v>
      </c>
      <c r="BZ828" s="5">
        <v>40935</v>
      </c>
      <c r="CA828" s="4"/>
      <c r="CB828" s="4"/>
      <c r="CC828" s="4"/>
      <c r="CD828" s="4"/>
      <c r="CE828" s="4"/>
      <c r="CF828" s="4"/>
      <c r="CG828" s="4"/>
      <c r="CH828" s="4"/>
      <c r="CI828" s="4"/>
      <c r="CJ828" s="5">
        <v>40960</v>
      </c>
      <c r="CK828" s="5">
        <v>40947</v>
      </c>
      <c r="CL828" s="5">
        <v>40960</v>
      </c>
      <c r="CM828" s="5">
        <v>41130</v>
      </c>
      <c r="CN828" s="5">
        <v>41509</v>
      </c>
      <c r="CO828" s="5">
        <v>41222</v>
      </c>
      <c r="CP828" s="4" t="s">
        <v>712</v>
      </c>
      <c r="CQ828" s="4"/>
      <c r="CR828" s="4"/>
      <c r="CS828" s="4"/>
      <c r="CT828" s="4"/>
      <c r="CU828" s="4"/>
      <c r="CV828" s="4"/>
      <c r="CW828" s="4"/>
      <c r="CX828" s="4"/>
      <c r="CY828" s="4"/>
      <c r="CZ828" s="4"/>
      <c r="DA828" s="4"/>
      <c r="DB828" s="4"/>
      <c r="DC828" s="4"/>
      <c r="DD828" s="4"/>
      <c r="DE828" s="4"/>
      <c r="DF828" s="4"/>
      <c r="DG828" s="4"/>
      <c r="DH828" s="4" t="s">
        <v>174</v>
      </c>
      <c r="DI828" s="4"/>
      <c r="DJ828" s="4" t="b">
        <v>0</v>
      </c>
      <c r="DK828" s="4"/>
      <c r="DL828" s="4">
        <v>2472832</v>
      </c>
      <c r="DM828" s="4">
        <v>5746449</v>
      </c>
      <c r="DN828" s="4" t="s">
        <v>2646</v>
      </c>
      <c r="DO828" s="4"/>
      <c r="DP828" s="4" t="s">
        <v>2647</v>
      </c>
      <c r="DQ828" s="4" t="s">
        <v>148</v>
      </c>
      <c r="DR828" s="4"/>
      <c r="DS828" s="4"/>
      <c r="DT828" s="5">
        <v>41901</v>
      </c>
      <c r="DU828" s="4"/>
      <c r="DV828" s="4"/>
      <c r="DW828" s="4"/>
      <c r="DX828" s="4"/>
      <c r="DY828" s="4"/>
      <c r="DZ828" s="4"/>
      <c r="EA828" s="4"/>
      <c r="EB828" s="4"/>
      <c r="EC828" s="4"/>
      <c r="ED828" s="4"/>
      <c r="EE828" s="4"/>
      <c r="EF828" s="4"/>
      <c r="EG828" s="4"/>
      <c r="EH828" s="4"/>
      <c r="EI828" s="4"/>
    </row>
    <row r="829" spans="1:139" hidden="1" x14ac:dyDescent="0.2">
      <c r="A829">
        <f>VLOOKUP(B829,Sheet1!$A$1:$B$18,2,FALSE)</f>
        <v>0</v>
      </c>
      <c r="B829" t="str">
        <f>LEFT(D829,3)</f>
        <v>CHC</v>
      </c>
      <c r="C829" s="2">
        <v>828</v>
      </c>
      <c r="D829" s="3" t="str">
        <f>HYPERLINK("https://sitebase.nzcomms.co.nz/spm/spmnominalview/CHC-060-103/","CHC-060-103")</f>
        <v>CHC-060-103</v>
      </c>
      <c r="E829" s="4" t="s">
        <v>2648</v>
      </c>
      <c r="F829" s="4"/>
      <c r="G829" s="4"/>
      <c r="H829" s="4" t="s">
        <v>2353</v>
      </c>
      <c r="I829" s="4"/>
      <c r="J829" s="4" t="s">
        <v>196</v>
      </c>
      <c r="K829" s="4"/>
      <c r="L829" s="4"/>
      <c r="M829" s="4"/>
      <c r="N829" s="4"/>
      <c r="O829" s="4"/>
      <c r="P829" s="4"/>
      <c r="Q829" s="4"/>
      <c r="R829" s="4"/>
      <c r="S829" s="4"/>
      <c r="T829" s="4"/>
      <c r="U829" s="4"/>
      <c r="V829" s="4"/>
      <c r="W829" s="4"/>
      <c r="X829" s="4"/>
      <c r="Y829" s="4"/>
      <c r="Z829" s="4"/>
      <c r="AA829" s="4"/>
      <c r="AB829" s="4"/>
      <c r="AC829" s="4"/>
      <c r="AD829" s="4"/>
      <c r="AE829" s="4"/>
      <c r="AF829" s="4"/>
      <c r="AG829" s="4" t="b">
        <v>0</v>
      </c>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t="s">
        <v>2649</v>
      </c>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row>
    <row r="830" spans="1:139" hidden="1" x14ac:dyDescent="0.2">
      <c r="A830">
        <f>VLOOKUP(B830,Sheet1!$A$1:$B$18,2,FALSE)</f>
        <v>0</v>
      </c>
      <c r="B830" t="str">
        <f>LEFT(D830,3)</f>
        <v>CHC</v>
      </c>
      <c r="C830" s="2">
        <v>829</v>
      </c>
      <c r="D830" s="3" t="str">
        <f>HYPERLINK("https://sitebase.nzcomms.co.nz/spm/spmnominalview/CHC-060-104/","CHC-060-104")</f>
        <v>CHC-060-104</v>
      </c>
      <c r="E830" s="4" t="s">
        <v>2650</v>
      </c>
      <c r="F830" s="3" t="str">
        <f>HYPERLINK("https://sitebase.nzcomms.co.nz/spm/spmcandidateview/CHC-060-104-B/","CHC-060-104-B")</f>
        <v>CHC-060-104-B</v>
      </c>
      <c r="G830" s="4" t="s">
        <v>2651</v>
      </c>
      <c r="H830" s="4" t="s">
        <v>2353</v>
      </c>
      <c r="I830" s="4">
        <v>8</v>
      </c>
      <c r="J830" s="4" t="s">
        <v>2652</v>
      </c>
      <c r="K830" s="4" t="s">
        <v>141</v>
      </c>
      <c r="L830" s="4" t="s">
        <v>189</v>
      </c>
      <c r="M830" s="4" t="s">
        <v>571</v>
      </c>
      <c r="N830" s="4" t="s">
        <v>2058</v>
      </c>
      <c r="O830" s="4"/>
      <c r="P830" s="4" t="s">
        <v>182</v>
      </c>
      <c r="Q830" s="4"/>
      <c r="R830" s="4">
        <v>18.899999999999999</v>
      </c>
      <c r="S830" s="4">
        <v>20</v>
      </c>
      <c r="T830" s="4"/>
      <c r="U830" s="4">
        <v>-43.520050640000001</v>
      </c>
      <c r="V830" s="4">
        <v>172.60651539</v>
      </c>
      <c r="W830" s="4"/>
      <c r="X830" s="4"/>
      <c r="Y830" s="4"/>
      <c r="Z830" s="4"/>
      <c r="AA830" s="4"/>
      <c r="AB830" s="4"/>
      <c r="AC830" s="4" t="b">
        <v>0</v>
      </c>
      <c r="AD830" s="4" t="b">
        <v>0</v>
      </c>
      <c r="AE830" s="4"/>
      <c r="AF830" s="4"/>
      <c r="AG830" s="4" t="b">
        <v>0</v>
      </c>
      <c r="AH830" s="4"/>
      <c r="AI830" s="4"/>
      <c r="AJ830" s="5">
        <v>41488</v>
      </c>
      <c r="AK830" s="4"/>
      <c r="AL830" s="5">
        <v>41488</v>
      </c>
      <c r="AM830" s="5">
        <v>41526</v>
      </c>
      <c r="AN830" s="5">
        <v>41424</v>
      </c>
      <c r="AO830" s="4">
        <v>6</v>
      </c>
      <c r="AP830" s="5">
        <v>41526</v>
      </c>
      <c r="AQ830" s="5">
        <v>41872</v>
      </c>
      <c r="AR830" s="5">
        <v>41565</v>
      </c>
      <c r="AS830" s="5">
        <v>41536</v>
      </c>
      <c r="AT830" s="5">
        <v>41540</v>
      </c>
      <c r="AU830" s="5">
        <v>41540</v>
      </c>
      <c r="AV830" s="4"/>
      <c r="AW830" s="5">
        <v>41590</v>
      </c>
      <c r="AX830" s="5">
        <v>41598</v>
      </c>
      <c r="AY830" s="4" t="s">
        <v>172</v>
      </c>
      <c r="AZ830" s="5">
        <v>41537</v>
      </c>
      <c r="BA830" s="5">
        <v>41537</v>
      </c>
      <c r="BB830" s="5">
        <v>41561</v>
      </c>
      <c r="BC830" s="5">
        <v>41561</v>
      </c>
      <c r="BD830" s="4">
        <v>4</v>
      </c>
      <c r="BE830" s="5">
        <v>41590</v>
      </c>
      <c r="BF830" s="5">
        <v>41610</v>
      </c>
      <c r="BG830" s="4"/>
      <c r="BH830" s="4"/>
      <c r="BI830" s="4"/>
      <c r="BJ830" s="5">
        <v>41529</v>
      </c>
      <c r="BK830" s="4">
        <v>2</v>
      </c>
      <c r="BL830" s="4"/>
      <c r="BM830" s="5">
        <v>41534</v>
      </c>
      <c r="BN830" s="5">
        <v>41586</v>
      </c>
      <c r="BO830" s="4"/>
      <c r="BP830" s="5">
        <v>41530</v>
      </c>
      <c r="BQ830" s="5">
        <v>41530</v>
      </c>
      <c r="BR830" s="5">
        <v>41561</v>
      </c>
      <c r="BS830" s="4"/>
      <c r="BT830" s="5">
        <v>41591</v>
      </c>
      <c r="BU830" s="5">
        <v>41590</v>
      </c>
      <c r="BV830" s="5">
        <v>41621</v>
      </c>
      <c r="BW830" s="5">
        <v>41621</v>
      </c>
      <c r="BX830" s="5">
        <v>41614</v>
      </c>
      <c r="BY830" s="5">
        <v>41614</v>
      </c>
      <c r="BZ830" s="5">
        <v>41621</v>
      </c>
      <c r="CA830" s="5">
        <v>41600</v>
      </c>
      <c r="CB830" s="5">
        <v>41614</v>
      </c>
      <c r="CC830" s="4"/>
      <c r="CD830" s="4"/>
      <c r="CE830" s="5">
        <v>41614</v>
      </c>
      <c r="CF830" s="4"/>
      <c r="CG830" s="5">
        <v>41586</v>
      </c>
      <c r="CH830" s="5">
        <v>41600</v>
      </c>
      <c r="CI830" s="4"/>
      <c r="CJ830" s="5">
        <v>41621</v>
      </c>
      <c r="CK830" s="5">
        <v>41627</v>
      </c>
      <c r="CL830" s="4"/>
      <c r="CM830" s="4"/>
      <c r="CN830" s="4"/>
      <c r="CO830" s="4"/>
      <c r="CP830" s="4"/>
      <c r="CQ830" s="4"/>
      <c r="CR830" s="4"/>
      <c r="CS830" s="4"/>
      <c r="CT830" s="4"/>
      <c r="CU830" s="4"/>
      <c r="CV830" s="4"/>
      <c r="CW830" s="4"/>
      <c r="CX830" s="4"/>
      <c r="CY830" s="4"/>
      <c r="CZ830" s="4"/>
      <c r="DA830" s="5">
        <v>41618</v>
      </c>
      <c r="DB830" s="5">
        <v>41626</v>
      </c>
      <c r="DC830" s="5">
        <v>41521</v>
      </c>
      <c r="DD830" s="4" t="s">
        <v>206</v>
      </c>
      <c r="DE830" s="4" t="s">
        <v>2054</v>
      </c>
      <c r="DF830" s="5">
        <v>41578</v>
      </c>
      <c r="DG830" s="5">
        <v>41614</v>
      </c>
      <c r="DH830" s="4" t="s">
        <v>174</v>
      </c>
      <c r="DI830" s="5">
        <v>41591</v>
      </c>
      <c r="DJ830" s="4" t="b">
        <v>1</v>
      </c>
      <c r="DK830" s="5">
        <v>41561</v>
      </c>
      <c r="DL830" s="4">
        <v>2478199</v>
      </c>
      <c r="DM830" s="4">
        <v>5742969</v>
      </c>
      <c r="DN830" s="4" t="s">
        <v>2653</v>
      </c>
      <c r="DO830" s="4"/>
      <c r="DP830" s="4"/>
      <c r="DQ830" s="4" t="s">
        <v>148</v>
      </c>
      <c r="DR830" s="4"/>
      <c r="DS830" s="4"/>
      <c r="DT830" s="5">
        <v>41901</v>
      </c>
      <c r="DU830" s="4"/>
      <c r="DV830" s="4"/>
      <c r="DW830" s="4"/>
      <c r="DX830" s="4"/>
      <c r="DY830" s="5">
        <v>41591</v>
      </c>
      <c r="DZ830" s="4"/>
      <c r="EA830" s="4"/>
      <c r="EB830" s="4"/>
      <c r="EC830" s="4"/>
      <c r="ED830" s="4"/>
      <c r="EE830" s="4"/>
      <c r="EF830" s="4"/>
      <c r="EG830" s="4"/>
      <c r="EH830" s="4"/>
      <c r="EI830" s="5">
        <v>41488</v>
      </c>
    </row>
    <row r="831" spans="1:139" hidden="1" x14ac:dyDescent="0.2">
      <c r="A831">
        <f>VLOOKUP(B831,Sheet1!$A$1:$B$18,2,FALSE)</f>
        <v>0</v>
      </c>
      <c r="B831" t="str">
        <f>LEFT(D831,3)</f>
        <v>CHC</v>
      </c>
      <c r="C831" s="2">
        <v>830</v>
      </c>
      <c r="D831" s="3" t="str">
        <f>HYPERLINK("https://sitebase.nzcomms.co.nz/spm/spmnominalview/CHC-060-105/","CHC-060-105")</f>
        <v>CHC-060-105</v>
      </c>
      <c r="E831" s="4" t="s">
        <v>2654</v>
      </c>
      <c r="F831" s="3" t="str">
        <f>HYPERLINK("https://sitebase.nzcomms.co.nz/spm/spmcandidateview/CHC-060-105-B/","CHC-060-105-B")</f>
        <v>CHC-060-105-B</v>
      </c>
      <c r="G831" s="4" t="s">
        <v>2655</v>
      </c>
      <c r="H831" s="4" t="s">
        <v>2353</v>
      </c>
      <c r="I831" s="4">
        <v>8</v>
      </c>
      <c r="J831" s="4" t="s">
        <v>194</v>
      </c>
      <c r="K831" s="4" t="s">
        <v>141</v>
      </c>
      <c r="L831" s="4" t="s">
        <v>150</v>
      </c>
      <c r="M831" s="4" t="s">
        <v>160</v>
      </c>
      <c r="N831" s="4" t="s">
        <v>291</v>
      </c>
      <c r="O831" s="4"/>
      <c r="P831" s="4"/>
      <c r="Q831" s="4" t="s">
        <v>192</v>
      </c>
      <c r="R831" s="4"/>
      <c r="S831" s="4">
        <v>20</v>
      </c>
      <c r="T831" s="4"/>
      <c r="U831" s="4">
        <v>-43.499115189999998</v>
      </c>
      <c r="V831" s="4">
        <v>172.58617477000001</v>
      </c>
      <c r="W831" s="4"/>
      <c r="X831" s="4"/>
      <c r="Y831" s="4"/>
      <c r="Z831" s="4"/>
      <c r="AA831" s="4" t="s">
        <v>171</v>
      </c>
      <c r="AB831" s="3" t="str">
        <f>HYPERLINK("https://sitebase.nzcomms.co.nz/spm/spmcandidateview/CHC-060-023-A/","CHC-060-023-A")</f>
        <v>CHC-060-023-A</v>
      </c>
      <c r="AC831" s="4" t="b">
        <v>0</v>
      </c>
      <c r="AD831" s="4" t="b">
        <v>0</v>
      </c>
      <c r="AE831" s="4"/>
      <c r="AF831" s="4"/>
      <c r="AG831" s="4" t="b">
        <v>0</v>
      </c>
      <c r="AH831" s="4"/>
      <c r="AI831" s="5">
        <v>40737</v>
      </c>
      <c r="AJ831" s="5">
        <v>40737</v>
      </c>
      <c r="AK831" s="5">
        <v>40739</v>
      </c>
      <c r="AL831" s="5">
        <v>40739</v>
      </c>
      <c r="AM831" s="5">
        <v>40781</v>
      </c>
      <c r="AN831" s="5">
        <v>40784</v>
      </c>
      <c r="AO831" s="4">
        <v>1</v>
      </c>
      <c r="AP831" s="5">
        <v>40781</v>
      </c>
      <c r="AQ831" s="5">
        <v>40784</v>
      </c>
      <c r="AR831" s="4"/>
      <c r="AS831" s="5">
        <v>40841</v>
      </c>
      <c r="AT831" s="5">
        <v>40935</v>
      </c>
      <c r="AU831" s="5">
        <v>40989</v>
      </c>
      <c r="AV831" s="4">
        <v>1</v>
      </c>
      <c r="AW831" s="5">
        <v>40935</v>
      </c>
      <c r="AX831" s="5">
        <v>41151</v>
      </c>
      <c r="AY831" s="4" t="s">
        <v>172</v>
      </c>
      <c r="AZ831" s="5">
        <v>40826</v>
      </c>
      <c r="BA831" s="5">
        <v>40826</v>
      </c>
      <c r="BB831" s="5">
        <v>40862</v>
      </c>
      <c r="BC831" s="5">
        <v>40848</v>
      </c>
      <c r="BD831" s="4">
        <v>1</v>
      </c>
      <c r="BE831" s="4"/>
      <c r="BF831" s="5">
        <v>40848</v>
      </c>
      <c r="BG831" s="4"/>
      <c r="BH831" s="4"/>
      <c r="BI831" s="5">
        <v>40952</v>
      </c>
      <c r="BJ831" s="5">
        <v>40963</v>
      </c>
      <c r="BK831" s="4">
        <v>1</v>
      </c>
      <c r="BL831" s="4"/>
      <c r="BM831" s="5">
        <v>40952</v>
      </c>
      <c r="BN831" s="5">
        <v>40963</v>
      </c>
      <c r="BO831" s="5">
        <v>40990</v>
      </c>
      <c r="BP831" s="4"/>
      <c r="BQ831" s="4"/>
      <c r="BR831" s="4"/>
      <c r="BS831" s="4"/>
      <c r="BT831" s="5">
        <v>40970</v>
      </c>
      <c r="BU831" s="5">
        <v>40974</v>
      </c>
      <c r="BV831" s="5">
        <v>41029</v>
      </c>
      <c r="BW831" s="5">
        <v>41029</v>
      </c>
      <c r="BX831" s="5">
        <v>41023</v>
      </c>
      <c r="BY831" s="5">
        <v>41031</v>
      </c>
      <c r="BZ831" s="5">
        <v>41027</v>
      </c>
      <c r="CA831" s="4"/>
      <c r="CB831" s="4"/>
      <c r="CC831" s="4"/>
      <c r="CD831" s="4"/>
      <c r="CE831" s="4"/>
      <c r="CF831" s="4"/>
      <c r="CG831" s="4"/>
      <c r="CH831" s="4"/>
      <c r="CI831" s="5">
        <v>41041</v>
      </c>
      <c r="CJ831" s="5">
        <v>41036</v>
      </c>
      <c r="CK831" s="5">
        <v>41044</v>
      </c>
      <c r="CL831" s="5">
        <v>41031</v>
      </c>
      <c r="CM831" s="5">
        <v>41060</v>
      </c>
      <c r="CN831" s="5">
        <v>41150</v>
      </c>
      <c r="CO831" s="5">
        <v>41152</v>
      </c>
      <c r="CP831" s="4" t="s">
        <v>2656</v>
      </c>
      <c r="CQ831" s="4"/>
      <c r="CR831" s="5">
        <v>41034</v>
      </c>
      <c r="CS831" s="5">
        <v>40828</v>
      </c>
      <c r="CT831" s="5">
        <v>40828</v>
      </c>
      <c r="CU831" s="5">
        <v>40931</v>
      </c>
      <c r="CV831" s="5">
        <v>40940</v>
      </c>
      <c r="CW831" s="5">
        <v>40977</v>
      </c>
      <c r="CX831" s="5">
        <v>40990</v>
      </c>
      <c r="CY831" s="5">
        <v>41031</v>
      </c>
      <c r="CZ831" s="5">
        <v>41026</v>
      </c>
      <c r="DA831" s="4"/>
      <c r="DB831" s="5">
        <v>41046</v>
      </c>
      <c r="DC831" s="4"/>
      <c r="DD831" s="4"/>
      <c r="DE831" s="4"/>
      <c r="DF831" s="4"/>
      <c r="DG831" s="4"/>
      <c r="DH831" s="4"/>
      <c r="DI831" s="5">
        <v>41023</v>
      </c>
      <c r="DJ831" s="4" t="b">
        <v>0</v>
      </c>
      <c r="DK831" s="4"/>
      <c r="DL831" s="4">
        <v>2476543</v>
      </c>
      <c r="DM831" s="4">
        <v>5745287</v>
      </c>
      <c r="DN831" s="4" t="s">
        <v>2657</v>
      </c>
      <c r="DO831" s="4"/>
      <c r="DP831" s="4"/>
      <c r="DQ831" s="4" t="s">
        <v>148</v>
      </c>
      <c r="DR831" s="4"/>
      <c r="DS831" s="4"/>
      <c r="DT831" s="5">
        <v>42289</v>
      </c>
      <c r="DU831" s="4"/>
      <c r="DV831" s="4"/>
      <c r="DW831" s="4"/>
      <c r="DX831" s="4"/>
      <c r="DY831" s="4"/>
      <c r="DZ831" s="4"/>
      <c r="EA831" s="4"/>
      <c r="EB831" s="4"/>
      <c r="EC831" s="4"/>
      <c r="ED831" s="4"/>
      <c r="EE831" s="4"/>
      <c r="EF831" s="4"/>
      <c r="EG831" s="5">
        <v>41048</v>
      </c>
      <c r="EH831" s="5">
        <v>41046</v>
      </c>
      <c r="EI831" s="5">
        <v>40739</v>
      </c>
    </row>
    <row r="832" spans="1:139" hidden="1" x14ac:dyDescent="0.2">
      <c r="A832">
        <f>VLOOKUP(B832,Sheet1!$A$1:$B$18,2,FALSE)</f>
        <v>0</v>
      </c>
      <c r="B832" t="str">
        <f>LEFT(D832,3)</f>
        <v>CHC</v>
      </c>
      <c r="C832" s="2">
        <v>831</v>
      </c>
      <c r="D832" s="3" t="str">
        <f>HYPERLINK("https://sitebase.nzcomms.co.nz/spm/spmnominalview/CHC-060-106/","CHC-060-106")</f>
        <v>CHC-060-106</v>
      </c>
      <c r="E832" s="4" t="s">
        <v>2658</v>
      </c>
      <c r="F832" s="3" t="str">
        <f>HYPERLINK("https://sitebase.nzcomms.co.nz/spm/spmcandidateview/CHC-060-106-D/","CHC-060-106-D")</f>
        <v>CHC-060-106-D</v>
      </c>
      <c r="G832" s="4" t="s">
        <v>2659</v>
      </c>
      <c r="H832" s="4" t="s">
        <v>2353</v>
      </c>
      <c r="I832" s="4">
        <v>8</v>
      </c>
      <c r="J832" s="4" t="s">
        <v>194</v>
      </c>
      <c r="K832" s="4" t="s">
        <v>141</v>
      </c>
      <c r="L832" s="4" t="s">
        <v>150</v>
      </c>
      <c r="M832" s="4" t="s">
        <v>160</v>
      </c>
      <c r="N832" s="4" t="s">
        <v>291</v>
      </c>
      <c r="O832" s="4"/>
      <c r="P832" s="4" t="s">
        <v>182</v>
      </c>
      <c r="Q832" s="4" t="s">
        <v>192</v>
      </c>
      <c r="R832" s="4"/>
      <c r="S832" s="4">
        <v>20</v>
      </c>
      <c r="T832" s="4">
        <v>1</v>
      </c>
      <c r="U832" s="4">
        <v>-43.526543150000002</v>
      </c>
      <c r="V832" s="4">
        <v>172.55308385000001</v>
      </c>
      <c r="W832" s="4"/>
      <c r="X832" s="4"/>
      <c r="Y832" s="4"/>
      <c r="Z832" s="4"/>
      <c r="AA832" s="4"/>
      <c r="AB832" s="4"/>
      <c r="AC832" s="4" t="b">
        <v>0</v>
      </c>
      <c r="AD832" s="4" t="b">
        <v>0</v>
      </c>
      <c r="AE832" s="4"/>
      <c r="AF832" s="4"/>
      <c r="AG832" s="4" t="b">
        <v>0</v>
      </c>
      <c r="AH832" s="4"/>
      <c r="AI832" s="5">
        <v>40786</v>
      </c>
      <c r="AJ832" s="5">
        <v>40786</v>
      </c>
      <c r="AK832" s="5">
        <v>40791</v>
      </c>
      <c r="AL832" s="5">
        <v>40791</v>
      </c>
      <c r="AM832" s="5">
        <v>40820</v>
      </c>
      <c r="AN832" s="5">
        <v>40823</v>
      </c>
      <c r="AO832" s="4">
        <v>1</v>
      </c>
      <c r="AP832" s="5">
        <v>40820</v>
      </c>
      <c r="AQ832" s="5">
        <v>40823</v>
      </c>
      <c r="AR832" s="5">
        <v>40847</v>
      </c>
      <c r="AS832" s="5">
        <v>40897</v>
      </c>
      <c r="AT832" s="5">
        <v>40847</v>
      </c>
      <c r="AU832" s="5">
        <v>40872</v>
      </c>
      <c r="AV832" s="4"/>
      <c r="AW832" s="5">
        <v>40847</v>
      </c>
      <c r="AX832" s="5">
        <v>40872</v>
      </c>
      <c r="AY832" s="4" t="s">
        <v>198</v>
      </c>
      <c r="AZ832" s="5">
        <v>40834</v>
      </c>
      <c r="BA832" s="5">
        <v>40834</v>
      </c>
      <c r="BB832" s="5">
        <v>40865</v>
      </c>
      <c r="BC832" s="5">
        <v>40851</v>
      </c>
      <c r="BD832" s="4">
        <v>1</v>
      </c>
      <c r="BE832" s="4"/>
      <c r="BF832" s="5">
        <v>40851</v>
      </c>
      <c r="BG832" s="4"/>
      <c r="BH832" s="4"/>
      <c r="BI832" s="5">
        <v>41092</v>
      </c>
      <c r="BJ832" s="5">
        <v>41092</v>
      </c>
      <c r="BK832" s="4">
        <v>1</v>
      </c>
      <c r="BL832" s="4"/>
      <c r="BM832" s="5">
        <v>41088</v>
      </c>
      <c r="BN832" s="5">
        <v>41092</v>
      </c>
      <c r="BO832" s="5">
        <v>41116</v>
      </c>
      <c r="BP832" s="4"/>
      <c r="BQ832" s="4"/>
      <c r="BR832" s="4"/>
      <c r="BS832" s="4"/>
      <c r="BT832" s="5">
        <v>41102</v>
      </c>
      <c r="BU832" s="5">
        <v>41102</v>
      </c>
      <c r="BV832" s="5">
        <v>41141</v>
      </c>
      <c r="BW832" s="5">
        <v>41127</v>
      </c>
      <c r="BX832" s="5">
        <v>41127</v>
      </c>
      <c r="BY832" s="5">
        <v>41143</v>
      </c>
      <c r="BZ832" s="5">
        <v>41130</v>
      </c>
      <c r="CA832" s="4"/>
      <c r="CB832" s="4"/>
      <c r="CC832" s="4"/>
      <c r="CD832" s="4"/>
      <c r="CE832" s="4"/>
      <c r="CF832" s="4"/>
      <c r="CG832" s="4"/>
      <c r="CH832" s="4"/>
      <c r="CI832" s="5">
        <v>41131</v>
      </c>
      <c r="CJ832" s="5">
        <v>41167</v>
      </c>
      <c r="CK832" s="5">
        <v>41137</v>
      </c>
      <c r="CL832" s="5">
        <v>41142</v>
      </c>
      <c r="CM832" s="5">
        <v>41151</v>
      </c>
      <c r="CN832" s="5">
        <v>41551</v>
      </c>
      <c r="CO832" s="5">
        <v>41542</v>
      </c>
      <c r="CP832" s="4" t="s">
        <v>2660</v>
      </c>
      <c r="CQ832" s="4"/>
      <c r="CR832" s="5">
        <v>41144</v>
      </c>
      <c r="CS832" s="5">
        <v>41078</v>
      </c>
      <c r="CT832" s="5">
        <v>41078</v>
      </c>
      <c r="CU832" s="5">
        <v>41078</v>
      </c>
      <c r="CV832" s="5">
        <v>41092</v>
      </c>
      <c r="CW832" s="5">
        <v>41115</v>
      </c>
      <c r="CX832" s="5">
        <v>41116</v>
      </c>
      <c r="CY832" s="5">
        <v>41141</v>
      </c>
      <c r="CZ832" s="5">
        <v>41127</v>
      </c>
      <c r="DA832" s="4"/>
      <c r="DB832" s="5">
        <v>41121</v>
      </c>
      <c r="DC832" s="4"/>
      <c r="DD832" s="4"/>
      <c r="DE832" s="4"/>
      <c r="DF832" s="4"/>
      <c r="DG832" s="4"/>
      <c r="DH832" s="4" t="s">
        <v>174</v>
      </c>
      <c r="DI832" s="5">
        <v>41137</v>
      </c>
      <c r="DJ832" s="4" t="b">
        <v>0</v>
      </c>
      <c r="DK832" s="4"/>
      <c r="DL832" s="4">
        <v>2473883</v>
      </c>
      <c r="DM832" s="4">
        <v>5742226</v>
      </c>
      <c r="DN832" s="4" t="s">
        <v>2661</v>
      </c>
      <c r="DO832" s="4"/>
      <c r="DP832" s="4"/>
      <c r="DQ832" s="4" t="s">
        <v>148</v>
      </c>
      <c r="DR832" s="4"/>
      <c r="DS832" s="4"/>
      <c r="DT832" s="5">
        <v>42313</v>
      </c>
      <c r="DU832" s="4"/>
      <c r="DV832" s="4"/>
      <c r="DW832" s="4"/>
      <c r="DX832" s="4"/>
      <c r="DY832" s="4"/>
      <c r="DZ832" s="4"/>
      <c r="EA832" s="4"/>
      <c r="EB832" s="4"/>
      <c r="EC832" s="4"/>
      <c r="ED832" s="4"/>
      <c r="EE832" s="4"/>
      <c r="EF832" s="4"/>
      <c r="EG832" s="5">
        <v>41152</v>
      </c>
      <c r="EH832" s="5">
        <v>41142</v>
      </c>
      <c r="EI832" s="5">
        <v>40791</v>
      </c>
    </row>
    <row r="833" spans="1:139" hidden="1" x14ac:dyDescent="0.2">
      <c r="A833">
        <f>VLOOKUP(B833,Sheet1!$A$1:$B$18,2,FALSE)</f>
        <v>0</v>
      </c>
      <c r="B833" t="str">
        <f>LEFT(D833,3)</f>
        <v>CHC</v>
      </c>
      <c r="C833" s="2">
        <v>832</v>
      </c>
      <c r="D833" s="3" t="str">
        <f>HYPERLINK("https://sitebase.nzcomms.co.nz/spm/spmnominalview/CHC-060-107/","CHC-060-107")</f>
        <v>CHC-060-107</v>
      </c>
      <c r="E833" s="4" t="s">
        <v>2662</v>
      </c>
      <c r="F833" s="3" t="str">
        <f>HYPERLINK("https://sitebase.nzcomms.co.nz/spm/spmcandidateview/CHC-060-107-B/","CHC-060-107-B")</f>
        <v>CHC-060-107-B</v>
      </c>
      <c r="G833" s="4" t="s">
        <v>2663</v>
      </c>
      <c r="H833" s="4" t="s">
        <v>2353</v>
      </c>
      <c r="I833" s="4">
        <v>8</v>
      </c>
      <c r="J833" s="4" t="s">
        <v>317</v>
      </c>
      <c r="K833" s="4" t="s">
        <v>141</v>
      </c>
      <c r="L833" s="4" t="s">
        <v>189</v>
      </c>
      <c r="M833" s="4" t="s">
        <v>296</v>
      </c>
      <c r="N833" s="4"/>
      <c r="O833" s="4"/>
      <c r="P833" s="4"/>
      <c r="Q833" s="4" t="s">
        <v>192</v>
      </c>
      <c r="R833" s="4"/>
      <c r="S833" s="4">
        <v>14</v>
      </c>
      <c r="T833" s="4"/>
      <c r="U833" s="4">
        <v>-43.47514992</v>
      </c>
      <c r="V833" s="4">
        <v>172.62959635999999</v>
      </c>
      <c r="W833" s="4"/>
      <c r="X833" s="4"/>
      <c r="Y833" s="4"/>
      <c r="Z833" s="4"/>
      <c r="AA833" s="4"/>
      <c r="AB833" s="4"/>
      <c r="AC833" s="4" t="b">
        <v>0</v>
      </c>
      <c r="AD833" s="4" t="b">
        <v>0</v>
      </c>
      <c r="AE833" s="4"/>
      <c r="AF833" s="4"/>
      <c r="AG833" s="4" t="b">
        <v>0</v>
      </c>
      <c r="AH833" s="4"/>
      <c r="AI833" s="5">
        <v>40786</v>
      </c>
      <c r="AJ833" s="5">
        <v>40786</v>
      </c>
      <c r="AK833" s="5">
        <v>40798</v>
      </c>
      <c r="AL833" s="5">
        <v>40801</v>
      </c>
      <c r="AM833" s="5">
        <v>40835</v>
      </c>
      <c r="AN833" s="5">
        <v>40877</v>
      </c>
      <c r="AO833" s="4">
        <v>1</v>
      </c>
      <c r="AP833" s="5">
        <v>40835</v>
      </c>
      <c r="AQ833" s="5">
        <v>40877</v>
      </c>
      <c r="AR833" s="5">
        <v>40841</v>
      </c>
      <c r="AS833" s="5">
        <v>40856</v>
      </c>
      <c r="AT833" s="5">
        <v>40998</v>
      </c>
      <c r="AU833" s="5">
        <v>41009</v>
      </c>
      <c r="AV833" s="4"/>
      <c r="AW833" s="5">
        <v>40998</v>
      </c>
      <c r="AX833" s="5">
        <v>41009</v>
      </c>
      <c r="AY833" s="4" t="s">
        <v>193</v>
      </c>
      <c r="AZ833" s="5">
        <v>40837</v>
      </c>
      <c r="BA833" s="5">
        <v>40876</v>
      </c>
      <c r="BB833" s="5">
        <v>40925</v>
      </c>
      <c r="BC833" s="5">
        <v>40928</v>
      </c>
      <c r="BD833" s="4">
        <v>1</v>
      </c>
      <c r="BE833" s="4"/>
      <c r="BF833" s="5">
        <v>40947</v>
      </c>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t="s">
        <v>2664</v>
      </c>
      <c r="CQ833" s="4"/>
      <c r="CR833" s="4"/>
      <c r="CS833" s="4"/>
      <c r="CT833" s="4"/>
      <c r="CU833" s="4"/>
      <c r="CV833" s="4"/>
      <c r="CW833" s="4"/>
      <c r="CX833" s="4"/>
      <c r="CY833" s="4"/>
      <c r="CZ833" s="4"/>
      <c r="DA833" s="4"/>
      <c r="DB833" s="4"/>
      <c r="DC833" s="5">
        <v>40948</v>
      </c>
      <c r="DD833" s="4" t="s">
        <v>2665</v>
      </c>
      <c r="DE833" s="4" t="s">
        <v>194</v>
      </c>
      <c r="DF833" s="4"/>
      <c r="DG833" s="4"/>
      <c r="DH833" s="4" t="s">
        <v>240</v>
      </c>
      <c r="DI833" s="4"/>
      <c r="DJ833" s="4" t="b">
        <v>0</v>
      </c>
      <c r="DK833" s="4"/>
      <c r="DL833" s="4">
        <v>2480043</v>
      </c>
      <c r="DM833" s="4">
        <v>5747966</v>
      </c>
      <c r="DN833" s="4" t="s">
        <v>2666</v>
      </c>
      <c r="DO833" s="4"/>
      <c r="DP833" s="4"/>
      <c r="DQ833" s="4" t="s">
        <v>148</v>
      </c>
      <c r="DR833" s="4" t="s">
        <v>244</v>
      </c>
      <c r="DS833" s="4"/>
      <c r="DT833" s="4"/>
      <c r="DU833" s="4"/>
      <c r="DV833" s="4"/>
      <c r="DW833" s="4"/>
      <c r="DX833" s="4"/>
      <c r="DY833" s="4"/>
      <c r="DZ833" s="4"/>
      <c r="EA833" s="4"/>
      <c r="EB833" s="4"/>
      <c r="EC833" s="4"/>
      <c r="ED833" s="4"/>
      <c r="EE833" s="4"/>
      <c r="EF833" s="4"/>
      <c r="EG833" s="4"/>
      <c r="EH833" s="4"/>
      <c r="EI833" s="4"/>
    </row>
    <row r="834" spans="1:139" hidden="1" x14ac:dyDescent="0.2">
      <c r="A834">
        <f>VLOOKUP(B834,Sheet1!$A$1:$B$18,2,FALSE)</f>
        <v>0</v>
      </c>
      <c r="B834" t="str">
        <f>LEFT(D834,3)</f>
        <v>CHC</v>
      </c>
      <c r="C834" s="2">
        <v>833</v>
      </c>
      <c r="D834" s="3" t="str">
        <f>HYPERLINK("https://sitebase.nzcomms.co.nz/spm/spmnominalview/CHC-060-108/","CHC-060-108")</f>
        <v>CHC-060-108</v>
      </c>
      <c r="E834" s="4" t="s">
        <v>2667</v>
      </c>
      <c r="F834" s="3" t="str">
        <f>HYPERLINK("https://sitebase.nzcomms.co.nz/spm/spmcandidateview/CHC-060-108-E/","CHC-060-108-E")</f>
        <v>CHC-060-108-E</v>
      </c>
      <c r="G834" s="4" t="s">
        <v>2668</v>
      </c>
      <c r="H834" s="4" t="s">
        <v>2353</v>
      </c>
      <c r="I834" s="4">
        <v>8</v>
      </c>
      <c r="J834" s="4" t="s">
        <v>194</v>
      </c>
      <c r="K834" s="4" t="s">
        <v>141</v>
      </c>
      <c r="L834" s="4" t="s">
        <v>150</v>
      </c>
      <c r="M834" s="4" t="s">
        <v>190</v>
      </c>
      <c r="N834" s="4" t="s">
        <v>291</v>
      </c>
      <c r="O834" s="4"/>
      <c r="P834" s="4" t="s">
        <v>182</v>
      </c>
      <c r="Q834" s="4" t="s">
        <v>192</v>
      </c>
      <c r="R834" s="4">
        <v>19.5</v>
      </c>
      <c r="S834" s="4">
        <v>20</v>
      </c>
      <c r="T834" s="4">
        <v>1</v>
      </c>
      <c r="U834" s="4">
        <v>-43.579330570000003</v>
      </c>
      <c r="V834" s="4">
        <v>172.56657589</v>
      </c>
      <c r="W834" s="4"/>
      <c r="X834" s="4"/>
      <c r="Y834" s="4"/>
      <c r="Z834" s="4"/>
      <c r="AA834" s="4"/>
      <c r="AB834" s="4"/>
      <c r="AC834" s="4" t="b">
        <v>0</v>
      </c>
      <c r="AD834" s="4" t="b">
        <v>0</v>
      </c>
      <c r="AE834" s="4"/>
      <c r="AF834" s="4"/>
      <c r="AG834" s="4" t="b">
        <v>0</v>
      </c>
      <c r="AH834" s="4"/>
      <c r="AI834" s="5">
        <v>40744</v>
      </c>
      <c r="AJ834" s="5">
        <v>40744</v>
      </c>
      <c r="AK834" s="5">
        <v>40771</v>
      </c>
      <c r="AL834" s="5">
        <v>40746</v>
      </c>
      <c r="AM834" s="5">
        <v>40813</v>
      </c>
      <c r="AN834" s="5">
        <v>40816</v>
      </c>
      <c r="AO834" s="4">
        <v>4</v>
      </c>
      <c r="AP834" s="5">
        <v>40856</v>
      </c>
      <c r="AQ834" s="5">
        <v>42122</v>
      </c>
      <c r="AR834" s="5">
        <v>40872</v>
      </c>
      <c r="AS834" s="5">
        <v>40872</v>
      </c>
      <c r="AT834" s="5">
        <v>40872</v>
      </c>
      <c r="AU834" s="5">
        <v>40854</v>
      </c>
      <c r="AV834" s="4"/>
      <c r="AW834" s="5">
        <v>40872</v>
      </c>
      <c r="AX834" s="5">
        <v>40879</v>
      </c>
      <c r="AY834" s="4" t="s">
        <v>198</v>
      </c>
      <c r="AZ834" s="5">
        <v>40897</v>
      </c>
      <c r="BA834" s="5">
        <v>40917</v>
      </c>
      <c r="BB834" s="5">
        <v>40952</v>
      </c>
      <c r="BC834" s="5">
        <v>40962</v>
      </c>
      <c r="BD834" s="4">
        <v>3</v>
      </c>
      <c r="BE834" s="4"/>
      <c r="BF834" s="5">
        <v>40962</v>
      </c>
      <c r="BG834" s="4"/>
      <c r="BH834" s="4"/>
      <c r="BI834" s="5">
        <v>41092</v>
      </c>
      <c r="BJ834" s="5">
        <v>41092</v>
      </c>
      <c r="BK834" s="4">
        <v>1</v>
      </c>
      <c r="BL834" s="4"/>
      <c r="BM834" s="5">
        <v>41088</v>
      </c>
      <c r="BN834" s="5">
        <v>41092</v>
      </c>
      <c r="BO834" s="5">
        <v>41122</v>
      </c>
      <c r="BP834" s="4"/>
      <c r="BQ834" s="4"/>
      <c r="BR834" s="4"/>
      <c r="BS834" s="4"/>
      <c r="BT834" s="5">
        <v>41102</v>
      </c>
      <c r="BU834" s="5">
        <v>41102</v>
      </c>
      <c r="BV834" s="5">
        <v>41139</v>
      </c>
      <c r="BW834" s="5">
        <v>41139</v>
      </c>
      <c r="BX834" s="5">
        <v>41136</v>
      </c>
      <c r="BY834" s="5">
        <v>41139</v>
      </c>
      <c r="BZ834" s="5">
        <v>41145</v>
      </c>
      <c r="CA834" s="4"/>
      <c r="CB834" s="4"/>
      <c r="CC834" s="4"/>
      <c r="CD834" s="4"/>
      <c r="CE834" s="4"/>
      <c r="CF834" s="4"/>
      <c r="CG834" s="4"/>
      <c r="CH834" s="4"/>
      <c r="CI834" s="5">
        <v>41158</v>
      </c>
      <c r="CJ834" s="5">
        <v>41167</v>
      </c>
      <c r="CK834" s="5">
        <v>41163</v>
      </c>
      <c r="CL834" s="5">
        <v>41139</v>
      </c>
      <c r="CM834" s="5">
        <v>41173</v>
      </c>
      <c r="CN834" s="5">
        <v>41439</v>
      </c>
      <c r="CO834" s="5">
        <v>41425</v>
      </c>
      <c r="CP834" s="4" t="s">
        <v>2669</v>
      </c>
      <c r="CQ834" s="4"/>
      <c r="CR834" s="5">
        <v>41148</v>
      </c>
      <c r="CS834" s="5">
        <v>41068</v>
      </c>
      <c r="CT834" s="5">
        <v>41068</v>
      </c>
      <c r="CU834" s="5">
        <v>41078</v>
      </c>
      <c r="CV834" s="5">
        <v>41092</v>
      </c>
      <c r="CW834" s="5">
        <v>41114</v>
      </c>
      <c r="CX834" s="5">
        <v>41122</v>
      </c>
      <c r="CY834" s="5">
        <v>41136</v>
      </c>
      <c r="CZ834" s="5">
        <v>41137</v>
      </c>
      <c r="DA834" s="4"/>
      <c r="DB834" s="5">
        <v>41121</v>
      </c>
      <c r="DC834" s="4"/>
      <c r="DD834" s="4"/>
      <c r="DE834" s="4"/>
      <c r="DF834" s="4"/>
      <c r="DG834" s="4"/>
      <c r="DH834" s="4" t="s">
        <v>174</v>
      </c>
      <c r="DI834" s="5">
        <v>41135</v>
      </c>
      <c r="DJ834" s="4" t="b">
        <v>0</v>
      </c>
      <c r="DK834" s="4"/>
      <c r="DL834" s="4">
        <v>2475004</v>
      </c>
      <c r="DM834" s="4">
        <v>5736367</v>
      </c>
      <c r="DN834" s="4" t="s">
        <v>2670</v>
      </c>
      <c r="DO834" s="4"/>
      <c r="DP834" s="4"/>
      <c r="DQ834" s="4" t="s">
        <v>148</v>
      </c>
      <c r="DR834" s="4"/>
      <c r="DS834" s="4"/>
      <c r="DT834" s="5">
        <v>42313</v>
      </c>
      <c r="DU834" s="4"/>
      <c r="DV834" s="4"/>
      <c r="DW834" s="4"/>
      <c r="DX834" s="4"/>
      <c r="DY834" s="4"/>
      <c r="DZ834" s="4"/>
      <c r="EA834" s="4"/>
      <c r="EB834" s="4"/>
      <c r="EC834" s="4"/>
      <c r="ED834" s="4"/>
      <c r="EE834" s="4"/>
      <c r="EF834" s="4"/>
      <c r="EG834" s="5">
        <v>41162</v>
      </c>
      <c r="EH834" s="5">
        <v>41162</v>
      </c>
      <c r="EI834" s="5">
        <v>40746</v>
      </c>
    </row>
    <row r="835" spans="1:139" hidden="1" x14ac:dyDescent="0.2">
      <c r="A835">
        <f>VLOOKUP(B835,Sheet1!$A$1:$B$18,2,FALSE)</f>
        <v>0</v>
      </c>
      <c r="B835" t="str">
        <f>LEFT(D835,3)</f>
        <v>CHC</v>
      </c>
      <c r="C835" s="2">
        <v>834</v>
      </c>
      <c r="D835" s="3" t="str">
        <f>HYPERLINK("https://sitebase.nzcomms.co.nz/spm/spmnominalview/CHC-060-109/","CHC-060-109")</f>
        <v>CHC-060-109</v>
      </c>
      <c r="E835" s="4" t="s">
        <v>2671</v>
      </c>
      <c r="F835" s="3" t="str">
        <f>HYPERLINK("https://sitebase.nzcomms.co.nz/spm/spmcandidateview/CHC-060-109-A/","CHC-060-109-A")</f>
        <v>CHC-060-109-A</v>
      </c>
      <c r="G835" s="4" t="s">
        <v>2672</v>
      </c>
      <c r="H835" s="4" t="s">
        <v>2353</v>
      </c>
      <c r="I835" s="4"/>
      <c r="J835" s="4" t="s">
        <v>584</v>
      </c>
      <c r="K835" s="4" t="s">
        <v>141</v>
      </c>
      <c r="L835" s="4"/>
      <c r="M835" s="4" t="s">
        <v>324</v>
      </c>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5">
        <v>41743</v>
      </c>
      <c r="CL835" s="4"/>
      <c r="CM835" s="4"/>
      <c r="CN835" s="4"/>
      <c r="CO835" s="4"/>
      <c r="CP835" s="4"/>
      <c r="CQ835" s="4"/>
      <c r="CR835" s="4"/>
      <c r="CS835" s="4"/>
      <c r="CT835" s="4"/>
      <c r="CU835" s="4"/>
      <c r="CV835" s="4"/>
      <c r="CW835" s="4"/>
      <c r="CX835" s="4"/>
      <c r="CY835" s="4"/>
      <c r="CZ835" s="4"/>
      <c r="DA835" s="4"/>
      <c r="DB835" s="4"/>
      <c r="DC835" s="4"/>
      <c r="DD835" s="4"/>
      <c r="DE835" s="4"/>
      <c r="DF835" s="4"/>
      <c r="DG835" s="4"/>
      <c r="DH835" s="4" t="s">
        <v>174</v>
      </c>
      <c r="DI835" s="4"/>
      <c r="DJ835" s="4"/>
      <c r="DK835" s="4"/>
      <c r="DL835" s="4"/>
      <c r="DM835" s="4"/>
      <c r="DN835" s="4" t="s">
        <v>2673</v>
      </c>
      <c r="DO835" s="4"/>
      <c r="DP835" s="4"/>
      <c r="DQ835" s="4" t="s">
        <v>328</v>
      </c>
      <c r="DR835" s="4"/>
      <c r="DS835" s="4"/>
      <c r="DT835" s="4"/>
      <c r="DU835" s="4"/>
      <c r="DV835" s="4"/>
      <c r="DW835" s="4"/>
      <c r="DX835" s="4"/>
      <c r="DY835" s="4"/>
      <c r="DZ835" s="4"/>
      <c r="EA835" s="4"/>
      <c r="EB835" s="4"/>
      <c r="EC835" s="4"/>
      <c r="ED835" s="4"/>
      <c r="EE835" s="4"/>
      <c r="EF835" s="4"/>
      <c r="EG835" s="4"/>
      <c r="EH835" s="4"/>
      <c r="EI835" s="4"/>
    </row>
    <row r="836" spans="1:139" hidden="1" x14ac:dyDescent="0.2">
      <c r="A836">
        <f>VLOOKUP(B836,Sheet1!$A$1:$B$18,2,FALSE)</f>
        <v>0</v>
      </c>
      <c r="B836" t="str">
        <f>LEFT(D836,3)</f>
        <v>CHC</v>
      </c>
      <c r="C836" s="2">
        <v>835</v>
      </c>
      <c r="D836" s="3" t="str">
        <f>HYPERLINK("https://sitebase.nzcomms.co.nz/spm/spmnominalview/CHC-060-110/","CHC-060-110")</f>
        <v>CHC-060-110</v>
      </c>
      <c r="E836" s="4" t="s">
        <v>2674</v>
      </c>
      <c r="F836" s="3" t="str">
        <f>HYPERLINK("https://sitebase.nzcomms.co.nz/spm/spmcandidateview/CHC-060-110-A/","CHC-060-110-A")</f>
        <v>CHC-060-110-A</v>
      </c>
      <c r="G836" s="4" t="s">
        <v>2675</v>
      </c>
      <c r="H836" s="4" t="s">
        <v>2353</v>
      </c>
      <c r="I836" s="4"/>
      <c r="J836" s="4" t="s">
        <v>317</v>
      </c>
      <c r="K836" s="4" t="s">
        <v>141</v>
      </c>
      <c r="L836" s="4" t="s">
        <v>181</v>
      </c>
      <c r="M836" s="4" t="s">
        <v>324</v>
      </c>
      <c r="N836" s="4" t="s">
        <v>181</v>
      </c>
      <c r="O836" s="4"/>
      <c r="P836" s="4"/>
      <c r="Q836" s="4" t="s">
        <v>192</v>
      </c>
      <c r="R836" s="4"/>
      <c r="S836" s="4"/>
      <c r="T836" s="4"/>
      <c r="U836" s="4">
        <v>-43.537768870000001</v>
      </c>
      <c r="V836" s="4">
        <v>172.60001689000001</v>
      </c>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v>2477683</v>
      </c>
      <c r="DM836" s="4">
        <v>5740998</v>
      </c>
      <c r="DN836" s="4" t="s">
        <v>2676</v>
      </c>
      <c r="DO836" s="4"/>
      <c r="DP836" s="4"/>
      <c r="DQ836" s="4"/>
      <c r="DR836" s="4"/>
      <c r="DS836" s="4"/>
      <c r="DT836" s="4"/>
      <c r="DU836" s="4"/>
      <c r="DV836" s="4"/>
      <c r="DW836" s="4"/>
      <c r="DX836" s="4"/>
      <c r="DY836" s="4"/>
      <c r="DZ836" s="4"/>
      <c r="EA836" s="4"/>
      <c r="EB836" s="4"/>
      <c r="EC836" s="4"/>
      <c r="ED836" s="4"/>
      <c r="EE836" s="4"/>
      <c r="EF836" s="4"/>
      <c r="EG836" s="4"/>
      <c r="EH836" s="4"/>
      <c r="EI836" s="4"/>
    </row>
    <row r="837" spans="1:139" hidden="1" x14ac:dyDescent="0.2">
      <c r="A837">
        <f>VLOOKUP(B837,Sheet1!$A$1:$B$18,2,FALSE)</f>
        <v>0</v>
      </c>
      <c r="B837" t="str">
        <f>LEFT(D837,3)</f>
        <v>CHC</v>
      </c>
      <c r="C837" s="2">
        <v>836</v>
      </c>
      <c r="D837" s="3" t="str">
        <f>HYPERLINK("https://sitebase.nzcomms.co.nz/spm/spmnominalview/CHC-060-111/","CHC-060-111")</f>
        <v>CHC-060-111</v>
      </c>
      <c r="E837" s="4" t="s">
        <v>2677</v>
      </c>
      <c r="F837" s="4"/>
      <c r="G837" s="4"/>
      <c r="H837" s="4" t="s">
        <v>2353</v>
      </c>
      <c r="I837" s="4"/>
      <c r="J837" s="4" t="s">
        <v>722</v>
      </c>
      <c r="K837" s="4"/>
      <c r="L837" s="4"/>
      <c r="M837" s="4"/>
      <c r="N837" s="4"/>
      <c r="O837" s="4"/>
      <c r="P837" s="4"/>
      <c r="Q837" s="4"/>
      <c r="R837" s="4"/>
      <c r="S837" s="4"/>
      <c r="T837" s="4"/>
      <c r="U837" s="4"/>
      <c r="V837" s="4"/>
      <c r="W837" s="4"/>
      <c r="X837" s="4"/>
      <c r="Y837" s="4"/>
      <c r="Z837" s="4"/>
      <c r="AA837" s="4"/>
      <c r="AB837" s="4"/>
      <c r="AC837" s="4"/>
      <c r="AD837" s="4"/>
      <c r="AE837" s="4"/>
      <c r="AF837" s="4"/>
      <c r="AG837" s="4" t="b">
        <v>0</v>
      </c>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row>
    <row r="838" spans="1:139" hidden="1" x14ac:dyDescent="0.2">
      <c r="A838">
        <f>VLOOKUP(B838,Sheet1!$A$1:$B$18,2,FALSE)</f>
        <v>0</v>
      </c>
      <c r="B838" t="str">
        <f>LEFT(D838,3)</f>
        <v>CHC</v>
      </c>
      <c r="C838" s="2">
        <v>837</v>
      </c>
      <c r="D838" s="3" t="str">
        <f>HYPERLINK("https://sitebase.nzcomms.co.nz/spm/spmnominalview/CHC-060-112/","CHC-060-112")</f>
        <v>CHC-060-112</v>
      </c>
      <c r="E838" s="4" t="s">
        <v>2678</v>
      </c>
      <c r="F838" s="4"/>
      <c r="G838" s="4"/>
      <c r="H838" s="4" t="s">
        <v>2353</v>
      </c>
      <c r="I838" s="4"/>
      <c r="J838" s="4" t="s">
        <v>722</v>
      </c>
      <c r="K838" s="4"/>
      <c r="L838" s="4"/>
      <c r="M838" s="4"/>
      <c r="N838" s="4"/>
      <c r="O838" s="4"/>
      <c r="P838" s="4"/>
      <c r="Q838" s="4"/>
      <c r="R838" s="4"/>
      <c r="S838" s="4"/>
      <c r="T838" s="4"/>
      <c r="U838" s="4"/>
      <c r="V838" s="4"/>
      <c r="W838" s="4"/>
      <c r="X838" s="4"/>
      <c r="Y838" s="4"/>
      <c r="Z838" s="4"/>
      <c r="AA838" s="4"/>
      <c r="AB838" s="4"/>
      <c r="AC838" s="4"/>
      <c r="AD838" s="4"/>
      <c r="AE838" s="4"/>
      <c r="AF838" s="4"/>
      <c r="AG838" s="4" t="b">
        <v>0</v>
      </c>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row>
    <row r="839" spans="1:139" hidden="1" x14ac:dyDescent="0.2">
      <c r="A839">
        <f>VLOOKUP(B839,Sheet1!$A$1:$B$18,2,FALSE)</f>
        <v>0</v>
      </c>
      <c r="B839" t="str">
        <f>LEFT(D839,3)</f>
        <v>CHC</v>
      </c>
      <c r="C839" s="2">
        <v>838</v>
      </c>
      <c r="D839" s="3" t="str">
        <f>HYPERLINK("https://sitebase.nzcomms.co.nz/spm/spmnominalview/CHC-060-113/","CHC-060-113")</f>
        <v>CHC-060-113</v>
      </c>
      <c r="E839" s="4" t="s">
        <v>2636</v>
      </c>
      <c r="F839" s="4"/>
      <c r="G839" s="4"/>
      <c r="H839" s="4" t="s">
        <v>2353</v>
      </c>
      <c r="I839" s="4">
        <v>8</v>
      </c>
      <c r="J839" s="4" t="s">
        <v>196</v>
      </c>
      <c r="K839" s="4"/>
      <c r="L839" s="4"/>
      <c r="M839" s="4"/>
      <c r="N839" s="4"/>
      <c r="O839" s="4"/>
      <c r="P839" s="4"/>
      <c r="Q839" s="4"/>
      <c r="R839" s="4"/>
      <c r="S839" s="4"/>
      <c r="T839" s="4"/>
      <c r="U839" s="4"/>
      <c r="V839" s="4"/>
      <c r="W839" s="4"/>
      <c r="X839" s="4"/>
      <c r="Y839" s="4"/>
      <c r="Z839" s="4"/>
      <c r="AA839" s="4"/>
      <c r="AB839" s="4"/>
      <c r="AC839" s="4"/>
      <c r="AD839" s="4"/>
      <c r="AE839" s="4"/>
      <c r="AF839" s="4"/>
      <c r="AG839" s="4" t="b">
        <v>0</v>
      </c>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row>
    <row r="840" spans="1:139" hidden="1" x14ac:dyDescent="0.2">
      <c r="A840">
        <f>VLOOKUP(B840,Sheet1!$A$1:$B$18,2,FALSE)</f>
        <v>0</v>
      </c>
      <c r="B840" t="str">
        <f>LEFT(D840,3)</f>
        <v>CHC</v>
      </c>
      <c r="C840" s="2">
        <v>839</v>
      </c>
      <c r="D840" s="3" t="str">
        <f>HYPERLINK("https://sitebase.nzcomms.co.nz/spm/spmnominalview/CHC-060-114/","CHC-060-114")</f>
        <v>CHC-060-114</v>
      </c>
      <c r="E840" s="4" t="s">
        <v>2679</v>
      </c>
      <c r="F840" s="4"/>
      <c r="G840" s="4"/>
      <c r="H840" s="4" t="s">
        <v>2353</v>
      </c>
      <c r="I840" s="4">
        <v>8</v>
      </c>
      <c r="J840" s="4" t="s">
        <v>317</v>
      </c>
      <c r="K840" s="4"/>
      <c r="L840" s="4"/>
      <c r="M840" s="4"/>
      <c r="N840" s="4"/>
      <c r="O840" s="4"/>
      <c r="P840" s="4"/>
      <c r="Q840" s="4"/>
      <c r="R840" s="4"/>
      <c r="S840" s="4"/>
      <c r="T840" s="4"/>
      <c r="U840" s="4"/>
      <c r="V840" s="4"/>
      <c r="W840" s="4"/>
      <c r="X840" s="4"/>
      <c r="Y840" s="4"/>
      <c r="Z840" s="4"/>
      <c r="AA840" s="4"/>
      <c r="AB840" s="4"/>
      <c r="AC840" s="4"/>
      <c r="AD840" s="4"/>
      <c r="AE840" s="4"/>
      <c r="AF840" s="4"/>
      <c r="AG840" s="4" t="b">
        <v>0</v>
      </c>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row>
    <row r="841" spans="1:139" hidden="1" x14ac:dyDescent="0.2">
      <c r="A841">
        <f>VLOOKUP(B841,Sheet1!$A$1:$B$18,2,FALSE)</f>
        <v>0</v>
      </c>
      <c r="B841" t="str">
        <f>LEFT(D841,3)</f>
        <v>CHC</v>
      </c>
      <c r="C841" s="2">
        <v>840</v>
      </c>
      <c r="D841" s="3" t="str">
        <f>HYPERLINK("https://sitebase.nzcomms.co.nz/spm/spmnominalview/CHC-060-115/","CHC-060-115")</f>
        <v>CHC-060-115</v>
      </c>
      <c r="E841" s="4" t="s">
        <v>2680</v>
      </c>
      <c r="F841" s="3" t="str">
        <f>HYPERLINK("https://sitebase.nzcomms.co.nz/spm/spmcandidateview/CHC-060-115-A/","CHC-060-115-A")</f>
        <v>CHC-060-115-A</v>
      </c>
      <c r="G841" s="4" t="s">
        <v>2681</v>
      </c>
      <c r="H841" s="4" t="s">
        <v>2353</v>
      </c>
      <c r="I841" s="4">
        <v>8</v>
      </c>
      <c r="J841" s="4" t="s">
        <v>317</v>
      </c>
      <c r="K841" s="4" t="s">
        <v>141</v>
      </c>
      <c r="L841" s="4" t="s">
        <v>142</v>
      </c>
      <c r="M841" s="4" t="s">
        <v>324</v>
      </c>
      <c r="N841" s="4"/>
      <c r="O841" s="4"/>
      <c r="P841" s="4"/>
      <c r="Q841" s="4"/>
      <c r="R841" s="4"/>
      <c r="S841" s="4"/>
      <c r="T841" s="4"/>
      <c r="U841" s="4"/>
      <c r="V841" s="4"/>
      <c r="W841" s="4"/>
      <c r="X841" s="4"/>
      <c r="Y841" s="4"/>
      <c r="Z841" s="4"/>
      <c r="AA841" s="4"/>
      <c r="AB841" s="4"/>
      <c r="AC841" s="4" t="b">
        <v>0</v>
      </c>
      <c r="AD841" s="4" t="b">
        <v>0</v>
      </c>
      <c r="AE841" s="4"/>
      <c r="AF841" s="4"/>
      <c r="AG841" s="4" t="b">
        <v>0</v>
      </c>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5">
        <v>39508</v>
      </c>
      <c r="CL841" s="4"/>
      <c r="CM841" s="5">
        <v>39508</v>
      </c>
      <c r="CN841" s="4"/>
      <c r="CO841" s="4"/>
      <c r="CP841" s="4" t="s">
        <v>1180</v>
      </c>
      <c r="CQ841" s="4"/>
      <c r="CR841" s="4"/>
      <c r="CS841" s="4"/>
      <c r="CT841" s="4"/>
      <c r="CU841" s="4"/>
      <c r="CV841" s="4"/>
      <c r="CW841" s="4"/>
      <c r="CX841" s="4"/>
      <c r="CY841" s="4"/>
      <c r="CZ841" s="4"/>
      <c r="DA841" s="4"/>
      <c r="DB841" s="4"/>
      <c r="DC841" s="4"/>
      <c r="DD841" s="4"/>
      <c r="DE841" s="4"/>
      <c r="DF841" s="4"/>
      <c r="DG841" s="4"/>
      <c r="DH841" s="4"/>
      <c r="DI841" s="4"/>
      <c r="DJ841" s="4" t="b">
        <v>0</v>
      </c>
      <c r="DK841" s="4"/>
      <c r="DL841" s="4"/>
      <c r="DM841" s="4"/>
      <c r="DN841" s="4" t="s">
        <v>2682</v>
      </c>
      <c r="DO841" s="4"/>
      <c r="DP841" s="4"/>
      <c r="DQ841" s="4" t="s">
        <v>328</v>
      </c>
      <c r="DR841" s="4"/>
      <c r="DS841" s="4"/>
      <c r="DT841" s="4"/>
      <c r="DU841" s="4"/>
      <c r="DV841" s="4"/>
      <c r="DW841" s="4"/>
      <c r="DX841" s="4"/>
      <c r="DY841" s="4"/>
      <c r="DZ841" s="4"/>
      <c r="EA841" s="4"/>
      <c r="EB841" s="4"/>
      <c r="EC841" s="4"/>
      <c r="ED841" s="4"/>
      <c r="EE841" s="4"/>
      <c r="EF841" s="4"/>
      <c r="EG841" s="4"/>
      <c r="EH841" s="4"/>
      <c r="EI841" s="4"/>
    </row>
    <row r="842" spans="1:139" hidden="1" x14ac:dyDescent="0.2">
      <c r="A842">
        <f>VLOOKUP(B842,Sheet1!$A$1:$B$18,2,FALSE)</f>
        <v>0</v>
      </c>
      <c r="B842" t="str">
        <f>LEFT(D842,3)</f>
        <v>CHC</v>
      </c>
      <c r="C842" s="2">
        <v>841</v>
      </c>
      <c r="D842" s="3" t="str">
        <f>HYPERLINK("https://sitebase.nzcomms.co.nz/spm/spmnominalview/CHC-060-116/","CHC-060-116")</f>
        <v>CHC-060-116</v>
      </c>
      <c r="E842" s="4" t="s">
        <v>2683</v>
      </c>
      <c r="F842" s="3" t="str">
        <f>HYPERLINK("https://sitebase.nzcomms.co.nz/spm/spmcandidateview/CHC-060-116-A/","CHC-060-116-A")</f>
        <v>CHC-060-116-A</v>
      </c>
      <c r="G842" s="4" t="s">
        <v>2684</v>
      </c>
      <c r="H842" s="4" t="s">
        <v>2353</v>
      </c>
      <c r="I842" s="4">
        <v>21</v>
      </c>
      <c r="J842" s="4" t="s">
        <v>165</v>
      </c>
      <c r="K842" s="4" t="s">
        <v>141</v>
      </c>
      <c r="L842" s="4" t="s">
        <v>181</v>
      </c>
      <c r="M842" s="4" t="s">
        <v>1134</v>
      </c>
      <c r="N842" s="4" t="s">
        <v>181</v>
      </c>
      <c r="O842" s="4"/>
      <c r="P842" s="4"/>
      <c r="Q842" s="4" t="s">
        <v>142</v>
      </c>
      <c r="R842" s="4"/>
      <c r="S842" s="4"/>
      <c r="T842" s="4"/>
      <c r="U842" s="4">
        <v>-43.770406989999998</v>
      </c>
      <c r="V842" s="4">
        <v>172.79154217000001</v>
      </c>
      <c r="W842" s="4"/>
      <c r="X842" s="4"/>
      <c r="Y842" s="4"/>
      <c r="Z842" s="4"/>
      <c r="AA842" s="4" t="s">
        <v>145</v>
      </c>
      <c r="AB842" s="3" t="str">
        <f>HYPERLINK("https://sitebase.nzcomms.co.nz/spm/spmcandidateview/CAN-062-011-C/","CAN-062-011-C")</f>
        <v>CAN-062-011-C</v>
      </c>
      <c r="AC842" s="4" t="b">
        <v>0</v>
      </c>
      <c r="AD842" s="4" t="b">
        <v>0</v>
      </c>
      <c r="AE842" s="4"/>
      <c r="AF842" s="4"/>
      <c r="AG842" s="4" t="b">
        <v>0</v>
      </c>
      <c r="AH842" s="4"/>
      <c r="AI842" s="5">
        <v>42117</v>
      </c>
      <c r="AJ842" s="5">
        <v>42124</v>
      </c>
      <c r="AK842" s="5">
        <v>42272</v>
      </c>
      <c r="AL842" s="5">
        <v>42276</v>
      </c>
      <c r="AM842" s="5">
        <v>42419</v>
      </c>
      <c r="AN842" s="5">
        <v>42297</v>
      </c>
      <c r="AO842" s="4">
        <v>1</v>
      </c>
      <c r="AP842" s="4"/>
      <c r="AQ842" s="5">
        <v>42297</v>
      </c>
      <c r="AR842" s="5">
        <v>42426</v>
      </c>
      <c r="AS842" s="5">
        <v>42387</v>
      </c>
      <c r="AT842" s="5">
        <v>42447</v>
      </c>
      <c r="AU842" s="5">
        <v>42394</v>
      </c>
      <c r="AV842" s="4"/>
      <c r="AW842" s="4"/>
      <c r="AX842" s="4"/>
      <c r="AY842" s="4" t="s">
        <v>183</v>
      </c>
      <c r="AZ842" s="5">
        <v>42300</v>
      </c>
      <c r="BA842" s="5">
        <v>42325</v>
      </c>
      <c r="BB842" s="5">
        <v>42328</v>
      </c>
      <c r="BC842" s="5">
        <v>42355</v>
      </c>
      <c r="BD842" s="4">
        <v>1</v>
      </c>
      <c r="BE842" s="5">
        <v>42335</v>
      </c>
      <c r="BF842" s="5">
        <v>42355</v>
      </c>
      <c r="BG842" s="5">
        <v>42432</v>
      </c>
      <c r="BH842" s="4"/>
      <c r="BI842" s="5">
        <v>42454</v>
      </c>
      <c r="BJ842" s="4"/>
      <c r="BK842" s="4"/>
      <c r="BL842" s="4"/>
      <c r="BM842" s="4"/>
      <c r="BN842" s="4"/>
      <c r="BO842" s="4"/>
      <c r="BP842" s="4"/>
      <c r="BQ842" s="4"/>
      <c r="BR842" s="4"/>
      <c r="BS842" s="4"/>
      <c r="BT842" s="5">
        <v>42530</v>
      </c>
      <c r="BU842" s="4"/>
      <c r="BV842" s="5">
        <v>42544</v>
      </c>
      <c r="BW842" s="4"/>
      <c r="BX842" s="4"/>
      <c r="BY842" s="5">
        <v>42559</v>
      </c>
      <c r="BZ842" s="4"/>
      <c r="CA842" s="5">
        <v>42384</v>
      </c>
      <c r="CB842" s="4"/>
      <c r="CC842" s="4"/>
      <c r="CD842" s="4"/>
      <c r="CE842" s="4"/>
      <c r="CF842" s="4"/>
      <c r="CG842" s="4"/>
      <c r="CH842" s="4"/>
      <c r="CI842" s="4"/>
      <c r="CJ842" s="5">
        <v>42545</v>
      </c>
      <c r="CK842" s="4"/>
      <c r="CL842" s="4"/>
      <c r="CM842" s="4"/>
      <c r="CN842" s="4"/>
      <c r="CO842" s="4"/>
      <c r="CP842" s="4" t="s">
        <v>2685</v>
      </c>
      <c r="CQ842" s="4" t="s">
        <v>205</v>
      </c>
      <c r="CR842" s="4"/>
      <c r="CS842" s="4"/>
      <c r="CT842" s="4"/>
      <c r="CU842" s="4"/>
      <c r="CV842" s="4"/>
      <c r="CW842" s="4"/>
      <c r="CX842" s="4"/>
      <c r="CY842" s="4"/>
      <c r="CZ842" s="4"/>
      <c r="DA842" s="5">
        <v>42573</v>
      </c>
      <c r="DB842" s="4"/>
      <c r="DC842" s="5">
        <v>42163</v>
      </c>
      <c r="DD842" s="4" t="s">
        <v>586</v>
      </c>
      <c r="DE842" s="4" t="s">
        <v>1982</v>
      </c>
      <c r="DF842" s="5">
        <v>42384</v>
      </c>
      <c r="DG842" s="4"/>
      <c r="DH842" s="4" t="s">
        <v>174</v>
      </c>
      <c r="DI842" s="4"/>
      <c r="DJ842" s="4" t="b">
        <v>1</v>
      </c>
      <c r="DK842" s="4"/>
      <c r="DL842" s="4">
        <v>2493227</v>
      </c>
      <c r="DM842" s="4">
        <v>5715206</v>
      </c>
      <c r="DN842" s="4" t="s">
        <v>2686</v>
      </c>
      <c r="DO842" s="4"/>
      <c r="DP842" s="4"/>
      <c r="DQ842" s="4" t="s">
        <v>328</v>
      </c>
      <c r="DR842" s="4" t="s">
        <v>255</v>
      </c>
      <c r="DS842" s="4"/>
      <c r="DT842" s="4"/>
      <c r="DU842" s="4" t="s">
        <v>178</v>
      </c>
      <c r="DV842" s="4"/>
      <c r="DW842" s="4"/>
      <c r="DX842" s="4"/>
      <c r="DY842" s="5">
        <v>42468</v>
      </c>
      <c r="DZ842" s="4"/>
      <c r="EA842" s="4"/>
      <c r="EB842" s="4"/>
      <c r="EC842" s="4"/>
      <c r="ED842" s="4"/>
      <c r="EE842" s="5">
        <v>42495</v>
      </c>
      <c r="EF842" s="4"/>
      <c r="EG842" s="4"/>
      <c r="EH842" s="4"/>
      <c r="EI842" s="5">
        <v>42276</v>
      </c>
    </row>
    <row r="843" spans="1:139" hidden="1" x14ac:dyDescent="0.2">
      <c r="A843">
        <f>VLOOKUP(B843,Sheet1!$A$1:$B$18,2,FALSE)</f>
        <v>0</v>
      </c>
      <c r="B843" t="str">
        <f>LEFT(D843,3)</f>
        <v>CHC</v>
      </c>
      <c r="C843" s="2">
        <v>842</v>
      </c>
      <c r="D843" s="3" t="str">
        <f>HYPERLINK("https://sitebase.nzcomms.co.nz/spm/spmnominalview/CHC-060-117/","CHC-060-117")</f>
        <v>CHC-060-117</v>
      </c>
      <c r="E843" s="4" t="s">
        <v>2687</v>
      </c>
      <c r="F843" s="3" t="str">
        <f>HYPERLINK("https://sitebase.nzcomms.co.nz/spm/spmcandidateview/CHC-060-117-B/","CHC-060-117-B")</f>
        <v>CHC-060-117-B</v>
      </c>
      <c r="G843" s="4" t="s">
        <v>2687</v>
      </c>
      <c r="H843" s="4" t="s">
        <v>2353</v>
      </c>
      <c r="I843" s="4">
        <v>11</v>
      </c>
      <c r="J843" s="4" t="s">
        <v>180</v>
      </c>
      <c r="K843" s="4" t="s">
        <v>141</v>
      </c>
      <c r="L843" s="4" t="s">
        <v>189</v>
      </c>
      <c r="M843" s="4" t="s">
        <v>571</v>
      </c>
      <c r="N843" s="4" t="s">
        <v>2058</v>
      </c>
      <c r="O843" s="4"/>
      <c r="P843" s="4"/>
      <c r="Q843" s="4" t="s">
        <v>192</v>
      </c>
      <c r="R843" s="4"/>
      <c r="S843" s="4"/>
      <c r="T843" s="4"/>
      <c r="U843" s="4">
        <v>-43.520676590000001</v>
      </c>
      <c r="V843" s="4">
        <v>172.62690764999999</v>
      </c>
      <c r="W843" s="4"/>
      <c r="X843" s="5">
        <v>41451</v>
      </c>
      <c r="Y843" s="4"/>
      <c r="Z843" s="4"/>
      <c r="AA843" s="4"/>
      <c r="AB843" s="4"/>
      <c r="AC843" s="4" t="b">
        <v>0</v>
      </c>
      <c r="AD843" s="4" t="b">
        <v>0</v>
      </c>
      <c r="AE843" s="4"/>
      <c r="AF843" s="4"/>
      <c r="AG843" s="4" t="b">
        <v>0</v>
      </c>
      <c r="AH843" s="4"/>
      <c r="AI843" s="4"/>
      <c r="AJ843" s="5">
        <v>41306</v>
      </c>
      <c r="AK843" s="4"/>
      <c r="AL843" s="5">
        <v>41306</v>
      </c>
      <c r="AM843" s="4"/>
      <c r="AN843" s="5">
        <v>41318</v>
      </c>
      <c r="AO843" s="4">
        <v>2</v>
      </c>
      <c r="AP843" s="5">
        <v>41318</v>
      </c>
      <c r="AQ843" s="5">
        <v>41842</v>
      </c>
      <c r="AR843" s="4"/>
      <c r="AS843" s="5">
        <v>41337</v>
      </c>
      <c r="AT843" s="5">
        <v>41344</v>
      </c>
      <c r="AU843" s="5">
        <v>41344</v>
      </c>
      <c r="AV843" s="4"/>
      <c r="AW843" s="5">
        <v>41345</v>
      </c>
      <c r="AX843" s="4"/>
      <c r="AY843" s="4" t="s">
        <v>172</v>
      </c>
      <c r="AZ843" s="4"/>
      <c r="BA843" s="5">
        <v>41317</v>
      </c>
      <c r="BB843" s="5">
        <v>41339</v>
      </c>
      <c r="BC843" s="5">
        <v>41330</v>
      </c>
      <c r="BD843" s="4">
        <v>1</v>
      </c>
      <c r="BE843" s="5">
        <v>41348</v>
      </c>
      <c r="BF843" s="5">
        <v>41330</v>
      </c>
      <c r="BG843" s="4"/>
      <c r="BH843" s="5">
        <v>41334</v>
      </c>
      <c r="BI843" s="4"/>
      <c r="BJ843" s="5">
        <v>41361</v>
      </c>
      <c r="BK843" s="4">
        <v>1</v>
      </c>
      <c r="BL843" s="4"/>
      <c r="BM843" s="5">
        <v>41359</v>
      </c>
      <c r="BN843" s="5">
        <v>41361</v>
      </c>
      <c r="BO843" s="5">
        <v>41414</v>
      </c>
      <c r="BP843" s="4"/>
      <c r="BQ843" s="4"/>
      <c r="BR843" s="5">
        <v>41348</v>
      </c>
      <c r="BS843" s="4"/>
      <c r="BT843" s="5">
        <v>41414</v>
      </c>
      <c r="BU843" s="5">
        <v>41404</v>
      </c>
      <c r="BV843" s="5">
        <v>41446</v>
      </c>
      <c r="BW843" s="5">
        <v>41446</v>
      </c>
      <c r="BX843" s="5">
        <v>41446</v>
      </c>
      <c r="BY843" s="5">
        <v>41453</v>
      </c>
      <c r="BZ843" s="5">
        <v>41452</v>
      </c>
      <c r="CA843" s="4"/>
      <c r="CB843" s="5">
        <v>41446</v>
      </c>
      <c r="CC843" s="4"/>
      <c r="CD843" s="4"/>
      <c r="CE843" s="4"/>
      <c r="CF843" s="4"/>
      <c r="CG843" s="4"/>
      <c r="CH843" s="4"/>
      <c r="CI843" s="4"/>
      <c r="CJ843" s="5">
        <v>41469</v>
      </c>
      <c r="CK843" s="5">
        <v>41467</v>
      </c>
      <c r="CL843" s="5">
        <v>41472</v>
      </c>
      <c r="CM843" s="5">
        <v>41478</v>
      </c>
      <c r="CN843" s="5">
        <v>41575</v>
      </c>
      <c r="CO843" s="5">
        <v>41614</v>
      </c>
      <c r="CP843" s="4"/>
      <c r="CQ843" s="4"/>
      <c r="CR843" s="5">
        <v>41453</v>
      </c>
      <c r="CS843" s="5">
        <v>41386</v>
      </c>
      <c r="CT843" s="5">
        <v>41386</v>
      </c>
      <c r="CU843" s="5">
        <v>41393</v>
      </c>
      <c r="CV843" s="5">
        <v>41393</v>
      </c>
      <c r="CW843" s="4"/>
      <c r="CX843" s="5">
        <v>41414</v>
      </c>
      <c r="CY843" s="5">
        <v>41453</v>
      </c>
      <c r="CZ843" s="4"/>
      <c r="DA843" s="5">
        <v>41456</v>
      </c>
      <c r="DB843" s="5">
        <v>41456</v>
      </c>
      <c r="DC843" s="5">
        <v>41306</v>
      </c>
      <c r="DD843" s="4" t="s">
        <v>206</v>
      </c>
      <c r="DE843" s="4" t="s">
        <v>194</v>
      </c>
      <c r="DF843" s="5">
        <v>41425</v>
      </c>
      <c r="DG843" s="5">
        <v>41446</v>
      </c>
      <c r="DH843" s="4" t="s">
        <v>174</v>
      </c>
      <c r="DI843" s="5">
        <v>41446</v>
      </c>
      <c r="DJ843" s="4" t="b">
        <v>1</v>
      </c>
      <c r="DK843" s="5">
        <v>41348</v>
      </c>
      <c r="DL843" s="4">
        <v>2479848</v>
      </c>
      <c r="DM843" s="4">
        <v>5742907</v>
      </c>
      <c r="DN843" s="4" t="s">
        <v>2688</v>
      </c>
      <c r="DO843" s="4"/>
      <c r="DP843" s="4"/>
      <c r="DQ843" s="4" t="s">
        <v>148</v>
      </c>
      <c r="DR843" s="4"/>
      <c r="DS843" s="4"/>
      <c r="DT843" s="5">
        <v>41901</v>
      </c>
      <c r="DU843" s="4"/>
      <c r="DV843" s="4"/>
      <c r="DW843" s="4"/>
      <c r="DX843" s="4"/>
      <c r="DY843" s="5">
        <v>41365</v>
      </c>
      <c r="DZ843" s="5">
        <v>41382</v>
      </c>
      <c r="EA843" s="4"/>
      <c r="EB843" s="4"/>
      <c r="EC843" s="4"/>
      <c r="ED843" s="4"/>
      <c r="EE843" s="4"/>
      <c r="EF843" s="4"/>
      <c r="EG843" s="5">
        <v>41463</v>
      </c>
      <c r="EH843" s="4"/>
      <c r="EI843" s="4"/>
    </row>
    <row r="844" spans="1:139" hidden="1" x14ac:dyDescent="0.2">
      <c r="A844">
        <f>VLOOKUP(B844,Sheet1!$A$1:$B$18,2,FALSE)</f>
        <v>0</v>
      </c>
      <c r="B844" t="str">
        <f>LEFT(D844,3)</f>
        <v>CHC</v>
      </c>
      <c r="C844" s="2">
        <v>843</v>
      </c>
      <c r="D844" s="3" t="str">
        <f>HYPERLINK("https://sitebase.nzcomms.co.nz/spm/spmnominalview/CHC-060-118/","CHC-060-118")</f>
        <v>CHC-060-118</v>
      </c>
      <c r="E844" s="4" t="s">
        <v>2689</v>
      </c>
      <c r="F844" s="3" t="str">
        <f>HYPERLINK("https://sitebase.nzcomms.co.nz/spm/spmcandidateview/CHC-060-118-B/","CHC-060-118-B")</f>
        <v>CHC-060-118-B</v>
      </c>
      <c r="G844" s="4" t="s">
        <v>2689</v>
      </c>
      <c r="H844" s="4" t="s">
        <v>2353</v>
      </c>
      <c r="I844" s="4">
        <v>11</v>
      </c>
      <c r="J844" s="4" t="s">
        <v>180</v>
      </c>
      <c r="K844" s="4" t="s">
        <v>141</v>
      </c>
      <c r="L844" s="4" t="s">
        <v>189</v>
      </c>
      <c r="M844" s="4" t="s">
        <v>190</v>
      </c>
      <c r="N844" s="4" t="s">
        <v>2058</v>
      </c>
      <c r="O844" s="4"/>
      <c r="P844" s="4" t="s">
        <v>182</v>
      </c>
      <c r="Q844" s="4" t="s">
        <v>192</v>
      </c>
      <c r="R844" s="4">
        <v>20</v>
      </c>
      <c r="S844" s="4">
        <v>20.059999999999999</v>
      </c>
      <c r="T844" s="4">
        <v>1</v>
      </c>
      <c r="U844" s="4">
        <v>-43.520111100000001</v>
      </c>
      <c r="V844" s="4">
        <v>172.63582898000001</v>
      </c>
      <c r="W844" s="4"/>
      <c r="X844" s="5">
        <v>40995</v>
      </c>
      <c r="Y844" s="4"/>
      <c r="Z844" s="4"/>
      <c r="AA844" s="4" t="s">
        <v>145</v>
      </c>
      <c r="AB844" s="3" t="str">
        <f>HYPERLINK("https://sitebase.nzcomms.co.nz/spm/spmcandidateview/CHC-060-131-A/","CHC-060-131-A")</f>
        <v>CHC-060-131-A</v>
      </c>
      <c r="AC844" s="4" t="b">
        <v>0</v>
      </c>
      <c r="AD844" s="4" t="b">
        <v>0</v>
      </c>
      <c r="AE844" s="4"/>
      <c r="AF844" s="4"/>
      <c r="AG844" s="4" t="b">
        <v>0</v>
      </c>
      <c r="AH844" s="4"/>
      <c r="AI844" s="5">
        <v>41130</v>
      </c>
      <c r="AJ844" s="5">
        <v>41130</v>
      </c>
      <c r="AK844" s="5">
        <v>41148</v>
      </c>
      <c r="AL844" s="5">
        <v>41148</v>
      </c>
      <c r="AM844" s="4"/>
      <c r="AN844" s="5">
        <v>41176</v>
      </c>
      <c r="AO844" s="4">
        <v>4</v>
      </c>
      <c r="AP844" s="5">
        <v>41165</v>
      </c>
      <c r="AQ844" s="5">
        <v>42122</v>
      </c>
      <c r="AR844" s="5">
        <v>41172</v>
      </c>
      <c r="AS844" s="5">
        <v>41150</v>
      </c>
      <c r="AT844" s="5">
        <v>41192</v>
      </c>
      <c r="AU844" s="5">
        <v>41187</v>
      </c>
      <c r="AV844" s="4">
        <v>1</v>
      </c>
      <c r="AW844" s="4"/>
      <c r="AX844" s="5">
        <v>41354</v>
      </c>
      <c r="AY844" s="4" t="s">
        <v>172</v>
      </c>
      <c r="AZ844" s="5">
        <v>41192</v>
      </c>
      <c r="BA844" s="5">
        <v>41187</v>
      </c>
      <c r="BB844" s="5">
        <v>41220</v>
      </c>
      <c r="BC844" s="5">
        <v>41220</v>
      </c>
      <c r="BD844" s="4">
        <v>3</v>
      </c>
      <c r="BE844" s="5">
        <v>41303</v>
      </c>
      <c r="BF844" s="5">
        <v>41303</v>
      </c>
      <c r="BG844" s="4"/>
      <c r="BH844" s="5">
        <v>41228</v>
      </c>
      <c r="BI844" s="5">
        <v>41299</v>
      </c>
      <c r="BJ844" s="5">
        <v>41299</v>
      </c>
      <c r="BK844" s="4">
        <v>1</v>
      </c>
      <c r="BL844" s="4"/>
      <c r="BM844" s="4"/>
      <c r="BN844" s="5">
        <v>41299</v>
      </c>
      <c r="BO844" s="4"/>
      <c r="BP844" s="4"/>
      <c r="BQ844" s="4"/>
      <c r="BR844" s="5">
        <v>41303</v>
      </c>
      <c r="BS844" s="4"/>
      <c r="BT844" s="5">
        <v>41358</v>
      </c>
      <c r="BU844" s="5">
        <v>41358</v>
      </c>
      <c r="BV844" s="5">
        <v>41407</v>
      </c>
      <c r="BW844" s="5">
        <v>41407</v>
      </c>
      <c r="BX844" s="5">
        <v>41390</v>
      </c>
      <c r="BY844" s="5">
        <v>41408</v>
      </c>
      <c r="BZ844" s="5">
        <v>41411</v>
      </c>
      <c r="CA844" s="4"/>
      <c r="CB844" s="4"/>
      <c r="CC844" s="4"/>
      <c r="CD844" s="4"/>
      <c r="CE844" s="4"/>
      <c r="CF844" s="4"/>
      <c r="CG844" s="4"/>
      <c r="CH844" s="4"/>
      <c r="CI844" s="5">
        <v>41421</v>
      </c>
      <c r="CJ844" s="5">
        <v>41439</v>
      </c>
      <c r="CK844" s="5">
        <v>41439</v>
      </c>
      <c r="CL844" s="5">
        <v>41446</v>
      </c>
      <c r="CM844" s="5">
        <v>41446</v>
      </c>
      <c r="CN844" s="5">
        <v>41536</v>
      </c>
      <c r="CO844" s="5">
        <v>41614</v>
      </c>
      <c r="CP844" s="4" t="s">
        <v>2690</v>
      </c>
      <c r="CQ844" s="4"/>
      <c r="CR844" s="5">
        <v>41421</v>
      </c>
      <c r="CS844" s="5">
        <v>41367</v>
      </c>
      <c r="CT844" s="4"/>
      <c r="CU844" s="5">
        <v>41373</v>
      </c>
      <c r="CV844" s="5">
        <v>41365</v>
      </c>
      <c r="CW844" s="4"/>
      <c r="CX844" s="4"/>
      <c r="CY844" s="4"/>
      <c r="CZ844" s="5">
        <v>41395</v>
      </c>
      <c r="DA844" s="5">
        <v>41421</v>
      </c>
      <c r="DB844" s="5">
        <v>41436</v>
      </c>
      <c r="DC844" s="5">
        <v>41169</v>
      </c>
      <c r="DD844" s="4" t="s">
        <v>206</v>
      </c>
      <c r="DE844" s="4" t="s">
        <v>194</v>
      </c>
      <c r="DF844" s="5">
        <v>41404</v>
      </c>
      <c r="DG844" s="5">
        <v>41404</v>
      </c>
      <c r="DH844" s="4" t="s">
        <v>174</v>
      </c>
      <c r="DI844" s="5">
        <v>41390</v>
      </c>
      <c r="DJ844" s="4" t="b">
        <v>1</v>
      </c>
      <c r="DK844" s="4"/>
      <c r="DL844" s="4">
        <v>2480569</v>
      </c>
      <c r="DM844" s="4">
        <v>5742973</v>
      </c>
      <c r="DN844" s="4" t="s">
        <v>2691</v>
      </c>
      <c r="DO844" s="4"/>
      <c r="DP844" s="4"/>
      <c r="DQ844" s="4" t="s">
        <v>148</v>
      </c>
      <c r="DR844" s="4"/>
      <c r="DS844" s="4"/>
      <c r="DT844" s="5">
        <v>42298</v>
      </c>
      <c r="DU844" s="4"/>
      <c r="DV844" s="4"/>
      <c r="DW844" s="4"/>
      <c r="DX844" s="4"/>
      <c r="DY844" s="4"/>
      <c r="DZ844" s="4"/>
      <c r="EA844" s="4"/>
      <c r="EB844" s="4"/>
      <c r="EC844" s="4"/>
      <c r="ED844" s="4"/>
      <c r="EE844" s="4"/>
      <c r="EF844" s="4"/>
      <c r="EG844" s="5">
        <v>41425</v>
      </c>
      <c r="EH844" s="5">
        <v>41435</v>
      </c>
      <c r="EI844" s="4"/>
    </row>
    <row r="845" spans="1:139" hidden="1" x14ac:dyDescent="0.2">
      <c r="A845">
        <f>VLOOKUP(B845,Sheet1!$A$1:$B$18,2,FALSE)</f>
        <v>0</v>
      </c>
      <c r="B845" t="str">
        <f>LEFT(D845,3)</f>
        <v>CHC</v>
      </c>
      <c r="C845" s="2">
        <v>844</v>
      </c>
      <c r="D845" s="3" t="str">
        <f>HYPERLINK("https://sitebase.nzcomms.co.nz/spm/spmnominalview/CHC-060-119/","CHC-060-119")</f>
        <v>CHC-060-119</v>
      </c>
      <c r="E845" s="4" t="s">
        <v>2692</v>
      </c>
      <c r="F845" s="3" t="str">
        <f>HYPERLINK("https://sitebase.nzcomms.co.nz/spm/spmcandidateview/CHC-060-119-A/","CHC-060-119-A")</f>
        <v>CHC-060-119-A</v>
      </c>
      <c r="G845" s="4" t="s">
        <v>2693</v>
      </c>
      <c r="H845" s="4" t="s">
        <v>2353</v>
      </c>
      <c r="I845" s="4">
        <v>11</v>
      </c>
      <c r="J845" s="4" t="s">
        <v>180</v>
      </c>
      <c r="K845" s="4" t="s">
        <v>141</v>
      </c>
      <c r="L845" s="4" t="s">
        <v>181</v>
      </c>
      <c r="M845" s="4" t="s">
        <v>296</v>
      </c>
      <c r="N845" s="4"/>
      <c r="O845" s="4"/>
      <c r="P845" s="4"/>
      <c r="Q845" s="4" t="s">
        <v>192</v>
      </c>
      <c r="R845" s="4"/>
      <c r="S845" s="4"/>
      <c r="T845" s="4"/>
      <c r="U845" s="4">
        <v>-43.586585149999998</v>
      </c>
      <c r="V845" s="4">
        <v>172.70681518000001</v>
      </c>
      <c r="W845" s="4"/>
      <c r="X845" s="5">
        <v>40995</v>
      </c>
      <c r="Y845" s="4"/>
      <c r="Z845" s="4"/>
      <c r="AA845" s="4"/>
      <c r="AB845" s="4"/>
      <c r="AC845" s="4" t="b">
        <v>0</v>
      </c>
      <c r="AD845" s="4" t="b">
        <v>0</v>
      </c>
      <c r="AE845" s="4"/>
      <c r="AF845" s="4"/>
      <c r="AG845" s="4" t="b">
        <v>0</v>
      </c>
      <c r="AH845" s="4"/>
      <c r="AI845" s="5">
        <v>40851</v>
      </c>
      <c r="AJ845" s="5">
        <v>40851</v>
      </c>
      <c r="AK845" s="5">
        <v>40863</v>
      </c>
      <c r="AL845" s="5">
        <v>40868</v>
      </c>
      <c r="AM845" s="5">
        <v>40893</v>
      </c>
      <c r="AN845" s="5">
        <v>40924</v>
      </c>
      <c r="AO845" s="4">
        <v>4</v>
      </c>
      <c r="AP845" s="5">
        <v>41073</v>
      </c>
      <c r="AQ845" s="5">
        <v>41128</v>
      </c>
      <c r="AR845" s="5">
        <v>40938</v>
      </c>
      <c r="AS845" s="5">
        <v>40938</v>
      </c>
      <c r="AT845" s="5">
        <v>41038</v>
      </c>
      <c r="AU845" s="5">
        <v>41040</v>
      </c>
      <c r="AV845" s="4"/>
      <c r="AW845" s="5">
        <v>41038</v>
      </c>
      <c r="AX845" s="5">
        <v>41045</v>
      </c>
      <c r="AY845" s="4" t="s">
        <v>183</v>
      </c>
      <c r="AZ845" s="5">
        <v>41093</v>
      </c>
      <c r="BA845" s="5">
        <v>40946</v>
      </c>
      <c r="BB845" s="5">
        <v>41148</v>
      </c>
      <c r="BC845" s="5">
        <v>41148</v>
      </c>
      <c r="BD845" s="4">
        <v>4</v>
      </c>
      <c r="BE845" s="4"/>
      <c r="BF845" s="4"/>
      <c r="BG845" s="4"/>
      <c r="BH845" s="4"/>
      <c r="BI845" s="5">
        <v>41154</v>
      </c>
      <c r="BJ845" s="5">
        <v>41208</v>
      </c>
      <c r="BK845" s="4">
        <v>1</v>
      </c>
      <c r="BL845" s="4"/>
      <c r="BM845" s="5">
        <v>41154</v>
      </c>
      <c r="BN845" s="5">
        <v>41208</v>
      </c>
      <c r="BO845" s="4"/>
      <c r="BP845" s="4"/>
      <c r="BQ845" s="4"/>
      <c r="BR845" s="4"/>
      <c r="BS845" s="4"/>
      <c r="BT845" s="5">
        <v>41205</v>
      </c>
      <c r="BU845" s="5">
        <v>41205</v>
      </c>
      <c r="BV845" s="5">
        <v>41221</v>
      </c>
      <c r="BW845" s="5">
        <v>41221</v>
      </c>
      <c r="BX845" s="4"/>
      <c r="BY845" s="5">
        <v>41221</v>
      </c>
      <c r="BZ845" s="5">
        <v>41221</v>
      </c>
      <c r="CA845" s="5">
        <v>41227</v>
      </c>
      <c r="CB845" s="5">
        <v>41227</v>
      </c>
      <c r="CC845" s="4"/>
      <c r="CD845" s="4"/>
      <c r="CE845" s="4"/>
      <c r="CF845" s="4"/>
      <c r="CG845" s="4"/>
      <c r="CH845" s="4"/>
      <c r="CI845" s="4"/>
      <c r="CJ845" s="5">
        <v>41227</v>
      </c>
      <c r="CK845" s="5">
        <v>41227</v>
      </c>
      <c r="CL845" s="5">
        <v>41234</v>
      </c>
      <c r="CM845" s="5">
        <v>41234</v>
      </c>
      <c r="CN845" s="4"/>
      <c r="CO845" s="5">
        <v>41326</v>
      </c>
      <c r="CP845" s="4" t="s">
        <v>2694</v>
      </c>
      <c r="CQ845" s="4"/>
      <c r="CR845" s="4"/>
      <c r="CS845" s="4"/>
      <c r="CT845" s="4"/>
      <c r="CU845" s="4"/>
      <c r="CV845" s="4"/>
      <c r="CW845" s="4"/>
      <c r="CX845" s="4"/>
      <c r="CY845" s="4"/>
      <c r="CZ845" s="4"/>
      <c r="DA845" s="5">
        <v>41222</v>
      </c>
      <c r="DB845" s="5">
        <v>41222</v>
      </c>
      <c r="DC845" s="5">
        <v>41031</v>
      </c>
      <c r="DD845" s="4" t="s">
        <v>586</v>
      </c>
      <c r="DE845" s="4" t="s">
        <v>194</v>
      </c>
      <c r="DF845" s="4"/>
      <c r="DG845" s="4"/>
      <c r="DH845" s="4" t="s">
        <v>174</v>
      </c>
      <c r="DI845" s="4"/>
      <c r="DJ845" s="4" t="b">
        <v>1</v>
      </c>
      <c r="DK845" s="4"/>
      <c r="DL845" s="4">
        <v>2486334</v>
      </c>
      <c r="DM845" s="4">
        <v>5735610</v>
      </c>
      <c r="DN845" s="4" t="s">
        <v>2695</v>
      </c>
      <c r="DO845" s="4"/>
      <c r="DP845" s="4" t="s">
        <v>2696</v>
      </c>
      <c r="DQ845" s="4" t="s">
        <v>148</v>
      </c>
      <c r="DR845" s="4"/>
      <c r="DS845" s="4"/>
      <c r="DT845" s="4"/>
      <c r="DU845" s="4"/>
      <c r="DV845" s="4"/>
      <c r="DW845" s="4"/>
      <c r="DX845" s="4"/>
      <c r="DY845" s="4"/>
      <c r="DZ845" s="4"/>
      <c r="EA845" s="4"/>
      <c r="EB845" s="4"/>
      <c r="EC845" s="4"/>
      <c r="ED845" s="4"/>
      <c r="EE845" s="4"/>
      <c r="EF845" s="4"/>
      <c r="EG845" s="4"/>
      <c r="EH845" s="4"/>
      <c r="EI845" s="4"/>
    </row>
    <row r="846" spans="1:139" hidden="1" x14ac:dyDescent="0.2">
      <c r="A846">
        <f>VLOOKUP(B846,Sheet1!$A$1:$B$18,2,FALSE)</f>
        <v>0</v>
      </c>
      <c r="B846" t="str">
        <f>LEFT(D846,3)</f>
        <v>CHC</v>
      </c>
      <c r="C846" s="2">
        <v>845</v>
      </c>
      <c r="D846" s="3" t="str">
        <f>HYPERLINK("https://sitebase.nzcomms.co.nz/spm/spmnominalview/CHC-060-120/","CHC-060-120")</f>
        <v>CHC-060-120</v>
      </c>
      <c r="E846" s="4" t="s">
        <v>2697</v>
      </c>
      <c r="F846" s="3" t="str">
        <f>HYPERLINK("https://sitebase.nzcomms.co.nz/spm/spmcandidateview/CHC-060-120-A/","CHC-060-120-A")</f>
        <v>CHC-060-120-A</v>
      </c>
      <c r="G846" s="4" t="s">
        <v>2697</v>
      </c>
      <c r="H846" s="4" t="s">
        <v>2353</v>
      </c>
      <c r="I846" s="4">
        <v>11</v>
      </c>
      <c r="J846" s="4" t="s">
        <v>180</v>
      </c>
      <c r="K846" s="4" t="s">
        <v>141</v>
      </c>
      <c r="L846" s="4" t="s">
        <v>189</v>
      </c>
      <c r="M846" s="4" t="s">
        <v>190</v>
      </c>
      <c r="N846" s="4" t="s">
        <v>2058</v>
      </c>
      <c r="O846" s="4"/>
      <c r="P846" s="4" t="s">
        <v>182</v>
      </c>
      <c r="Q846" s="4"/>
      <c r="R846" s="4"/>
      <c r="S846" s="4">
        <v>20</v>
      </c>
      <c r="T846" s="4">
        <v>1</v>
      </c>
      <c r="U846" s="4">
        <v>-43.51388669</v>
      </c>
      <c r="V846" s="4">
        <v>172.71013239000001</v>
      </c>
      <c r="W846" s="4"/>
      <c r="X846" s="5">
        <v>41036</v>
      </c>
      <c r="Y846" s="4"/>
      <c r="Z846" s="4"/>
      <c r="AA846" s="4"/>
      <c r="AB846" s="4"/>
      <c r="AC846" s="4" t="b">
        <v>0</v>
      </c>
      <c r="AD846" s="4" t="b">
        <v>0</v>
      </c>
      <c r="AE846" s="4"/>
      <c r="AF846" s="4"/>
      <c r="AG846" s="4" t="b">
        <v>0</v>
      </c>
      <c r="AH846" s="4"/>
      <c r="AI846" s="5">
        <v>41044</v>
      </c>
      <c r="AJ846" s="5">
        <v>41044</v>
      </c>
      <c r="AK846" s="5">
        <v>41101</v>
      </c>
      <c r="AL846" s="5">
        <v>41101</v>
      </c>
      <c r="AM846" s="5">
        <v>41108</v>
      </c>
      <c r="AN846" s="5">
        <v>41135</v>
      </c>
      <c r="AO846" s="4">
        <v>2</v>
      </c>
      <c r="AP846" s="5">
        <v>41131</v>
      </c>
      <c r="AQ846" s="5">
        <v>41208</v>
      </c>
      <c r="AR846" s="5">
        <v>41143</v>
      </c>
      <c r="AS846" s="5">
        <v>41150</v>
      </c>
      <c r="AT846" s="5">
        <v>41169</v>
      </c>
      <c r="AU846" s="5">
        <v>41173</v>
      </c>
      <c r="AV846" s="4">
        <v>1</v>
      </c>
      <c r="AW846" s="5">
        <v>41213</v>
      </c>
      <c r="AX846" s="5">
        <v>41361</v>
      </c>
      <c r="AY846" s="4" t="s">
        <v>172</v>
      </c>
      <c r="AZ846" s="5">
        <v>41170</v>
      </c>
      <c r="BA846" s="5">
        <v>41187</v>
      </c>
      <c r="BB846" s="5">
        <v>41213</v>
      </c>
      <c r="BC846" s="5">
        <v>41213</v>
      </c>
      <c r="BD846" s="4">
        <v>2</v>
      </c>
      <c r="BE846" s="4"/>
      <c r="BF846" s="4"/>
      <c r="BG846" s="4"/>
      <c r="BH846" s="4"/>
      <c r="BI846" s="5">
        <v>41277</v>
      </c>
      <c r="BJ846" s="5">
        <v>41229</v>
      </c>
      <c r="BK846" s="4">
        <v>1</v>
      </c>
      <c r="BL846" s="4"/>
      <c r="BM846" s="4"/>
      <c r="BN846" s="5">
        <v>41229</v>
      </c>
      <c r="BO846" s="5">
        <v>41348</v>
      </c>
      <c r="BP846" s="4"/>
      <c r="BQ846" s="4"/>
      <c r="BR846" s="5">
        <v>41219</v>
      </c>
      <c r="BS846" s="4"/>
      <c r="BT846" s="5">
        <v>41305</v>
      </c>
      <c r="BU846" s="5">
        <v>41303</v>
      </c>
      <c r="BV846" s="5">
        <v>41324</v>
      </c>
      <c r="BW846" s="5">
        <v>41314</v>
      </c>
      <c r="BX846" s="5">
        <v>41327</v>
      </c>
      <c r="BY846" s="5">
        <v>41334</v>
      </c>
      <c r="BZ846" s="5">
        <v>41340</v>
      </c>
      <c r="CA846" s="5">
        <v>41330</v>
      </c>
      <c r="CB846" s="5">
        <v>41354</v>
      </c>
      <c r="CC846" s="4"/>
      <c r="CD846" s="4"/>
      <c r="CE846" s="4"/>
      <c r="CF846" s="4"/>
      <c r="CG846" s="4"/>
      <c r="CH846" s="4"/>
      <c r="CI846" s="5">
        <v>41344</v>
      </c>
      <c r="CJ846" s="5">
        <v>41355</v>
      </c>
      <c r="CK846" s="5">
        <v>41355</v>
      </c>
      <c r="CL846" s="5">
        <v>41362</v>
      </c>
      <c r="CM846" s="5">
        <v>41361</v>
      </c>
      <c r="CN846" s="5">
        <v>41561</v>
      </c>
      <c r="CO846" s="5">
        <v>41620</v>
      </c>
      <c r="CP846" s="4" t="s">
        <v>2698</v>
      </c>
      <c r="CQ846" s="4"/>
      <c r="CR846" s="5">
        <v>41338</v>
      </c>
      <c r="CS846" s="4"/>
      <c r="CT846" s="4"/>
      <c r="CU846" s="4"/>
      <c r="CV846" s="4"/>
      <c r="CW846" s="4"/>
      <c r="CX846" s="5">
        <v>41348</v>
      </c>
      <c r="CY846" s="5">
        <v>41339</v>
      </c>
      <c r="CZ846" s="5">
        <v>41344</v>
      </c>
      <c r="DA846" s="5">
        <v>41347</v>
      </c>
      <c r="DB846" s="5">
        <v>41351</v>
      </c>
      <c r="DC846" s="5">
        <v>41155</v>
      </c>
      <c r="DD846" s="4" t="s">
        <v>206</v>
      </c>
      <c r="DE846" s="4" t="s">
        <v>194</v>
      </c>
      <c r="DF846" s="4"/>
      <c r="DG846" s="4"/>
      <c r="DH846" s="4" t="s">
        <v>174</v>
      </c>
      <c r="DI846" s="5">
        <v>41320</v>
      </c>
      <c r="DJ846" s="4" t="b">
        <v>1</v>
      </c>
      <c r="DK846" s="5">
        <v>41215</v>
      </c>
      <c r="DL846" s="4">
        <v>2486574</v>
      </c>
      <c r="DM846" s="4">
        <v>5743688</v>
      </c>
      <c r="DN846" s="4" t="s">
        <v>2699</v>
      </c>
      <c r="DO846" s="4"/>
      <c r="DP846" s="4"/>
      <c r="DQ846" s="4" t="s">
        <v>148</v>
      </c>
      <c r="DR846" s="4"/>
      <c r="DS846" s="4"/>
      <c r="DT846" s="4"/>
      <c r="DU846" s="4"/>
      <c r="DV846" s="4"/>
      <c r="DW846" s="4"/>
      <c r="DX846" s="4"/>
      <c r="DY846" s="4"/>
      <c r="DZ846" s="4"/>
      <c r="EA846" s="4"/>
      <c r="EB846" s="4"/>
      <c r="EC846" s="4"/>
      <c r="ED846" s="4"/>
      <c r="EE846" s="4"/>
      <c r="EF846" s="4"/>
      <c r="EG846" s="5">
        <v>41348</v>
      </c>
      <c r="EH846" s="5">
        <v>41348</v>
      </c>
      <c r="EI846" s="4"/>
    </row>
    <row r="847" spans="1:139" hidden="1" x14ac:dyDescent="0.2">
      <c r="A847">
        <f>VLOOKUP(B847,Sheet1!$A$1:$B$18,2,FALSE)</f>
        <v>0</v>
      </c>
      <c r="B847" t="str">
        <f>LEFT(D847,3)</f>
        <v>CHC</v>
      </c>
      <c r="C847" s="2">
        <v>846</v>
      </c>
      <c r="D847" s="3" t="str">
        <f>HYPERLINK("https://sitebase.nzcomms.co.nz/spm/spmnominalview/CHC-060-121/","CHC-060-121")</f>
        <v>CHC-060-121</v>
      </c>
      <c r="E847" s="4" t="s">
        <v>2700</v>
      </c>
      <c r="F847" s="3" t="str">
        <f>HYPERLINK("https://sitebase.nzcomms.co.nz/spm/spmcandidateview/CHC-060-121-D/","CHC-060-121-D")</f>
        <v>CHC-060-121-D</v>
      </c>
      <c r="G847" s="4" t="s">
        <v>2701</v>
      </c>
      <c r="H847" s="4" t="s">
        <v>2353</v>
      </c>
      <c r="I847" s="4">
        <v>11</v>
      </c>
      <c r="J847" s="4" t="s">
        <v>180</v>
      </c>
      <c r="K847" s="4" t="s">
        <v>141</v>
      </c>
      <c r="L847" s="4" t="s">
        <v>181</v>
      </c>
      <c r="M847" s="4" t="s">
        <v>166</v>
      </c>
      <c r="N847" s="4" t="s">
        <v>181</v>
      </c>
      <c r="O847" s="4"/>
      <c r="P847" s="4"/>
      <c r="Q847" s="4" t="s">
        <v>192</v>
      </c>
      <c r="R847" s="4"/>
      <c r="S847" s="4"/>
      <c r="T847" s="4">
        <v>1</v>
      </c>
      <c r="U847" s="4">
        <v>-43.529950360000001</v>
      </c>
      <c r="V847" s="4">
        <v>172.63913504999999</v>
      </c>
      <c r="W847" s="4"/>
      <c r="X847" s="5">
        <v>40995</v>
      </c>
      <c r="Y847" s="4"/>
      <c r="Z847" s="4"/>
      <c r="AA847" s="4" t="s">
        <v>145</v>
      </c>
      <c r="AB847" s="3" t="str">
        <f>HYPERLINK("https://sitebase.nzcomms.co.nz/spm/spmcandidateview/CHC-060-131-A/","CHC-060-131-A")</f>
        <v>CHC-060-131-A</v>
      </c>
      <c r="AC847" s="4" t="b">
        <v>0</v>
      </c>
      <c r="AD847" s="4" t="b">
        <v>0</v>
      </c>
      <c r="AE847" s="4"/>
      <c r="AF847" s="4"/>
      <c r="AG847" s="4" t="b">
        <v>0</v>
      </c>
      <c r="AH847" s="4"/>
      <c r="AI847" s="5">
        <v>41144</v>
      </c>
      <c r="AJ847" s="5">
        <v>41144</v>
      </c>
      <c r="AK847" s="5">
        <v>41150</v>
      </c>
      <c r="AL847" s="5">
        <v>41150</v>
      </c>
      <c r="AM847" s="5">
        <v>41185</v>
      </c>
      <c r="AN847" s="5">
        <v>41193</v>
      </c>
      <c r="AO847" s="4">
        <v>2</v>
      </c>
      <c r="AP847" s="5">
        <v>41185</v>
      </c>
      <c r="AQ847" s="5">
        <v>41243</v>
      </c>
      <c r="AR847" s="5">
        <v>41201</v>
      </c>
      <c r="AS847" s="5">
        <v>41201</v>
      </c>
      <c r="AT847" s="5">
        <v>41317</v>
      </c>
      <c r="AU847" s="5">
        <v>41331</v>
      </c>
      <c r="AV847" s="4"/>
      <c r="AW847" s="4"/>
      <c r="AX847" s="5">
        <v>41331</v>
      </c>
      <c r="AY847" s="4" t="s">
        <v>183</v>
      </c>
      <c r="AZ847" s="5">
        <v>41227</v>
      </c>
      <c r="BA847" s="5">
        <v>41248</v>
      </c>
      <c r="BB847" s="5">
        <v>41319</v>
      </c>
      <c r="BC847" s="5">
        <v>41283</v>
      </c>
      <c r="BD847" s="4">
        <v>2</v>
      </c>
      <c r="BE847" s="4"/>
      <c r="BF847" s="5">
        <v>41304</v>
      </c>
      <c r="BG847" s="5">
        <v>41236</v>
      </c>
      <c r="BH847" s="5">
        <v>41284</v>
      </c>
      <c r="BI847" s="5">
        <v>41284</v>
      </c>
      <c r="BJ847" s="5">
        <v>41298</v>
      </c>
      <c r="BK847" s="4">
        <v>1</v>
      </c>
      <c r="BL847" s="4"/>
      <c r="BM847" s="5">
        <v>41304</v>
      </c>
      <c r="BN847" s="5">
        <v>41298</v>
      </c>
      <c r="BO847" s="5">
        <v>41346</v>
      </c>
      <c r="BP847" s="4"/>
      <c r="BQ847" s="4"/>
      <c r="BR847" s="4"/>
      <c r="BS847" s="4"/>
      <c r="BT847" s="5">
        <v>41345</v>
      </c>
      <c r="BU847" s="5">
        <v>41345</v>
      </c>
      <c r="BV847" s="5">
        <v>41362</v>
      </c>
      <c r="BW847" s="5">
        <v>41369</v>
      </c>
      <c r="BX847" s="5">
        <v>41376</v>
      </c>
      <c r="BY847" s="5">
        <v>41388</v>
      </c>
      <c r="BZ847" s="5">
        <v>41383</v>
      </c>
      <c r="CA847" s="5">
        <v>41353</v>
      </c>
      <c r="CB847" s="5">
        <v>41397</v>
      </c>
      <c r="CC847" s="4"/>
      <c r="CD847" s="4"/>
      <c r="CE847" s="4"/>
      <c r="CF847" s="4"/>
      <c r="CG847" s="4"/>
      <c r="CH847" s="4"/>
      <c r="CI847" s="5">
        <v>41404</v>
      </c>
      <c r="CJ847" s="5">
        <v>41409</v>
      </c>
      <c r="CK847" s="5">
        <v>41409</v>
      </c>
      <c r="CL847" s="5">
        <v>41445</v>
      </c>
      <c r="CM847" s="5">
        <v>41425</v>
      </c>
      <c r="CN847" s="5">
        <v>41537</v>
      </c>
      <c r="CO847" s="5">
        <v>41540</v>
      </c>
      <c r="CP847" s="4" t="s">
        <v>2702</v>
      </c>
      <c r="CQ847" s="4"/>
      <c r="CR847" s="5">
        <v>41400</v>
      </c>
      <c r="CS847" s="5">
        <v>41347</v>
      </c>
      <c r="CT847" s="5">
        <v>41347</v>
      </c>
      <c r="CU847" s="5">
        <v>41351</v>
      </c>
      <c r="CV847" s="5">
        <v>41351</v>
      </c>
      <c r="CW847" s="5">
        <v>41346</v>
      </c>
      <c r="CX847" s="5">
        <v>41346</v>
      </c>
      <c r="CY847" s="4"/>
      <c r="CZ847" s="4"/>
      <c r="DA847" s="5">
        <v>41402</v>
      </c>
      <c r="DB847" s="5">
        <v>41402</v>
      </c>
      <c r="DC847" s="5">
        <v>41169</v>
      </c>
      <c r="DD847" s="4" t="s">
        <v>586</v>
      </c>
      <c r="DE847" s="4" t="s">
        <v>194</v>
      </c>
      <c r="DF847" s="5">
        <v>41388</v>
      </c>
      <c r="DG847" s="5">
        <v>41397</v>
      </c>
      <c r="DH847" s="4" t="s">
        <v>174</v>
      </c>
      <c r="DI847" s="5">
        <v>41360</v>
      </c>
      <c r="DJ847" s="4" t="b">
        <v>0</v>
      </c>
      <c r="DK847" s="4"/>
      <c r="DL847" s="4">
        <v>2480841</v>
      </c>
      <c r="DM847" s="4">
        <v>5741881</v>
      </c>
      <c r="DN847" s="4" t="s">
        <v>2703</v>
      </c>
      <c r="DO847" s="4"/>
      <c r="DP847" s="4"/>
      <c r="DQ847" s="4" t="s">
        <v>148</v>
      </c>
      <c r="DR847" s="4"/>
      <c r="DS847" s="4"/>
      <c r="DT847" s="5">
        <v>42298</v>
      </c>
      <c r="DU847" s="4"/>
      <c r="DV847" s="4"/>
      <c r="DW847" s="4"/>
      <c r="DX847" s="4"/>
      <c r="DY847" s="4"/>
      <c r="DZ847" s="4"/>
      <c r="EA847" s="4"/>
      <c r="EB847" s="4"/>
      <c r="EC847" s="4"/>
      <c r="ED847" s="4"/>
      <c r="EE847" s="4"/>
      <c r="EF847" s="4"/>
      <c r="EG847" s="5">
        <v>41411</v>
      </c>
      <c r="EH847" s="5">
        <v>41416</v>
      </c>
      <c r="EI847" s="4"/>
    </row>
    <row r="848" spans="1:139" hidden="1" x14ac:dyDescent="0.2">
      <c r="A848">
        <f>VLOOKUP(B848,Sheet1!$A$1:$B$18,2,FALSE)</f>
        <v>0</v>
      </c>
      <c r="B848" t="str">
        <f>LEFT(D848,3)</f>
        <v>CHC</v>
      </c>
      <c r="C848" s="2">
        <v>847</v>
      </c>
      <c r="D848" s="3" t="str">
        <f>HYPERLINK("https://sitebase.nzcomms.co.nz/spm/spmnominalview/CHC-060-122/","CHC-060-122")</f>
        <v>CHC-060-122</v>
      </c>
      <c r="E848" s="4" t="s">
        <v>2704</v>
      </c>
      <c r="F848" s="4"/>
      <c r="G848" s="4"/>
      <c r="H848" s="4" t="s">
        <v>2353</v>
      </c>
      <c r="I848" s="4">
        <v>11</v>
      </c>
      <c r="J848" s="4" t="s">
        <v>180</v>
      </c>
      <c r="K848" s="4"/>
      <c r="L848" s="4"/>
      <c r="M848" s="4"/>
      <c r="N848" s="4"/>
      <c r="O848" s="4"/>
      <c r="P848" s="4"/>
      <c r="Q848" s="4"/>
      <c r="R848" s="4"/>
      <c r="S848" s="4"/>
      <c r="T848" s="4"/>
      <c r="U848" s="4"/>
      <c r="V848" s="4"/>
      <c r="W848" s="4"/>
      <c r="X848" s="4"/>
      <c r="Y848" s="4"/>
      <c r="Z848" s="4"/>
      <c r="AA848" s="4"/>
      <c r="AB848" s="4"/>
      <c r="AC848" s="4"/>
      <c r="AD848" s="4"/>
      <c r="AE848" s="4"/>
      <c r="AF848" s="4"/>
      <c r="AG848" s="4" t="b">
        <v>0</v>
      </c>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t="s">
        <v>2705</v>
      </c>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row>
    <row r="849" spans="1:139" hidden="1" x14ac:dyDescent="0.2">
      <c r="A849">
        <f>VLOOKUP(B849,Sheet1!$A$1:$B$18,2,FALSE)</f>
        <v>0</v>
      </c>
      <c r="B849" t="str">
        <f>LEFT(D849,3)</f>
        <v>CHC</v>
      </c>
      <c r="C849" s="2">
        <v>848</v>
      </c>
      <c r="D849" s="3" t="str">
        <f>HYPERLINK("https://sitebase.nzcomms.co.nz/spm/spmnominalview/CHC-060-123/","CHC-060-123")</f>
        <v>CHC-060-123</v>
      </c>
      <c r="E849" s="4" t="s">
        <v>2706</v>
      </c>
      <c r="F849" s="4"/>
      <c r="G849" s="4"/>
      <c r="H849" s="4" t="s">
        <v>2353</v>
      </c>
      <c r="I849" s="4">
        <v>11</v>
      </c>
      <c r="J849" s="4" t="s">
        <v>180</v>
      </c>
      <c r="K849" s="4"/>
      <c r="L849" s="4"/>
      <c r="M849" s="4"/>
      <c r="N849" s="4"/>
      <c r="O849" s="4"/>
      <c r="P849" s="4"/>
      <c r="Q849" s="4"/>
      <c r="R849" s="4"/>
      <c r="S849" s="4"/>
      <c r="T849" s="4"/>
      <c r="U849" s="4"/>
      <c r="V849" s="4"/>
      <c r="W849" s="4"/>
      <c r="X849" s="4"/>
      <c r="Y849" s="4"/>
      <c r="Z849" s="4"/>
      <c r="AA849" s="4"/>
      <c r="AB849" s="4"/>
      <c r="AC849" s="4"/>
      <c r="AD849" s="4"/>
      <c r="AE849" s="4"/>
      <c r="AF849" s="4"/>
      <c r="AG849" s="4" t="b">
        <v>0</v>
      </c>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t="s">
        <v>2707</v>
      </c>
      <c r="CQ849" s="4"/>
      <c r="CR849" s="4"/>
      <c r="CS849" s="4"/>
      <c r="CT849" s="4"/>
      <c r="CU849" s="4"/>
      <c r="CV849" s="4"/>
      <c r="CW849" s="4"/>
      <c r="CX849" s="4"/>
      <c r="CY849" s="4"/>
      <c r="CZ849" s="4"/>
      <c r="DA849" s="4"/>
      <c r="DB849" s="4"/>
      <c r="DC849" s="4"/>
      <c r="DD849" s="4"/>
      <c r="DE849" s="4" t="s">
        <v>194</v>
      </c>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row>
    <row r="850" spans="1:139" hidden="1" x14ac:dyDescent="0.2">
      <c r="A850">
        <f>VLOOKUP(B850,Sheet1!$A$1:$B$18,2,FALSE)</f>
        <v>0</v>
      </c>
      <c r="B850" t="str">
        <f>LEFT(D850,3)</f>
        <v>CHC</v>
      </c>
      <c r="C850" s="2">
        <v>849</v>
      </c>
      <c r="D850" s="3" t="str">
        <f>HYPERLINK("https://sitebase.nzcomms.co.nz/spm/spmnominalview/CHC-060-124/","CHC-060-124")</f>
        <v>CHC-060-124</v>
      </c>
      <c r="E850" s="4" t="s">
        <v>2708</v>
      </c>
      <c r="F850" s="4"/>
      <c r="G850" s="4"/>
      <c r="H850" s="4" t="s">
        <v>2353</v>
      </c>
      <c r="I850" s="4">
        <v>11</v>
      </c>
      <c r="J850" s="4" t="s">
        <v>2709</v>
      </c>
      <c r="K850" s="4"/>
      <c r="L850" s="4"/>
      <c r="M850" s="4"/>
      <c r="N850" s="4"/>
      <c r="O850" s="4"/>
      <c r="P850" s="4"/>
      <c r="Q850" s="4"/>
      <c r="R850" s="4"/>
      <c r="S850" s="4"/>
      <c r="T850" s="4"/>
      <c r="U850" s="4"/>
      <c r="V850" s="4"/>
      <c r="W850" s="4"/>
      <c r="X850" s="4"/>
      <c r="Y850" s="4"/>
      <c r="Z850" s="4"/>
      <c r="AA850" s="4"/>
      <c r="AB850" s="4"/>
      <c r="AC850" s="4"/>
      <c r="AD850" s="4"/>
      <c r="AE850" s="4"/>
      <c r="AF850" s="4"/>
      <c r="AG850" s="4" t="b">
        <v>0</v>
      </c>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t="s">
        <v>2710</v>
      </c>
      <c r="CQ850" s="4"/>
      <c r="CR850" s="4"/>
      <c r="CS850" s="4"/>
      <c r="CT850" s="4"/>
      <c r="CU850" s="4"/>
      <c r="CV850" s="4"/>
      <c r="CW850" s="4"/>
      <c r="CX850" s="4"/>
      <c r="CY850" s="4"/>
      <c r="CZ850" s="4"/>
      <c r="DA850" s="4"/>
      <c r="DB850" s="4"/>
      <c r="DC850" s="4"/>
      <c r="DD850" s="4"/>
      <c r="DE850" s="4" t="s">
        <v>194</v>
      </c>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row>
    <row r="851" spans="1:139" hidden="1" x14ac:dyDescent="0.2">
      <c r="A851">
        <f>VLOOKUP(B851,Sheet1!$A$1:$B$18,2,FALSE)</f>
        <v>0</v>
      </c>
      <c r="B851" t="str">
        <f>LEFT(D851,3)</f>
        <v>CHC</v>
      </c>
      <c r="C851" s="2">
        <v>850</v>
      </c>
      <c r="D851" s="3" t="str">
        <f>HYPERLINK("https://sitebase.nzcomms.co.nz/spm/spmnominalview/CHC-060-125/","CHC-060-125")</f>
        <v>CHC-060-125</v>
      </c>
      <c r="E851" s="4" t="s">
        <v>2711</v>
      </c>
      <c r="F851" s="3" t="str">
        <f>HYPERLINK("https://sitebase.nzcomms.co.nz/spm/spmcandidateview/CHC-060-125-A/","CHC-060-125-A")</f>
        <v>CHC-060-125-A</v>
      </c>
      <c r="G851" s="4" t="s">
        <v>2712</v>
      </c>
      <c r="H851" s="4" t="s">
        <v>2353</v>
      </c>
      <c r="I851" s="4">
        <v>23</v>
      </c>
      <c r="J851" s="4" t="s">
        <v>331</v>
      </c>
      <c r="K851" s="4" t="s">
        <v>141</v>
      </c>
      <c r="L851" s="4" t="s">
        <v>150</v>
      </c>
      <c r="M851" s="4" t="s">
        <v>190</v>
      </c>
      <c r="N851" s="4"/>
      <c r="O851" s="4"/>
      <c r="P851" s="4"/>
      <c r="Q851" s="4"/>
      <c r="R851" s="4"/>
      <c r="S851" s="4"/>
      <c r="T851" s="4"/>
      <c r="U851" s="4"/>
      <c r="V851" s="4"/>
      <c r="W851" s="4"/>
      <c r="X851" s="4"/>
      <c r="Y851" s="4"/>
      <c r="Z851" s="4"/>
      <c r="AA851" s="4"/>
      <c r="AB851" s="4"/>
      <c r="AC851" s="4" t="b">
        <v>0</v>
      </c>
      <c r="AD851" s="4" t="b">
        <v>0</v>
      </c>
      <c r="AE851" s="4"/>
      <c r="AF851" s="4"/>
      <c r="AG851" s="4" t="b">
        <v>0</v>
      </c>
      <c r="AH851" s="4"/>
      <c r="AI851" s="5">
        <v>42460</v>
      </c>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5">
        <v>41378</v>
      </c>
      <c r="CM851" s="4"/>
      <c r="CN851" s="4"/>
      <c r="CO851" s="4"/>
      <c r="CP851" s="4" t="s">
        <v>2713</v>
      </c>
      <c r="CQ851" s="4"/>
      <c r="CR851" s="4"/>
      <c r="CS851" s="4"/>
      <c r="CT851" s="4"/>
      <c r="CU851" s="4"/>
      <c r="CV851" s="4"/>
      <c r="CW851" s="4"/>
      <c r="CX851" s="4"/>
      <c r="CY851" s="4"/>
      <c r="CZ851" s="4"/>
      <c r="DA851" s="4"/>
      <c r="DB851" s="4"/>
      <c r="DC851" s="4"/>
      <c r="DD851" s="4"/>
      <c r="DE851" s="4"/>
      <c r="DF851" s="4"/>
      <c r="DG851" s="4"/>
      <c r="DH851" s="4" t="s">
        <v>174</v>
      </c>
      <c r="DI851" s="4"/>
      <c r="DJ851" s="4" t="b">
        <v>0</v>
      </c>
      <c r="DK851" s="4"/>
      <c r="DL851" s="4"/>
      <c r="DM851" s="4"/>
      <c r="DN851" s="4"/>
      <c r="DO851" s="4"/>
      <c r="DP851" s="4"/>
      <c r="DQ851" s="4"/>
      <c r="DR851" s="4" t="s">
        <v>255</v>
      </c>
      <c r="DS851" s="4"/>
      <c r="DT851" s="4"/>
      <c r="DU851" s="4" t="s">
        <v>577</v>
      </c>
      <c r="DV851" s="4"/>
      <c r="DW851" s="4"/>
      <c r="DX851" s="4"/>
      <c r="DY851" s="4"/>
      <c r="DZ851" s="4"/>
      <c r="EA851" s="4"/>
      <c r="EB851" s="4"/>
      <c r="EC851" s="4"/>
      <c r="ED851" s="4"/>
      <c r="EE851" s="4"/>
      <c r="EF851" s="4"/>
      <c r="EG851" s="4"/>
      <c r="EH851" s="4"/>
      <c r="EI851" s="4"/>
    </row>
    <row r="852" spans="1:139" hidden="1" x14ac:dyDescent="0.2">
      <c r="A852">
        <f>VLOOKUP(B852,Sheet1!$A$1:$B$18,2,FALSE)</f>
        <v>0</v>
      </c>
      <c r="B852" t="str">
        <f>LEFT(D852,3)</f>
        <v>CHC</v>
      </c>
      <c r="C852" s="2">
        <v>851</v>
      </c>
      <c r="D852" s="3" t="str">
        <f>HYPERLINK("https://sitebase.nzcomms.co.nz/spm/spmnominalview/CHC-060-126/","CHC-060-126")</f>
        <v>CHC-060-126</v>
      </c>
      <c r="E852" s="4" t="s">
        <v>2714</v>
      </c>
      <c r="F852" s="3" t="str">
        <f>HYPERLINK("https://sitebase.nzcomms.co.nz/spm/spmcandidateview/CHC-060-126-B/","CHC-060-126-B")</f>
        <v>CHC-060-126-B</v>
      </c>
      <c r="G852" s="4" t="s">
        <v>2715</v>
      </c>
      <c r="H852" s="4" t="s">
        <v>2353</v>
      </c>
      <c r="I852" s="4">
        <v>11</v>
      </c>
      <c r="J852" s="4" t="s">
        <v>180</v>
      </c>
      <c r="K852" s="4" t="s">
        <v>141</v>
      </c>
      <c r="L852" s="4" t="s">
        <v>181</v>
      </c>
      <c r="M852" s="4" t="s">
        <v>1193</v>
      </c>
      <c r="N852" s="4" t="s">
        <v>181</v>
      </c>
      <c r="O852" s="4"/>
      <c r="P852" s="4"/>
      <c r="Q852" s="4" t="s">
        <v>192</v>
      </c>
      <c r="R852" s="4"/>
      <c r="S852" s="4"/>
      <c r="T852" s="4">
        <v>1</v>
      </c>
      <c r="U852" s="4">
        <v>-43.525966109999999</v>
      </c>
      <c r="V852" s="4">
        <v>172.62878026000001</v>
      </c>
      <c r="W852" s="4"/>
      <c r="X852" s="4"/>
      <c r="Y852" s="4"/>
      <c r="Z852" s="4"/>
      <c r="AA852" s="4" t="s">
        <v>145</v>
      </c>
      <c r="AB852" s="3" t="str">
        <f>HYPERLINK("https://sitebase.nzcomms.co.nz/spm/spmcandidateview/CHC-060-131-A/","CHC-060-131-A")</f>
        <v>CHC-060-131-A</v>
      </c>
      <c r="AC852" s="4" t="b">
        <v>0</v>
      </c>
      <c r="AD852" s="4" t="b">
        <v>0</v>
      </c>
      <c r="AE852" s="4"/>
      <c r="AF852" s="4"/>
      <c r="AG852" s="4" t="b">
        <v>0</v>
      </c>
      <c r="AH852" s="4"/>
      <c r="AI852" s="5">
        <v>41094</v>
      </c>
      <c r="AJ852" s="5">
        <v>41094</v>
      </c>
      <c r="AK852" s="5">
        <v>41110</v>
      </c>
      <c r="AL852" s="5">
        <v>41106</v>
      </c>
      <c r="AM852" s="4"/>
      <c r="AN852" s="5">
        <v>41166</v>
      </c>
      <c r="AO852" s="4">
        <v>1</v>
      </c>
      <c r="AP852" s="5">
        <v>41166</v>
      </c>
      <c r="AQ852" s="5">
        <v>41166</v>
      </c>
      <c r="AR852" s="5">
        <v>41141</v>
      </c>
      <c r="AS852" s="5">
        <v>41135</v>
      </c>
      <c r="AT852" s="5">
        <v>41232</v>
      </c>
      <c r="AU852" s="5">
        <v>41233</v>
      </c>
      <c r="AV852" s="4">
        <v>1</v>
      </c>
      <c r="AW852" s="4"/>
      <c r="AX852" s="5">
        <v>41233</v>
      </c>
      <c r="AY852" s="4" t="s">
        <v>172</v>
      </c>
      <c r="AZ852" s="5">
        <v>41234</v>
      </c>
      <c r="BA852" s="5">
        <v>41234</v>
      </c>
      <c r="BB852" s="5">
        <v>41260</v>
      </c>
      <c r="BC852" s="5">
        <v>41257</v>
      </c>
      <c r="BD852" s="4">
        <v>1</v>
      </c>
      <c r="BE852" s="4"/>
      <c r="BF852" s="4"/>
      <c r="BG852" s="4"/>
      <c r="BH852" s="4"/>
      <c r="BI852" s="5">
        <v>41315</v>
      </c>
      <c r="BJ852" s="5">
        <v>41318</v>
      </c>
      <c r="BK852" s="4">
        <v>2</v>
      </c>
      <c r="BL852" s="4"/>
      <c r="BM852" s="5">
        <v>41317</v>
      </c>
      <c r="BN852" s="5">
        <v>41333</v>
      </c>
      <c r="BO852" s="4"/>
      <c r="BP852" s="4"/>
      <c r="BQ852" s="4"/>
      <c r="BR852" s="5">
        <v>41299</v>
      </c>
      <c r="BS852" s="4"/>
      <c r="BT852" s="5">
        <v>41351</v>
      </c>
      <c r="BU852" s="5">
        <v>41351</v>
      </c>
      <c r="BV852" s="5">
        <v>41387</v>
      </c>
      <c r="BW852" s="5">
        <v>41386</v>
      </c>
      <c r="BX852" s="5">
        <v>41358</v>
      </c>
      <c r="BY852" s="5">
        <v>41383</v>
      </c>
      <c r="BZ852" s="5">
        <v>41386</v>
      </c>
      <c r="CA852" s="4"/>
      <c r="CB852" s="4"/>
      <c r="CC852" s="4"/>
      <c r="CD852" s="4"/>
      <c r="CE852" s="4"/>
      <c r="CF852" s="4"/>
      <c r="CG852" s="4"/>
      <c r="CH852" s="4"/>
      <c r="CI852" s="5">
        <v>41402</v>
      </c>
      <c r="CJ852" s="5">
        <v>41409</v>
      </c>
      <c r="CK852" s="5">
        <v>41409</v>
      </c>
      <c r="CL852" s="5">
        <v>41425</v>
      </c>
      <c r="CM852" s="5">
        <v>41425</v>
      </c>
      <c r="CN852" s="5">
        <v>41515</v>
      </c>
      <c r="CO852" s="5">
        <v>41529</v>
      </c>
      <c r="CP852" s="4" t="s">
        <v>2716</v>
      </c>
      <c r="CQ852" s="4"/>
      <c r="CR852" s="5">
        <v>41401</v>
      </c>
      <c r="CS852" s="4"/>
      <c r="CT852" s="4"/>
      <c r="CU852" s="4"/>
      <c r="CV852" s="4"/>
      <c r="CW852" s="4"/>
      <c r="CX852" s="4"/>
      <c r="CY852" s="5">
        <v>41388</v>
      </c>
      <c r="CZ852" s="5">
        <v>41393</v>
      </c>
      <c r="DA852" s="5">
        <v>41407</v>
      </c>
      <c r="DB852" s="5">
        <v>41407</v>
      </c>
      <c r="DC852" s="5">
        <v>41183</v>
      </c>
      <c r="DD852" s="4" t="s">
        <v>206</v>
      </c>
      <c r="DE852" s="4" t="s">
        <v>194</v>
      </c>
      <c r="DF852" s="5">
        <v>41381</v>
      </c>
      <c r="DG852" s="5">
        <v>41381</v>
      </c>
      <c r="DH852" s="4" t="s">
        <v>174</v>
      </c>
      <c r="DI852" s="5">
        <v>41358</v>
      </c>
      <c r="DJ852" s="4" t="b">
        <v>1</v>
      </c>
      <c r="DK852" s="5">
        <v>41299</v>
      </c>
      <c r="DL852" s="4">
        <v>2480002</v>
      </c>
      <c r="DM852" s="4">
        <v>5742320</v>
      </c>
      <c r="DN852" s="4" t="s">
        <v>2717</v>
      </c>
      <c r="DO852" s="4"/>
      <c r="DP852" s="4"/>
      <c r="DQ852" s="4" t="s">
        <v>148</v>
      </c>
      <c r="DR852" s="4"/>
      <c r="DS852" s="4"/>
      <c r="DT852" s="5">
        <v>41901</v>
      </c>
      <c r="DU852" s="4"/>
      <c r="DV852" s="4"/>
      <c r="DW852" s="4"/>
      <c r="DX852" s="4"/>
      <c r="DY852" s="4"/>
      <c r="DZ852" s="4"/>
      <c r="EA852" s="4"/>
      <c r="EB852" s="4"/>
      <c r="EC852" s="4"/>
      <c r="ED852" s="4"/>
      <c r="EE852" s="4"/>
      <c r="EF852" s="4"/>
      <c r="EG852" s="5">
        <v>41411</v>
      </c>
      <c r="EH852" s="5">
        <v>41411</v>
      </c>
      <c r="EI852" s="4"/>
    </row>
    <row r="853" spans="1:139" hidden="1" x14ac:dyDescent="0.2">
      <c r="A853">
        <f>VLOOKUP(B853,Sheet1!$A$1:$B$18,2,FALSE)</f>
        <v>0</v>
      </c>
      <c r="B853" t="str">
        <f>LEFT(D853,3)</f>
        <v>CHC</v>
      </c>
      <c r="C853" s="2">
        <v>852</v>
      </c>
      <c r="D853" s="3" t="str">
        <f>HYPERLINK("https://sitebase.nzcomms.co.nz/spm/spmnominalview/CHC-060-127/","CHC-060-127")</f>
        <v>CHC-060-127</v>
      </c>
      <c r="E853" s="4" t="s">
        <v>2718</v>
      </c>
      <c r="F853" s="3" t="str">
        <f>HYPERLINK("https://sitebase.nzcomms.co.nz/spm/spmcandidateview/CHC-060-127-B/","CHC-060-127-B")</f>
        <v>CHC-060-127-B</v>
      </c>
      <c r="G853" s="4" t="s">
        <v>2719</v>
      </c>
      <c r="H853" s="4" t="s">
        <v>2353</v>
      </c>
      <c r="I853" s="4">
        <v>11</v>
      </c>
      <c r="J853" s="4" t="s">
        <v>180</v>
      </c>
      <c r="K853" s="4" t="s">
        <v>141</v>
      </c>
      <c r="L853" s="4" t="s">
        <v>189</v>
      </c>
      <c r="M853" s="4" t="s">
        <v>190</v>
      </c>
      <c r="N853" s="4"/>
      <c r="O853" s="4"/>
      <c r="P853" s="4"/>
      <c r="Q853" s="4"/>
      <c r="R853" s="4"/>
      <c r="S853" s="4"/>
      <c r="T853" s="4">
        <v>1</v>
      </c>
      <c r="U853" s="4">
        <v>-43.548870149999999</v>
      </c>
      <c r="V853" s="4">
        <v>172.51000436000001</v>
      </c>
      <c r="W853" s="4"/>
      <c r="X853" s="5">
        <v>41079</v>
      </c>
      <c r="Y853" s="4"/>
      <c r="Z853" s="4"/>
      <c r="AA853" s="4"/>
      <c r="AB853" s="4"/>
      <c r="AC853" s="4" t="b">
        <v>0</v>
      </c>
      <c r="AD853" s="4" t="b">
        <v>0</v>
      </c>
      <c r="AE853" s="4"/>
      <c r="AF853" s="4"/>
      <c r="AG853" s="4" t="b">
        <v>0</v>
      </c>
      <c r="AH853" s="4"/>
      <c r="AI853" s="5">
        <v>41095</v>
      </c>
      <c r="AJ853" s="5">
        <v>41095</v>
      </c>
      <c r="AK853" s="5">
        <v>41117</v>
      </c>
      <c r="AL853" s="5">
        <v>41117</v>
      </c>
      <c r="AM853" s="5">
        <v>41130</v>
      </c>
      <c r="AN853" s="5">
        <v>41141</v>
      </c>
      <c r="AO853" s="4">
        <v>3</v>
      </c>
      <c r="AP853" s="5">
        <v>41141</v>
      </c>
      <c r="AQ853" s="5">
        <v>41215</v>
      </c>
      <c r="AR853" s="5">
        <v>41162</v>
      </c>
      <c r="AS853" s="5">
        <v>41192</v>
      </c>
      <c r="AT853" s="5">
        <v>41313</v>
      </c>
      <c r="AU853" s="5">
        <v>41317</v>
      </c>
      <c r="AV853" s="4"/>
      <c r="AW853" s="4"/>
      <c r="AX853" s="4"/>
      <c r="AY853" s="4" t="s">
        <v>198</v>
      </c>
      <c r="AZ853" s="5">
        <v>41289</v>
      </c>
      <c r="BA853" s="5">
        <v>41297</v>
      </c>
      <c r="BB853" s="5">
        <v>41325</v>
      </c>
      <c r="BC853" s="5">
        <v>41312</v>
      </c>
      <c r="BD853" s="4">
        <v>3</v>
      </c>
      <c r="BE853" s="4"/>
      <c r="BF853" s="5">
        <v>41313</v>
      </c>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t="s">
        <v>2720</v>
      </c>
      <c r="CQ853" s="4"/>
      <c r="CR853" s="4"/>
      <c r="CS853" s="4"/>
      <c r="CT853" s="4"/>
      <c r="CU853" s="4"/>
      <c r="CV853" s="4"/>
      <c r="CW853" s="4"/>
      <c r="CX853" s="4"/>
      <c r="CY853" s="4"/>
      <c r="CZ853" s="4"/>
      <c r="DA853" s="4"/>
      <c r="DB853" s="4"/>
      <c r="DC853" s="5">
        <v>41093</v>
      </c>
      <c r="DD853" s="4" t="s">
        <v>586</v>
      </c>
      <c r="DE853" s="4" t="s">
        <v>194</v>
      </c>
      <c r="DF853" s="4"/>
      <c r="DG853" s="4"/>
      <c r="DH853" s="4" t="s">
        <v>240</v>
      </c>
      <c r="DI853" s="4"/>
      <c r="DJ853" s="4" t="b">
        <v>1</v>
      </c>
      <c r="DK853" s="4"/>
      <c r="DL853" s="4">
        <v>2470415</v>
      </c>
      <c r="DM853" s="4">
        <v>5739726</v>
      </c>
      <c r="DN853" s="4"/>
      <c r="DO853" s="4"/>
      <c r="DP853" s="4"/>
      <c r="DQ853" s="4" t="s">
        <v>148</v>
      </c>
      <c r="DR853" s="4" t="s">
        <v>244</v>
      </c>
      <c r="DS853" s="4"/>
      <c r="DT853" s="4"/>
      <c r="DU853" s="4"/>
      <c r="DV853" s="4"/>
      <c r="DW853" s="4"/>
      <c r="DX853" s="4"/>
      <c r="DY853" s="4"/>
      <c r="DZ853" s="4"/>
      <c r="EA853" s="4"/>
      <c r="EB853" s="4"/>
      <c r="EC853" s="4"/>
      <c r="ED853" s="4"/>
      <c r="EE853" s="4"/>
      <c r="EF853" s="4"/>
      <c r="EG853" s="4"/>
      <c r="EH853" s="4"/>
      <c r="EI853" s="4"/>
    </row>
    <row r="854" spans="1:139" hidden="1" x14ac:dyDescent="0.2">
      <c r="A854">
        <f>VLOOKUP(B854,Sheet1!$A$1:$B$18,2,FALSE)</f>
        <v>0</v>
      </c>
      <c r="B854" t="str">
        <f>LEFT(D854,3)</f>
        <v>CHC</v>
      </c>
      <c r="C854" s="2">
        <v>853</v>
      </c>
      <c r="D854" s="3" t="str">
        <f>HYPERLINK("https://sitebase.nzcomms.co.nz/spm/spmnominalview/CHC-060-128/","CHC-060-128")</f>
        <v>CHC-060-128</v>
      </c>
      <c r="E854" s="4" t="s">
        <v>2721</v>
      </c>
      <c r="F854" s="3" t="str">
        <f>HYPERLINK("https://sitebase.nzcomms.co.nz/spm/spmcandidateview/CHC-060-128-B/","CHC-060-128-B")</f>
        <v>CHC-060-128-B</v>
      </c>
      <c r="G854" s="4" t="s">
        <v>2722</v>
      </c>
      <c r="H854" s="4" t="s">
        <v>2353</v>
      </c>
      <c r="I854" s="4">
        <v>11</v>
      </c>
      <c r="J854" s="4" t="s">
        <v>180</v>
      </c>
      <c r="K854" s="4" t="s">
        <v>141</v>
      </c>
      <c r="L854" s="4" t="s">
        <v>150</v>
      </c>
      <c r="M854" s="4" t="s">
        <v>160</v>
      </c>
      <c r="N854" s="4" t="s">
        <v>156</v>
      </c>
      <c r="O854" s="4"/>
      <c r="P854" s="4"/>
      <c r="Q854" s="4" t="s">
        <v>192</v>
      </c>
      <c r="R854" s="4"/>
      <c r="S854" s="4">
        <v>25</v>
      </c>
      <c r="T854" s="4">
        <v>2</v>
      </c>
      <c r="U854" s="4">
        <v>-43.640549900000003</v>
      </c>
      <c r="V854" s="4">
        <v>172.72067207000001</v>
      </c>
      <c r="W854" s="4"/>
      <c r="X854" s="5">
        <v>41128</v>
      </c>
      <c r="Y854" s="4"/>
      <c r="Z854" s="4"/>
      <c r="AA854" s="4" t="s">
        <v>145</v>
      </c>
      <c r="AB854" s="3" t="str">
        <f>HYPERLINK("https://sitebase.nzcomms.co.nz/spm/spmcandidateview/CHC-060-131-A/","CHC-060-131-A")</f>
        <v>CHC-060-131-A</v>
      </c>
      <c r="AC854" s="4" t="b">
        <v>0</v>
      </c>
      <c r="AD854" s="4" t="b">
        <v>0</v>
      </c>
      <c r="AE854" s="4"/>
      <c r="AF854" s="4"/>
      <c r="AG854" s="4" t="b">
        <v>0</v>
      </c>
      <c r="AH854" s="4"/>
      <c r="AI854" s="5">
        <v>41135</v>
      </c>
      <c r="AJ854" s="5">
        <v>41135</v>
      </c>
      <c r="AK854" s="5">
        <v>41151</v>
      </c>
      <c r="AL854" s="5">
        <v>41171</v>
      </c>
      <c r="AM854" s="5">
        <v>41232</v>
      </c>
      <c r="AN854" s="5">
        <v>41233</v>
      </c>
      <c r="AO854" s="4">
        <v>4</v>
      </c>
      <c r="AP854" s="5">
        <v>41232</v>
      </c>
      <c r="AQ854" s="5">
        <v>41345</v>
      </c>
      <c r="AR854" s="5">
        <v>41235</v>
      </c>
      <c r="AS854" s="5">
        <v>41228</v>
      </c>
      <c r="AT854" s="5">
        <v>41313</v>
      </c>
      <c r="AU854" s="5">
        <v>41313</v>
      </c>
      <c r="AV854" s="4">
        <v>3</v>
      </c>
      <c r="AW854" s="4"/>
      <c r="AX854" s="5">
        <v>41313</v>
      </c>
      <c r="AY854" s="4" t="s">
        <v>183</v>
      </c>
      <c r="AZ854" s="5">
        <v>41262</v>
      </c>
      <c r="BA854" s="5">
        <v>41309</v>
      </c>
      <c r="BB854" s="5">
        <v>41325</v>
      </c>
      <c r="BC854" s="5">
        <v>41360</v>
      </c>
      <c r="BD854" s="4">
        <v>3</v>
      </c>
      <c r="BE854" s="4"/>
      <c r="BF854" s="5">
        <v>41360</v>
      </c>
      <c r="BG854" s="4"/>
      <c r="BH854" s="5">
        <v>41289</v>
      </c>
      <c r="BI854" s="5">
        <v>41332</v>
      </c>
      <c r="BJ854" s="5">
        <v>41298</v>
      </c>
      <c r="BK854" s="4">
        <v>3</v>
      </c>
      <c r="BL854" s="4"/>
      <c r="BM854" s="5">
        <v>41340</v>
      </c>
      <c r="BN854" s="5">
        <v>41390</v>
      </c>
      <c r="BO854" s="4"/>
      <c r="BP854" s="4"/>
      <c r="BQ854" s="4"/>
      <c r="BR854" s="4"/>
      <c r="BS854" s="4"/>
      <c r="BT854" s="5">
        <v>41393</v>
      </c>
      <c r="BU854" s="5">
        <v>41393</v>
      </c>
      <c r="BV854" s="5">
        <v>41424</v>
      </c>
      <c r="BW854" s="5">
        <v>41425</v>
      </c>
      <c r="BX854" s="5">
        <v>41425</v>
      </c>
      <c r="BY854" s="5">
        <v>41430</v>
      </c>
      <c r="BZ854" s="5">
        <v>41430</v>
      </c>
      <c r="CA854" s="5">
        <v>41411</v>
      </c>
      <c r="CB854" s="5">
        <v>41431</v>
      </c>
      <c r="CC854" s="4"/>
      <c r="CD854" s="4"/>
      <c r="CE854" s="4"/>
      <c r="CF854" s="4"/>
      <c r="CG854" s="4"/>
      <c r="CH854" s="4"/>
      <c r="CI854" s="5">
        <v>41430</v>
      </c>
      <c r="CJ854" s="5">
        <v>41450</v>
      </c>
      <c r="CK854" s="5">
        <v>41449</v>
      </c>
      <c r="CL854" s="5">
        <v>41452</v>
      </c>
      <c r="CM854" s="5">
        <v>41450</v>
      </c>
      <c r="CN854" s="5">
        <v>41544</v>
      </c>
      <c r="CO854" s="5">
        <v>41540</v>
      </c>
      <c r="CP854" s="4" t="s">
        <v>2723</v>
      </c>
      <c r="CQ854" s="4"/>
      <c r="CR854" s="5">
        <v>41430</v>
      </c>
      <c r="CS854" s="4"/>
      <c r="CT854" s="4"/>
      <c r="CU854" s="5">
        <v>41386</v>
      </c>
      <c r="CV854" s="5">
        <v>41395</v>
      </c>
      <c r="CW854" s="5">
        <v>41422</v>
      </c>
      <c r="CX854" s="4"/>
      <c r="CY854" s="5">
        <v>41428</v>
      </c>
      <c r="CZ854" s="5">
        <v>41425</v>
      </c>
      <c r="DA854" s="5">
        <v>41417</v>
      </c>
      <c r="DB854" s="5">
        <v>41438</v>
      </c>
      <c r="DC854" s="5">
        <v>41234</v>
      </c>
      <c r="DD854" s="4" t="s">
        <v>206</v>
      </c>
      <c r="DE854" s="4" t="s">
        <v>194</v>
      </c>
      <c r="DF854" s="5">
        <v>41404</v>
      </c>
      <c r="DG854" s="5">
        <v>41430</v>
      </c>
      <c r="DH854" s="4" t="s">
        <v>174</v>
      </c>
      <c r="DI854" s="5">
        <v>41424</v>
      </c>
      <c r="DJ854" s="4" t="b">
        <v>0</v>
      </c>
      <c r="DK854" s="4"/>
      <c r="DL854" s="4">
        <v>2487473</v>
      </c>
      <c r="DM854" s="4">
        <v>5729618</v>
      </c>
      <c r="DN854" s="4" t="s">
        <v>2724</v>
      </c>
      <c r="DO854" s="4"/>
      <c r="DP854" s="4" t="s">
        <v>2725</v>
      </c>
      <c r="DQ854" s="4" t="s">
        <v>148</v>
      </c>
      <c r="DR854" s="4"/>
      <c r="DS854" s="4"/>
      <c r="DT854" s="4"/>
      <c r="DU854" s="4"/>
      <c r="DV854" s="4"/>
      <c r="DW854" s="4"/>
      <c r="DX854" s="4"/>
      <c r="DY854" s="4"/>
      <c r="DZ854" s="4"/>
      <c r="EA854" s="4"/>
      <c r="EB854" s="4"/>
      <c r="EC854" s="4"/>
      <c r="ED854" s="4"/>
      <c r="EE854" s="4"/>
      <c r="EF854" s="4"/>
      <c r="EG854" s="5">
        <v>41437</v>
      </c>
      <c r="EH854" s="5">
        <v>41437</v>
      </c>
      <c r="EI854" s="4"/>
    </row>
    <row r="855" spans="1:139" hidden="1" x14ac:dyDescent="0.2">
      <c r="A855">
        <f>VLOOKUP(B855,Sheet1!$A$1:$B$18,2,FALSE)</f>
        <v>0</v>
      </c>
      <c r="B855" t="str">
        <f>LEFT(D855,3)</f>
        <v>CHC</v>
      </c>
      <c r="C855" s="2">
        <v>854</v>
      </c>
      <c r="D855" s="3" t="str">
        <f>HYPERLINK("https://sitebase.nzcomms.co.nz/spm/spmnominalview/CHC-060-129/","CHC-060-129")</f>
        <v>CHC-060-129</v>
      </c>
      <c r="E855" s="4" t="s">
        <v>2726</v>
      </c>
      <c r="F855" s="3" t="str">
        <f>HYPERLINK("https://sitebase.nzcomms.co.nz/spm/spmcandidateview/CHC-060-129-A/","CHC-060-129-A")</f>
        <v>CHC-060-129-A</v>
      </c>
      <c r="G855" s="4" t="s">
        <v>2727</v>
      </c>
      <c r="H855" s="4" t="s">
        <v>2353</v>
      </c>
      <c r="I855" s="4">
        <v>21</v>
      </c>
      <c r="J855" s="4" t="s">
        <v>570</v>
      </c>
      <c r="K855" s="4" t="s">
        <v>141</v>
      </c>
      <c r="L855" s="4" t="s">
        <v>189</v>
      </c>
      <c r="M855" s="4" t="s">
        <v>190</v>
      </c>
      <c r="N855" s="4"/>
      <c r="O855" s="4"/>
      <c r="P855" s="4"/>
      <c r="Q855" s="4"/>
      <c r="R855" s="4"/>
      <c r="S855" s="4"/>
      <c r="T855" s="4">
        <v>1</v>
      </c>
      <c r="U855" s="4">
        <v>-43.499651550000003</v>
      </c>
      <c r="V855" s="4">
        <v>172.66213931999999</v>
      </c>
      <c r="W855" s="4"/>
      <c r="X855" s="4"/>
      <c r="Y855" s="4"/>
      <c r="Z855" s="4"/>
      <c r="AA855" s="4"/>
      <c r="AB855" s="4"/>
      <c r="AC855" s="4" t="b">
        <v>0</v>
      </c>
      <c r="AD855" s="4" t="b">
        <v>0</v>
      </c>
      <c r="AE855" s="4"/>
      <c r="AF855" s="4"/>
      <c r="AG855" s="4" t="b">
        <v>0</v>
      </c>
      <c r="AH855" s="4"/>
      <c r="AI855" s="5">
        <v>41095</v>
      </c>
      <c r="AJ855" s="5">
        <v>41095</v>
      </c>
      <c r="AK855" s="5">
        <v>41117</v>
      </c>
      <c r="AL855" s="5">
        <v>41117</v>
      </c>
      <c r="AM855" s="5">
        <v>41130</v>
      </c>
      <c r="AN855" s="5">
        <v>41141</v>
      </c>
      <c r="AO855" s="4">
        <v>2</v>
      </c>
      <c r="AP855" s="5">
        <v>41141</v>
      </c>
      <c r="AQ855" s="5">
        <v>41215</v>
      </c>
      <c r="AR855" s="5">
        <v>41190</v>
      </c>
      <c r="AS855" s="5">
        <v>41190</v>
      </c>
      <c r="AT855" s="5">
        <v>41313</v>
      </c>
      <c r="AU855" s="5">
        <v>41317</v>
      </c>
      <c r="AV855" s="4"/>
      <c r="AW855" s="4"/>
      <c r="AX855" s="4"/>
      <c r="AY855" s="4" t="s">
        <v>198</v>
      </c>
      <c r="AZ855" s="5">
        <v>41263</v>
      </c>
      <c r="BA855" s="5">
        <v>41299</v>
      </c>
      <c r="BB855" s="5">
        <v>41325</v>
      </c>
      <c r="BC855" s="5">
        <v>41325</v>
      </c>
      <c r="BD855" s="4">
        <v>2</v>
      </c>
      <c r="BE855" s="4"/>
      <c r="BF855" s="5">
        <v>41325</v>
      </c>
      <c r="BG855" s="5">
        <v>42314</v>
      </c>
      <c r="BH855" s="4"/>
      <c r="BI855" s="5">
        <v>42356</v>
      </c>
      <c r="BJ855" s="4"/>
      <c r="BK855" s="4"/>
      <c r="BL855" s="4"/>
      <c r="BM855" s="4"/>
      <c r="BN855" s="4"/>
      <c r="BO855" s="4"/>
      <c r="BP855" s="4"/>
      <c r="BQ855" s="4"/>
      <c r="BR855" s="4"/>
      <c r="BS855" s="4"/>
      <c r="BT855" s="5">
        <v>42415</v>
      </c>
      <c r="BU855" s="4"/>
      <c r="BV855" s="5">
        <v>42447</v>
      </c>
      <c r="BW855" s="4"/>
      <c r="BX855" s="4"/>
      <c r="BY855" s="5">
        <v>42460</v>
      </c>
      <c r="BZ855" s="4"/>
      <c r="CA855" s="4"/>
      <c r="CB855" s="4"/>
      <c r="CC855" s="4"/>
      <c r="CD855" s="4"/>
      <c r="CE855" s="4"/>
      <c r="CF855" s="4"/>
      <c r="CG855" s="4"/>
      <c r="CH855" s="4"/>
      <c r="CI855" s="4"/>
      <c r="CJ855" s="5">
        <v>42474</v>
      </c>
      <c r="CK855" s="4"/>
      <c r="CL855" s="4"/>
      <c r="CM855" s="4"/>
      <c r="CN855" s="4"/>
      <c r="CO855" s="4"/>
      <c r="CP855" s="4" t="s">
        <v>2728</v>
      </c>
      <c r="CQ855" s="4"/>
      <c r="CR855" s="5">
        <v>42262</v>
      </c>
      <c r="CS855" s="4"/>
      <c r="CT855" s="4"/>
      <c r="CU855" s="4"/>
      <c r="CV855" s="4"/>
      <c r="CW855" s="4"/>
      <c r="CX855" s="4"/>
      <c r="CY855" s="4"/>
      <c r="CZ855" s="4"/>
      <c r="DA855" s="5">
        <v>42466</v>
      </c>
      <c r="DB855" s="4"/>
      <c r="DC855" s="4"/>
      <c r="DD855" s="4" t="s">
        <v>206</v>
      </c>
      <c r="DE855" s="4" t="s">
        <v>194</v>
      </c>
      <c r="DF855" s="5">
        <v>42398</v>
      </c>
      <c r="DG855" s="4"/>
      <c r="DH855" s="4" t="s">
        <v>240</v>
      </c>
      <c r="DI855" s="5">
        <v>42398</v>
      </c>
      <c r="DJ855" s="4" t="b">
        <v>1</v>
      </c>
      <c r="DK855" s="5">
        <v>42384</v>
      </c>
      <c r="DL855" s="4">
        <v>2482687</v>
      </c>
      <c r="DM855" s="4">
        <v>5745255</v>
      </c>
      <c r="DN855" s="4"/>
      <c r="DO855" s="4"/>
      <c r="DP855" s="4"/>
      <c r="DQ855" s="4" t="s">
        <v>148</v>
      </c>
      <c r="DR855" s="4" t="s">
        <v>244</v>
      </c>
      <c r="DS855" s="4"/>
      <c r="DT855" s="4"/>
      <c r="DU855" s="4" t="s">
        <v>577</v>
      </c>
      <c r="DV855" s="4"/>
      <c r="DW855" s="4"/>
      <c r="DX855" s="4"/>
      <c r="DY855" s="5">
        <v>42356</v>
      </c>
      <c r="DZ855" s="4"/>
      <c r="EA855" s="4"/>
      <c r="EB855" s="4"/>
      <c r="EC855" s="4"/>
      <c r="ED855" s="4"/>
      <c r="EE855" s="5">
        <v>42398</v>
      </c>
      <c r="EF855" s="4"/>
      <c r="EG855" s="5">
        <v>42248</v>
      </c>
      <c r="EH855" s="4"/>
      <c r="EI855" s="4"/>
    </row>
    <row r="856" spans="1:139" hidden="1" x14ac:dyDescent="0.2">
      <c r="A856">
        <f>VLOOKUP(B856,Sheet1!$A$1:$B$18,2,FALSE)</f>
        <v>0</v>
      </c>
      <c r="B856" t="str">
        <f>LEFT(D856,3)</f>
        <v>CHC</v>
      </c>
      <c r="C856" s="2">
        <v>855</v>
      </c>
      <c r="D856" s="3" t="str">
        <f>HYPERLINK("https://sitebase.nzcomms.co.nz/spm/spmnominalview/CHC-060-130/","CHC-060-130")</f>
        <v>CHC-060-130</v>
      </c>
      <c r="E856" s="4" t="s">
        <v>2179</v>
      </c>
      <c r="F856" s="3" t="str">
        <f>HYPERLINK("https://sitebase.nzcomms.co.nz/spm/spmcandidateview/CHC-060-130-A/","CHC-060-130-A")</f>
        <v>CHC-060-130-A</v>
      </c>
      <c r="G856" s="4" t="s">
        <v>2729</v>
      </c>
      <c r="H856" s="4" t="s">
        <v>2353</v>
      </c>
      <c r="I856" s="4">
        <v>11</v>
      </c>
      <c r="J856" s="4" t="s">
        <v>180</v>
      </c>
      <c r="K856" s="4" t="s">
        <v>141</v>
      </c>
      <c r="L856" s="4" t="s">
        <v>189</v>
      </c>
      <c r="M856" s="4" t="s">
        <v>190</v>
      </c>
      <c r="N856" s="4"/>
      <c r="O856" s="4"/>
      <c r="P856" s="4"/>
      <c r="Q856" s="4"/>
      <c r="R856" s="4">
        <v>20</v>
      </c>
      <c r="S856" s="4"/>
      <c r="T856" s="4">
        <v>1</v>
      </c>
      <c r="U856" s="4">
        <v>-43.581534929999997</v>
      </c>
      <c r="V856" s="4">
        <v>172.54531374999999</v>
      </c>
      <c r="W856" s="4"/>
      <c r="X856" s="5">
        <v>41080</v>
      </c>
      <c r="Y856" s="4"/>
      <c r="Z856" s="4"/>
      <c r="AA856" s="4"/>
      <c r="AB856" s="4"/>
      <c r="AC856" s="4" t="b">
        <v>0</v>
      </c>
      <c r="AD856" s="4" t="b">
        <v>0</v>
      </c>
      <c r="AE856" s="4"/>
      <c r="AF856" s="4"/>
      <c r="AG856" s="4" t="b">
        <v>0</v>
      </c>
      <c r="AH856" s="4"/>
      <c r="AI856" s="5">
        <v>41095</v>
      </c>
      <c r="AJ856" s="5">
        <v>41095</v>
      </c>
      <c r="AK856" s="5">
        <v>41110</v>
      </c>
      <c r="AL856" s="5">
        <v>41109</v>
      </c>
      <c r="AM856" s="4"/>
      <c r="AN856" s="5">
        <v>41135</v>
      </c>
      <c r="AO856" s="4">
        <v>3</v>
      </c>
      <c r="AP856" s="5">
        <v>41131</v>
      </c>
      <c r="AQ856" s="5">
        <v>41215</v>
      </c>
      <c r="AR856" s="5">
        <v>41086</v>
      </c>
      <c r="AS856" s="5">
        <v>41093</v>
      </c>
      <c r="AT856" s="5">
        <v>41204</v>
      </c>
      <c r="AU856" s="5">
        <v>41186</v>
      </c>
      <c r="AV856" s="4">
        <v>2</v>
      </c>
      <c r="AW856" s="4"/>
      <c r="AX856" s="4"/>
      <c r="AY856" s="4" t="s">
        <v>172</v>
      </c>
      <c r="AZ856" s="5">
        <v>41173</v>
      </c>
      <c r="BA856" s="5">
        <v>41173</v>
      </c>
      <c r="BB856" s="5">
        <v>41201</v>
      </c>
      <c r="BC856" s="5">
        <v>41191</v>
      </c>
      <c r="BD856" s="4">
        <v>2</v>
      </c>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t="s">
        <v>2730</v>
      </c>
      <c r="CQ856" s="4"/>
      <c r="CR856" s="4"/>
      <c r="CS856" s="4"/>
      <c r="CT856" s="4"/>
      <c r="CU856" s="4"/>
      <c r="CV856" s="4"/>
      <c r="CW856" s="4"/>
      <c r="CX856" s="4"/>
      <c r="CY856" s="4"/>
      <c r="CZ856" s="4"/>
      <c r="DA856" s="4"/>
      <c r="DB856" s="4"/>
      <c r="DC856" s="5">
        <v>41122</v>
      </c>
      <c r="DD856" s="4" t="s">
        <v>586</v>
      </c>
      <c r="DE856" s="4" t="s">
        <v>194</v>
      </c>
      <c r="DF856" s="4"/>
      <c r="DG856" s="4"/>
      <c r="DH856" s="4" t="s">
        <v>240</v>
      </c>
      <c r="DI856" s="4"/>
      <c r="DJ856" s="4" t="b">
        <v>1</v>
      </c>
      <c r="DK856" s="4"/>
      <c r="DL856" s="4">
        <v>2473288</v>
      </c>
      <c r="DM856" s="4">
        <v>5736113</v>
      </c>
      <c r="DN856" s="4"/>
      <c r="DO856" s="4"/>
      <c r="DP856" s="4"/>
      <c r="DQ856" s="4" t="s">
        <v>148</v>
      </c>
      <c r="DR856" s="4" t="s">
        <v>244</v>
      </c>
      <c r="DS856" s="4"/>
      <c r="DT856" s="4"/>
      <c r="DU856" s="4"/>
      <c r="DV856" s="4"/>
      <c r="DW856" s="4"/>
      <c r="DX856" s="4"/>
      <c r="DY856" s="4"/>
      <c r="DZ856" s="4"/>
      <c r="EA856" s="4"/>
      <c r="EB856" s="4"/>
      <c r="EC856" s="4"/>
      <c r="ED856" s="4"/>
      <c r="EE856" s="4"/>
      <c r="EF856" s="4"/>
      <c r="EG856" s="4"/>
      <c r="EH856" s="4"/>
      <c r="EI856" s="4"/>
    </row>
    <row r="857" spans="1:139" hidden="1" x14ac:dyDescent="0.2">
      <c r="A857">
        <f>VLOOKUP(B857,Sheet1!$A$1:$B$18,2,FALSE)</f>
        <v>0</v>
      </c>
      <c r="B857" t="str">
        <f>LEFT(D857,3)</f>
        <v>CHC</v>
      </c>
      <c r="C857" s="2">
        <v>856</v>
      </c>
      <c r="D857" s="3" t="str">
        <f>HYPERLINK("https://sitebase.nzcomms.co.nz/spm/spmnominalview/CHC-060-131/","CHC-060-131")</f>
        <v>CHC-060-131</v>
      </c>
      <c r="E857" s="4" t="s">
        <v>2731</v>
      </c>
      <c r="F857" s="3" t="str">
        <f>HYPERLINK("https://sitebase.nzcomms.co.nz/spm/spmcandidateview/CHC-060-131-A/","CHC-060-131-A")</f>
        <v>CHC-060-131-A</v>
      </c>
      <c r="G857" s="4" t="s">
        <v>2732</v>
      </c>
      <c r="H857" s="4" t="s">
        <v>2353</v>
      </c>
      <c r="I857" s="4"/>
      <c r="J857" s="4" t="s">
        <v>317</v>
      </c>
      <c r="K857" s="4" t="s">
        <v>141</v>
      </c>
      <c r="L857" s="4" t="s">
        <v>142</v>
      </c>
      <c r="M857" s="4" t="s">
        <v>324</v>
      </c>
      <c r="N857" s="4"/>
      <c r="O857" s="4"/>
      <c r="P857" s="4"/>
      <c r="Q857" s="4" t="s">
        <v>142</v>
      </c>
      <c r="R857" s="4"/>
      <c r="S857" s="4"/>
      <c r="T857" s="4"/>
      <c r="U857" s="4">
        <v>-43.543111000000003</v>
      </c>
      <c r="V857" s="4">
        <v>172.60670099999999</v>
      </c>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5">
        <v>41426</v>
      </c>
      <c r="CL857" s="4"/>
      <c r="CM857" s="5">
        <v>41426</v>
      </c>
      <c r="CN857" s="4"/>
      <c r="CO857" s="4"/>
      <c r="CP857" s="4" t="s">
        <v>1180</v>
      </c>
      <c r="CQ857" s="4"/>
      <c r="CR857" s="4"/>
      <c r="CS857" s="4"/>
      <c r="CT857" s="4"/>
      <c r="CU857" s="4"/>
      <c r="CV857" s="4"/>
      <c r="CW857" s="4"/>
      <c r="CX857" s="4"/>
      <c r="CY857" s="4"/>
      <c r="CZ857" s="4"/>
      <c r="DA857" s="4"/>
      <c r="DB857" s="4"/>
      <c r="DC857" s="4"/>
      <c r="DD857" s="4"/>
      <c r="DE857" s="4"/>
      <c r="DF857" s="4"/>
      <c r="DG857" s="4"/>
      <c r="DH857" s="4"/>
      <c r="DI857" s="4"/>
      <c r="DJ857" s="4" t="b">
        <v>0</v>
      </c>
      <c r="DK857" s="4"/>
      <c r="DL857" s="4">
        <v>2478226</v>
      </c>
      <c r="DM857" s="4">
        <v>5740407</v>
      </c>
      <c r="DN857" s="4" t="s">
        <v>2733</v>
      </c>
      <c r="DO857" s="4"/>
      <c r="DP857" s="4"/>
      <c r="DQ857" s="4" t="s">
        <v>328</v>
      </c>
      <c r="DR857" s="4"/>
      <c r="DS857" s="4"/>
      <c r="DT857" s="4"/>
      <c r="DU857" s="4"/>
      <c r="DV857" s="4"/>
      <c r="DW857" s="4"/>
      <c r="DX857" s="4"/>
      <c r="DY857" s="4"/>
      <c r="DZ857" s="4"/>
      <c r="EA857" s="4"/>
      <c r="EB857" s="4"/>
      <c r="EC857" s="4"/>
      <c r="ED857" s="4"/>
      <c r="EE857" s="4"/>
      <c r="EF857" s="4"/>
      <c r="EG857" s="4"/>
      <c r="EH857" s="4"/>
      <c r="EI857" s="4"/>
    </row>
    <row r="858" spans="1:139" hidden="1" x14ac:dyDescent="0.2">
      <c r="A858">
        <f>VLOOKUP(B858,Sheet1!$A$1:$B$18,2,FALSE)</f>
        <v>0</v>
      </c>
      <c r="B858" t="str">
        <f>LEFT(D858,3)</f>
        <v>CHC</v>
      </c>
      <c r="C858" s="2">
        <v>857</v>
      </c>
      <c r="D858" s="3" t="str">
        <f>HYPERLINK("https://sitebase.nzcomms.co.nz/spm/spmnominalview/CHC-060-132/","CHC-060-132")</f>
        <v>CHC-060-132</v>
      </c>
      <c r="E858" s="4" t="s">
        <v>2734</v>
      </c>
      <c r="F858" s="3" t="str">
        <f>HYPERLINK("https://sitebase.nzcomms.co.nz/spm/spmcandidateview/CHC-060-132-A/","CHC-060-132-A")</f>
        <v>CHC-060-132-A</v>
      </c>
      <c r="G858" s="4" t="s">
        <v>2732</v>
      </c>
      <c r="H858" s="4" t="s">
        <v>2353</v>
      </c>
      <c r="I858" s="4"/>
      <c r="J858" s="4" t="s">
        <v>317</v>
      </c>
      <c r="K858" s="4" t="s">
        <v>141</v>
      </c>
      <c r="L858" s="4" t="s">
        <v>142</v>
      </c>
      <c r="M858" s="4" t="s">
        <v>324</v>
      </c>
      <c r="N858" s="4"/>
      <c r="O858" s="4"/>
      <c r="P858" s="4"/>
      <c r="Q858" s="4" t="s">
        <v>142</v>
      </c>
      <c r="R858" s="4"/>
      <c r="S858" s="4"/>
      <c r="T858" s="4"/>
      <c r="U858" s="4">
        <v>-43.54322294</v>
      </c>
      <c r="V858" s="4">
        <v>172.63232536999999</v>
      </c>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5">
        <v>41426</v>
      </c>
      <c r="CL858" s="4"/>
      <c r="CM858" s="5">
        <v>41426</v>
      </c>
      <c r="CN858" s="4"/>
      <c r="CO858" s="4"/>
      <c r="CP858" s="4" t="s">
        <v>1180</v>
      </c>
      <c r="CQ858" s="4"/>
      <c r="CR858" s="4"/>
      <c r="CS858" s="4"/>
      <c r="CT858" s="4"/>
      <c r="CU858" s="4"/>
      <c r="CV858" s="4"/>
      <c r="CW858" s="4"/>
      <c r="CX858" s="4"/>
      <c r="CY858" s="4"/>
      <c r="CZ858" s="4"/>
      <c r="DA858" s="4"/>
      <c r="DB858" s="4"/>
      <c r="DC858" s="4"/>
      <c r="DD858" s="4"/>
      <c r="DE858" s="4"/>
      <c r="DF858" s="4"/>
      <c r="DG858" s="4"/>
      <c r="DH858" s="4"/>
      <c r="DI858" s="4"/>
      <c r="DJ858" s="4" t="b">
        <v>0</v>
      </c>
      <c r="DK858" s="4"/>
      <c r="DL858" s="4">
        <v>2480297</v>
      </c>
      <c r="DM858" s="4">
        <v>5740404</v>
      </c>
      <c r="DN858" s="4" t="s">
        <v>2735</v>
      </c>
      <c r="DO858" s="4"/>
      <c r="DP858" s="4"/>
      <c r="DQ858" s="4" t="s">
        <v>328</v>
      </c>
      <c r="DR858" s="4"/>
      <c r="DS858" s="4"/>
      <c r="DT858" s="4"/>
      <c r="DU858" s="4"/>
      <c r="DV858" s="4"/>
      <c r="DW858" s="4"/>
      <c r="DX858" s="4"/>
      <c r="DY858" s="4"/>
      <c r="DZ858" s="4"/>
      <c r="EA858" s="4"/>
      <c r="EB858" s="4"/>
      <c r="EC858" s="4"/>
      <c r="ED858" s="4"/>
      <c r="EE858" s="4"/>
      <c r="EF858" s="4"/>
      <c r="EG858" s="4"/>
      <c r="EH858" s="4"/>
      <c r="EI858" s="4"/>
    </row>
    <row r="859" spans="1:139" hidden="1" x14ac:dyDescent="0.2">
      <c r="A859">
        <f>VLOOKUP(B859,Sheet1!$A$1:$B$18,2,FALSE)</f>
        <v>0</v>
      </c>
      <c r="B859" t="str">
        <f>LEFT(D859,3)</f>
        <v>CHC</v>
      </c>
      <c r="C859" s="2">
        <v>858</v>
      </c>
      <c r="D859" s="3" t="str">
        <f>HYPERLINK("https://sitebase.nzcomms.co.nz/spm/spmnominalview/CHC-060-133/","CHC-060-133")</f>
        <v>CHC-060-133</v>
      </c>
      <c r="E859" s="4" t="s">
        <v>2736</v>
      </c>
      <c r="F859" s="4"/>
      <c r="G859" s="4"/>
      <c r="H859" s="4" t="s">
        <v>2353</v>
      </c>
      <c r="I859" s="4">
        <v>11</v>
      </c>
      <c r="J859" s="4" t="s">
        <v>180</v>
      </c>
      <c r="K859" s="4"/>
      <c r="L859" s="4"/>
      <c r="M859" s="4"/>
      <c r="N859" s="4"/>
      <c r="O859" s="4"/>
      <c r="P859" s="4"/>
      <c r="Q859" s="4"/>
      <c r="R859" s="4"/>
      <c r="S859" s="4"/>
      <c r="T859" s="4"/>
      <c r="U859" s="4"/>
      <c r="V859" s="4"/>
      <c r="W859" s="4"/>
      <c r="X859" s="4"/>
      <c r="Y859" s="4"/>
      <c r="Z859" s="4"/>
      <c r="AA859" s="4"/>
      <c r="AB859" s="4"/>
      <c r="AC859" s="4"/>
      <c r="AD859" s="4"/>
      <c r="AE859" s="4"/>
      <c r="AF859" s="4"/>
      <c r="AG859" s="4" t="b">
        <v>0</v>
      </c>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t="s">
        <v>194</v>
      </c>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row>
    <row r="860" spans="1:139" hidden="1" x14ac:dyDescent="0.2">
      <c r="A860">
        <f>VLOOKUP(B860,Sheet1!$A$1:$B$18,2,FALSE)</f>
        <v>0</v>
      </c>
      <c r="B860" t="str">
        <f>LEFT(D860,3)</f>
        <v>CHC</v>
      </c>
      <c r="C860" s="2">
        <v>859</v>
      </c>
      <c r="D860" s="3" t="str">
        <f>HYPERLINK("https://sitebase.nzcomms.co.nz/spm/spmnominalview/CHC-060-134/","CHC-060-134")</f>
        <v>CHC-060-134</v>
      </c>
      <c r="E860" s="4" t="s">
        <v>2737</v>
      </c>
      <c r="F860" s="4"/>
      <c r="G860" s="4"/>
      <c r="H860" s="4" t="s">
        <v>2353</v>
      </c>
      <c r="I860" s="4">
        <v>11</v>
      </c>
      <c r="J860" s="4" t="s">
        <v>317</v>
      </c>
      <c r="K860" s="4"/>
      <c r="L860" s="4"/>
      <c r="M860" s="4"/>
      <c r="N860" s="4"/>
      <c r="O860" s="4"/>
      <c r="P860" s="4"/>
      <c r="Q860" s="4"/>
      <c r="R860" s="4"/>
      <c r="S860" s="4"/>
      <c r="T860" s="4"/>
      <c r="U860" s="4"/>
      <c r="V860" s="4"/>
      <c r="W860" s="4"/>
      <c r="X860" s="4"/>
      <c r="Y860" s="4"/>
      <c r="Z860" s="4"/>
      <c r="AA860" s="4"/>
      <c r="AB860" s="4"/>
      <c r="AC860" s="4"/>
      <c r="AD860" s="4"/>
      <c r="AE860" s="4"/>
      <c r="AF860" s="4"/>
      <c r="AG860" s="4" t="b">
        <v>0</v>
      </c>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t="s">
        <v>2738</v>
      </c>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row>
    <row r="861" spans="1:139" hidden="1" x14ac:dyDescent="0.2">
      <c r="A861">
        <f>VLOOKUP(B861,Sheet1!$A$1:$B$18,2,FALSE)</f>
        <v>0</v>
      </c>
      <c r="B861" t="str">
        <f>LEFT(D861,3)</f>
        <v>CHC</v>
      </c>
      <c r="C861" s="2">
        <v>860</v>
      </c>
      <c r="D861" s="3" t="str">
        <f>HYPERLINK("https://sitebase.nzcomms.co.nz/spm/spmnominalview/CHC-060-135/","CHC-060-135")</f>
        <v>CHC-060-135</v>
      </c>
      <c r="E861" s="4" t="s">
        <v>2739</v>
      </c>
      <c r="F861" s="3" t="str">
        <f>HYPERLINK("https://sitebase.nzcomms.co.nz/spm/spmcandidateview/CHC-060-135-A/","CHC-060-135-A")</f>
        <v>CHC-060-135-A</v>
      </c>
      <c r="G861" s="4" t="s">
        <v>2740</v>
      </c>
      <c r="H861" s="4" t="s">
        <v>2353</v>
      </c>
      <c r="I861" s="4"/>
      <c r="J861" s="4" t="s">
        <v>317</v>
      </c>
      <c r="K861" s="4" t="s">
        <v>141</v>
      </c>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t="s">
        <v>240</v>
      </c>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row>
    <row r="862" spans="1:139" hidden="1" x14ac:dyDescent="0.2">
      <c r="A862">
        <f>VLOOKUP(B862,Sheet1!$A$1:$B$18,2,FALSE)</f>
        <v>0</v>
      </c>
      <c r="B862" t="str">
        <f>LEFT(D862,3)</f>
        <v>CHC</v>
      </c>
      <c r="C862" s="2">
        <v>861</v>
      </c>
      <c r="D862" s="3" t="str">
        <f>HYPERLINK("https://sitebase.nzcomms.co.nz/spm/spmnominalview/CHC-060-136/","CHC-060-136")</f>
        <v>CHC-060-136</v>
      </c>
      <c r="E862" s="4" t="s">
        <v>2741</v>
      </c>
      <c r="F862" s="3" t="str">
        <f>HYPERLINK("https://sitebase.nzcomms.co.nz/spm/spmcandidateview/CHC-060-136-A/","CHC-060-136-A")</f>
        <v>CHC-060-136-A</v>
      </c>
      <c r="G862" s="4" t="s">
        <v>2742</v>
      </c>
      <c r="H862" s="4" t="s">
        <v>2353</v>
      </c>
      <c r="I862" s="4">
        <v>6</v>
      </c>
      <c r="J862" s="4" t="s">
        <v>584</v>
      </c>
      <c r="K862" s="4" t="s">
        <v>141</v>
      </c>
      <c r="L862" s="4" t="s">
        <v>189</v>
      </c>
      <c r="M862" s="4" t="s">
        <v>571</v>
      </c>
      <c r="N862" s="4" t="s">
        <v>2058</v>
      </c>
      <c r="O862" s="4" t="s">
        <v>168</v>
      </c>
      <c r="P862" s="4" t="s">
        <v>169</v>
      </c>
      <c r="Q862" s="4"/>
      <c r="R862" s="4">
        <v>20</v>
      </c>
      <c r="S862" s="4">
        <v>20</v>
      </c>
      <c r="T862" s="4"/>
      <c r="U862" s="4">
        <v>-43.53082002</v>
      </c>
      <c r="V862" s="4">
        <v>172.58720898999999</v>
      </c>
      <c r="W862" s="4"/>
      <c r="X862" s="4"/>
      <c r="Y862" s="4"/>
      <c r="Z862" s="4"/>
      <c r="AA862" s="4"/>
      <c r="AB862" s="4"/>
      <c r="AC862" s="4" t="b">
        <v>0</v>
      </c>
      <c r="AD862" s="4" t="b">
        <v>0</v>
      </c>
      <c r="AE862" s="4"/>
      <c r="AF862" s="4"/>
      <c r="AG862" s="4" t="b">
        <v>0</v>
      </c>
      <c r="AH862" s="4"/>
      <c r="AI862" s="5">
        <v>41732</v>
      </c>
      <c r="AJ862" s="5">
        <v>41732</v>
      </c>
      <c r="AK862" s="5">
        <v>41736</v>
      </c>
      <c r="AL862" s="5">
        <v>41736</v>
      </c>
      <c r="AM862" s="5">
        <v>41774</v>
      </c>
      <c r="AN862" s="5">
        <v>41766</v>
      </c>
      <c r="AO862" s="4">
        <v>3</v>
      </c>
      <c r="AP862" s="5">
        <v>41774</v>
      </c>
      <c r="AQ862" s="5">
        <v>41877</v>
      </c>
      <c r="AR862" s="5">
        <v>41806</v>
      </c>
      <c r="AS862" s="5">
        <v>41794</v>
      </c>
      <c r="AT862" s="5">
        <v>41806</v>
      </c>
      <c r="AU862" s="5">
        <v>41801</v>
      </c>
      <c r="AV862" s="4"/>
      <c r="AW862" s="5">
        <v>41806</v>
      </c>
      <c r="AX862" s="5">
        <v>41809</v>
      </c>
      <c r="AY862" s="4" t="s">
        <v>172</v>
      </c>
      <c r="AZ862" s="5">
        <v>41774</v>
      </c>
      <c r="BA862" s="5">
        <v>41886</v>
      </c>
      <c r="BB862" s="5">
        <v>41806</v>
      </c>
      <c r="BC862" s="5">
        <v>41899</v>
      </c>
      <c r="BD862" s="4">
        <v>3</v>
      </c>
      <c r="BE862" s="5">
        <v>41806</v>
      </c>
      <c r="BF862" s="5">
        <v>41799</v>
      </c>
      <c r="BG862" s="5">
        <v>41774</v>
      </c>
      <c r="BH862" s="5">
        <v>41767</v>
      </c>
      <c r="BI862" s="5">
        <v>41824</v>
      </c>
      <c r="BJ862" s="5">
        <v>41821</v>
      </c>
      <c r="BK862" s="4">
        <v>3</v>
      </c>
      <c r="BL862" s="4"/>
      <c r="BM862" s="5">
        <v>41828</v>
      </c>
      <c r="BN862" s="5">
        <v>41893</v>
      </c>
      <c r="BO862" s="4"/>
      <c r="BP862" s="4"/>
      <c r="BQ862" s="4"/>
      <c r="BR862" s="4"/>
      <c r="BS862" s="4"/>
      <c r="BT862" s="5">
        <v>41911</v>
      </c>
      <c r="BU862" s="5">
        <v>41911</v>
      </c>
      <c r="BV862" s="5">
        <v>41929</v>
      </c>
      <c r="BW862" s="5">
        <v>41929</v>
      </c>
      <c r="BX862" s="5">
        <v>41925</v>
      </c>
      <c r="BY862" s="5">
        <v>41934</v>
      </c>
      <c r="BZ862" s="5">
        <v>41934</v>
      </c>
      <c r="CA862" s="5">
        <v>41942</v>
      </c>
      <c r="CB862" s="5">
        <v>41947</v>
      </c>
      <c r="CC862" s="4"/>
      <c r="CD862" s="4"/>
      <c r="CE862" s="4"/>
      <c r="CF862" s="4"/>
      <c r="CG862" s="4"/>
      <c r="CH862" s="4"/>
      <c r="CI862" s="4"/>
      <c r="CJ862" s="5">
        <v>41968</v>
      </c>
      <c r="CK862" s="5">
        <v>41968</v>
      </c>
      <c r="CL862" s="4"/>
      <c r="CM862" s="4"/>
      <c r="CN862" s="4"/>
      <c r="CO862" s="4"/>
      <c r="CP862" s="4" t="s">
        <v>2743</v>
      </c>
      <c r="CQ862" s="4"/>
      <c r="CR862" s="4"/>
      <c r="CS862" s="4"/>
      <c r="CT862" s="4"/>
      <c r="CU862" s="4"/>
      <c r="CV862" s="4"/>
      <c r="CW862" s="4"/>
      <c r="CX862" s="4"/>
      <c r="CY862" s="4"/>
      <c r="CZ862" s="4"/>
      <c r="DA862" s="5">
        <v>41954</v>
      </c>
      <c r="DB862" s="5">
        <v>41960</v>
      </c>
      <c r="DC862" s="5">
        <v>41801</v>
      </c>
      <c r="DD862" s="4" t="s">
        <v>586</v>
      </c>
      <c r="DE862" s="4"/>
      <c r="DF862" s="5">
        <v>41934</v>
      </c>
      <c r="DG862" s="5">
        <v>41936</v>
      </c>
      <c r="DH862" s="4" t="s">
        <v>174</v>
      </c>
      <c r="DI862" s="5">
        <v>41925</v>
      </c>
      <c r="DJ862" s="4" t="b">
        <v>0</v>
      </c>
      <c r="DK862" s="4"/>
      <c r="DL862" s="4">
        <v>2476644</v>
      </c>
      <c r="DM862" s="4">
        <v>5741765</v>
      </c>
      <c r="DN862" s="4" t="s">
        <v>2744</v>
      </c>
      <c r="DO862" s="4"/>
      <c r="DP862" s="4"/>
      <c r="DQ862" s="4" t="s">
        <v>148</v>
      </c>
      <c r="DR862" s="4"/>
      <c r="DS862" s="4"/>
      <c r="DT862" s="5">
        <v>41968</v>
      </c>
      <c r="DU862" s="4"/>
      <c r="DV862" s="4"/>
      <c r="DW862" s="4"/>
      <c r="DX862" s="4"/>
      <c r="DY862" s="4"/>
      <c r="DZ862" s="4"/>
      <c r="EA862" s="4"/>
      <c r="EB862" s="4"/>
      <c r="EC862" s="4"/>
      <c r="ED862" s="4"/>
      <c r="EE862" s="4"/>
      <c r="EF862" s="4"/>
      <c r="EG862" s="4"/>
      <c r="EH862" s="4"/>
      <c r="EI862" s="4"/>
    </row>
    <row r="863" spans="1:139" hidden="1" x14ac:dyDescent="0.2">
      <c r="A863">
        <f>VLOOKUP(B863,Sheet1!$A$1:$B$18,2,FALSE)</f>
        <v>0</v>
      </c>
      <c r="B863" t="str">
        <f>LEFT(D863,3)</f>
        <v>CHC</v>
      </c>
      <c r="C863" s="2">
        <v>862</v>
      </c>
      <c r="D863" s="3" t="str">
        <f>HYPERLINK("https://sitebase.nzcomms.co.nz/spm/spmnominalview/CHC-060-137/","CHC-060-137")</f>
        <v>CHC-060-137</v>
      </c>
      <c r="E863" s="4" t="s">
        <v>2745</v>
      </c>
      <c r="F863" s="3" t="str">
        <f>HYPERLINK("https://sitebase.nzcomms.co.nz/spm/spmcandidateview/CHC-060-137-A/","CHC-060-137-A")</f>
        <v>CHC-060-137-A</v>
      </c>
      <c r="G863" s="4" t="s">
        <v>2745</v>
      </c>
      <c r="H863" s="4" t="s">
        <v>2353</v>
      </c>
      <c r="I863" s="4"/>
      <c r="J863" s="4" t="s">
        <v>317</v>
      </c>
      <c r="K863" s="4" t="s">
        <v>141</v>
      </c>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t="s">
        <v>240</v>
      </c>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row>
    <row r="864" spans="1:139" hidden="1" x14ac:dyDescent="0.2">
      <c r="A864">
        <f>VLOOKUP(B864,Sheet1!$A$1:$B$18,2,FALSE)</f>
        <v>0</v>
      </c>
      <c r="B864" t="str">
        <f>LEFT(D864,3)</f>
        <v>CHC</v>
      </c>
      <c r="C864" s="2">
        <v>863</v>
      </c>
      <c r="D864" s="3" t="str">
        <f>HYPERLINK("https://sitebase.nzcomms.co.nz/spm/spmnominalview/CHC-060-138/","CHC-060-138")</f>
        <v>CHC-060-138</v>
      </c>
      <c r="E864" s="4" t="s">
        <v>2746</v>
      </c>
      <c r="F864" s="4"/>
      <c r="G864" s="4"/>
      <c r="H864" s="4" t="s">
        <v>2353</v>
      </c>
      <c r="I864" s="4"/>
      <c r="J864" s="4" t="s">
        <v>317</v>
      </c>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t="s">
        <v>2747</v>
      </c>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row>
    <row r="865" spans="1:139" hidden="1" x14ac:dyDescent="0.2">
      <c r="A865">
        <f>VLOOKUP(B865,Sheet1!$A$1:$B$18,2,FALSE)</f>
        <v>0</v>
      </c>
      <c r="B865" t="str">
        <f>LEFT(D865,3)</f>
        <v>CHC</v>
      </c>
      <c r="C865" s="2">
        <v>864</v>
      </c>
      <c r="D865" s="3" t="str">
        <f>HYPERLINK("https://sitebase.nzcomms.co.nz/spm/spmnominalview/CHC-060-139/","CHC-060-139")</f>
        <v>CHC-060-139</v>
      </c>
      <c r="E865" s="4" t="s">
        <v>2748</v>
      </c>
      <c r="F865" s="3" t="str">
        <f>HYPERLINK("https://sitebase.nzcomms.co.nz/spm/spmcandidateview/CHC-060-139-A/","CHC-060-139-A")</f>
        <v>CHC-060-139-A</v>
      </c>
      <c r="G865" s="4" t="s">
        <v>2748</v>
      </c>
      <c r="H865" s="4" t="s">
        <v>2353</v>
      </c>
      <c r="I865" s="4"/>
      <c r="J865" s="4" t="s">
        <v>317</v>
      </c>
      <c r="K865" s="4" t="s">
        <v>141</v>
      </c>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t="s">
        <v>240</v>
      </c>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row>
    <row r="866" spans="1:139" hidden="1" x14ac:dyDescent="0.2">
      <c r="A866">
        <f>VLOOKUP(B866,Sheet1!$A$1:$B$18,2,FALSE)</f>
        <v>0</v>
      </c>
      <c r="B866" t="str">
        <f>LEFT(D866,3)</f>
        <v>CHC</v>
      </c>
      <c r="C866" s="2">
        <v>865</v>
      </c>
      <c r="D866" s="3" t="str">
        <f>HYPERLINK("https://sitebase.nzcomms.co.nz/spm/spmnominalview/CHC-060-140/","CHC-060-140")</f>
        <v>CHC-060-140</v>
      </c>
      <c r="E866" s="4" t="s">
        <v>2749</v>
      </c>
      <c r="F866" s="3" t="str">
        <f>HYPERLINK("https://sitebase.nzcomms.co.nz/spm/spmcandidateview/CHC-060-140-A/","CHC-060-140-A")</f>
        <v>CHC-060-140-A</v>
      </c>
      <c r="G866" s="4" t="s">
        <v>2750</v>
      </c>
      <c r="H866" s="4" t="s">
        <v>2353</v>
      </c>
      <c r="I866" s="4"/>
      <c r="J866" s="4" t="s">
        <v>317</v>
      </c>
      <c r="K866" s="4" t="s">
        <v>141</v>
      </c>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t="s">
        <v>240</v>
      </c>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row>
    <row r="867" spans="1:139" hidden="1" x14ac:dyDescent="0.2">
      <c r="A867">
        <f>VLOOKUP(B867,Sheet1!$A$1:$B$18,2,FALSE)</f>
        <v>0</v>
      </c>
      <c r="B867" t="str">
        <f>LEFT(D867,3)</f>
        <v>CHC</v>
      </c>
      <c r="C867" s="2">
        <v>866</v>
      </c>
      <c r="D867" s="3" t="str">
        <f>HYPERLINK("https://sitebase.nzcomms.co.nz/spm/spmnominalview/CHC-060-141/","CHC-060-141")</f>
        <v>CHC-060-141</v>
      </c>
      <c r="E867" s="4" t="s">
        <v>2751</v>
      </c>
      <c r="F867" s="3" t="str">
        <f>HYPERLINK("https://sitebase.nzcomms.co.nz/spm/spmcandidateview/CHC-060-141-A/","CHC-060-141-A")</f>
        <v>CHC-060-141-A</v>
      </c>
      <c r="G867" s="4" t="s">
        <v>2752</v>
      </c>
      <c r="H867" s="4" t="s">
        <v>2353</v>
      </c>
      <c r="I867" s="4"/>
      <c r="J867" s="4" t="s">
        <v>317</v>
      </c>
      <c r="K867" s="4" t="s">
        <v>141</v>
      </c>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t="s">
        <v>240</v>
      </c>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row>
    <row r="868" spans="1:139" hidden="1" x14ac:dyDescent="0.2">
      <c r="A868">
        <f>VLOOKUP(B868,Sheet1!$A$1:$B$18,2,FALSE)</f>
        <v>0</v>
      </c>
      <c r="B868" t="str">
        <f>LEFT(D868,3)</f>
        <v>CHC</v>
      </c>
      <c r="C868" s="2">
        <v>867</v>
      </c>
      <c r="D868" s="3" t="str">
        <f>HYPERLINK("https://sitebase.nzcomms.co.nz/spm/spmnominalview/CHC-060-142/","CHC-060-142")</f>
        <v>CHC-060-142</v>
      </c>
      <c r="E868" s="4" t="s">
        <v>2753</v>
      </c>
      <c r="F868" s="3" t="str">
        <f>HYPERLINK("https://sitebase.nzcomms.co.nz/spm/spmcandidateview/CHC-060-142-A/","CHC-060-142-A")</f>
        <v>CHC-060-142-A</v>
      </c>
      <c r="G868" s="4" t="s">
        <v>2753</v>
      </c>
      <c r="H868" s="4" t="s">
        <v>2353</v>
      </c>
      <c r="I868" s="4"/>
      <c r="J868" s="4" t="s">
        <v>317</v>
      </c>
      <c r="K868" s="4" t="s">
        <v>141</v>
      </c>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t="s">
        <v>240</v>
      </c>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row>
    <row r="869" spans="1:139" hidden="1" x14ac:dyDescent="0.2">
      <c r="A869">
        <f>VLOOKUP(B869,Sheet1!$A$1:$B$18,2,FALSE)</f>
        <v>0</v>
      </c>
      <c r="B869" t="str">
        <f>LEFT(D869,3)</f>
        <v>CHC</v>
      </c>
      <c r="C869" s="2">
        <v>868</v>
      </c>
      <c r="D869" s="3" t="str">
        <f>HYPERLINK("https://sitebase.nzcomms.co.nz/spm/spmnominalview/CHC-060-144/","CHC-060-144")</f>
        <v>CHC-060-144</v>
      </c>
      <c r="E869" s="4" t="s">
        <v>2754</v>
      </c>
      <c r="F869" s="4"/>
      <c r="G869" s="4"/>
      <c r="H869" s="4" t="s">
        <v>2353</v>
      </c>
      <c r="I869" s="4"/>
      <c r="J869" s="4" t="s">
        <v>317</v>
      </c>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t="s">
        <v>2755</v>
      </c>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row>
    <row r="870" spans="1:139" hidden="1" x14ac:dyDescent="0.2">
      <c r="A870">
        <f>VLOOKUP(B870,Sheet1!$A$1:$B$18,2,FALSE)</f>
        <v>0</v>
      </c>
      <c r="B870" t="str">
        <f>LEFT(D870,3)</f>
        <v>CHC</v>
      </c>
      <c r="C870" s="2">
        <v>869</v>
      </c>
      <c r="D870" s="3" t="str">
        <f>HYPERLINK("https://sitebase.nzcomms.co.nz/spm/spmnominalview/CHC-060-145/","CHC-060-145")</f>
        <v>CHC-060-145</v>
      </c>
      <c r="E870" s="4" t="s">
        <v>2756</v>
      </c>
      <c r="F870" s="3" t="str">
        <f>HYPERLINK("https://sitebase.nzcomms.co.nz/spm/spmcandidateview/CHC-060-145-A/","CHC-060-145-A")</f>
        <v>CHC-060-145-A</v>
      </c>
      <c r="G870" s="4" t="s">
        <v>2756</v>
      </c>
      <c r="H870" s="4" t="s">
        <v>2353</v>
      </c>
      <c r="I870" s="4"/>
      <c r="J870" s="4" t="s">
        <v>317</v>
      </c>
      <c r="K870" s="4" t="s">
        <v>141</v>
      </c>
      <c r="L870" s="4" t="s">
        <v>325</v>
      </c>
      <c r="M870" s="4" t="s">
        <v>1172</v>
      </c>
      <c r="N870" s="4"/>
      <c r="O870" s="4"/>
      <c r="P870" s="4"/>
      <c r="Q870" s="4"/>
      <c r="R870" s="4"/>
      <c r="S870" s="4"/>
      <c r="T870" s="4"/>
      <c r="U870" s="4">
        <v>-43.468442959999997</v>
      </c>
      <c r="V870" s="4">
        <v>172.51354228</v>
      </c>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v>2470649</v>
      </c>
      <c r="DM870" s="4">
        <v>5748663</v>
      </c>
      <c r="DN870" s="4" t="s">
        <v>2757</v>
      </c>
      <c r="DO870" s="4"/>
      <c r="DP870" s="4"/>
      <c r="DQ870" s="4"/>
      <c r="DR870" s="4"/>
      <c r="DS870" s="4"/>
      <c r="DT870" s="4"/>
      <c r="DU870" s="4"/>
      <c r="DV870" s="4"/>
      <c r="DW870" s="4"/>
      <c r="DX870" s="4"/>
      <c r="DY870" s="4"/>
      <c r="DZ870" s="4"/>
      <c r="EA870" s="4"/>
      <c r="EB870" s="4"/>
      <c r="EC870" s="4"/>
      <c r="ED870" s="4"/>
      <c r="EE870" s="4"/>
      <c r="EF870" s="4"/>
      <c r="EG870" s="4"/>
      <c r="EH870" s="4"/>
      <c r="EI870" s="4"/>
    </row>
    <row r="871" spans="1:139" hidden="1" x14ac:dyDescent="0.2">
      <c r="A871">
        <f>VLOOKUP(B871,Sheet1!$A$1:$B$18,2,FALSE)</f>
        <v>0</v>
      </c>
      <c r="B871" t="str">
        <f>LEFT(D871,3)</f>
        <v>CHC</v>
      </c>
      <c r="C871" s="2">
        <v>870</v>
      </c>
      <c r="D871" s="3" t="str">
        <f>HYPERLINK("https://sitebase.nzcomms.co.nz/spm/spmnominalview/CHC-060-146/","CHC-060-146")</f>
        <v>CHC-060-146</v>
      </c>
      <c r="E871" s="4" t="s">
        <v>2758</v>
      </c>
      <c r="F871" s="3" t="str">
        <f>HYPERLINK("https://sitebase.nzcomms.co.nz/spm/spmcandidateview/CHC-060-146-A/","CHC-060-146-A")</f>
        <v>CHC-060-146-A</v>
      </c>
      <c r="G871" s="4" t="s">
        <v>2759</v>
      </c>
      <c r="H871" s="4" t="s">
        <v>2353</v>
      </c>
      <c r="I871" s="4">
        <v>6</v>
      </c>
      <c r="J871" s="4" t="s">
        <v>584</v>
      </c>
      <c r="K871" s="4" t="s">
        <v>141</v>
      </c>
      <c r="L871" s="4" t="s">
        <v>189</v>
      </c>
      <c r="M871" s="4" t="s">
        <v>571</v>
      </c>
      <c r="N871" s="4" t="s">
        <v>2058</v>
      </c>
      <c r="O871" s="4" t="s">
        <v>168</v>
      </c>
      <c r="P871" s="4" t="s">
        <v>169</v>
      </c>
      <c r="Q871" s="4"/>
      <c r="R871" s="4">
        <v>20</v>
      </c>
      <c r="S871" s="4">
        <v>20</v>
      </c>
      <c r="T871" s="4"/>
      <c r="U871" s="4">
        <v>-43.546561750000002</v>
      </c>
      <c r="V871" s="4">
        <v>172.61026691000001</v>
      </c>
      <c r="W871" s="4"/>
      <c r="X871" s="4"/>
      <c r="Y871" s="4"/>
      <c r="Z871" s="4"/>
      <c r="AA871" s="4" t="s">
        <v>145</v>
      </c>
      <c r="AB871" s="3" t="str">
        <f>HYPERLINK("https://sitebase.nzcomms.co.nz/spm/spmcandidateview/CHC-060-131-A/","CHC-060-131-A")</f>
        <v>CHC-060-131-A</v>
      </c>
      <c r="AC871" s="4" t="b">
        <v>0</v>
      </c>
      <c r="AD871" s="4" t="b">
        <v>0</v>
      </c>
      <c r="AE871" s="4"/>
      <c r="AF871" s="4"/>
      <c r="AG871" s="4" t="b">
        <v>0</v>
      </c>
      <c r="AH871" s="4"/>
      <c r="AI871" s="5">
        <v>41732</v>
      </c>
      <c r="AJ871" s="5">
        <v>41732</v>
      </c>
      <c r="AK871" s="5">
        <v>41736</v>
      </c>
      <c r="AL871" s="5">
        <v>41736</v>
      </c>
      <c r="AM871" s="5">
        <v>41774</v>
      </c>
      <c r="AN871" s="5">
        <v>41766</v>
      </c>
      <c r="AO871" s="4">
        <v>1</v>
      </c>
      <c r="AP871" s="5">
        <v>41774</v>
      </c>
      <c r="AQ871" s="5">
        <v>41766</v>
      </c>
      <c r="AR871" s="5">
        <v>41806</v>
      </c>
      <c r="AS871" s="5">
        <v>41808</v>
      </c>
      <c r="AT871" s="5">
        <v>41806</v>
      </c>
      <c r="AU871" s="5">
        <v>41808</v>
      </c>
      <c r="AV871" s="4"/>
      <c r="AW871" s="5">
        <v>41806</v>
      </c>
      <c r="AX871" s="5">
        <v>41808</v>
      </c>
      <c r="AY871" s="4" t="s">
        <v>172</v>
      </c>
      <c r="AZ871" s="5">
        <v>41774</v>
      </c>
      <c r="BA871" s="5">
        <v>41760</v>
      </c>
      <c r="BB871" s="5">
        <v>41806</v>
      </c>
      <c r="BC871" s="5">
        <v>41788</v>
      </c>
      <c r="BD871" s="4">
        <v>1</v>
      </c>
      <c r="BE871" s="5">
        <v>41806</v>
      </c>
      <c r="BF871" s="5">
        <v>41788</v>
      </c>
      <c r="BG871" s="5">
        <v>41774</v>
      </c>
      <c r="BH871" s="5">
        <v>41767</v>
      </c>
      <c r="BI871" s="5">
        <v>41824</v>
      </c>
      <c r="BJ871" s="5">
        <v>41821</v>
      </c>
      <c r="BK871" s="4">
        <v>1</v>
      </c>
      <c r="BL871" s="4"/>
      <c r="BM871" s="5">
        <v>41828</v>
      </c>
      <c r="BN871" s="5">
        <v>41821</v>
      </c>
      <c r="BO871" s="4"/>
      <c r="BP871" s="4"/>
      <c r="BQ871" s="4"/>
      <c r="BR871" s="4"/>
      <c r="BS871" s="4"/>
      <c r="BT871" s="5">
        <v>41883</v>
      </c>
      <c r="BU871" s="5">
        <v>41883</v>
      </c>
      <c r="BV871" s="5">
        <v>41911</v>
      </c>
      <c r="BW871" s="5">
        <v>41911</v>
      </c>
      <c r="BX871" s="5">
        <v>41907</v>
      </c>
      <c r="BY871" s="5">
        <v>41915</v>
      </c>
      <c r="BZ871" s="5">
        <v>41921</v>
      </c>
      <c r="CA871" s="5">
        <v>41943</v>
      </c>
      <c r="CB871" s="5">
        <v>41942</v>
      </c>
      <c r="CC871" s="4"/>
      <c r="CD871" s="4"/>
      <c r="CE871" s="4"/>
      <c r="CF871" s="4"/>
      <c r="CG871" s="4"/>
      <c r="CH871" s="4"/>
      <c r="CI871" s="4"/>
      <c r="CJ871" s="5">
        <v>41954</v>
      </c>
      <c r="CK871" s="5">
        <v>41956</v>
      </c>
      <c r="CL871" s="4"/>
      <c r="CM871" s="4"/>
      <c r="CN871" s="4"/>
      <c r="CO871" s="4"/>
      <c r="CP871" s="4" t="s">
        <v>2760</v>
      </c>
      <c r="CQ871" s="4"/>
      <c r="CR871" s="4"/>
      <c r="CS871" s="4"/>
      <c r="CT871" s="4"/>
      <c r="CU871" s="4"/>
      <c r="CV871" s="4"/>
      <c r="CW871" s="4"/>
      <c r="CX871" s="4"/>
      <c r="CY871" s="4"/>
      <c r="CZ871" s="4"/>
      <c r="DA871" s="5">
        <v>41947</v>
      </c>
      <c r="DB871" s="5">
        <v>41942</v>
      </c>
      <c r="DC871" s="5">
        <v>41788</v>
      </c>
      <c r="DD871" s="4" t="s">
        <v>586</v>
      </c>
      <c r="DE871" s="4"/>
      <c r="DF871" s="5">
        <v>41919</v>
      </c>
      <c r="DG871" s="5">
        <v>41936</v>
      </c>
      <c r="DH871" s="4" t="s">
        <v>174</v>
      </c>
      <c r="DI871" s="5">
        <v>41907</v>
      </c>
      <c r="DJ871" s="4" t="b">
        <v>0</v>
      </c>
      <c r="DK871" s="4"/>
      <c r="DL871" s="4">
        <v>2478516</v>
      </c>
      <c r="DM871" s="4">
        <v>5740025</v>
      </c>
      <c r="DN871" s="4" t="s">
        <v>2761</v>
      </c>
      <c r="DO871" s="4"/>
      <c r="DP871" s="4"/>
      <c r="DQ871" s="4" t="s">
        <v>148</v>
      </c>
      <c r="DR871" s="4"/>
      <c r="DS871" s="4"/>
      <c r="DT871" s="5">
        <v>41956</v>
      </c>
      <c r="DU871" s="4"/>
      <c r="DV871" s="4"/>
      <c r="DW871" s="4"/>
      <c r="DX871" s="4"/>
      <c r="DY871" s="4"/>
      <c r="DZ871" s="4"/>
      <c r="EA871" s="4"/>
      <c r="EB871" s="4"/>
      <c r="EC871" s="4"/>
      <c r="ED871" s="4"/>
      <c r="EE871" s="4"/>
      <c r="EF871" s="4"/>
      <c r="EG871" s="4"/>
      <c r="EH871" s="4"/>
      <c r="EI871" s="4"/>
    </row>
    <row r="872" spans="1:139" hidden="1" x14ac:dyDescent="0.2">
      <c r="A872">
        <f>VLOOKUP(B872,Sheet1!$A$1:$B$18,2,FALSE)</f>
        <v>0</v>
      </c>
      <c r="B872" t="str">
        <f>LEFT(D872,3)</f>
        <v>CHC</v>
      </c>
      <c r="C872" s="2">
        <v>871</v>
      </c>
      <c r="D872" s="3" t="str">
        <f>HYPERLINK("https://sitebase.nzcomms.co.nz/spm/spmnominalview/CHC-060-147/","CHC-060-147")</f>
        <v>CHC-060-147</v>
      </c>
      <c r="E872" s="4" t="s">
        <v>2762</v>
      </c>
      <c r="F872" s="3" t="str">
        <f>HYPERLINK("https://sitebase.nzcomms.co.nz/spm/spmcandidateview/CHC-060-147-A/","CHC-060-147-A")</f>
        <v>CHC-060-147-A</v>
      </c>
      <c r="G872" s="4" t="s">
        <v>2763</v>
      </c>
      <c r="H872" s="4" t="s">
        <v>2353</v>
      </c>
      <c r="I872" s="4"/>
      <c r="J872" s="4" t="s">
        <v>317</v>
      </c>
      <c r="K872" s="4" t="s">
        <v>141</v>
      </c>
      <c r="L872" s="4" t="s">
        <v>142</v>
      </c>
      <c r="M872" s="4" t="s">
        <v>324</v>
      </c>
      <c r="N872" s="4" t="s">
        <v>142</v>
      </c>
      <c r="O872" s="4"/>
      <c r="P872" s="4"/>
      <c r="Q872" s="4" t="s">
        <v>142</v>
      </c>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t="s">
        <v>2764</v>
      </c>
      <c r="DO872" s="4"/>
      <c r="DP872" s="4"/>
      <c r="DQ872" s="4" t="s">
        <v>328</v>
      </c>
      <c r="DR872" s="4" t="s">
        <v>255</v>
      </c>
      <c r="DS872" s="4"/>
      <c r="DT872" s="4"/>
      <c r="DU872" s="4"/>
      <c r="DV872" s="4"/>
      <c r="DW872" s="4"/>
      <c r="DX872" s="4"/>
      <c r="DY872" s="4"/>
      <c r="DZ872" s="4"/>
      <c r="EA872" s="4"/>
      <c r="EB872" s="4"/>
      <c r="EC872" s="4"/>
      <c r="ED872" s="4"/>
      <c r="EE872" s="4"/>
      <c r="EF872" s="4"/>
      <c r="EG872" s="4"/>
      <c r="EH872" s="4"/>
      <c r="EI872" s="4"/>
    </row>
    <row r="873" spans="1:139" hidden="1" x14ac:dyDescent="0.2">
      <c r="A873">
        <f>VLOOKUP(B873,Sheet1!$A$1:$B$18,2,FALSE)</f>
        <v>0</v>
      </c>
      <c r="B873" t="str">
        <f>LEFT(D873,3)</f>
        <v>CHC</v>
      </c>
      <c r="C873" s="2">
        <v>872</v>
      </c>
      <c r="D873" s="3" t="str">
        <f>HYPERLINK("https://sitebase.nzcomms.co.nz/spm/spmnominalview/CHC-060-148/","CHC-060-148")</f>
        <v>CHC-060-148</v>
      </c>
      <c r="E873" s="4" t="s">
        <v>2765</v>
      </c>
      <c r="F873" s="4"/>
      <c r="G873" s="4"/>
      <c r="H873" s="4" t="s">
        <v>2353</v>
      </c>
      <c r="I873" s="4"/>
      <c r="J873" s="4" t="s">
        <v>196</v>
      </c>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row>
    <row r="874" spans="1:139" hidden="1" x14ac:dyDescent="0.2">
      <c r="A874">
        <f>VLOOKUP(B874,Sheet1!$A$1:$B$18,2,FALSE)</f>
        <v>0</v>
      </c>
      <c r="B874" t="str">
        <f>LEFT(D874,3)</f>
        <v>CHC</v>
      </c>
      <c r="C874" s="2">
        <v>873</v>
      </c>
      <c r="D874" s="3" t="str">
        <f>HYPERLINK("https://sitebase.nzcomms.co.nz/spm/spmnominalview/CHC-060-149/","CHC-060-149")</f>
        <v>CHC-060-149</v>
      </c>
      <c r="E874" s="4" t="s">
        <v>2766</v>
      </c>
      <c r="F874" s="4"/>
      <c r="G874" s="4"/>
      <c r="H874" s="4" t="s">
        <v>2353</v>
      </c>
      <c r="I874" s="4"/>
      <c r="J874" s="4" t="s">
        <v>196</v>
      </c>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row>
    <row r="875" spans="1:139" hidden="1" x14ac:dyDescent="0.2">
      <c r="A875">
        <f>VLOOKUP(B875,Sheet1!$A$1:$B$18,2,FALSE)</f>
        <v>0</v>
      </c>
      <c r="B875" t="str">
        <f>LEFT(D875,3)</f>
        <v>CHC</v>
      </c>
      <c r="C875" s="2">
        <v>874</v>
      </c>
      <c r="D875" s="3" t="str">
        <f>HYPERLINK("https://sitebase.nzcomms.co.nz/spm/spmnominalview/CHC-060-150/","CHC-060-150")</f>
        <v>CHC-060-150</v>
      </c>
      <c r="E875" s="4" t="s">
        <v>2767</v>
      </c>
      <c r="F875" s="3" t="str">
        <f>HYPERLINK("https://sitebase.nzcomms.co.nz/spm/spmcandidateview/CHC-060-150-A/","CHC-060-150-A")</f>
        <v>CHC-060-150-A</v>
      </c>
      <c r="G875" s="4" t="s">
        <v>566</v>
      </c>
      <c r="H875" s="4" t="s">
        <v>2353</v>
      </c>
      <c r="I875" s="4">
        <v>6</v>
      </c>
      <c r="J875" s="4" t="s">
        <v>584</v>
      </c>
      <c r="K875" s="4" t="s">
        <v>141</v>
      </c>
      <c r="L875" s="4" t="s">
        <v>181</v>
      </c>
      <c r="M875" s="4" t="s">
        <v>442</v>
      </c>
      <c r="N875" s="4" t="s">
        <v>181</v>
      </c>
      <c r="O875" s="4" t="s">
        <v>168</v>
      </c>
      <c r="P875" s="4" t="s">
        <v>182</v>
      </c>
      <c r="Q875" s="4" t="s">
        <v>170</v>
      </c>
      <c r="R875" s="4"/>
      <c r="S875" s="4"/>
      <c r="T875" s="4"/>
      <c r="U875" s="4">
        <v>-43.531568129999997</v>
      </c>
      <c r="V875" s="4">
        <v>172.6355255</v>
      </c>
      <c r="W875" s="4"/>
      <c r="X875" s="4"/>
      <c r="Y875" s="4"/>
      <c r="Z875" s="4"/>
      <c r="AA875" s="4"/>
      <c r="AB875" s="4"/>
      <c r="AC875" s="4" t="b">
        <v>0</v>
      </c>
      <c r="AD875" s="4" t="b">
        <v>0</v>
      </c>
      <c r="AE875" s="4"/>
      <c r="AF875" s="4"/>
      <c r="AG875" s="4" t="b">
        <v>0</v>
      </c>
      <c r="AH875" s="4"/>
      <c r="AI875" s="4"/>
      <c r="AJ875" s="5">
        <v>41967</v>
      </c>
      <c r="AK875" s="4"/>
      <c r="AL875" s="5">
        <v>41963</v>
      </c>
      <c r="AM875" s="4"/>
      <c r="AN875" s="5">
        <v>41900</v>
      </c>
      <c r="AO875" s="4">
        <v>5</v>
      </c>
      <c r="AP875" s="4"/>
      <c r="AQ875" s="5">
        <v>41977</v>
      </c>
      <c r="AR875" s="5">
        <v>41964</v>
      </c>
      <c r="AS875" s="5">
        <v>41974</v>
      </c>
      <c r="AT875" s="5">
        <v>41992</v>
      </c>
      <c r="AU875" s="4"/>
      <c r="AV875" s="4"/>
      <c r="AW875" s="5">
        <v>41992</v>
      </c>
      <c r="AX875" s="4"/>
      <c r="AY875" s="4" t="s">
        <v>183</v>
      </c>
      <c r="AZ875" s="5">
        <v>41960</v>
      </c>
      <c r="BA875" s="4"/>
      <c r="BB875" s="5">
        <v>41978</v>
      </c>
      <c r="BC875" s="4"/>
      <c r="BD875" s="4"/>
      <c r="BE875" s="5">
        <v>41978</v>
      </c>
      <c r="BF875" s="4"/>
      <c r="BG875" s="5">
        <v>41964</v>
      </c>
      <c r="BH875" s="5">
        <v>41964</v>
      </c>
      <c r="BI875" s="5">
        <v>41969</v>
      </c>
      <c r="BJ875" s="5">
        <v>41990</v>
      </c>
      <c r="BK875" s="4">
        <v>1</v>
      </c>
      <c r="BL875" s="4"/>
      <c r="BM875" s="5">
        <v>41971</v>
      </c>
      <c r="BN875" s="5">
        <v>41990</v>
      </c>
      <c r="BO875" s="4"/>
      <c r="BP875" s="4"/>
      <c r="BQ875" s="4"/>
      <c r="BR875" s="4"/>
      <c r="BS875" s="4"/>
      <c r="BT875" s="5">
        <v>41967</v>
      </c>
      <c r="BU875" s="5">
        <v>41967</v>
      </c>
      <c r="BV875" s="5">
        <v>41978</v>
      </c>
      <c r="BW875" s="5">
        <v>41980</v>
      </c>
      <c r="BX875" s="5">
        <v>41980</v>
      </c>
      <c r="BY875" s="5">
        <v>41980</v>
      </c>
      <c r="BZ875" s="5">
        <v>41980</v>
      </c>
      <c r="CA875" s="5">
        <v>41977</v>
      </c>
      <c r="CB875" s="5">
        <v>41978</v>
      </c>
      <c r="CC875" s="4"/>
      <c r="CD875" s="4"/>
      <c r="CE875" s="4"/>
      <c r="CF875" s="4"/>
      <c r="CG875" s="4"/>
      <c r="CH875" s="4"/>
      <c r="CI875" s="4"/>
      <c r="CJ875" s="5">
        <v>41980</v>
      </c>
      <c r="CK875" s="5">
        <v>41980</v>
      </c>
      <c r="CL875" s="4"/>
      <c r="CM875" s="4"/>
      <c r="CN875" s="4"/>
      <c r="CO875" s="4"/>
      <c r="CP875" s="4" t="s">
        <v>2768</v>
      </c>
      <c r="CQ875" s="4"/>
      <c r="CR875" s="4"/>
      <c r="CS875" s="4"/>
      <c r="CT875" s="4"/>
      <c r="CU875" s="4"/>
      <c r="CV875" s="4"/>
      <c r="CW875" s="4"/>
      <c r="CX875" s="4"/>
      <c r="CY875" s="4"/>
      <c r="CZ875" s="4"/>
      <c r="DA875" s="5">
        <v>41980</v>
      </c>
      <c r="DB875" s="5">
        <v>41980</v>
      </c>
      <c r="DC875" s="4"/>
      <c r="DD875" s="4"/>
      <c r="DE875" s="4"/>
      <c r="DF875" s="5">
        <v>41977</v>
      </c>
      <c r="DG875" s="5">
        <v>41978</v>
      </c>
      <c r="DH875" s="4" t="s">
        <v>174</v>
      </c>
      <c r="DI875" s="5">
        <v>41980</v>
      </c>
      <c r="DJ875" s="4" t="b">
        <v>0</v>
      </c>
      <c r="DK875" s="4"/>
      <c r="DL875" s="4">
        <v>2480550</v>
      </c>
      <c r="DM875" s="4">
        <v>5741700</v>
      </c>
      <c r="DN875" s="4" t="s">
        <v>2769</v>
      </c>
      <c r="DO875" s="4"/>
      <c r="DP875" s="4"/>
      <c r="DQ875" s="4" t="s">
        <v>148</v>
      </c>
      <c r="DR875" s="4"/>
      <c r="DS875" s="4"/>
      <c r="DT875" s="5">
        <v>42298</v>
      </c>
      <c r="DU875" s="4"/>
      <c r="DV875" s="4"/>
      <c r="DW875" s="4"/>
      <c r="DX875" s="4"/>
      <c r="DY875" s="5">
        <v>41967</v>
      </c>
      <c r="DZ875" s="5">
        <v>41967</v>
      </c>
      <c r="EA875" s="4"/>
      <c r="EB875" s="4"/>
      <c r="EC875" s="4"/>
      <c r="ED875" s="4"/>
      <c r="EE875" s="4"/>
      <c r="EF875" s="4"/>
      <c r="EG875" s="4"/>
      <c r="EH875" s="4"/>
      <c r="EI875" s="5">
        <v>41864</v>
      </c>
    </row>
    <row r="876" spans="1:139" hidden="1" x14ac:dyDescent="0.2">
      <c r="A876">
        <f>VLOOKUP(B876,Sheet1!$A$1:$B$18,2,FALSE)</f>
        <v>0</v>
      </c>
      <c r="B876" t="str">
        <f>LEFT(D876,3)</f>
        <v>CHC</v>
      </c>
      <c r="C876" s="2">
        <v>875</v>
      </c>
      <c r="D876" s="3" t="str">
        <f>HYPERLINK("https://sitebase.nzcomms.co.nz/spm/spmnominalview/CHC-060-151/","CHC-060-151")</f>
        <v>CHC-060-151</v>
      </c>
      <c r="E876" s="4" t="s">
        <v>2770</v>
      </c>
      <c r="F876" s="4"/>
      <c r="G876" s="4"/>
      <c r="H876" s="4" t="s">
        <v>2353</v>
      </c>
      <c r="I876" s="4">
        <v>21</v>
      </c>
      <c r="J876" s="4" t="s">
        <v>196</v>
      </c>
      <c r="K876" s="4"/>
      <c r="L876" s="4"/>
      <c r="M876" s="4"/>
      <c r="N876" s="4"/>
      <c r="O876" s="4"/>
      <c r="P876" s="4"/>
      <c r="Q876" s="4"/>
      <c r="R876" s="4"/>
      <c r="S876" s="4"/>
      <c r="T876" s="4"/>
      <c r="U876" s="4"/>
      <c r="V876" s="4"/>
      <c r="W876" s="4"/>
      <c r="X876" s="4"/>
      <c r="Y876" s="4"/>
      <c r="Z876" s="4"/>
      <c r="AA876" s="4"/>
      <c r="AB876" s="4"/>
      <c r="AC876" s="4"/>
      <c r="AD876" s="4"/>
      <c r="AE876" s="4"/>
      <c r="AF876" s="4"/>
      <c r="AG876" s="4" t="b">
        <v>0</v>
      </c>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t="s">
        <v>2771</v>
      </c>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row>
    <row r="877" spans="1:139" hidden="1" x14ac:dyDescent="0.2">
      <c r="A877">
        <f>VLOOKUP(B877,Sheet1!$A$1:$B$18,2,FALSE)</f>
        <v>0</v>
      </c>
      <c r="B877" t="str">
        <f>LEFT(D877,3)</f>
        <v>CHC</v>
      </c>
      <c r="C877" s="2">
        <v>876</v>
      </c>
      <c r="D877" s="3" t="str">
        <f>HYPERLINK("https://sitebase.nzcomms.co.nz/spm/spmnominalview/CHC-060-152/","CHC-060-152")</f>
        <v>CHC-060-152</v>
      </c>
      <c r="E877" s="4" t="s">
        <v>2772</v>
      </c>
      <c r="F877" s="3" t="str">
        <f>HYPERLINK("https://sitebase.nzcomms.co.nz/spm/spmcandidateview/CHC-060-152-A/","CHC-060-152-A")</f>
        <v>CHC-060-152-A</v>
      </c>
      <c r="G877" s="4" t="s">
        <v>2772</v>
      </c>
      <c r="H877" s="4" t="s">
        <v>2353</v>
      </c>
      <c r="I877" s="4">
        <v>21</v>
      </c>
      <c r="J877" s="4" t="s">
        <v>1027</v>
      </c>
      <c r="K877" s="4" t="s">
        <v>141</v>
      </c>
      <c r="L877" s="4" t="s">
        <v>181</v>
      </c>
      <c r="M877" s="4" t="s">
        <v>592</v>
      </c>
      <c r="N877" s="4" t="s">
        <v>364</v>
      </c>
      <c r="O877" s="4"/>
      <c r="P877" s="4"/>
      <c r="Q877" s="4"/>
      <c r="R877" s="4"/>
      <c r="S877" s="4"/>
      <c r="T877" s="4"/>
      <c r="U877" s="4">
        <v>-43.54271636</v>
      </c>
      <c r="V877" s="4">
        <v>172.52355338999999</v>
      </c>
      <c r="W877" s="4"/>
      <c r="X877" s="4"/>
      <c r="Y877" s="4"/>
      <c r="Z877" s="4"/>
      <c r="AA877" s="4"/>
      <c r="AB877" s="4"/>
      <c r="AC877" s="4" t="b">
        <v>0</v>
      </c>
      <c r="AD877" s="4" t="b">
        <v>0</v>
      </c>
      <c r="AE877" s="4"/>
      <c r="AF877" s="4"/>
      <c r="AG877" s="4" t="b">
        <v>0</v>
      </c>
      <c r="AH877" s="4"/>
      <c r="AI877" s="5">
        <v>41982</v>
      </c>
      <c r="AJ877" s="5">
        <v>41984</v>
      </c>
      <c r="AK877" s="5">
        <v>42026</v>
      </c>
      <c r="AL877" s="5">
        <v>42026</v>
      </c>
      <c r="AM877" s="5">
        <v>42034</v>
      </c>
      <c r="AN877" s="5">
        <v>41926</v>
      </c>
      <c r="AO877" s="4">
        <v>3</v>
      </c>
      <c r="AP877" s="5">
        <v>42034</v>
      </c>
      <c r="AQ877" s="5">
        <v>42054</v>
      </c>
      <c r="AR877" s="5">
        <v>42069</v>
      </c>
      <c r="AS877" s="5">
        <v>42069</v>
      </c>
      <c r="AT877" s="5">
        <v>42090</v>
      </c>
      <c r="AU877" s="5">
        <v>42083</v>
      </c>
      <c r="AV877" s="4"/>
      <c r="AW877" s="5">
        <v>42097</v>
      </c>
      <c r="AX877" s="5">
        <v>42083</v>
      </c>
      <c r="AY877" s="4" t="s">
        <v>172</v>
      </c>
      <c r="AZ877" s="4"/>
      <c r="BA877" s="4"/>
      <c r="BB877" s="4"/>
      <c r="BC877" s="4"/>
      <c r="BD877" s="4"/>
      <c r="BE877" s="4"/>
      <c r="BF877" s="4"/>
      <c r="BG877" s="5">
        <v>42055</v>
      </c>
      <c r="BH877" s="5">
        <v>42055</v>
      </c>
      <c r="BI877" s="5">
        <v>42079</v>
      </c>
      <c r="BJ877" s="5">
        <v>42079</v>
      </c>
      <c r="BK877" s="4">
        <v>1</v>
      </c>
      <c r="BL877" s="4"/>
      <c r="BM877" s="5">
        <v>42079</v>
      </c>
      <c r="BN877" s="5">
        <v>42079</v>
      </c>
      <c r="BO877" s="4"/>
      <c r="BP877" s="4"/>
      <c r="BQ877" s="4"/>
      <c r="BR877" s="4"/>
      <c r="BS877" s="4"/>
      <c r="BT877" s="5">
        <v>42068</v>
      </c>
      <c r="BU877" s="5">
        <v>42067</v>
      </c>
      <c r="BV877" s="5">
        <v>42083</v>
      </c>
      <c r="BW877" s="4"/>
      <c r="BX877" s="5">
        <v>42074</v>
      </c>
      <c r="BY877" s="5">
        <v>42089</v>
      </c>
      <c r="BZ877" s="5">
        <v>42090</v>
      </c>
      <c r="CA877" s="4"/>
      <c r="CB877" s="4"/>
      <c r="CC877" s="4"/>
      <c r="CD877" s="4"/>
      <c r="CE877" s="4"/>
      <c r="CF877" s="4"/>
      <c r="CG877" s="4"/>
      <c r="CH877" s="4"/>
      <c r="CI877" s="4"/>
      <c r="CJ877" s="5">
        <v>42095</v>
      </c>
      <c r="CK877" s="5">
        <v>42097</v>
      </c>
      <c r="CL877" s="4"/>
      <c r="CM877" s="4"/>
      <c r="CN877" s="4"/>
      <c r="CO877" s="4"/>
      <c r="CP877" s="4" t="s">
        <v>2773</v>
      </c>
      <c r="CQ877" s="4"/>
      <c r="CR877" s="4"/>
      <c r="CS877" s="4"/>
      <c r="CT877" s="4"/>
      <c r="CU877" s="4"/>
      <c r="CV877" s="4"/>
      <c r="CW877" s="4"/>
      <c r="CX877" s="4"/>
      <c r="CY877" s="4"/>
      <c r="CZ877" s="4"/>
      <c r="DA877" s="5">
        <v>42095</v>
      </c>
      <c r="DB877" s="4"/>
      <c r="DC877" s="4"/>
      <c r="DD877" s="4"/>
      <c r="DE877" s="4"/>
      <c r="DF877" s="5">
        <v>42089</v>
      </c>
      <c r="DG877" s="5">
        <v>42090</v>
      </c>
      <c r="DH877" s="4" t="s">
        <v>174</v>
      </c>
      <c r="DI877" s="5">
        <v>42075</v>
      </c>
      <c r="DJ877" s="4" t="b">
        <v>0</v>
      </c>
      <c r="DK877" s="4"/>
      <c r="DL877" s="4">
        <v>2471506</v>
      </c>
      <c r="DM877" s="4">
        <v>5740416</v>
      </c>
      <c r="DN877" s="4" t="s">
        <v>2774</v>
      </c>
      <c r="DO877" s="4"/>
      <c r="DP877" s="4"/>
      <c r="DQ877" s="4" t="s">
        <v>148</v>
      </c>
      <c r="DR877" s="4"/>
      <c r="DS877" s="4"/>
      <c r="DT877" s="4"/>
      <c r="DU877" s="4" t="s">
        <v>1030</v>
      </c>
      <c r="DV877" s="4"/>
      <c r="DW877" s="4"/>
      <c r="DX877" s="4"/>
      <c r="DY877" s="4"/>
      <c r="DZ877" s="4"/>
      <c r="EA877" s="4"/>
      <c r="EB877" s="4"/>
      <c r="EC877" s="4"/>
      <c r="ED877" s="4"/>
      <c r="EE877" s="4"/>
      <c r="EF877" s="4"/>
      <c r="EG877" s="4"/>
      <c r="EH877" s="4"/>
      <c r="EI877" s="5">
        <v>42026</v>
      </c>
    </row>
    <row r="878" spans="1:139" hidden="1" x14ac:dyDescent="0.2">
      <c r="A878">
        <f>VLOOKUP(B878,Sheet1!$A$1:$B$18,2,FALSE)</f>
        <v>0</v>
      </c>
      <c r="B878" t="str">
        <f>LEFT(D878,3)</f>
        <v>CHC</v>
      </c>
      <c r="C878" s="2">
        <v>877</v>
      </c>
      <c r="D878" s="3" t="str">
        <f>HYPERLINK("https://sitebase.nzcomms.co.nz/spm/spmnominalview/CHC-060-153/","CHC-060-153")</f>
        <v>CHC-060-153</v>
      </c>
      <c r="E878" s="4" t="s">
        <v>2775</v>
      </c>
      <c r="F878" s="3" t="str">
        <f>HYPERLINK("https://sitebase.nzcomms.co.nz/spm/spmcandidateview/CHC-060-153-A/","CHC-060-153-A")</f>
        <v>CHC-060-153-A</v>
      </c>
      <c r="G878" s="4" t="s">
        <v>189</v>
      </c>
      <c r="H878" s="4" t="s">
        <v>2353</v>
      </c>
      <c r="I878" s="4">
        <v>21</v>
      </c>
      <c r="J878" s="4" t="s">
        <v>570</v>
      </c>
      <c r="K878" s="4" t="s">
        <v>141</v>
      </c>
      <c r="L878" s="4" t="s">
        <v>189</v>
      </c>
      <c r="M878" s="4" t="s">
        <v>571</v>
      </c>
      <c r="N878" s="4"/>
      <c r="O878" s="4"/>
      <c r="P878" s="4" t="s">
        <v>182</v>
      </c>
      <c r="Q878" s="4" t="s">
        <v>192</v>
      </c>
      <c r="R878" s="4">
        <v>20</v>
      </c>
      <c r="S878" s="4">
        <v>20</v>
      </c>
      <c r="T878" s="4"/>
      <c r="U878" s="4">
        <v>-43.531148639999998</v>
      </c>
      <c r="V878" s="4">
        <v>172.65720192000001</v>
      </c>
      <c r="W878" s="4"/>
      <c r="X878" s="4"/>
      <c r="Y878" s="4"/>
      <c r="Z878" s="4"/>
      <c r="AA878" s="4"/>
      <c r="AB878" s="4"/>
      <c r="AC878" s="4" t="b">
        <v>0</v>
      </c>
      <c r="AD878" s="4" t="b">
        <v>0</v>
      </c>
      <c r="AE878" s="4"/>
      <c r="AF878" s="4"/>
      <c r="AG878" s="4" t="b">
        <v>0</v>
      </c>
      <c r="AH878" s="4"/>
      <c r="AI878" s="5">
        <v>42170</v>
      </c>
      <c r="AJ878" s="5">
        <v>42170</v>
      </c>
      <c r="AK878" s="5">
        <v>42170</v>
      </c>
      <c r="AL878" s="5">
        <v>42173</v>
      </c>
      <c r="AM878" s="5">
        <v>42265</v>
      </c>
      <c r="AN878" s="4"/>
      <c r="AO878" s="4"/>
      <c r="AP878" s="4"/>
      <c r="AQ878" s="4"/>
      <c r="AR878" s="5">
        <v>42293</v>
      </c>
      <c r="AS878" s="4"/>
      <c r="AT878" s="5">
        <v>42300</v>
      </c>
      <c r="AU878" s="4"/>
      <c r="AV878" s="4"/>
      <c r="AW878" s="5">
        <v>42300</v>
      </c>
      <c r="AX878" s="4"/>
      <c r="AY878" s="4"/>
      <c r="AZ878" s="5">
        <v>42269</v>
      </c>
      <c r="BA878" s="4"/>
      <c r="BB878" s="5">
        <v>42297</v>
      </c>
      <c r="BC878" s="4"/>
      <c r="BD878" s="4"/>
      <c r="BE878" s="5">
        <v>42300</v>
      </c>
      <c r="BF878" s="4"/>
      <c r="BG878" s="5">
        <v>42296</v>
      </c>
      <c r="BH878" s="4"/>
      <c r="BI878" s="5">
        <v>42335</v>
      </c>
      <c r="BJ878" s="4"/>
      <c r="BK878" s="4"/>
      <c r="BL878" s="4"/>
      <c r="BM878" s="4"/>
      <c r="BN878" s="4"/>
      <c r="BO878" s="4"/>
      <c r="BP878" s="4"/>
      <c r="BQ878" s="4"/>
      <c r="BR878" s="4"/>
      <c r="BS878" s="4"/>
      <c r="BT878" s="5">
        <v>42380</v>
      </c>
      <c r="BU878" s="4"/>
      <c r="BV878" s="5">
        <v>42405</v>
      </c>
      <c r="BW878" s="4"/>
      <c r="BX878" s="4"/>
      <c r="BY878" s="5">
        <v>42412</v>
      </c>
      <c r="BZ878" s="4"/>
      <c r="CA878" s="4"/>
      <c r="CB878" s="4"/>
      <c r="CC878" s="4"/>
      <c r="CD878" s="4"/>
      <c r="CE878" s="4"/>
      <c r="CF878" s="4"/>
      <c r="CG878" s="4"/>
      <c r="CH878" s="4"/>
      <c r="CI878" s="4"/>
      <c r="CJ878" s="5">
        <v>42429</v>
      </c>
      <c r="CK878" s="4"/>
      <c r="CL878" s="4"/>
      <c r="CM878" s="4"/>
      <c r="CN878" s="4"/>
      <c r="CO878" s="4"/>
      <c r="CP878" s="4" t="s">
        <v>2776</v>
      </c>
      <c r="CQ878" s="4"/>
      <c r="CR878" s="5">
        <v>42348</v>
      </c>
      <c r="CS878" s="4"/>
      <c r="CT878" s="4"/>
      <c r="CU878" s="4"/>
      <c r="CV878" s="4"/>
      <c r="CW878" s="4"/>
      <c r="CX878" s="4"/>
      <c r="CY878" s="4"/>
      <c r="CZ878" s="4"/>
      <c r="DA878" s="5">
        <v>42419</v>
      </c>
      <c r="DB878" s="4"/>
      <c r="DC878" s="4"/>
      <c r="DD878" s="4"/>
      <c r="DE878" s="4"/>
      <c r="DF878" s="4"/>
      <c r="DG878" s="4"/>
      <c r="DH878" s="4" t="s">
        <v>1521</v>
      </c>
      <c r="DI878" s="5">
        <v>42394</v>
      </c>
      <c r="DJ878" s="4" t="b">
        <v>0</v>
      </c>
      <c r="DK878" s="4"/>
      <c r="DL878" s="4">
        <v>2482302</v>
      </c>
      <c r="DM878" s="4">
        <v>5741754</v>
      </c>
      <c r="DN878" s="4" t="s">
        <v>2777</v>
      </c>
      <c r="DO878" s="4"/>
      <c r="DP878" s="4"/>
      <c r="DQ878" s="4" t="s">
        <v>148</v>
      </c>
      <c r="DR878" s="4" t="s">
        <v>255</v>
      </c>
      <c r="DS878" s="4"/>
      <c r="DT878" s="4"/>
      <c r="DU878" s="4" t="s">
        <v>577</v>
      </c>
      <c r="DV878" s="4"/>
      <c r="DW878" s="4"/>
      <c r="DX878" s="4"/>
      <c r="DY878" s="5">
        <v>42328</v>
      </c>
      <c r="DZ878" s="4"/>
      <c r="EA878" s="4"/>
      <c r="EB878" s="4"/>
      <c r="EC878" s="4"/>
      <c r="ED878" s="4"/>
      <c r="EE878" s="5">
        <v>42356</v>
      </c>
      <c r="EF878" s="4"/>
      <c r="EG878" s="5">
        <v>42355</v>
      </c>
      <c r="EH878" s="4"/>
      <c r="EI878" s="5">
        <v>42173</v>
      </c>
    </row>
    <row r="879" spans="1:139" hidden="1" x14ac:dyDescent="0.2">
      <c r="A879">
        <f>VLOOKUP(B879,Sheet1!$A$1:$B$18,2,FALSE)</f>
        <v>0</v>
      </c>
      <c r="B879" t="str">
        <f>LEFT(D879,3)</f>
        <v>CHC</v>
      </c>
      <c r="C879" s="2">
        <v>878</v>
      </c>
      <c r="D879" s="3" t="str">
        <f>HYPERLINK("https://sitebase.nzcomms.co.nz/spm/spmnominalview/CHC-060-154/","CHC-060-154")</f>
        <v>CHC-060-154</v>
      </c>
      <c r="E879" s="4" t="s">
        <v>2778</v>
      </c>
      <c r="F879" s="3" t="str">
        <f>HYPERLINK("https://sitebase.nzcomms.co.nz/spm/spmcandidateview/CHC-060-154-A/","CHC-060-154-A")</f>
        <v>CHC-060-154-A</v>
      </c>
      <c r="G879" s="4" t="s">
        <v>2778</v>
      </c>
      <c r="H879" s="4" t="s">
        <v>2353</v>
      </c>
      <c r="I879" s="4">
        <v>21</v>
      </c>
      <c r="J879" s="4" t="s">
        <v>196</v>
      </c>
      <c r="K879" s="4" t="s">
        <v>141</v>
      </c>
      <c r="L879" s="4"/>
      <c r="M879" s="4"/>
      <c r="N879" s="4" t="s">
        <v>142</v>
      </c>
      <c r="O879" s="4"/>
      <c r="P879" s="4"/>
      <c r="Q879" s="4" t="s">
        <v>142</v>
      </c>
      <c r="R879" s="4">
        <v>45</v>
      </c>
      <c r="S879" s="4">
        <v>40</v>
      </c>
      <c r="T879" s="4"/>
      <c r="U879" s="4">
        <v>-43.464125359999997</v>
      </c>
      <c r="V879" s="4">
        <v>172.46952157000001</v>
      </c>
      <c r="W879" s="4"/>
      <c r="X879" s="4"/>
      <c r="Y879" s="4"/>
      <c r="Z879" s="4"/>
      <c r="AA879" s="4"/>
      <c r="AB879" s="4"/>
      <c r="AC879" s="4" t="b">
        <v>0</v>
      </c>
      <c r="AD879" s="4" t="b">
        <v>0</v>
      </c>
      <c r="AE879" s="4"/>
      <c r="AF879" s="4"/>
      <c r="AG879" s="4" t="b">
        <v>0</v>
      </c>
      <c r="AH879" s="4"/>
      <c r="AI879" s="5">
        <v>42293</v>
      </c>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t="s">
        <v>230</v>
      </c>
      <c r="CR879" s="4"/>
      <c r="CS879" s="4"/>
      <c r="CT879" s="4"/>
      <c r="CU879" s="4"/>
      <c r="CV879" s="4"/>
      <c r="CW879" s="4"/>
      <c r="CX879" s="4"/>
      <c r="CY879" s="4"/>
      <c r="CZ879" s="4"/>
      <c r="DA879" s="4"/>
      <c r="DB879" s="4"/>
      <c r="DC879" s="4"/>
      <c r="DD879" s="4"/>
      <c r="DE879" s="4"/>
      <c r="DF879" s="4"/>
      <c r="DG879" s="4"/>
      <c r="DH879" s="4" t="s">
        <v>174</v>
      </c>
      <c r="DI879" s="4"/>
      <c r="DJ879" s="4" t="b">
        <v>0</v>
      </c>
      <c r="DK879" s="4"/>
      <c r="DL879" s="4">
        <v>2467084</v>
      </c>
      <c r="DM879" s="4">
        <v>5749121</v>
      </c>
      <c r="DN879" s="4" t="s">
        <v>2779</v>
      </c>
      <c r="DO879" s="4"/>
      <c r="DP879" s="4"/>
      <c r="DQ879" s="4"/>
      <c r="DR879" s="4"/>
      <c r="DS879" s="4"/>
      <c r="DT879" s="4"/>
      <c r="DU879" s="4" t="s">
        <v>178</v>
      </c>
      <c r="DV879" s="4"/>
      <c r="DW879" s="4"/>
      <c r="DX879" s="4"/>
      <c r="DY879" s="4"/>
      <c r="DZ879" s="4"/>
      <c r="EA879" s="4"/>
      <c r="EB879" s="4"/>
      <c r="EC879" s="4"/>
      <c r="ED879" s="4"/>
      <c r="EE879" s="4"/>
      <c r="EF879" s="4"/>
      <c r="EG879" s="4"/>
      <c r="EH879" s="4"/>
      <c r="EI879" s="4"/>
    </row>
    <row r="880" spans="1:139" hidden="1" x14ac:dyDescent="0.2">
      <c r="A880">
        <f>VLOOKUP(B880,Sheet1!$A$1:$B$18,2,FALSE)</f>
        <v>0</v>
      </c>
      <c r="B880" t="str">
        <f>LEFT(D880,3)</f>
        <v>CHC</v>
      </c>
      <c r="C880" s="2">
        <v>879</v>
      </c>
      <c r="D880" s="3" t="str">
        <f>HYPERLINK("https://sitebase.nzcomms.co.nz/spm/spmnominalview/CHC-060-155/","CHC-060-155")</f>
        <v>CHC-060-155</v>
      </c>
      <c r="E880" s="4" t="s">
        <v>2780</v>
      </c>
      <c r="F880" s="3" t="str">
        <f>HYPERLINK("https://sitebase.nzcomms.co.nz/spm/spmcandidateview/CHC-060-155-A/","CHC-060-155-A")</f>
        <v>CHC-060-155-A</v>
      </c>
      <c r="G880" s="4" t="s">
        <v>2671</v>
      </c>
      <c r="H880" s="4" t="s">
        <v>2353</v>
      </c>
      <c r="I880" s="4"/>
      <c r="J880" s="4" t="s">
        <v>570</v>
      </c>
      <c r="K880" s="4" t="s">
        <v>141</v>
      </c>
      <c r="L880" s="4" t="s">
        <v>1124</v>
      </c>
      <c r="M880" s="4" t="s">
        <v>2105</v>
      </c>
      <c r="N880" s="4" t="s">
        <v>364</v>
      </c>
      <c r="O880" s="4"/>
      <c r="P880" s="4"/>
      <c r="Q880" s="4" t="s">
        <v>192</v>
      </c>
      <c r="R880" s="4"/>
      <c r="S880" s="4">
        <v>16</v>
      </c>
      <c r="T880" s="4"/>
      <c r="U880" s="4">
        <v>-43.541965040000001</v>
      </c>
      <c r="V880" s="4">
        <v>172.61373603000001</v>
      </c>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5">
        <v>42325</v>
      </c>
      <c r="CL880" s="4"/>
      <c r="CM880" s="4"/>
      <c r="CN880" s="4"/>
      <c r="CO880" s="4"/>
      <c r="CP880" s="4"/>
      <c r="CQ880" s="4"/>
      <c r="CR880" s="4"/>
      <c r="CS880" s="4"/>
      <c r="CT880" s="4"/>
      <c r="CU880" s="4"/>
      <c r="CV880" s="4"/>
      <c r="CW880" s="4"/>
      <c r="CX880" s="4"/>
      <c r="CY880" s="4"/>
      <c r="CZ880" s="4"/>
      <c r="DA880" s="4"/>
      <c r="DB880" s="4"/>
      <c r="DC880" s="4"/>
      <c r="DD880" s="4"/>
      <c r="DE880" s="4"/>
      <c r="DF880" s="4"/>
      <c r="DG880" s="4"/>
      <c r="DH880" s="4" t="s">
        <v>174</v>
      </c>
      <c r="DI880" s="4"/>
      <c r="DJ880" s="4"/>
      <c r="DK880" s="4"/>
      <c r="DL880" s="4">
        <v>2478794</v>
      </c>
      <c r="DM880" s="4">
        <v>5740537</v>
      </c>
      <c r="DN880" s="4" t="s">
        <v>2781</v>
      </c>
      <c r="DO880" s="4"/>
      <c r="DP880" s="4"/>
      <c r="DQ880" s="4" t="s">
        <v>148</v>
      </c>
      <c r="DR880" s="4"/>
      <c r="DS880" s="4"/>
      <c r="DT880" s="4"/>
      <c r="DU880" s="4" t="s">
        <v>1030</v>
      </c>
      <c r="DV880" s="4"/>
      <c r="DW880" s="4"/>
      <c r="DX880" s="4"/>
      <c r="DY880" s="4"/>
      <c r="DZ880" s="4"/>
      <c r="EA880" s="4"/>
      <c r="EB880" s="4"/>
      <c r="EC880" s="4"/>
      <c r="ED880" s="4"/>
      <c r="EE880" s="4"/>
      <c r="EF880" s="4"/>
      <c r="EG880" s="4"/>
      <c r="EH880" s="4"/>
      <c r="EI880" s="4"/>
    </row>
    <row r="881" spans="1:139" hidden="1" x14ac:dyDescent="0.2">
      <c r="A881">
        <f>VLOOKUP(B881,Sheet1!$A$1:$B$18,2,FALSE)</f>
        <v>0</v>
      </c>
      <c r="B881" t="str">
        <f>LEFT(D881,3)</f>
        <v>CHC</v>
      </c>
      <c r="C881" s="2">
        <v>880</v>
      </c>
      <c r="D881" s="3" t="str">
        <f>HYPERLINK("https://sitebase.nzcomms.co.nz/spm/spmnominalview/CHC-060-156/","CHC-060-156")</f>
        <v>CHC-060-156</v>
      </c>
      <c r="E881" s="4" t="s">
        <v>2782</v>
      </c>
      <c r="F881" s="4"/>
      <c r="G881" s="4"/>
      <c r="H881" s="4" t="s">
        <v>2353</v>
      </c>
      <c r="I881" s="4"/>
      <c r="J881" s="4" t="s">
        <v>196</v>
      </c>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row>
    <row r="882" spans="1:139" hidden="1" x14ac:dyDescent="0.2">
      <c r="A882">
        <f>VLOOKUP(B882,Sheet1!$A$1:$B$18,2,FALSE)</f>
        <v>0</v>
      </c>
      <c r="B882" t="str">
        <f>LEFT(D882,3)</f>
        <v>CHC</v>
      </c>
      <c r="C882" s="2">
        <v>881</v>
      </c>
      <c r="D882" s="3" t="str">
        <f>HYPERLINK("https://sitebase.nzcomms.co.nz/spm/spmnominalview/CHC-060-157/","CHC-060-157")</f>
        <v>CHC-060-157</v>
      </c>
      <c r="E882" s="4" t="s">
        <v>2783</v>
      </c>
      <c r="F882" s="4"/>
      <c r="G882" s="4"/>
      <c r="H882" s="4" t="s">
        <v>2353</v>
      </c>
      <c r="I882" s="4"/>
      <c r="J882" s="4" t="s">
        <v>196</v>
      </c>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row>
    <row r="883" spans="1:139" hidden="1" x14ac:dyDescent="0.2">
      <c r="A883">
        <f>VLOOKUP(B883,Sheet1!$A$1:$B$18,2,FALSE)</f>
        <v>0</v>
      </c>
      <c r="B883" t="str">
        <f>LEFT(D883,3)</f>
        <v>CHC</v>
      </c>
      <c r="C883" s="2">
        <v>882</v>
      </c>
      <c r="D883" s="3" t="str">
        <f>HYPERLINK("https://sitebase.nzcomms.co.nz/spm/spmnominalview/CHC-060-158/","CHC-060-158")</f>
        <v>CHC-060-158</v>
      </c>
      <c r="E883" s="4" t="s">
        <v>2784</v>
      </c>
      <c r="F883" s="4"/>
      <c r="G883" s="4"/>
      <c r="H883" s="4" t="s">
        <v>2353</v>
      </c>
      <c r="I883" s="4"/>
      <c r="J883" s="4" t="s">
        <v>196</v>
      </c>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row>
    <row r="884" spans="1:139" hidden="1" x14ac:dyDescent="0.2">
      <c r="A884">
        <f>VLOOKUP(B884,Sheet1!$A$1:$B$18,2,FALSE)</f>
        <v>0</v>
      </c>
      <c r="B884" t="str">
        <f>LEFT(D884,3)</f>
        <v>COB</v>
      </c>
      <c r="C884" s="2">
        <v>883</v>
      </c>
      <c r="D884" s="3" t="str">
        <f>HYPERLINK("https://sitebase.nzcomms.co.nz/spm/spmnominalview/COB-100-001/","COB-100-001")</f>
        <v>COB-100-001</v>
      </c>
      <c r="E884" s="4" t="s">
        <v>2785</v>
      </c>
      <c r="F884" s="3" t="str">
        <f>HYPERLINK("https://sitebase.nzcomms.co.nz/spm/spmcandidateview/COB-100-001-A/","COB-100-001-A")</f>
        <v>COB-100-001-A</v>
      </c>
      <c r="G884" s="4" t="s">
        <v>2786</v>
      </c>
      <c r="H884" s="4" t="s">
        <v>2787</v>
      </c>
      <c r="I884" s="4"/>
      <c r="J884" s="4" t="s">
        <v>2709</v>
      </c>
      <c r="K884" s="4" t="s">
        <v>141</v>
      </c>
      <c r="L884" s="4" t="s">
        <v>150</v>
      </c>
      <c r="M884" s="4" t="s">
        <v>1134</v>
      </c>
      <c r="N884" s="4"/>
      <c r="O884" s="4"/>
      <c r="P884" s="4"/>
      <c r="Q884" s="4"/>
      <c r="R884" s="4"/>
      <c r="S884" s="4"/>
      <c r="T884" s="4"/>
      <c r="U884" s="4">
        <v>-43.533975779999999</v>
      </c>
      <c r="V884" s="4">
        <v>172.62018273999999</v>
      </c>
      <c r="W884" s="4"/>
      <c r="X884" s="4"/>
      <c r="Y884" s="4"/>
      <c r="Z884" s="4"/>
      <c r="AA884" s="4" t="s">
        <v>145</v>
      </c>
      <c r="AB884" s="3" t="str">
        <f>HYPERLINK("https://sitebase.nzcomms.co.nz/spm/spmcandidateview/CHC-060-132-A/","CHC-060-132-A")</f>
        <v>CHC-060-132-A</v>
      </c>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v>2479311</v>
      </c>
      <c r="DM884" s="4">
        <v>5741427</v>
      </c>
      <c r="DN884" s="4"/>
      <c r="DO884" s="4"/>
      <c r="DP884" s="4"/>
      <c r="DQ884" s="4" t="s">
        <v>148</v>
      </c>
      <c r="DR884" s="4"/>
      <c r="DS884" s="4"/>
      <c r="DT884" s="4"/>
      <c r="DU884" s="4"/>
      <c r="DV884" s="4"/>
      <c r="DW884" s="4"/>
      <c r="DX884" s="4"/>
      <c r="DY884" s="4"/>
      <c r="DZ884" s="4"/>
      <c r="EA884" s="4"/>
      <c r="EB884" s="4"/>
      <c r="EC884" s="4"/>
      <c r="ED884" s="4"/>
      <c r="EE884" s="4"/>
      <c r="EF884" s="4"/>
      <c r="EG884" s="4"/>
      <c r="EH884" s="4"/>
      <c r="EI884" s="4"/>
    </row>
    <row r="885" spans="1:139" hidden="1" x14ac:dyDescent="0.2">
      <c r="A885">
        <f>VLOOKUP(B885,Sheet1!$A$1:$B$18,2,FALSE)</f>
        <v>0</v>
      </c>
      <c r="B885" t="str">
        <f>LEFT(D885,3)</f>
        <v>COB</v>
      </c>
      <c r="C885" s="2">
        <v>884</v>
      </c>
      <c r="D885" s="3" t="str">
        <f>HYPERLINK("https://sitebase.nzcomms.co.nz/spm/spmnominalview/COB-100-002/","COB-100-002")</f>
        <v>COB-100-002</v>
      </c>
      <c r="E885" s="4" t="s">
        <v>2788</v>
      </c>
      <c r="F885" s="4"/>
      <c r="G885" s="4"/>
      <c r="H885" s="4" t="s">
        <v>2787</v>
      </c>
      <c r="I885" s="4"/>
      <c r="J885" s="4" t="s">
        <v>2709</v>
      </c>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row>
    <row r="886" spans="1:139" hidden="1" x14ac:dyDescent="0.2">
      <c r="A886">
        <f>VLOOKUP(B886,Sheet1!$A$1:$B$18,2,FALSE)</f>
        <v>0</v>
      </c>
      <c r="B886" t="str">
        <f>LEFT(D886,3)</f>
        <v>COW</v>
      </c>
      <c r="C886" s="2">
        <v>885</v>
      </c>
      <c r="D886" s="3" t="str">
        <f>HYPERLINK("https://sitebase.nzcomms.co.nz/spm/spmnominalview/COW-000-001/","COW-000-001")</f>
        <v>COW-000-001</v>
      </c>
      <c r="E886" s="4" t="s">
        <v>2789</v>
      </c>
      <c r="F886" s="3" t="str">
        <f>HYPERLINK("https://sitebase.nzcomms.co.nz/spm/spmcandidateview/COW-000-001-N/","COW-000-001-N")</f>
        <v>COW-000-001-N</v>
      </c>
      <c r="G886" s="4" t="s">
        <v>2790</v>
      </c>
      <c r="H886" s="4" t="s">
        <v>2791</v>
      </c>
      <c r="I886" s="4">
        <v>9</v>
      </c>
      <c r="J886" s="4" t="s">
        <v>2709</v>
      </c>
      <c r="K886" s="4" t="s">
        <v>141</v>
      </c>
      <c r="L886" s="4" t="s">
        <v>325</v>
      </c>
      <c r="M886" s="4" t="s">
        <v>190</v>
      </c>
      <c r="N886" s="4"/>
      <c r="O886" s="4"/>
      <c r="P886" s="4"/>
      <c r="Q886" s="4"/>
      <c r="R886" s="4"/>
      <c r="S886" s="4"/>
      <c r="T886" s="4"/>
      <c r="U886" s="4">
        <v>-44.694843470000002</v>
      </c>
      <c r="V886" s="4">
        <v>169.139184</v>
      </c>
      <c r="W886" s="4"/>
      <c r="X886" s="4"/>
      <c r="Y886" s="4"/>
      <c r="Z886" s="4"/>
      <c r="AA886" s="4"/>
      <c r="AB886" s="4"/>
      <c r="AC886" s="4" t="b">
        <v>0</v>
      </c>
      <c r="AD886" s="4" t="b">
        <v>0</v>
      </c>
      <c r="AE886" s="4"/>
      <c r="AF886" s="4"/>
      <c r="AG886" s="4" t="b">
        <v>0</v>
      </c>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t="s">
        <v>2792</v>
      </c>
      <c r="CQ886" s="4"/>
      <c r="CR886" s="4"/>
      <c r="CS886" s="4"/>
      <c r="CT886" s="4"/>
      <c r="CU886" s="4"/>
      <c r="CV886" s="4"/>
      <c r="CW886" s="4"/>
      <c r="CX886" s="4"/>
      <c r="CY886" s="4"/>
      <c r="CZ886" s="4"/>
      <c r="DA886" s="4"/>
      <c r="DB886" s="4"/>
      <c r="DC886" s="4"/>
      <c r="DD886" s="4"/>
      <c r="DE886" s="4"/>
      <c r="DF886" s="4"/>
      <c r="DG886" s="4"/>
      <c r="DH886" s="4" t="s">
        <v>174</v>
      </c>
      <c r="DI886" s="4"/>
      <c r="DJ886" s="4" t="b">
        <v>0</v>
      </c>
      <c r="DK886" s="4"/>
      <c r="DL886" s="4">
        <v>2204075</v>
      </c>
      <c r="DM886" s="4">
        <v>5605410</v>
      </c>
      <c r="DN886" s="4" t="s">
        <v>2793</v>
      </c>
      <c r="DO886" s="4"/>
      <c r="DP886" s="4"/>
      <c r="DQ886" s="4" t="s">
        <v>148</v>
      </c>
      <c r="DR886" s="4"/>
      <c r="DS886" s="4"/>
      <c r="DT886" s="4"/>
      <c r="DU886" s="4" t="s">
        <v>178</v>
      </c>
      <c r="DV886" s="4"/>
      <c r="DW886" s="4"/>
      <c r="DX886" s="4"/>
      <c r="DY886" s="4"/>
      <c r="DZ886" s="4"/>
      <c r="EA886" s="4"/>
      <c r="EB886" s="4"/>
      <c r="EC886" s="4"/>
      <c r="ED886" s="4"/>
      <c r="EE886" s="4"/>
      <c r="EF886" s="4"/>
      <c r="EG886" s="4"/>
      <c r="EH886" s="4"/>
      <c r="EI886" s="4"/>
    </row>
    <row r="887" spans="1:139" hidden="1" x14ac:dyDescent="0.2">
      <c r="A887">
        <f>VLOOKUP(B887,Sheet1!$A$1:$B$18,2,FALSE)</f>
        <v>0</v>
      </c>
      <c r="B887" t="str">
        <f>LEFT(D887,3)</f>
        <v>COW</v>
      </c>
      <c r="C887" s="2">
        <v>886</v>
      </c>
      <c r="D887" s="3" t="str">
        <f>HYPERLINK("https://sitebase.nzcomms.co.nz/spm/spmnominalview/COW-000-002/","COW-000-002")</f>
        <v>COW-000-002</v>
      </c>
      <c r="E887" s="4" t="s">
        <v>2794</v>
      </c>
      <c r="F887" s="3" t="str">
        <f>HYPERLINK("https://sitebase.nzcomms.co.nz/spm/spmcandidateview/COW-000-002-L/","COW-000-002-L")</f>
        <v>COW-000-002-L</v>
      </c>
      <c r="G887" s="4" t="s">
        <v>2795</v>
      </c>
      <c r="H887" s="4" t="s">
        <v>2791</v>
      </c>
      <c r="I887" s="4">
        <v>9</v>
      </c>
      <c r="J887" s="4" t="s">
        <v>2709</v>
      </c>
      <c r="K887" s="4" t="s">
        <v>141</v>
      </c>
      <c r="L887" s="4" t="s">
        <v>325</v>
      </c>
      <c r="M887" s="4" t="s">
        <v>190</v>
      </c>
      <c r="N887" s="4"/>
      <c r="O887" s="4"/>
      <c r="P887" s="4"/>
      <c r="Q887" s="4" t="s">
        <v>170</v>
      </c>
      <c r="R887" s="4">
        <v>10</v>
      </c>
      <c r="S887" s="4">
        <v>12</v>
      </c>
      <c r="T887" s="4"/>
      <c r="U887" s="4">
        <v>-39.754252489999999</v>
      </c>
      <c r="V887" s="4">
        <v>174.65226564</v>
      </c>
      <c r="W887" s="4"/>
      <c r="X887" s="4"/>
      <c r="Y887" s="4"/>
      <c r="Z887" s="4"/>
      <c r="AA887" s="4"/>
      <c r="AB887" s="4"/>
      <c r="AC887" s="4" t="b">
        <v>0</v>
      </c>
      <c r="AD887" s="4" t="b">
        <v>0</v>
      </c>
      <c r="AE887" s="4"/>
      <c r="AF887" s="4"/>
      <c r="AG887" s="4" t="b">
        <v>0</v>
      </c>
      <c r="AH887" s="4"/>
      <c r="AI887" s="5">
        <v>42195</v>
      </c>
      <c r="AJ887" s="5">
        <v>42195</v>
      </c>
      <c r="AK887" s="4"/>
      <c r="AL887" s="4"/>
      <c r="AM887" s="4"/>
      <c r="AN887" s="4"/>
      <c r="AO887" s="4"/>
      <c r="AP887" s="4"/>
      <c r="AQ887" s="4"/>
      <c r="AR887" s="5">
        <v>42202</v>
      </c>
      <c r="AS887" s="5">
        <v>42208</v>
      </c>
      <c r="AT887" s="5">
        <v>42209</v>
      </c>
      <c r="AU887" s="5">
        <v>42208</v>
      </c>
      <c r="AV887" s="4"/>
      <c r="AW887" s="5">
        <v>42209</v>
      </c>
      <c r="AX887" s="5">
        <v>42208</v>
      </c>
      <c r="AY887" s="4" t="s">
        <v>172</v>
      </c>
      <c r="AZ887" s="5">
        <v>42206</v>
      </c>
      <c r="BA887" s="4"/>
      <c r="BB887" s="5">
        <v>42206</v>
      </c>
      <c r="BC887" s="4"/>
      <c r="BD887" s="4"/>
      <c r="BE887" s="5">
        <v>42206</v>
      </c>
      <c r="BF887" s="5">
        <v>42206</v>
      </c>
      <c r="BG887" s="5">
        <v>42202</v>
      </c>
      <c r="BH887" s="5">
        <v>42202</v>
      </c>
      <c r="BI887" s="5">
        <v>42202</v>
      </c>
      <c r="BJ887" s="4"/>
      <c r="BK887" s="4"/>
      <c r="BL887" s="4"/>
      <c r="BM887" s="5">
        <v>42202</v>
      </c>
      <c r="BN887" s="4"/>
      <c r="BO887" s="4"/>
      <c r="BP887" s="4"/>
      <c r="BQ887" s="4"/>
      <c r="BR887" s="4"/>
      <c r="BS887" s="4"/>
      <c r="BT887" s="5">
        <v>42233</v>
      </c>
      <c r="BU887" s="4"/>
      <c r="BV887" s="5">
        <v>42236</v>
      </c>
      <c r="BW887" s="4"/>
      <c r="BX887" s="4"/>
      <c r="BY887" s="5">
        <v>42236</v>
      </c>
      <c r="BZ887" s="4"/>
      <c r="CA887" s="5">
        <v>42235</v>
      </c>
      <c r="CB887" s="4"/>
      <c r="CC887" s="5">
        <v>42214</v>
      </c>
      <c r="CD887" s="5">
        <v>42223</v>
      </c>
      <c r="CE887" s="5">
        <v>42226</v>
      </c>
      <c r="CF887" s="5">
        <v>42226</v>
      </c>
      <c r="CG887" s="5">
        <v>42223</v>
      </c>
      <c r="CH887" s="5">
        <v>42219</v>
      </c>
      <c r="CI887" s="4"/>
      <c r="CJ887" s="5">
        <v>42242</v>
      </c>
      <c r="CK887" s="5">
        <v>42335</v>
      </c>
      <c r="CL887" s="4"/>
      <c r="CM887" s="4"/>
      <c r="CN887" s="4"/>
      <c r="CO887" s="4"/>
      <c r="CP887" s="4" t="s">
        <v>2796</v>
      </c>
      <c r="CQ887" s="4"/>
      <c r="CR887" s="4"/>
      <c r="CS887" s="4"/>
      <c r="CT887" s="4"/>
      <c r="CU887" s="4"/>
      <c r="CV887" s="4"/>
      <c r="CW887" s="4"/>
      <c r="CX887" s="4"/>
      <c r="CY887" s="4"/>
      <c r="CZ887" s="4"/>
      <c r="DA887" s="5">
        <v>42237</v>
      </c>
      <c r="DB887" s="4"/>
      <c r="DC887" s="4"/>
      <c r="DD887" s="4"/>
      <c r="DE887" s="4"/>
      <c r="DF887" s="5">
        <v>42235</v>
      </c>
      <c r="DG887" s="4"/>
      <c r="DH887" s="4"/>
      <c r="DI887" s="5">
        <v>42233</v>
      </c>
      <c r="DJ887" s="4" t="b">
        <v>0</v>
      </c>
      <c r="DK887" s="4"/>
      <c r="DL887" s="4">
        <v>2651588</v>
      </c>
      <c r="DM887" s="4">
        <v>6159929</v>
      </c>
      <c r="DN887" s="4" t="s">
        <v>2797</v>
      </c>
      <c r="DO887" s="4"/>
      <c r="DP887" s="4"/>
      <c r="DQ887" s="4" t="s">
        <v>148</v>
      </c>
      <c r="DR887" s="4"/>
      <c r="DS887" s="4"/>
      <c r="DT887" s="4"/>
      <c r="DU887" s="4"/>
      <c r="DV887" s="4"/>
      <c r="DW887" s="4"/>
      <c r="DX887" s="4"/>
      <c r="DY887" s="4"/>
      <c r="DZ887" s="4"/>
      <c r="EA887" s="5">
        <v>42181</v>
      </c>
      <c r="EB887" s="5">
        <v>42181</v>
      </c>
      <c r="EC887" s="5">
        <v>42202</v>
      </c>
      <c r="ED887" s="5">
        <v>42202</v>
      </c>
      <c r="EE887" s="4"/>
      <c r="EF887" s="4"/>
      <c r="EG887" s="4"/>
      <c r="EH887" s="4"/>
      <c r="EI887" s="5">
        <v>42205</v>
      </c>
    </row>
    <row r="888" spans="1:139" hidden="1" x14ac:dyDescent="0.2">
      <c r="A888">
        <f>VLOOKUP(B888,Sheet1!$A$1:$B$18,2,FALSE)</f>
        <v>0</v>
      </c>
      <c r="B888" t="str">
        <f>LEFT(D888,3)</f>
        <v>COW</v>
      </c>
      <c r="C888" s="2">
        <v>887</v>
      </c>
      <c r="D888" s="3" t="str">
        <f>HYPERLINK("https://sitebase.nzcomms.co.nz/spm/spmnominalview/COW-000-003/","COW-000-003")</f>
        <v>COW-000-003</v>
      </c>
      <c r="E888" s="4" t="s">
        <v>2798</v>
      </c>
      <c r="F888" s="3" t="str">
        <f>HYPERLINK("https://sitebase.nzcomms.co.nz/spm/spmcandidateview/COW-000-003-E/","COW-000-003-E")</f>
        <v>COW-000-003-E</v>
      </c>
      <c r="G888" s="4" t="s">
        <v>2799</v>
      </c>
      <c r="H888" s="4" t="s">
        <v>2791</v>
      </c>
      <c r="I888" s="4">
        <v>9</v>
      </c>
      <c r="J888" s="4" t="s">
        <v>2709</v>
      </c>
      <c r="K888" s="4" t="s">
        <v>141</v>
      </c>
      <c r="L888" s="4" t="s">
        <v>325</v>
      </c>
      <c r="M888" s="4" t="s">
        <v>1134</v>
      </c>
      <c r="N888" s="4"/>
      <c r="O888" s="4"/>
      <c r="P888" s="4" t="s">
        <v>2800</v>
      </c>
      <c r="Q888" s="4" t="s">
        <v>170</v>
      </c>
      <c r="R888" s="4">
        <v>13.2</v>
      </c>
      <c r="S888" s="4">
        <v>13.2</v>
      </c>
      <c r="T888" s="4"/>
      <c r="U888" s="4">
        <v>-45.059758299999999</v>
      </c>
      <c r="V888" s="4">
        <v>169.20553758</v>
      </c>
      <c r="W888" s="4"/>
      <c r="X888" s="4"/>
      <c r="Y888" s="4"/>
      <c r="Z888" s="4"/>
      <c r="AA888" s="4"/>
      <c r="AB888" s="4"/>
      <c r="AC888" s="4" t="b">
        <v>0</v>
      </c>
      <c r="AD888" s="4" t="b">
        <v>0</v>
      </c>
      <c r="AE888" s="4"/>
      <c r="AF888" s="4"/>
      <c r="AG888" s="4" t="b">
        <v>0</v>
      </c>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5">
        <v>40969</v>
      </c>
      <c r="CL888" s="4"/>
      <c r="CM888" s="4"/>
      <c r="CN888" s="4"/>
      <c r="CO888" s="4"/>
      <c r="CP888" s="4"/>
      <c r="CQ888" s="4"/>
      <c r="CR888" s="4"/>
      <c r="CS888" s="4"/>
      <c r="CT888" s="4"/>
      <c r="CU888" s="4"/>
      <c r="CV888" s="4"/>
      <c r="CW888" s="4"/>
      <c r="CX888" s="4"/>
      <c r="CY888" s="4"/>
      <c r="CZ888" s="4"/>
      <c r="DA888" s="4"/>
      <c r="DB888" s="4"/>
      <c r="DC888" s="4"/>
      <c r="DD888" s="4"/>
      <c r="DE888" s="4"/>
      <c r="DF888" s="4"/>
      <c r="DG888" s="4"/>
      <c r="DH888" s="4" t="s">
        <v>174</v>
      </c>
      <c r="DI888" s="4"/>
      <c r="DJ888" s="4"/>
      <c r="DK888" s="4"/>
      <c r="DL888" s="4">
        <v>2211191</v>
      </c>
      <c r="DM888" s="4">
        <v>5565148</v>
      </c>
      <c r="DN888" s="4" t="s">
        <v>2801</v>
      </c>
      <c r="DO888" s="4"/>
      <c r="DP888" s="4"/>
      <c r="DQ888" s="4" t="s">
        <v>148</v>
      </c>
      <c r="DR888" s="4"/>
      <c r="DS888" s="4"/>
      <c r="DT888" s="4"/>
      <c r="DU888" s="4"/>
      <c r="DV888" s="4"/>
      <c r="DW888" s="4"/>
      <c r="DX888" s="4"/>
      <c r="DY888" s="4"/>
      <c r="DZ888" s="4"/>
      <c r="EA888" s="4"/>
      <c r="EB888" s="4"/>
      <c r="EC888" s="4"/>
      <c r="ED888" s="4"/>
      <c r="EE888" s="4"/>
      <c r="EF888" s="4"/>
      <c r="EG888" s="4"/>
      <c r="EH888" s="4"/>
      <c r="EI888" s="4"/>
    </row>
    <row r="889" spans="1:139" hidden="1" x14ac:dyDescent="0.2">
      <c r="A889">
        <f>VLOOKUP(B889,Sheet1!$A$1:$B$18,2,FALSE)</f>
        <v>0</v>
      </c>
      <c r="B889" t="str">
        <f>LEFT(D889,3)</f>
        <v>COW</v>
      </c>
      <c r="C889" s="2">
        <v>888</v>
      </c>
      <c r="D889" s="3" t="str">
        <f>HYPERLINK("https://sitebase.nzcomms.co.nz/spm/spmnominalview/COW-000-004/","COW-000-004")</f>
        <v>COW-000-004</v>
      </c>
      <c r="E889" s="4" t="s">
        <v>2802</v>
      </c>
      <c r="F889" s="3" t="str">
        <f>HYPERLINK("https://sitebase.nzcomms.co.nz/spm/spmcandidateview/COW-000-004-Y/","COW-000-004-Y")</f>
        <v>COW-000-004-Y</v>
      </c>
      <c r="G889" s="4" t="s">
        <v>2803</v>
      </c>
      <c r="H889" s="4" t="s">
        <v>2791</v>
      </c>
      <c r="I889" s="4">
        <v>9</v>
      </c>
      <c r="J889" s="4" t="s">
        <v>317</v>
      </c>
      <c r="K889" s="4" t="s">
        <v>141</v>
      </c>
      <c r="L889" s="4"/>
      <c r="M889" s="4"/>
      <c r="N889" s="4"/>
      <c r="O889" s="4"/>
      <c r="P889" s="4"/>
      <c r="Q889" s="4"/>
      <c r="R889" s="4"/>
      <c r="S889" s="4"/>
      <c r="T889" s="4"/>
      <c r="U889" s="4"/>
      <c r="V889" s="4"/>
      <c r="W889" s="4"/>
      <c r="X889" s="4"/>
      <c r="Y889" s="4"/>
      <c r="Z889" s="4"/>
      <c r="AA889" s="4"/>
      <c r="AB889" s="4"/>
      <c r="AC889" s="4" t="b">
        <v>0</v>
      </c>
      <c r="AD889" s="4" t="b">
        <v>0</v>
      </c>
      <c r="AE889" s="4"/>
      <c r="AF889" s="4"/>
      <c r="AG889" s="4" t="b">
        <v>0</v>
      </c>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5">
        <v>42412</v>
      </c>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t="b">
        <v>0</v>
      </c>
      <c r="DK889" s="4"/>
      <c r="DL889" s="4"/>
      <c r="DM889" s="4"/>
      <c r="DN889" s="4" t="s">
        <v>2804</v>
      </c>
      <c r="DO889" s="4"/>
      <c r="DP889" s="4"/>
      <c r="DQ889" s="4"/>
      <c r="DR889" s="4"/>
      <c r="DS889" s="4"/>
      <c r="DT889" s="4"/>
      <c r="DU889" s="4"/>
      <c r="DV889" s="4"/>
      <c r="DW889" s="4"/>
      <c r="DX889" s="4"/>
      <c r="DY889" s="4"/>
      <c r="DZ889" s="4"/>
      <c r="EA889" s="4"/>
      <c r="EB889" s="4"/>
      <c r="EC889" s="4"/>
      <c r="ED889" s="4"/>
      <c r="EE889" s="4"/>
      <c r="EF889" s="4"/>
      <c r="EG889" s="4"/>
      <c r="EH889" s="4"/>
      <c r="EI889" s="4"/>
    </row>
    <row r="890" spans="1:139" hidden="1" x14ac:dyDescent="0.2">
      <c r="A890">
        <f>VLOOKUP(B890,Sheet1!$A$1:$B$18,2,FALSE)</f>
        <v>0</v>
      </c>
      <c r="B890" t="str">
        <f>LEFT(D890,3)</f>
        <v>COW</v>
      </c>
      <c r="C890" s="2">
        <v>889</v>
      </c>
      <c r="D890" s="3" t="str">
        <f>HYPERLINK("https://sitebase.nzcomms.co.nz/spm/spmnominalview/COW-000-005/","COW-000-005")</f>
        <v>COW-000-005</v>
      </c>
      <c r="E890" s="4" t="s">
        <v>2805</v>
      </c>
      <c r="F890" s="4"/>
      <c r="G890" s="4"/>
      <c r="H890" s="4" t="s">
        <v>2791</v>
      </c>
      <c r="I890" s="4">
        <v>9</v>
      </c>
      <c r="J890" s="4" t="s">
        <v>2709</v>
      </c>
      <c r="K890" s="4"/>
      <c r="L890" s="4"/>
      <c r="M890" s="4"/>
      <c r="N890" s="4"/>
      <c r="O890" s="4"/>
      <c r="P890" s="4"/>
      <c r="Q890" s="4"/>
      <c r="R890" s="4"/>
      <c r="S890" s="4"/>
      <c r="T890" s="4"/>
      <c r="U890" s="4"/>
      <c r="V890" s="4"/>
      <c r="W890" s="4"/>
      <c r="X890" s="4"/>
      <c r="Y890" s="4"/>
      <c r="Z890" s="4"/>
      <c r="AA890" s="4"/>
      <c r="AB890" s="4"/>
      <c r="AC890" s="4"/>
      <c r="AD890" s="4"/>
      <c r="AE890" s="4"/>
      <c r="AF890" s="4"/>
      <c r="AG890" s="4" t="b">
        <v>0</v>
      </c>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row>
    <row r="891" spans="1:139" hidden="1" x14ac:dyDescent="0.2">
      <c r="A891">
        <f>VLOOKUP(B891,Sheet1!$A$1:$B$18,2,FALSE)</f>
        <v>0</v>
      </c>
      <c r="B891" t="str">
        <f>LEFT(D891,3)</f>
        <v>COW</v>
      </c>
      <c r="C891" s="2">
        <v>890</v>
      </c>
      <c r="D891" s="3" t="str">
        <f>HYPERLINK("https://sitebase.nzcomms.co.nz/spm/spmnominalview/COW-000-006/","COW-000-006")</f>
        <v>COW-000-006</v>
      </c>
      <c r="E891" s="4" t="s">
        <v>2806</v>
      </c>
      <c r="F891" s="3" t="str">
        <f>HYPERLINK("https://sitebase.nzcomms.co.nz/spm/spmcandidateview/COW-000-006-A/","COW-000-006-A")</f>
        <v>COW-000-006-A</v>
      </c>
      <c r="G891" s="4" t="s">
        <v>2807</v>
      </c>
      <c r="H891" s="4" t="s">
        <v>2791</v>
      </c>
      <c r="I891" s="4">
        <v>9</v>
      </c>
      <c r="J891" s="4" t="s">
        <v>2709</v>
      </c>
      <c r="K891" s="4" t="s">
        <v>141</v>
      </c>
      <c r="L891" s="4" t="s">
        <v>325</v>
      </c>
      <c r="M891" s="4" t="s">
        <v>1134</v>
      </c>
      <c r="N891" s="4"/>
      <c r="O891" s="4"/>
      <c r="P891" s="4"/>
      <c r="Q891" s="4" t="s">
        <v>142</v>
      </c>
      <c r="R891" s="4">
        <v>12</v>
      </c>
      <c r="S891" s="4">
        <v>12</v>
      </c>
      <c r="T891" s="4"/>
      <c r="U891" s="4">
        <v>-41.507211140000003</v>
      </c>
      <c r="V891" s="4">
        <v>173.82752533999999</v>
      </c>
      <c r="W891" s="4"/>
      <c r="X891" s="4"/>
      <c r="Y891" s="4"/>
      <c r="Z891" s="4"/>
      <c r="AA891" s="4"/>
      <c r="AB891" s="4"/>
      <c r="AC891" s="4" t="b">
        <v>0</v>
      </c>
      <c r="AD891" s="4" t="b">
        <v>0</v>
      </c>
      <c r="AE891" s="4"/>
      <c r="AF891" s="4"/>
      <c r="AG891" s="4" t="b">
        <v>0</v>
      </c>
      <c r="AH891" s="4"/>
      <c r="AI891" s="5">
        <v>40857</v>
      </c>
      <c r="AJ891" s="5">
        <v>40857</v>
      </c>
      <c r="AK891" s="4"/>
      <c r="AL891" s="4"/>
      <c r="AM891" s="4"/>
      <c r="AN891" s="5">
        <v>40870</v>
      </c>
      <c r="AO891" s="4">
        <v>1</v>
      </c>
      <c r="AP891" s="5">
        <v>40875</v>
      </c>
      <c r="AQ891" s="5">
        <v>40870</v>
      </c>
      <c r="AR891" s="4"/>
      <c r="AS891" s="5">
        <v>40928</v>
      </c>
      <c r="AT891" s="4"/>
      <c r="AU891" s="4"/>
      <c r="AV891" s="4"/>
      <c r="AW891" s="4"/>
      <c r="AX891" s="5">
        <v>40939</v>
      </c>
      <c r="AY891" s="4" t="s">
        <v>172</v>
      </c>
      <c r="AZ891" s="4"/>
      <c r="BA891" s="5">
        <v>40973</v>
      </c>
      <c r="BB891" s="5">
        <v>40999</v>
      </c>
      <c r="BC891" s="5">
        <v>40982</v>
      </c>
      <c r="BD891" s="4">
        <v>1</v>
      </c>
      <c r="BE891" s="4"/>
      <c r="BF891" s="5">
        <v>40982</v>
      </c>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5">
        <v>40977</v>
      </c>
      <c r="CK891" s="5">
        <v>40977</v>
      </c>
      <c r="CL891" s="4"/>
      <c r="CM891" s="4"/>
      <c r="CN891" s="4"/>
      <c r="CO891" s="4"/>
      <c r="CP891" s="4" t="s">
        <v>2808</v>
      </c>
      <c r="CQ891" s="4" t="s">
        <v>205</v>
      </c>
      <c r="CR891" s="4"/>
      <c r="CS891" s="4"/>
      <c r="CT891" s="4"/>
      <c r="CU891" s="4"/>
      <c r="CV891" s="4"/>
      <c r="CW891" s="4"/>
      <c r="CX891" s="4"/>
      <c r="CY891" s="4"/>
      <c r="CZ891" s="4"/>
      <c r="DA891" s="4"/>
      <c r="DB891" s="4"/>
      <c r="DC891" s="4"/>
      <c r="DD891" s="4" t="s">
        <v>206</v>
      </c>
      <c r="DE891" s="4"/>
      <c r="DF891" s="4"/>
      <c r="DG891" s="4"/>
      <c r="DH891" s="4"/>
      <c r="DI891" s="4"/>
      <c r="DJ891" s="4" t="b">
        <v>0</v>
      </c>
      <c r="DK891" s="4"/>
      <c r="DL891" s="4">
        <v>2579070</v>
      </c>
      <c r="DM891" s="4">
        <v>5966304</v>
      </c>
      <c r="DN891" s="4" t="s">
        <v>2809</v>
      </c>
      <c r="DO891" s="4"/>
      <c r="DP891" s="4"/>
      <c r="DQ891" s="4" t="s">
        <v>148</v>
      </c>
      <c r="DR891" s="4"/>
      <c r="DS891" s="4"/>
      <c r="DT891" s="4"/>
      <c r="DU891" s="4"/>
      <c r="DV891" s="4"/>
      <c r="DW891" s="4"/>
      <c r="DX891" s="4"/>
      <c r="DY891" s="4"/>
      <c r="DZ891" s="4"/>
      <c r="EA891" s="4"/>
      <c r="EB891" s="4"/>
      <c r="EC891" s="4"/>
      <c r="ED891" s="4"/>
      <c r="EE891" s="4"/>
      <c r="EF891" s="4"/>
      <c r="EG891" s="4"/>
      <c r="EH891" s="4"/>
      <c r="EI891" s="4"/>
    </row>
    <row r="892" spans="1:139" hidden="1" x14ac:dyDescent="0.2">
      <c r="A892">
        <f>VLOOKUP(B892,Sheet1!$A$1:$B$18,2,FALSE)</f>
        <v>0</v>
      </c>
      <c r="B892" t="str">
        <f>LEFT(D892,3)</f>
        <v>COW</v>
      </c>
      <c r="C892" s="2">
        <v>891</v>
      </c>
      <c r="D892" s="3" t="str">
        <f>HYPERLINK("https://sitebase.nzcomms.co.nz/spm/spmnominalview/COW-000-007/","COW-000-007")</f>
        <v>COW-000-007</v>
      </c>
      <c r="E892" s="4" t="s">
        <v>2810</v>
      </c>
      <c r="F892" s="3" t="str">
        <f>HYPERLINK("https://sitebase.nzcomms.co.nz/spm/spmcandidateview/COW-000-007-H/","COW-000-007-H")</f>
        <v>COW-000-007-H</v>
      </c>
      <c r="G892" s="4" t="s">
        <v>2811</v>
      </c>
      <c r="H892" s="4" t="s">
        <v>2791</v>
      </c>
      <c r="I892" s="4">
        <v>9</v>
      </c>
      <c r="J892" s="4" t="s">
        <v>2709</v>
      </c>
      <c r="K892" s="4" t="s">
        <v>141</v>
      </c>
      <c r="L892" s="4" t="s">
        <v>325</v>
      </c>
      <c r="M892" s="4" t="s">
        <v>1134</v>
      </c>
      <c r="N892" s="4"/>
      <c r="O892" s="4"/>
      <c r="P892" s="4"/>
      <c r="Q892" s="4" t="s">
        <v>170</v>
      </c>
      <c r="R892" s="4">
        <v>12.5</v>
      </c>
      <c r="S892" s="4"/>
      <c r="T892" s="4"/>
      <c r="U892" s="4">
        <v>-37.661738409999998</v>
      </c>
      <c r="V892" s="4">
        <v>175.13949951999999</v>
      </c>
      <c r="W892" s="4"/>
      <c r="X892" s="4"/>
      <c r="Y892" s="4"/>
      <c r="Z892" s="4"/>
      <c r="AA892" s="4"/>
      <c r="AB892" s="4"/>
      <c r="AC892" s="4" t="b">
        <v>0</v>
      </c>
      <c r="AD892" s="4" t="b">
        <v>0</v>
      </c>
      <c r="AE892" s="4"/>
      <c r="AF892" s="4"/>
      <c r="AG892" s="4" t="b">
        <v>0</v>
      </c>
      <c r="AH892" s="4"/>
      <c r="AI892" s="4"/>
      <c r="AJ892" s="4"/>
      <c r="AK892" s="4"/>
      <c r="AL892" s="4"/>
      <c r="AM892" s="4"/>
      <c r="AN892" s="5">
        <v>42103</v>
      </c>
      <c r="AO892" s="4">
        <v>1</v>
      </c>
      <c r="AP892" s="4"/>
      <c r="AQ892" s="5">
        <v>42103</v>
      </c>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5">
        <v>42212</v>
      </c>
      <c r="CK892" s="5">
        <v>42212</v>
      </c>
      <c r="CL892" s="4"/>
      <c r="CM892" s="4"/>
      <c r="CN892" s="4"/>
      <c r="CO892" s="4"/>
      <c r="CP892" s="4" t="s">
        <v>2812</v>
      </c>
      <c r="CQ892" s="4"/>
      <c r="CR892" s="4"/>
      <c r="CS892" s="4"/>
      <c r="CT892" s="4"/>
      <c r="CU892" s="4"/>
      <c r="CV892" s="4"/>
      <c r="CW892" s="4"/>
      <c r="CX892" s="4"/>
      <c r="CY892" s="4"/>
      <c r="CZ892" s="4"/>
      <c r="DA892" s="4"/>
      <c r="DB892" s="4"/>
      <c r="DC892" s="4"/>
      <c r="DD892" s="4"/>
      <c r="DE892" s="4"/>
      <c r="DF892" s="4"/>
      <c r="DG892" s="4"/>
      <c r="DH892" s="4" t="s">
        <v>174</v>
      </c>
      <c r="DI892" s="4"/>
      <c r="DJ892" s="4" t="b">
        <v>0</v>
      </c>
      <c r="DK892" s="4"/>
      <c r="DL892" s="4">
        <v>2698982</v>
      </c>
      <c r="DM892" s="4">
        <v>6391206</v>
      </c>
      <c r="DN892" s="4" t="s">
        <v>2813</v>
      </c>
      <c r="DO892" s="4"/>
      <c r="DP892" s="4"/>
      <c r="DQ892" s="4" t="s">
        <v>148</v>
      </c>
      <c r="DR892" s="4"/>
      <c r="DS892" s="4"/>
      <c r="DT892" s="4"/>
      <c r="DU892" s="4"/>
      <c r="DV892" s="4"/>
      <c r="DW892" s="4"/>
      <c r="DX892" s="4"/>
      <c r="DY892" s="4"/>
      <c r="DZ892" s="4"/>
      <c r="EA892" s="4"/>
      <c r="EB892" s="4"/>
      <c r="EC892" s="4"/>
      <c r="ED892" s="4"/>
      <c r="EE892" s="4"/>
      <c r="EF892" s="4"/>
      <c r="EG892" s="4"/>
      <c r="EH892" s="4"/>
      <c r="EI892" s="4"/>
    </row>
    <row r="893" spans="1:139" hidden="1" x14ac:dyDescent="0.2">
      <c r="A893">
        <f>VLOOKUP(B893,Sheet1!$A$1:$B$18,2,FALSE)</f>
        <v>0</v>
      </c>
      <c r="B893" t="str">
        <f>LEFT(D893,3)</f>
        <v>COW</v>
      </c>
      <c r="C893" s="2">
        <v>892</v>
      </c>
      <c r="D893" s="3" t="str">
        <f>HYPERLINK("https://sitebase.nzcomms.co.nz/spm/spmnominalview/COW-000-008/","COW-000-008")</f>
        <v>COW-000-008</v>
      </c>
      <c r="E893" s="4" t="s">
        <v>2814</v>
      </c>
      <c r="F893" s="4"/>
      <c r="G893" s="4"/>
      <c r="H893" s="4" t="s">
        <v>2791</v>
      </c>
      <c r="I893" s="4">
        <v>9</v>
      </c>
      <c r="J893" s="4" t="s">
        <v>2709</v>
      </c>
      <c r="K893" s="4"/>
      <c r="L893" s="4"/>
      <c r="M893" s="4"/>
      <c r="N893" s="4"/>
      <c r="O893" s="4"/>
      <c r="P893" s="4"/>
      <c r="Q893" s="4"/>
      <c r="R893" s="4"/>
      <c r="S893" s="4"/>
      <c r="T893" s="4"/>
      <c r="U893" s="4"/>
      <c r="V893" s="4"/>
      <c r="W893" s="4"/>
      <c r="X893" s="4"/>
      <c r="Y893" s="4"/>
      <c r="Z893" s="4"/>
      <c r="AA893" s="4"/>
      <c r="AB893" s="4"/>
      <c r="AC893" s="4"/>
      <c r="AD893" s="4"/>
      <c r="AE893" s="4"/>
      <c r="AF893" s="4"/>
      <c r="AG893" s="4" t="b">
        <v>0</v>
      </c>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row>
    <row r="894" spans="1:139" hidden="1" x14ac:dyDescent="0.2">
      <c r="A894">
        <f>VLOOKUP(B894,Sheet1!$A$1:$B$18,2,FALSE)</f>
        <v>0</v>
      </c>
      <c r="B894" t="str">
        <f>LEFT(D894,3)</f>
        <v>COW</v>
      </c>
      <c r="C894" s="2">
        <v>893</v>
      </c>
      <c r="D894" s="3" t="str">
        <f>HYPERLINK("https://sitebase.nzcomms.co.nz/spm/spmnominalview/COW-000-009/","COW-000-009")</f>
        <v>COW-000-009</v>
      </c>
      <c r="E894" s="4" t="s">
        <v>2815</v>
      </c>
      <c r="F894" s="3" t="str">
        <f>HYPERLINK("https://sitebase.nzcomms.co.nz/spm/spmcandidateview/COW-000-009-M/","COW-000-009-M")</f>
        <v>COW-000-009-M</v>
      </c>
      <c r="G894" s="4" t="s">
        <v>2816</v>
      </c>
      <c r="H894" s="4" t="s">
        <v>2791</v>
      </c>
      <c r="I894" s="4">
        <v>9</v>
      </c>
      <c r="J894" s="4" t="s">
        <v>2709</v>
      </c>
      <c r="K894" s="4" t="s">
        <v>141</v>
      </c>
      <c r="L894" s="4" t="s">
        <v>325</v>
      </c>
      <c r="M894" s="4" t="s">
        <v>190</v>
      </c>
      <c r="N894" s="4"/>
      <c r="O894" s="4"/>
      <c r="P894" s="4" t="s">
        <v>182</v>
      </c>
      <c r="Q894" s="4"/>
      <c r="R894" s="4">
        <v>10</v>
      </c>
      <c r="S894" s="4">
        <v>12</v>
      </c>
      <c r="T894" s="4"/>
      <c r="U894" s="4">
        <v>-35.941972900000003</v>
      </c>
      <c r="V894" s="4">
        <v>173.86714637</v>
      </c>
      <c r="W894" s="4"/>
      <c r="X894" s="4"/>
      <c r="Y894" s="4"/>
      <c r="Z894" s="4"/>
      <c r="AA894" s="4"/>
      <c r="AB894" s="4"/>
      <c r="AC894" s="4" t="b">
        <v>0</v>
      </c>
      <c r="AD894" s="4" t="b">
        <v>0</v>
      </c>
      <c r="AE894" s="4"/>
      <c r="AF894" s="4"/>
      <c r="AG894" s="4" t="b">
        <v>0</v>
      </c>
      <c r="AH894" s="4"/>
      <c r="AI894" s="4"/>
      <c r="AJ894" s="4"/>
      <c r="AK894" s="4"/>
      <c r="AL894" s="4"/>
      <c r="AM894" s="4"/>
      <c r="AN894" s="4"/>
      <c r="AO894" s="4"/>
      <c r="AP894" s="4"/>
      <c r="AQ894" s="4"/>
      <c r="AR894" s="5">
        <v>42139</v>
      </c>
      <c r="AS894" s="5">
        <v>42137</v>
      </c>
      <c r="AT894" s="5">
        <v>42153</v>
      </c>
      <c r="AU894" s="4"/>
      <c r="AV894" s="4"/>
      <c r="AW894" s="5">
        <v>42174</v>
      </c>
      <c r="AX894" s="4"/>
      <c r="AY894" s="4" t="s">
        <v>172</v>
      </c>
      <c r="AZ894" s="5">
        <v>42160</v>
      </c>
      <c r="BA894" s="4"/>
      <c r="BB894" s="5">
        <v>42163</v>
      </c>
      <c r="BC894" s="4"/>
      <c r="BD894" s="4"/>
      <c r="BE894" s="5">
        <v>42163</v>
      </c>
      <c r="BF894" s="5">
        <v>42163</v>
      </c>
      <c r="BG894" s="4"/>
      <c r="BH894" s="4"/>
      <c r="BI894" s="4"/>
      <c r="BJ894" s="4"/>
      <c r="BK894" s="4"/>
      <c r="BL894" s="4"/>
      <c r="BM894" s="4"/>
      <c r="BN894" s="4"/>
      <c r="BO894" s="4"/>
      <c r="BP894" s="4"/>
      <c r="BQ894" s="4"/>
      <c r="BR894" s="4"/>
      <c r="BS894" s="4"/>
      <c r="BT894" s="4"/>
      <c r="BU894" s="4"/>
      <c r="BV894" s="4"/>
      <c r="BW894" s="4"/>
      <c r="BX894" s="5">
        <v>42227</v>
      </c>
      <c r="BY894" s="5">
        <v>42236</v>
      </c>
      <c r="BZ894" s="4"/>
      <c r="CA894" s="5">
        <v>42243</v>
      </c>
      <c r="CB894" s="4"/>
      <c r="CC894" s="5">
        <v>42188</v>
      </c>
      <c r="CD894" s="4"/>
      <c r="CE894" s="5">
        <v>42232</v>
      </c>
      <c r="CF894" s="4"/>
      <c r="CG894" s="5">
        <v>42228</v>
      </c>
      <c r="CH894" s="4"/>
      <c r="CI894" s="4"/>
      <c r="CJ894" s="5">
        <v>42237</v>
      </c>
      <c r="CK894" s="5">
        <v>42254</v>
      </c>
      <c r="CL894" s="4"/>
      <c r="CM894" s="4"/>
      <c r="CN894" s="4"/>
      <c r="CO894" s="4"/>
      <c r="CP894" s="4" t="s">
        <v>2817</v>
      </c>
      <c r="CQ894" s="4"/>
      <c r="CR894" s="4"/>
      <c r="CS894" s="4"/>
      <c r="CT894" s="4"/>
      <c r="CU894" s="4"/>
      <c r="CV894" s="4"/>
      <c r="CW894" s="4"/>
      <c r="CX894" s="4"/>
      <c r="CY894" s="4"/>
      <c r="CZ894" s="4"/>
      <c r="DA894" s="4"/>
      <c r="DB894" s="4"/>
      <c r="DC894" s="4"/>
      <c r="DD894" s="4"/>
      <c r="DE894" s="4"/>
      <c r="DF894" s="5">
        <v>42243</v>
      </c>
      <c r="DG894" s="4"/>
      <c r="DH894" s="4"/>
      <c r="DI894" s="5">
        <v>42241</v>
      </c>
      <c r="DJ894" s="4" t="b">
        <v>0</v>
      </c>
      <c r="DK894" s="4"/>
      <c r="DL894" s="4">
        <v>2588849</v>
      </c>
      <c r="DM894" s="4">
        <v>6584043</v>
      </c>
      <c r="DN894" s="4" t="s">
        <v>2818</v>
      </c>
      <c r="DO894" s="4"/>
      <c r="DP894" s="4"/>
      <c r="DQ894" s="4" t="s">
        <v>148</v>
      </c>
      <c r="DR894" s="4"/>
      <c r="DS894" s="4"/>
      <c r="DT894" s="4"/>
      <c r="DU894" s="4"/>
      <c r="DV894" s="4"/>
      <c r="DW894" s="4"/>
      <c r="DX894" s="4"/>
      <c r="DY894" s="4"/>
      <c r="DZ894" s="4"/>
      <c r="EA894" s="5">
        <v>42138</v>
      </c>
      <c r="EB894" s="5">
        <v>42138</v>
      </c>
      <c r="EC894" s="5">
        <v>42177</v>
      </c>
      <c r="ED894" s="5">
        <v>42177</v>
      </c>
      <c r="EE894" s="4"/>
      <c r="EF894" s="4"/>
      <c r="EG894" s="4"/>
      <c r="EH894" s="4"/>
      <c r="EI894" s="5">
        <v>42141</v>
      </c>
    </row>
    <row r="895" spans="1:139" hidden="1" x14ac:dyDescent="0.2">
      <c r="A895">
        <f>VLOOKUP(B895,Sheet1!$A$1:$B$18,2,FALSE)</f>
        <v>0</v>
      </c>
      <c r="B895" t="str">
        <f>LEFT(D895,3)</f>
        <v>COW</v>
      </c>
      <c r="C895" s="2">
        <v>894</v>
      </c>
      <c r="D895" s="3" t="str">
        <f>HYPERLINK("https://sitebase.nzcomms.co.nz/spm/spmnominalview/COW-000-010/","COW-000-010")</f>
        <v>COW-000-010</v>
      </c>
      <c r="E895" s="4" t="s">
        <v>2819</v>
      </c>
      <c r="F895" s="3" t="str">
        <f>HYPERLINK("https://sitebase.nzcomms.co.nz/spm/spmcandidateview/COW-000-010-H/","COW-000-010-H")</f>
        <v>COW-000-010-H</v>
      </c>
      <c r="G895" s="4" t="s">
        <v>2820</v>
      </c>
      <c r="H895" s="4" t="s">
        <v>2791</v>
      </c>
      <c r="I895" s="4">
        <v>9</v>
      </c>
      <c r="J895" s="4" t="s">
        <v>2709</v>
      </c>
      <c r="K895" s="4" t="s">
        <v>141</v>
      </c>
      <c r="L895" s="4" t="s">
        <v>325</v>
      </c>
      <c r="M895" s="4"/>
      <c r="N895" s="4"/>
      <c r="O895" s="4"/>
      <c r="P895" s="4" t="s">
        <v>2800</v>
      </c>
      <c r="Q895" s="4" t="s">
        <v>170</v>
      </c>
      <c r="R895" s="4">
        <v>10</v>
      </c>
      <c r="S895" s="4">
        <v>12</v>
      </c>
      <c r="T895" s="4"/>
      <c r="U895" s="4">
        <v>-46.117567610000002</v>
      </c>
      <c r="V895" s="4">
        <v>168.39201872000001</v>
      </c>
      <c r="W895" s="4"/>
      <c r="X895" s="4"/>
      <c r="Y895" s="4"/>
      <c r="Z895" s="4"/>
      <c r="AA895" s="4"/>
      <c r="AB895" s="4"/>
      <c r="AC895" s="4" t="b">
        <v>0</v>
      </c>
      <c r="AD895" s="4" t="b">
        <v>0</v>
      </c>
      <c r="AE895" s="4"/>
      <c r="AF895" s="4"/>
      <c r="AG895" s="4" t="b">
        <v>0</v>
      </c>
      <c r="AH895" s="4"/>
      <c r="AI895" s="5">
        <v>42178</v>
      </c>
      <c r="AJ895" s="5">
        <v>42178</v>
      </c>
      <c r="AK895" s="4"/>
      <c r="AL895" s="4"/>
      <c r="AM895" s="5">
        <v>42181</v>
      </c>
      <c r="AN895" s="4"/>
      <c r="AO895" s="4"/>
      <c r="AP895" s="5">
        <v>42181</v>
      </c>
      <c r="AQ895" s="4"/>
      <c r="AR895" s="5">
        <v>42185</v>
      </c>
      <c r="AS895" s="5">
        <v>42187</v>
      </c>
      <c r="AT895" s="5">
        <v>42230</v>
      </c>
      <c r="AU895" s="4"/>
      <c r="AV895" s="4"/>
      <c r="AW895" s="5">
        <v>42230</v>
      </c>
      <c r="AX895" s="4"/>
      <c r="AY895" s="4" t="s">
        <v>172</v>
      </c>
      <c r="AZ895" s="5">
        <v>42194</v>
      </c>
      <c r="BA895" s="4"/>
      <c r="BB895" s="5">
        <v>42199</v>
      </c>
      <c r="BC895" s="4"/>
      <c r="BD895" s="4"/>
      <c r="BE895" s="5">
        <v>42200</v>
      </c>
      <c r="BF895" s="5">
        <v>42199</v>
      </c>
      <c r="BG895" s="5">
        <v>42207</v>
      </c>
      <c r="BH895" s="4"/>
      <c r="BI895" s="5">
        <v>42207</v>
      </c>
      <c r="BJ895" s="4"/>
      <c r="BK895" s="4"/>
      <c r="BL895" s="4"/>
      <c r="BM895" s="4"/>
      <c r="BN895" s="4"/>
      <c r="BO895" s="4"/>
      <c r="BP895" s="4"/>
      <c r="BQ895" s="4"/>
      <c r="BR895" s="4"/>
      <c r="BS895" s="4"/>
      <c r="BT895" s="4"/>
      <c r="BU895" s="4"/>
      <c r="BV895" s="4"/>
      <c r="BW895" s="4"/>
      <c r="BX895" s="4"/>
      <c r="BY895" s="5">
        <v>42243</v>
      </c>
      <c r="BZ895" s="4"/>
      <c r="CA895" s="5">
        <v>42250</v>
      </c>
      <c r="CB895" s="4"/>
      <c r="CC895" s="5">
        <v>42227</v>
      </c>
      <c r="CD895" s="4"/>
      <c r="CE895" s="5">
        <v>42237</v>
      </c>
      <c r="CF895" s="4"/>
      <c r="CG895" s="4"/>
      <c r="CH895" s="4"/>
      <c r="CI895" s="4"/>
      <c r="CJ895" s="5">
        <v>42247</v>
      </c>
      <c r="CK895" s="5">
        <v>42279</v>
      </c>
      <c r="CL895" s="4"/>
      <c r="CM895" s="4"/>
      <c r="CN895" s="4"/>
      <c r="CO895" s="4"/>
      <c r="CP895" s="4" t="s">
        <v>2821</v>
      </c>
      <c r="CQ895" s="4"/>
      <c r="CR895" s="4"/>
      <c r="CS895" s="4"/>
      <c r="CT895" s="4"/>
      <c r="CU895" s="4"/>
      <c r="CV895" s="4"/>
      <c r="CW895" s="4"/>
      <c r="CX895" s="4"/>
      <c r="CY895" s="4"/>
      <c r="CZ895" s="4"/>
      <c r="DA895" s="4"/>
      <c r="DB895" s="4"/>
      <c r="DC895" s="4"/>
      <c r="DD895" s="4"/>
      <c r="DE895" s="4"/>
      <c r="DF895" s="5">
        <v>42249</v>
      </c>
      <c r="DG895" s="4"/>
      <c r="DH895" s="4"/>
      <c r="DI895" s="5">
        <v>42241</v>
      </c>
      <c r="DJ895" s="4" t="b">
        <v>0</v>
      </c>
      <c r="DK895" s="4"/>
      <c r="DL895" s="4">
        <v>2153791</v>
      </c>
      <c r="DM895" s="4">
        <v>5444512</v>
      </c>
      <c r="DN895" s="4" t="s">
        <v>2822</v>
      </c>
      <c r="DO895" s="4"/>
      <c r="DP895" s="4"/>
      <c r="DQ895" s="4" t="s">
        <v>148</v>
      </c>
      <c r="DR895" s="4"/>
      <c r="DS895" s="4"/>
      <c r="DT895" s="4"/>
      <c r="DU895" s="4" t="s">
        <v>178</v>
      </c>
      <c r="DV895" s="4"/>
      <c r="DW895" s="4"/>
      <c r="DX895" s="4"/>
      <c r="DY895" s="4"/>
      <c r="DZ895" s="4"/>
      <c r="EA895" s="5">
        <v>42198</v>
      </c>
      <c r="EB895" s="4"/>
      <c r="EC895" s="5">
        <v>42208</v>
      </c>
      <c r="ED895" s="4"/>
      <c r="EE895" s="4"/>
      <c r="EF895" s="4"/>
      <c r="EG895" s="4"/>
      <c r="EH895" s="4"/>
      <c r="EI895" s="5">
        <v>42181</v>
      </c>
    </row>
    <row r="896" spans="1:139" hidden="1" x14ac:dyDescent="0.2">
      <c r="A896">
        <f>VLOOKUP(B896,Sheet1!$A$1:$B$18,2,FALSE)</f>
        <v>0</v>
      </c>
      <c r="B896" t="str">
        <f>LEFT(D896,3)</f>
        <v>COW</v>
      </c>
      <c r="C896" s="2">
        <v>895</v>
      </c>
      <c r="D896" s="3" t="str">
        <f>HYPERLINK("https://sitebase.nzcomms.co.nz/spm/spmnominalview/COW-000-011/","COW-000-011")</f>
        <v>COW-000-011</v>
      </c>
      <c r="E896" s="4" t="s">
        <v>2823</v>
      </c>
      <c r="F896" s="3" t="str">
        <f>HYPERLINK("https://sitebase.nzcomms.co.nz/spm/spmcandidateview/COW-000-011-C/","COW-000-011-C")</f>
        <v>COW-000-011-C</v>
      </c>
      <c r="G896" s="4" t="s">
        <v>2824</v>
      </c>
      <c r="H896" s="4" t="s">
        <v>2791</v>
      </c>
      <c r="I896" s="4"/>
      <c r="J896" s="4" t="s">
        <v>2709</v>
      </c>
      <c r="K896" s="4" t="s">
        <v>141</v>
      </c>
      <c r="L896" s="4" t="s">
        <v>325</v>
      </c>
      <c r="M896" s="4" t="s">
        <v>1134</v>
      </c>
      <c r="N896" s="4" t="s">
        <v>364</v>
      </c>
      <c r="O896" s="4"/>
      <c r="P896" s="4"/>
      <c r="Q896" s="4" t="s">
        <v>192</v>
      </c>
      <c r="R896" s="4"/>
      <c r="S896" s="4"/>
      <c r="T896" s="4"/>
      <c r="U896" s="4">
        <v>-45.031656179999999</v>
      </c>
      <c r="V896" s="4">
        <v>168.65813795</v>
      </c>
      <c r="W896" s="4"/>
      <c r="X896" s="4"/>
      <c r="Y896" s="4"/>
      <c r="Z896" s="4"/>
      <c r="AA896" s="4"/>
      <c r="AB896" s="4"/>
      <c r="AC896" s="4"/>
      <c r="AD896" s="4"/>
      <c r="AE896" s="4"/>
      <c r="AF896" s="4"/>
      <c r="AG896" s="4"/>
      <c r="AH896" s="4"/>
      <c r="AI896" s="4"/>
      <c r="AJ896" s="4"/>
      <c r="AK896" s="4"/>
      <c r="AL896" s="4"/>
      <c r="AM896" s="4"/>
      <c r="AN896" s="5">
        <v>41421</v>
      </c>
      <c r="AO896" s="4">
        <v>2</v>
      </c>
      <c r="AP896" s="4"/>
      <c r="AQ896" s="5">
        <v>41507</v>
      </c>
      <c r="AR896" s="4"/>
      <c r="AS896" s="4"/>
      <c r="AT896" s="4"/>
      <c r="AU896" s="5">
        <v>41486</v>
      </c>
      <c r="AV896" s="4"/>
      <c r="AW896" s="4"/>
      <c r="AX896" s="5">
        <v>41486</v>
      </c>
      <c r="AY896" s="4" t="s">
        <v>172</v>
      </c>
      <c r="AZ896" s="4"/>
      <c r="BA896" s="5">
        <v>41466</v>
      </c>
      <c r="BB896" s="4"/>
      <c r="BC896" s="5">
        <v>41517</v>
      </c>
      <c r="BD896" s="4">
        <v>1</v>
      </c>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5">
        <v>41526</v>
      </c>
      <c r="CL896" s="4"/>
      <c r="CM896" s="4"/>
      <c r="CN896" s="4"/>
      <c r="CO896" s="4"/>
      <c r="CP896" s="4"/>
      <c r="CQ896" s="4"/>
      <c r="CR896" s="4"/>
      <c r="CS896" s="4"/>
      <c r="CT896" s="4"/>
      <c r="CU896" s="4"/>
      <c r="CV896" s="4"/>
      <c r="CW896" s="4"/>
      <c r="CX896" s="4"/>
      <c r="CY896" s="4"/>
      <c r="CZ896" s="4"/>
      <c r="DA896" s="4"/>
      <c r="DB896" s="4"/>
      <c r="DC896" s="5">
        <v>41466</v>
      </c>
      <c r="DD896" s="4" t="s">
        <v>206</v>
      </c>
      <c r="DE896" s="4"/>
      <c r="DF896" s="4"/>
      <c r="DG896" s="4"/>
      <c r="DH896" s="4"/>
      <c r="DI896" s="4"/>
      <c r="DJ896" s="4"/>
      <c r="DK896" s="4"/>
      <c r="DL896" s="4">
        <v>2167968</v>
      </c>
      <c r="DM896" s="4">
        <v>5566140</v>
      </c>
      <c r="DN896" s="4" t="s">
        <v>2825</v>
      </c>
      <c r="DO896" s="4"/>
      <c r="DP896" s="4"/>
      <c r="DQ896" s="4" t="s">
        <v>148</v>
      </c>
      <c r="DR896" s="4"/>
      <c r="DS896" s="4"/>
      <c r="DT896" s="5">
        <v>42150</v>
      </c>
      <c r="DU896" s="4"/>
      <c r="DV896" s="4"/>
      <c r="DW896" s="4"/>
      <c r="DX896" s="4"/>
      <c r="DY896" s="4"/>
      <c r="DZ896" s="4"/>
      <c r="EA896" s="4"/>
      <c r="EB896" s="4"/>
      <c r="EC896" s="4"/>
      <c r="ED896" s="4"/>
      <c r="EE896" s="4"/>
      <c r="EF896" s="4"/>
      <c r="EG896" s="4"/>
      <c r="EH896" s="4"/>
      <c r="EI896" s="4"/>
    </row>
    <row r="897" spans="1:139" hidden="1" x14ac:dyDescent="0.2">
      <c r="A897">
        <f>VLOOKUP(B897,Sheet1!$A$1:$B$18,2,FALSE)</f>
        <v>0</v>
      </c>
      <c r="B897" t="str">
        <f>LEFT(D897,3)</f>
        <v>COW</v>
      </c>
      <c r="C897" s="2">
        <v>896</v>
      </c>
      <c r="D897" s="3" t="str">
        <f>HYPERLINK("https://sitebase.nzcomms.co.nz/spm/spmnominalview/COW-000-012/","COW-000-012")</f>
        <v>COW-000-012</v>
      </c>
      <c r="E897" s="4" t="s">
        <v>2826</v>
      </c>
      <c r="F897" s="3" t="str">
        <f>HYPERLINK("https://sitebase.nzcomms.co.nz/spm/spmcandidateview/COW-000-012-A/","COW-000-012-A")</f>
        <v>COW-000-012-A</v>
      </c>
      <c r="G897" s="4" t="s">
        <v>2827</v>
      </c>
      <c r="H897" s="4" t="s">
        <v>2791</v>
      </c>
      <c r="I897" s="4">
        <v>21</v>
      </c>
      <c r="J897" s="4" t="s">
        <v>2709</v>
      </c>
      <c r="K897" s="4" t="s">
        <v>141</v>
      </c>
      <c r="L897" s="4" t="s">
        <v>325</v>
      </c>
      <c r="M897" s="4" t="s">
        <v>1134</v>
      </c>
      <c r="N897" s="4" t="s">
        <v>346</v>
      </c>
      <c r="O897" s="4"/>
      <c r="P897" s="4"/>
      <c r="Q897" s="4"/>
      <c r="R897" s="4"/>
      <c r="S897" s="4"/>
      <c r="T897" s="4"/>
      <c r="U897" s="4">
        <v>-39.338629490000002</v>
      </c>
      <c r="V897" s="4">
        <v>174.28343555999999</v>
      </c>
      <c r="W897" s="4"/>
      <c r="X897" s="4"/>
      <c r="Y897" s="4"/>
      <c r="Z897" s="4"/>
      <c r="AA897" s="4"/>
      <c r="AB897" s="4"/>
      <c r="AC897" s="4" t="b">
        <v>0</v>
      </c>
      <c r="AD897" s="4" t="b">
        <v>0</v>
      </c>
      <c r="AE897" s="4"/>
      <c r="AF897" s="4"/>
      <c r="AG897" s="4" t="b">
        <v>0</v>
      </c>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5">
        <v>42376</v>
      </c>
      <c r="CK897" s="5">
        <v>42376</v>
      </c>
      <c r="CL897" s="4"/>
      <c r="CM897" s="4"/>
      <c r="CN897" s="4"/>
      <c r="CO897" s="4"/>
      <c r="CP897" s="4" t="s">
        <v>2828</v>
      </c>
      <c r="CQ897" s="4"/>
      <c r="CR897" s="4"/>
      <c r="CS897" s="4"/>
      <c r="CT897" s="4"/>
      <c r="CU897" s="4"/>
      <c r="CV897" s="4"/>
      <c r="CW897" s="4"/>
      <c r="CX897" s="4"/>
      <c r="CY897" s="4"/>
      <c r="CZ897" s="4"/>
      <c r="DA897" s="4"/>
      <c r="DB897" s="4"/>
      <c r="DC897" s="4"/>
      <c r="DD897" s="4"/>
      <c r="DE897" s="4"/>
      <c r="DF897" s="4"/>
      <c r="DG897" s="4"/>
      <c r="DH897" s="4"/>
      <c r="DI897" s="4"/>
      <c r="DJ897" s="4" t="b">
        <v>0</v>
      </c>
      <c r="DK897" s="4"/>
      <c r="DL897" s="4">
        <v>2620672</v>
      </c>
      <c r="DM897" s="4">
        <v>6206595</v>
      </c>
      <c r="DN897" s="4" t="s">
        <v>2829</v>
      </c>
      <c r="DO897" s="4"/>
      <c r="DP897" s="4"/>
      <c r="DQ897" s="4" t="s">
        <v>148</v>
      </c>
      <c r="DR897" s="4"/>
      <c r="DS897" s="4"/>
      <c r="DT897" s="4"/>
      <c r="DU897" s="4" t="s">
        <v>178</v>
      </c>
      <c r="DV897" s="4"/>
      <c r="DW897" s="4"/>
      <c r="DX897" s="4"/>
      <c r="DY897" s="4"/>
      <c r="DZ897" s="4"/>
      <c r="EA897" s="4"/>
      <c r="EB897" s="4"/>
      <c r="EC897" s="4"/>
      <c r="ED897" s="4"/>
      <c r="EE897" s="4"/>
      <c r="EF897" s="4"/>
      <c r="EG897" s="4"/>
      <c r="EH897" s="4"/>
      <c r="EI897" s="4"/>
    </row>
    <row r="898" spans="1:139" hidden="1" x14ac:dyDescent="0.2">
      <c r="A898">
        <f>VLOOKUP(B898,Sheet1!$A$1:$B$18,2,FALSE)</f>
        <v>0</v>
      </c>
      <c r="B898" t="str">
        <f>LEFT(D898,3)</f>
        <v>COW</v>
      </c>
      <c r="C898" s="2">
        <v>897</v>
      </c>
      <c r="D898" s="3" t="str">
        <f>HYPERLINK("https://sitebase.nzcomms.co.nz/spm/spmnominalview/COW-000-013/","COW-000-013")</f>
        <v>COW-000-013</v>
      </c>
      <c r="E898" s="4" t="s">
        <v>2830</v>
      </c>
      <c r="F898" s="4"/>
      <c r="G898" s="4"/>
      <c r="H898" s="4" t="s">
        <v>2791</v>
      </c>
      <c r="I898" s="4"/>
      <c r="J898" s="4" t="s">
        <v>317</v>
      </c>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row>
    <row r="899" spans="1:139" hidden="1" x14ac:dyDescent="0.2">
      <c r="A899">
        <f>VLOOKUP(B899,Sheet1!$A$1:$B$18,2,FALSE)</f>
        <v>0</v>
      </c>
      <c r="B899" t="str">
        <f>LEFT(D899,3)</f>
        <v>COW</v>
      </c>
      <c r="C899" s="2">
        <v>898</v>
      </c>
      <c r="D899" s="3" t="str">
        <f>HYPERLINK("https://sitebase.nzcomms.co.nz/spm/spmnominalview/COW-000-014/","COW-000-014")</f>
        <v>COW-000-014</v>
      </c>
      <c r="E899" s="4" t="s">
        <v>2831</v>
      </c>
      <c r="F899" s="4"/>
      <c r="G899" s="4"/>
      <c r="H899" s="4" t="s">
        <v>2791</v>
      </c>
      <c r="I899" s="4"/>
      <c r="J899" s="4" t="s">
        <v>317</v>
      </c>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row>
    <row r="900" spans="1:139" hidden="1" x14ac:dyDescent="0.2">
      <c r="A900">
        <f>VLOOKUP(B900,Sheet1!$A$1:$B$18,2,FALSE)</f>
        <v>0</v>
      </c>
      <c r="B900" t="str">
        <f>LEFT(D900,3)</f>
        <v>COW</v>
      </c>
      <c r="C900" s="2">
        <v>899</v>
      </c>
      <c r="D900" s="3" t="str">
        <f>HYPERLINK("https://sitebase.nzcomms.co.nz/spm/spmnominalview/COW-000-015/","COW-000-015")</f>
        <v>COW-000-015</v>
      </c>
      <c r="E900" s="4" t="s">
        <v>2832</v>
      </c>
      <c r="F900" s="4"/>
      <c r="G900" s="4"/>
      <c r="H900" s="4" t="s">
        <v>2791</v>
      </c>
      <c r="I900" s="4">
        <v>11</v>
      </c>
      <c r="J900" s="4" t="s">
        <v>317</v>
      </c>
      <c r="K900" s="4"/>
      <c r="L900" s="4"/>
      <c r="M900" s="4"/>
      <c r="N900" s="4"/>
      <c r="O900" s="4"/>
      <c r="P900" s="4"/>
      <c r="Q900" s="4"/>
      <c r="R900" s="4"/>
      <c r="S900" s="4"/>
      <c r="T900" s="4"/>
      <c r="U900" s="4"/>
      <c r="V900" s="4"/>
      <c r="W900" s="4"/>
      <c r="X900" s="4"/>
      <c r="Y900" s="4"/>
      <c r="Z900" s="4"/>
      <c r="AA900" s="4"/>
      <c r="AB900" s="4"/>
      <c r="AC900" s="4"/>
      <c r="AD900" s="4"/>
      <c r="AE900" s="4"/>
      <c r="AF900" s="4"/>
      <c r="AG900" s="4" t="b">
        <v>0</v>
      </c>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row>
    <row r="901" spans="1:139" hidden="1" x14ac:dyDescent="0.2">
      <c r="A901">
        <f>VLOOKUP(B901,Sheet1!$A$1:$B$18,2,FALSE)</f>
        <v>0</v>
      </c>
      <c r="B901" t="str">
        <f>LEFT(D901,3)</f>
        <v>COW</v>
      </c>
      <c r="C901" s="2">
        <v>900</v>
      </c>
      <c r="D901" s="3" t="str">
        <f>HYPERLINK("https://sitebase.nzcomms.co.nz/spm/spmnominalview/COW-000-016/","COW-000-016")</f>
        <v>COW-000-016</v>
      </c>
      <c r="E901" s="4" t="s">
        <v>2833</v>
      </c>
      <c r="F901" s="4"/>
      <c r="G901" s="4"/>
      <c r="H901" s="4" t="s">
        <v>2791</v>
      </c>
      <c r="I901" s="4"/>
      <c r="J901" s="4" t="s">
        <v>2709</v>
      </c>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row>
    <row r="902" spans="1:139" hidden="1" x14ac:dyDescent="0.2">
      <c r="A902">
        <f>VLOOKUP(B902,Sheet1!$A$1:$B$18,2,FALSE)</f>
        <v>0</v>
      </c>
      <c r="B902" t="str">
        <f>LEFT(D902,3)</f>
        <v>COW</v>
      </c>
      <c r="C902" s="2">
        <v>901</v>
      </c>
      <c r="D902" s="3" t="str">
        <f>HYPERLINK("https://sitebase.nzcomms.co.nz/spm/spmnominalview/COW-000-017/","COW-000-017")</f>
        <v>COW-000-017</v>
      </c>
      <c r="E902" s="4" t="s">
        <v>2834</v>
      </c>
      <c r="F902" s="4"/>
      <c r="G902" s="4"/>
      <c r="H902" s="4" t="s">
        <v>2791</v>
      </c>
      <c r="I902" s="4"/>
      <c r="J902" s="4" t="s">
        <v>2709</v>
      </c>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row>
    <row r="903" spans="1:139" hidden="1" x14ac:dyDescent="0.2">
      <c r="A903">
        <f>VLOOKUP(B903,Sheet1!$A$1:$B$18,2,FALSE)</f>
        <v>0</v>
      </c>
      <c r="B903" t="str">
        <f>LEFT(D903,3)</f>
        <v>GSB</v>
      </c>
      <c r="C903" s="2">
        <v>902</v>
      </c>
      <c r="D903" s="3" t="str">
        <f>HYPERLINK("https://sitebase.nzcomms.co.nz/spm/spmnominalview/GSB-028-001/","GSB-028-001")</f>
        <v>GSB-028-001</v>
      </c>
      <c r="E903" s="4"/>
      <c r="F903" s="4"/>
      <c r="G903" s="4"/>
      <c r="H903" s="4" t="s">
        <v>2835</v>
      </c>
      <c r="I903" s="4"/>
      <c r="J903" s="4" t="s">
        <v>196</v>
      </c>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row>
    <row r="904" spans="1:139" hidden="1" x14ac:dyDescent="0.2">
      <c r="A904">
        <f>VLOOKUP(B904,Sheet1!$A$1:$B$18,2,FALSE)</f>
        <v>0</v>
      </c>
      <c r="B904" t="str">
        <f>LEFT(D904,3)</f>
        <v>GSB</v>
      </c>
      <c r="C904" s="2">
        <v>903</v>
      </c>
      <c r="D904" s="3" t="str">
        <f>HYPERLINK("https://sitebase.nzcomms.co.nz/spm/spmnominalview/GSB-028-002/","GSB-028-002")</f>
        <v>GSB-028-002</v>
      </c>
      <c r="E904" s="4"/>
      <c r="F904" s="4"/>
      <c r="G904" s="4"/>
      <c r="H904" s="4" t="s">
        <v>2835</v>
      </c>
      <c r="I904" s="4"/>
      <c r="J904" s="4" t="s">
        <v>196</v>
      </c>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row>
    <row r="905" spans="1:139" hidden="1" x14ac:dyDescent="0.2">
      <c r="A905">
        <f>VLOOKUP(B905,Sheet1!$A$1:$B$18,2,FALSE)</f>
        <v>0</v>
      </c>
      <c r="B905" t="str">
        <f>LEFT(D905,3)</f>
        <v>GSB</v>
      </c>
      <c r="C905" s="2">
        <v>904</v>
      </c>
      <c r="D905" s="3" t="str">
        <f>HYPERLINK("https://sitebase.nzcomms.co.nz/spm/spmnominalview/GSB-028-003/","GSB-028-003")</f>
        <v>GSB-028-003</v>
      </c>
      <c r="E905" s="4" t="s">
        <v>2836</v>
      </c>
      <c r="F905" s="3" t="str">
        <f>HYPERLINK("https://sitebase.nzcomms.co.nz/spm/spmcandidateview/GSB-028-003-A/","GSB-028-003-A")</f>
        <v>GSB-028-003-A</v>
      </c>
      <c r="G905" s="4" t="s">
        <v>2837</v>
      </c>
      <c r="H905" s="4" t="s">
        <v>2835</v>
      </c>
      <c r="I905" s="4">
        <v>7</v>
      </c>
      <c r="J905" s="4" t="s">
        <v>180</v>
      </c>
      <c r="K905" s="4" t="s">
        <v>141</v>
      </c>
      <c r="L905" s="4" t="s">
        <v>142</v>
      </c>
      <c r="M905" s="4" t="s">
        <v>190</v>
      </c>
      <c r="N905" s="4" t="s">
        <v>142</v>
      </c>
      <c r="O905" s="4"/>
      <c r="P905" s="4" t="s">
        <v>169</v>
      </c>
      <c r="Q905" s="4" t="s">
        <v>142</v>
      </c>
      <c r="R905" s="4"/>
      <c r="S905" s="4"/>
      <c r="T905" s="4">
        <v>1</v>
      </c>
      <c r="U905" s="4">
        <v>-38.66614045</v>
      </c>
      <c r="V905" s="4">
        <v>178.00644213999999</v>
      </c>
      <c r="W905" s="4"/>
      <c r="X905" s="5">
        <v>40932</v>
      </c>
      <c r="Y905" s="4"/>
      <c r="Z905" s="5">
        <v>40695</v>
      </c>
      <c r="AA905" s="4" t="s">
        <v>152</v>
      </c>
      <c r="AB905" s="3" t="str">
        <f>HYPERLINK("https://sitebase.nzcomms.co.nz/spm/spmcandidateview/HKB-031-001-A/","HKB-031-001-A")</f>
        <v>HKB-031-001-A</v>
      </c>
      <c r="AC905" s="4" t="b">
        <v>1</v>
      </c>
      <c r="AD905" s="4" t="b">
        <v>1</v>
      </c>
      <c r="AE905" s="5">
        <v>40695</v>
      </c>
      <c r="AF905" s="4"/>
      <c r="AG905" s="4" t="b">
        <v>1</v>
      </c>
      <c r="AH905" s="4"/>
      <c r="AI905" s="5">
        <v>40746</v>
      </c>
      <c r="AJ905" s="5">
        <v>40745</v>
      </c>
      <c r="AK905" s="5">
        <v>40746</v>
      </c>
      <c r="AL905" s="5">
        <v>40746</v>
      </c>
      <c r="AM905" s="5">
        <v>40753</v>
      </c>
      <c r="AN905" s="5">
        <v>40753</v>
      </c>
      <c r="AO905" s="4">
        <v>2</v>
      </c>
      <c r="AP905" s="5">
        <v>40753</v>
      </c>
      <c r="AQ905" s="5">
        <v>40759</v>
      </c>
      <c r="AR905" s="5">
        <v>40767</v>
      </c>
      <c r="AS905" s="5">
        <v>40766</v>
      </c>
      <c r="AT905" s="5">
        <v>41011</v>
      </c>
      <c r="AU905" s="5">
        <v>41011</v>
      </c>
      <c r="AV905" s="4"/>
      <c r="AW905" s="5">
        <v>41011</v>
      </c>
      <c r="AX905" s="5">
        <v>41011</v>
      </c>
      <c r="AY905" s="4" t="s">
        <v>172</v>
      </c>
      <c r="AZ905" s="5">
        <v>40765</v>
      </c>
      <c r="BA905" s="5">
        <v>40771</v>
      </c>
      <c r="BB905" s="5">
        <v>40809</v>
      </c>
      <c r="BC905" s="5">
        <v>40807</v>
      </c>
      <c r="BD905" s="4">
        <v>2</v>
      </c>
      <c r="BE905" s="5">
        <v>40809</v>
      </c>
      <c r="BF905" s="5">
        <v>40807</v>
      </c>
      <c r="BG905" s="4"/>
      <c r="BH905" s="4"/>
      <c r="BI905" s="5">
        <v>41017</v>
      </c>
      <c r="BJ905" s="5">
        <v>41018</v>
      </c>
      <c r="BK905" s="4">
        <v>2</v>
      </c>
      <c r="BL905" s="4"/>
      <c r="BM905" s="5">
        <v>41017</v>
      </c>
      <c r="BN905" s="5">
        <v>41037</v>
      </c>
      <c r="BO905" s="5">
        <v>41050</v>
      </c>
      <c r="BP905" s="4"/>
      <c r="BQ905" s="4"/>
      <c r="BR905" s="4"/>
      <c r="BS905" s="4"/>
      <c r="BT905" s="5">
        <v>41039</v>
      </c>
      <c r="BU905" s="5">
        <v>41038</v>
      </c>
      <c r="BV905" s="5">
        <v>41047</v>
      </c>
      <c r="BW905" s="5">
        <v>41050</v>
      </c>
      <c r="BX905" s="5">
        <v>41049</v>
      </c>
      <c r="BY905" s="5">
        <v>41052</v>
      </c>
      <c r="BZ905" s="5">
        <v>41053</v>
      </c>
      <c r="CA905" s="4"/>
      <c r="CB905" s="4"/>
      <c r="CC905" s="4"/>
      <c r="CD905" s="4"/>
      <c r="CE905" s="4"/>
      <c r="CF905" s="4"/>
      <c r="CG905" s="4"/>
      <c r="CH905" s="4"/>
      <c r="CI905" s="5">
        <v>41070</v>
      </c>
      <c r="CJ905" s="5">
        <v>41075</v>
      </c>
      <c r="CK905" s="5">
        <v>41075</v>
      </c>
      <c r="CL905" s="5">
        <v>41089</v>
      </c>
      <c r="CM905" s="5">
        <v>41089</v>
      </c>
      <c r="CN905" s="5">
        <v>41400</v>
      </c>
      <c r="CO905" s="5">
        <v>41396</v>
      </c>
      <c r="CP905" s="4" t="s">
        <v>2838</v>
      </c>
      <c r="CQ905" s="4" t="s">
        <v>230</v>
      </c>
      <c r="CR905" s="5">
        <v>41061</v>
      </c>
      <c r="CS905" s="5">
        <v>41041</v>
      </c>
      <c r="CT905" s="5">
        <v>41041</v>
      </c>
      <c r="CU905" s="5">
        <v>41019</v>
      </c>
      <c r="CV905" s="5">
        <v>41050</v>
      </c>
      <c r="CW905" s="5">
        <v>41029</v>
      </c>
      <c r="CX905" s="5">
        <v>41050</v>
      </c>
      <c r="CY905" s="5">
        <v>41054</v>
      </c>
      <c r="CZ905" s="5">
        <v>41052</v>
      </c>
      <c r="DA905" s="5">
        <v>41068</v>
      </c>
      <c r="DB905" s="5">
        <v>41068</v>
      </c>
      <c r="DC905" s="4"/>
      <c r="DD905" s="4"/>
      <c r="DE905" s="4" t="s">
        <v>2839</v>
      </c>
      <c r="DF905" s="5">
        <v>41051</v>
      </c>
      <c r="DG905" s="5">
        <v>41053</v>
      </c>
      <c r="DH905" s="4" t="s">
        <v>174</v>
      </c>
      <c r="DI905" s="5">
        <v>41044</v>
      </c>
      <c r="DJ905" s="4" t="b">
        <v>0</v>
      </c>
      <c r="DK905" s="4"/>
      <c r="DL905" s="4">
        <v>2945543</v>
      </c>
      <c r="DM905" s="4">
        <v>6269802</v>
      </c>
      <c r="DN905" s="4" t="s">
        <v>2840</v>
      </c>
      <c r="DO905" s="4"/>
      <c r="DP905" s="4"/>
      <c r="DQ905" s="4" t="s">
        <v>148</v>
      </c>
      <c r="DR905" s="4"/>
      <c r="DS905" s="4"/>
      <c r="DT905" s="5">
        <v>42101</v>
      </c>
      <c r="DU905" s="4"/>
      <c r="DV905" s="4"/>
      <c r="DW905" s="4"/>
      <c r="DX905" s="4"/>
      <c r="DY905" s="4"/>
      <c r="DZ905" s="4"/>
      <c r="EA905" s="4"/>
      <c r="EB905" s="4"/>
      <c r="EC905" s="4"/>
      <c r="ED905" s="4"/>
      <c r="EE905" s="4"/>
      <c r="EF905" s="4"/>
      <c r="EG905" s="5">
        <v>41068</v>
      </c>
      <c r="EH905" s="5">
        <v>41075</v>
      </c>
      <c r="EI905" s="5">
        <v>40746</v>
      </c>
    </row>
    <row r="906" spans="1:139" hidden="1" x14ac:dyDescent="0.2">
      <c r="A906">
        <f>VLOOKUP(B906,Sheet1!$A$1:$B$18,2,FALSE)</f>
        <v>0</v>
      </c>
      <c r="B906" t="str">
        <f>LEFT(D906,3)</f>
        <v>GSB</v>
      </c>
      <c r="C906" s="2">
        <v>905</v>
      </c>
      <c r="D906" s="3" t="str">
        <f>HYPERLINK("https://sitebase.nzcomms.co.nz/spm/spmnominalview/GSB-028-004/","GSB-028-004")</f>
        <v>GSB-028-004</v>
      </c>
      <c r="E906" s="4" t="s">
        <v>2841</v>
      </c>
      <c r="F906" s="3" t="str">
        <f>HYPERLINK("https://sitebase.nzcomms.co.nz/spm/spmcandidateview/GSB-028-004-A/","GSB-028-004-A")</f>
        <v>GSB-028-004-A</v>
      </c>
      <c r="G906" s="4" t="s">
        <v>2842</v>
      </c>
      <c r="H906" s="4" t="s">
        <v>2835</v>
      </c>
      <c r="I906" s="4">
        <v>7</v>
      </c>
      <c r="J906" s="4" t="s">
        <v>180</v>
      </c>
      <c r="K906" s="4" t="s">
        <v>141</v>
      </c>
      <c r="L906" s="4" t="s">
        <v>181</v>
      </c>
      <c r="M906" s="4" t="s">
        <v>166</v>
      </c>
      <c r="N906" s="4" t="s">
        <v>181</v>
      </c>
      <c r="O906" s="4"/>
      <c r="P906" s="4" t="s">
        <v>169</v>
      </c>
      <c r="Q906" s="4" t="s">
        <v>170</v>
      </c>
      <c r="R906" s="4"/>
      <c r="S906" s="4"/>
      <c r="T906" s="4">
        <v>1</v>
      </c>
      <c r="U906" s="4">
        <v>-38.6644687</v>
      </c>
      <c r="V906" s="4">
        <v>178.02510224</v>
      </c>
      <c r="W906" s="4"/>
      <c r="X906" s="5">
        <v>40932</v>
      </c>
      <c r="Y906" s="4"/>
      <c r="Z906" s="5">
        <v>40235</v>
      </c>
      <c r="AA906" s="4" t="s">
        <v>152</v>
      </c>
      <c r="AB906" s="3" t="str">
        <f>HYPERLINK("https://sitebase.nzcomms.co.nz/spm/spmcandidateview/HKB-031-001-A/","HKB-031-001-A")</f>
        <v>HKB-031-001-A</v>
      </c>
      <c r="AC906" s="4" t="b">
        <v>0</v>
      </c>
      <c r="AD906" s="4" t="b">
        <v>0</v>
      </c>
      <c r="AE906" s="4"/>
      <c r="AF906" s="4"/>
      <c r="AG906" s="4" t="b">
        <v>0</v>
      </c>
      <c r="AH906" s="4"/>
      <c r="AI906" s="5">
        <v>40962</v>
      </c>
      <c r="AJ906" s="5">
        <v>40961</v>
      </c>
      <c r="AK906" s="5">
        <v>40968</v>
      </c>
      <c r="AL906" s="5">
        <v>40969</v>
      </c>
      <c r="AM906" s="5">
        <v>41004</v>
      </c>
      <c r="AN906" s="5">
        <v>41016</v>
      </c>
      <c r="AO906" s="4">
        <v>3</v>
      </c>
      <c r="AP906" s="5">
        <v>41004</v>
      </c>
      <c r="AQ906" s="5">
        <v>41981</v>
      </c>
      <c r="AR906" s="5">
        <v>41045</v>
      </c>
      <c r="AS906" s="5">
        <v>41026</v>
      </c>
      <c r="AT906" s="5">
        <v>41052</v>
      </c>
      <c r="AU906" s="5">
        <v>41043</v>
      </c>
      <c r="AV906" s="4">
        <v>1</v>
      </c>
      <c r="AW906" s="5">
        <v>41052</v>
      </c>
      <c r="AX906" s="5">
        <v>41043</v>
      </c>
      <c r="AY906" s="4" t="s">
        <v>247</v>
      </c>
      <c r="AZ906" s="5">
        <v>41022</v>
      </c>
      <c r="BA906" s="5">
        <v>41022</v>
      </c>
      <c r="BB906" s="5">
        <v>41061</v>
      </c>
      <c r="BC906" s="5">
        <v>41046</v>
      </c>
      <c r="BD906" s="4">
        <v>1</v>
      </c>
      <c r="BE906" s="5">
        <v>41061</v>
      </c>
      <c r="BF906" s="5">
        <v>41046</v>
      </c>
      <c r="BG906" s="4"/>
      <c r="BH906" s="4"/>
      <c r="BI906" s="5">
        <v>41120</v>
      </c>
      <c r="BJ906" s="5">
        <v>41121</v>
      </c>
      <c r="BK906" s="4">
        <v>1</v>
      </c>
      <c r="BL906" s="4"/>
      <c r="BM906" s="5">
        <v>41117</v>
      </c>
      <c r="BN906" s="5">
        <v>41121</v>
      </c>
      <c r="BO906" s="4"/>
      <c r="BP906" s="4"/>
      <c r="BQ906" s="4"/>
      <c r="BR906" s="4"/>
      <c r="BS906" s="4"/>
      <c r="BT906" s="5">
        <v>41092</v>
      </c>
      <c r="BU906" s="5">
        <v>41092</v>
      </c>
      <c r="BV906" s="5">
        <v>41121</v>
      </c>
      <c r="BW906" s="5">
        <v>41117</v>
      </c>
      <c r="BX906" s="5">
        <v>41089</v>
      </c>
      <c r="BY906" s="5">
        <v>41117</v>
      </c>
      <c r="BZ906" s="5">
        <v>41117</v>
      </c>
      <c r="CA906" s="4"/>
      <c r="CB906" s="4"/>
      <c r="CC906" s="4"/>
      <c r="CD906" s="4"/>
      <c r="CE906" s="4"/>
      <c r="CF906" s="4"/>
      <c r="CG906" s="4"/>
      <c r="CH906" s="4"/>
      <c r="CI906" s="5">
        <v>41117</v>
      </c>
      <c r="CJ906" s="5">
        <v>41137</v>
      </c>
      <c r="CK906" s="5">
        <v>41130</v>
      </c>
      <c r="CL906" s="5">
        <v>41136</v>
      </c>
      <c r="CM906" s="5">
        <v>41136</v>
      </c>
      <c r="CN906" s="5">
        <v>41534</v>
      </c>
      <c r="CO906" s="5">
        <v>41498</v>
      </c>
      <c r="CP906" s="4"/>
      <c r="CQ906" s="4" t="s">
        <v>230</v>
      </c>
      <c r="CR906" s="5">
        <v>41117</v>
      </c>
      <c r="CS906" s="5">
        <v>41075</v>
      </c>
      <c r="CT906" s="4"/>
      <c r="CU906" s="4"/>
      <c r="CV906" s="4"/>
      <c r="CW906" s="5">
        <v>41085</v>
      </c>
      <c r="CX906" s="4"/>
      <c r="CY906" s="5">
        <v>41121</v>
      </c>
      <c r="CZ906" s="5">
        <v>41117</v>
      </c>
      <c r="DA906" s="5">
        <v>41122</v>
      </c>
      <c r="DB906" s="5">
        <v>41123</v>
      </c>
      <c r="DC906" s="5">
        <v>40966</v>
      </c>
      <c r="DD906" s="4" t="s">
        <v>586</v>
      </c>
      <c r="DE906" s="4" t="s">
        <v>2839</v>
      </c>
      <c r="DF906" s="5">
        <v>41117</v>
      </c>
      <c r="DG906" s="5">
        <v>41117</v>
      </c>
      <c r="DH906" s="4" t="s">
        <v>174</v>
      </c>
      <c r="DI906" s="5">
        <v>41107</v>
      </c>
      <c r="DJ906" s="4" t="b">
        <v>0</v>
      </c>
      <c r="DK906" s="4"/>
      <c r="DL906" s="4">
        <v>2947175</v>
      </c>
      <c r="DM906" s="4">
        <v>6269897</v>
      </c>
      <c r="DN906" s="4" t="s">
        <v>2843</v>
      </c>
      <c r="DO906" s="4"/>
      <c r="DP906" s="4"/>
      <c r="DQ906" s="4" t="s">
        <v>148</v>
      </c>
      <c r="DR906" s="4"/>
      <c r="DS906" s="4"/>
      <c r="DT906" s="5">
        <v>42101</v>
      </c>
      <c r="DU906" s="4"/>
      <c r="DV906" s="4"/>
      <c r="DW906" s="4"/>
      <c r="DX906" s="4"/>
      <c r="DY906" s="4"/>
      <c r="DZ906" s="4"/>
      <c r="EA906" s="4"/>
      <c r="EB906" s="4"/>
      <c r="EC906" s="4"/>
      <c r="ED906" s="4"/>
      <c r="EE906" s="4"/>
      <c r="EF906" s="4"/>
      <c r="EG906" s="5">
        <v>41120</v>
      </c>
      <c r="EH906" s="5">
        <v>41122</v>
      </c>
      <c r="EI906" s="5">
        <v>40969</v>
      </c>
    </row>
    <row r="907" spans="1:139" hidden="1" x14ac:dyDescent="0.2">
      <c r="A907">
        <f>VLOOKUP(B907,Sheet1!$A$1:$B$18,2,FALSE)</f>
        <v>0</v>
      </c>
      <c r="B907" t="str">
        <f>LEFT(D907,3)</f>
        <v>GSB</v>
      </c>
      <c r="C907" s="2">
        <v>906</v>
      </c>
      <c r="D907" s="3" t="str">
        <f>HYPERLINK("https://sitebase.nzcomms.co.nz/spm/spmnominalview/GSB-028-005/","GSB-028-005")</f>
        <v>GSB-028-005</v>
      </c>
      <c r="E907" s="4"/>
      <c r="F907" s="4"/>
      <c r="G907" s="4"/>
      <c r="H907" s="4" t="s">
        <v>2835</v>
      </c>
      <c r="I907" s="4"/>
      <c r="J907" s="4" t="s">
        <v>196</v>
      </c>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row>
    <row r="908" spans="1:139" hidden="1" x14ac:dyDescent="0.2">
      <c r="A908">
        <f>VLOOKUP(B908,Sheet1!$A$1:$B$18,2,FALSE)</f>
        <v>0</v>
      </c>
      <c r="B908" t="str">
        <f>LEFT(D908,3)</f>
        <v>GSB</v>
      </c>
      <c r="C908" s="2">
        <v>907</v>
      </c>
      <c r="D908" s="3" t="str">
        <f>HYPERLINK("https://sitebase.nzcomms.co.nz/spm/spmnominalview/GSB-028-006/","GSB-028-006")</f>
        <v>GSB-028-006</v>
      </c>
      <c r="E908" s="4"/>
      <c r="F908" s="4"/>
      <c r="G908" s="4"/>
      <c r="H908" s="4" t="s">
        <v>2835</v>
      </c>
      <c r="I908" s="4"/>
      <c r="J908" s="4" t="s">
        <v>196</v>
      </c>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row>
    <row r="909" spans="1:139" hidden="1" x14ac:dyDescent="0.2">
      <c r="A909">
        <f>VLOOKUP(B909,Sheet1!$A$1:$B$18,2,FALSE)</f>
        <v>0</v>
      </c>
      <c r="B909" t="str">
        <f>LEFT(D909,3)</f>
        <v>GSB</v>
      </c>
      <c r="C909" s="2">
        <v>908</v>
      </c>
      <c r="D909" s="3" t="str">
        <f>HYPERLINK("https://sitebase.nzcomms.co.nz/spm/spmnominalview/GSB-028-007/","GSB-028-007")</f>
        <v>GSB-028-007</v>
      </c>
      <c r="E909" s="4"/>
      <c r="F909" s="4"/>
      <c r="G909" s="4"/>
      <c r="H909" s="4" t="s">
        <v>2835</v>
      </c>
      <c r="I909" s="4"/>
      <c r="J909" s="4" t="s">
        <v>196</v>
      </c>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row>
    <row r="910" spans="1:139" hidden="1" x14ac:dyDescent="0.2">
      <c r="A910">
        <f>VLOOKUP(B910,Sheet1!$A$1:$B$18,2,FALSE)</f>
        <v>0</v>
      </c>
      <c r="B910" t="str">
        <f>LEFT(D910,3)</f>
        <v>GSB</v>
      </c>
      <c r="C910" s="2">
        <v>909</v>
      </c>
      <c r="D910" s="3" t="str">
        <f>HYPERLINK("https://sitebase.nzcomms.co.nz/spm/spmnominalview/GSB-028-008/","GSB-028-008")</f>
        <v>GSB-028-008</v>
      </c>
      <c r="E910" s="4"/>
      <c r="F910" s="4"/>
      <c r="G910" s="4"/>
      <c r="H910" s="4" t="s">
        <v>2835</v>
      </c>
      <c r="I910" s="4"/>
      <c r="J910" s="4" t="s">
        <v>196</v>
      </c>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row>
    <row r="911" spans="1:139" hidden="1" x14ac:dyDescent="0.2">
      <c r="A911">
        <f>VLOOKUP(B911,Sheet1!$A$1:$B$18,2,FALSE)</f>
        <v>0</v>
      </c>
      <c r="B911" t="str">
        <f>LEFT(D911,3)</f>
        <v>GSB</v>
      </c>
      <c r="C911" s="2">
        <v>910</v>
      </c>
      <c r="D911" s="3" t="str">
        <f>HYPERLINK("https://sitebase.nzcomms.co.nz/spm/spmnominalview/GSB-028-009/","GSB-028-009")</f>
        <v>GSB-028-009</v>
      </c>
      <c r="E911" s="4"/>
      <c r="F911" s="4"/>
      <c r="G911" s="4"/>
      <c r="H911" s="4" t="s">
        <v>2835</v>
      </c>
      <c r="I911" s="4"/>
      <c r="J911" s="4" t="s">
        <v>196</v>
      </c>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row>
    <row r="912" spans="1:139" hidden="1" x14ac:dyDescent="0.2">
      <c r="A912">
        <f>VLOOKUP(B912,Sheet1!$A$1:$B$18,2,FALSE)</f>
        <v>0</v>
      </c>
      <c r="B912" t="str">
        <f>LEFT(D912,3)</f>
        <v>GSB</v>
      </c>
      <c r="C912" s="2">
        <v>911</v>
      </c>
      <c r="D912" s="3" t="str">
        <f>HYPERLINK("https://sitebase.nzcomms.co.nz/spm/spmnominalview/GSB-028-010/","GSB-028-010")</f>
        <v>GSB-028-010</v>
      </c>
      <c r="E912" s="4" t="s">
        <v>2844</v>
      </c>
      <c r="F912" s="4"/>
      <c r="G912" s="4"/>
      <c r="H912" s="4" t="s">
        <v>2835</v>
      </c>
      <c r="I912" s="4">
        <v>7</v>
      </c>
      <c r="J912" s="4" t="s">
        <v>196</v>
      </c>
      <c r="K912" s="4"/>
      <c r="L912" s="4"/>
      <c r="M912" s="4"/>
      <c r="N912" s="4"/>
      <c r="O912" s="4"/>
      <c r="P912" s="4"/>
      <c r="Q912" s="4"/>
      <c r="R912" s="4"/>
      <c r="S912" s="4"/>
      <c r="T912" s="4"/>
      <c r="U912" s="4"/>
      <c r="V912" s="4"/>
      <c r="W912" s="4"/>
      <c r="X912" s="4"/>
      <c r="Y912" s="4"/>
      <c r="Z912" s="4"/>
      <c r="AA912" s="4"/>
      <c r="AB912" s="4"/>
      <c r="AC912" s="4"/>
      <c r="AD912" s="4"/>
      <c r="AE912" s="4"/>
      <c r="AF912" s="4"/>
      <c r="AG912" s="4" t="b">
        <v>0</v>
      </c>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row>
    <row r="913" spans="1:139" hidden="1" x14ac:dyDescent="0.2">
      <c r="A913">
        <f>VLOOKUP(B913,Sheet1!$A$1:$B$18,2,FALSE)</f>
        <v>0</v>
      </c>
      <c r="B913" t="str">
        <f>LEFT(D913,3)</f>
        <v>GSB</v>
      </c>
      <c r="C913" s="2">
        <v>912</v>
      </c>
      <c r="D913" s="3" t="str">
        <f>HYPERLINK("https://sitebase.nzcomms.co.nz/spm/spmnominalview/GSB-028-011/","GSB-028-011")</f>
        <v>GSB-028-011</v>
      </c>
      <c r="E913" s="4"/>
      <c r="F913" s="4"/>
      <c r="G913" s="4"/>
      <c r="H913" s="4" t="s">
        <v>2835</v>
      </c>
      <c r="I913" s="4"/>
      <c r="J913" s="4" t="s">
        <v>196</v>
      </c>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row>
    <row r="914" spans="1:139" hidden="1" x14ac:dyDescent="0.2">
      <c r="A914">
        <f>VLOOKUP(B914,Sheet1!$A$1:$B$18,2,FALSE)</f>
        <v>0</v>
      </c>
      <c r="B914" t="str">
        <f>LEFT(D914,3)</f>
        <v>GSB</v>
      </c>
      <c r="C914" s="2">
        <v>913</v>
      </c>
      <c r="D914" s="3" t="str">
        <f>HYPERLINK("https://sitebase.nzcomms.co.nz/spm/spmnominalview/GSB-028-012/","GSB-028-012")</f>
        <v>GSB-028-012</v>
      </c>
      <c r="E914" s="4" t="s">
        <v>2845</v>
      </c>
      <c r="F914" s="3" t="str">
        <f>HYPERLINK("https://sitebase.nzcomms.co.nz/spm/spmcandidateview/GSB-028-012-B/","GSB-028-012-B")</f>
        <v>GSB-028-012-B</v>
      </c>
      <c r="G914" s="4" t="s">
        <v>2846</v>
      </c>
      <c r="H914" s="4" t="s">
        <v>2835</v>
      </c>
      <c r="I914" s="4">
        <v>7</v>
      </c>
      <c r="J914" s="4" t="s">
        <v>180</v>
      </c>
      <c r="K914" s="4" t="s">
        <v>141</v>
      </c>
      <c r="L914" s="4" t="s">
        <v>150</v>
      </c>
      <c r="M914" s="4" t="s">
        <v>190</v>
      </c>
      <c r="N914" s="4" t="s">
        <v>346</v>
      </c>
      <c r="O914" s="4"/>
      <c r="P914" s="4" t="s">
        <v>169</v>
      </c>
      <c r="Q914" s="4" t="s">
        <v>170</v>
      </c>
      <c r="R914" s="4">
        <v>23.5</v>
      </c>
      <c r="S914" s="4">
        <v>23.5</v>
      </c>
      <c r="T914" s="4">
        <v>1</v>
      </c>
      <c r="U914" s="4">
        <v>-38.639398679999999</v>
      </c>
      <c r="V914" s="4">
        <v>178.00298233000001</v>
      </c>
      <c r="W914" s="4"/>
      <c r="X914" s="5">
        <v>40932</v>
      </c>
      <c r="Y914" s="4"/>
      <c r="Z914" s="5">
        <v>40235</v>
      </c>
      <c r="AA914" s="4" t="s">
        <v>152</v>
      </c>
      <c r="AB914" s="3" t="str">
        <f>HYPERLINK("https://sitebase.nzcomms.co.nz/spm/spmcandidateview/HKB-031-001-A/","HKB-031-001-A")</f>
        <v>HKB-031-001-A</v>
      </c>
      <c r="AC914" s="4" t="b">
        <v>0</v>
      </c>
      <c r="AD914" s="4" t="b">
        <v>0</v>
      </c>
      <c r="AE914" s="4"/>
      <c r="AF914" s="4"/>
      <c r="AG914" s="4" t="b">
        <v>0</v>
      </c>
      <c r="AH914" s="4"/>
      <c r="AI914" s="5">
        <v>40962</v>
      </c>
      <c r="AJ914" s="5">
        <v>40961</v>
      </c>
      <c r="AK914" s="5">
        <v>40976</v>
      </c>
      <c r="AL914" s="5">
        <v>40980</v>
      </c>
      <c r="AM914" s="5">
        <v>41036</v>
      </c>
      <c r="AN914" s="5">
        <v>41037</v>
      </c>
      <c r="AO914" s="4">
        <v>1</v>
      </c>
      <c r="AP914" s="5">
        <v>41036</v>
      </c>
      <c r="AQ914" s="5">
        <v>41037</v>
      </c>
      <c r="AR914" s="5">
        <v>41065</v>
      </c>
      <c r="AS914" s="5">
        <v>41060</v>
      </c>
      <c r="AT914" s="5">
        <v>41124</v>
      </c>
      <c r="AU914" s="5">
        <v>41123</v>
      </c>
      <c r="AV914" s="4">
        <v>1</v>
      </c>
      <c r="AW914" s="5">
        <v>41151</v>
      </c>
      <c r="AX914" s="5">
        <v>41148</v>
      </c>
      <c r="AY914" s="4" t="s">
        <v>172</v>
      </c>
      <c r="AZ914" s="5">
        <v>41040</v>
      </c>
      <c r="BA914" s="5">
        <v>41043</v>
      </c>
      <c r="BB914" s="5">
        <v>41082</v>
      </c>
      <c r="BC914" s="5">
        <v>41067</v>
      </c>
      <c r="BD914" s="4">
        <v>1</v>
      </c>
      <c r="BE914" s="5">
        <v>41082</v>
      </c>
      <c r="BF914" s="5">
        <v>41067</v>
      </c>
      <c r="BG914" s="4"/>
      <c r="BH914" s="4"/>
      <c r="BI914" s="5">
        <v>41136</v>
      </c>
      <c r="BJ914" s="5">
        <v>41135</v>
      </c>
      <c r="BK914" s="4">
        <v>2</v>
      </c>
      <c r="BL914" s="4"/>
      <c r="BM914" s="5">
        <v>41136</v>
      </c>
      <c r="BN914" s="5">
        <v>41400</v>
      </c>
      <c r="BO914" s="5">
        <v>41150</v>
      </c>
      <c r="BP914" s="4"/>
      <c r="BQ914" s="4"/>
      <c r="BR914" s="5">
        <v>41121</v>
      </c>
      <c r="BS914" s="4"/>
      <c r="BT914" s="5">
        <v>41135</v>
      </c>
      <c r="BU914" s="5">
        <v>41135</v>
      </c>
      <c r="BV914" s="5">
        <v>41194</v>
      </c>
      <c r="BW914" s="5">
        <v>41194</v>
      </c>
      <c r="BX914" s="5">
        <v>41150</v>
      </c>
      <c r="BY914" s="5">
        <v>41163</v>
      </c>
      <c r="BZ914" s="5">
        <v>41159</v>
      </c>
      <c r="CA914" s="4"/>
      <c r="CB914" s="4"/>
      <c r="CC914" s="4"/>
      <c r="CD914" s="4"/>
      <c r="CE914" s="4"/>
      <c r="CF914" s="4"/>
      <c r="CG914" s="4"/>
      <c r="CH914" s="4"/>
      <c r="CI914" s="5">
        <v>41162</v>
      </c>
      <c r="CJ914" s="5">
        <v>41176</v>
      </c>
      <c r="CK914" s="5">
        <v>41166</v>
      </c>
      <c r="CL914" s="5">
        <v>41188</v>
      </c>
      <c r="CM914" s="5">
        <v>41180</v>
      </c>
      <c r="CN914" s="5">
        <v>41442</v>
      </c>
      <c r="CO914" s="5">
        <v>41431</v>
      </c>
      <c r="CP914" s="4"/>
      <c r="CQ914" s="4"/>
      <c r="CR914" s="5">
        <v>41163</v>
      </c>
      <c r="CS914" s="4"/>
      <c r="CT914" s="4"/>
      <c r="CU914" s="4"/>
      <c r="CV914" s="4"/>
      <c r="CW914" s="5">
        <v>41150</v>
      </c>
      <c r="CX914" s="5">
        <v>41150</v>
      </c>
      <c r="CY914" s="5">
        <v>41142</v>
      </c>
      <c r="CZ914" s="5">
        <v>41142</v>
      </c>
      <c r="DA914" s="5">
        <v>41164</v>
      </c>
      <c r="DB914" s="5">
        <v>41165</v>
      </c>
      <c r="DC914" s="5">
        <v>41043</v>
      </c>
      <c r="DD914" s="4" t="s">
        <v>206</v>
      </c>
      <c r="DE914" s="4" t="s">
        <v>2839</v>
      </c>
      <c r="DF914" s="5">
        <v>41152</v>
      </c>
      <c r="DG914" s="5">
        <v>41152</v>
      </c>
      <c r="DH914" s="4" t="s">
        <v>174</v>
      </c>
      <c r="DI914" s="5">
        <v>41151</v>
      </c>
      <c r="DJ914" s="4" t="b">
        <v>1</v>
      </c>
      <c r="DK914" s="4"/>
      <c r="DL914" s="4">
        <v>2945407</v>
      </c>
      <c r="DM914" s="4">
        <v>6272783</v>
      </c>
      <c r="DN914" s="4" t="s">
        <v>2847</v>
      </c>
      <c r="DO914" s="4"/>
      <c r="DP914" s="4"/>
      <c r="DQ914" s="4" t="s">
        <v>148</v>
      </c>
      <c r="DR914" s="4"/>
      <c r="DS914" s="4"/>
      <c r="DT914" s="5">
        <v>42101</v>
      </c>
      <c r="DU914" s="4"/>
      <c r="DV914" s="4"/>
      <c r="DW914" s="4"/>
      <c r="DX914" s="4"/>
      <c r="DY914" s="4"/>
      <c r="DZ914" s="4"/>
      <c r="EA914" s="4"/>
      <c r="EB914" s="4"/>
      <c r="EC914" s="4"/>
      <c r="ED914" s="4"/>
      <c r="EE914" s="4"/>
      <c r="EF914" s="4"/>
      <c r="EG914" s="5">
        <v>41172</v>
      </c>
      <c r="EH914" s="5">
        <v>41169</v>
      </c>
      <c r="EI914" s="5">
        <v>40980</v>
      </c>
    </row>
    <row r="915" spans="1:139" hidden="1" x14ac:dyDescent="0.2">
      <c r="A915">
        <f>VLOOKUP(B915,Sheet1!$A$1:$B$18,2,FALSE)</f>
        <v>0</v>
      </c>
      <c r="B915" t="str">
        <f>LEFT(D915,3)</f>
        <v>GSB</v>
      </c>
      <c r="C915" s="2">
        <v>914</v>
      </c>
      <c r="D915" s="3" t="str">
        <f>HYPERLINK("https://sitebase.nzcomms.co.nz/spm/spmnominalview/GSB-028-013/","GSB-028-013")</f>
        <v>GSB-028-013</v>
      </c>
      <c r="E915" s="4" t="s">
        <v>2848</v>
      </c>
      <c r="F915" s="3" t="str">
        <f>HYPERLINK("https://sitebase.nzcomms.co.nz/spm/spmcandidateview/GSB-028-013-B/","GSB-028-013-B")</f>
        <v>GSB-028-013-B</v>
      </c>
      <c r="G915" s="4" t="s">
        <v>2849</v>
      </c>
      <c r="H915" s="4" t="s">
        <v>2835</v>
      </c>
      <c r="I915" s="4">
        <v>7</v>
      </c>
      <c r="J915" s="4" t="s">
        <v>180</v>
      </c>
      <c r="K915" s="4" t="s">
        <v>141</v>
      </c>
      <c r="L915" s="4" t="s">
        <v>150</v>
      </c>
      <c r="M915" s="4" t="s">
        <v>190</v>
      </c>
      <c r="N915" s="4" t="s">
        <v>346</v>
      </c>
      <c r="O915" s="4"/>
      <c r="P915" s="4" t="s">
        <v>169</v>
      </c>
      <c r="Q915" s="4" t="s">
        <v>192</v>
      </c>
      <c r="R915" s="4"/>
      <c r="S915" s="4">
        <v>23.5</v>
      </c>
      <c r="T915" s="4">
        <v>1</v>
      </c>
      <c r="U915" s="4">
        <v>-38.656946419999997</v>
      </c>
      <c r="V915" s="4">
        <v>177.99694274999999</v>
      </c>
      <c r="W915" s="4"/>
      <c r="X915" s="5">
        <v>40932</v>
      </c>
      <c r="Y915" s="4"/>
      <c r="Z915" s="5">
        <v>40235</v>
      </c>
      <c r="AA915" s="4" t="s">
        <v>152</v>
      </c>
      <c r="AB915" s="3" t="str">
        <f>HYPERLINK("https://sitebase.nzcomms.co.nz/spm/spmcandidateview/HKB-031-001-A/","HKB-031-001-A")</f>
        <v>HKB-031-001-A</v>
      </c>
      <c r="AC915" s="4" t="b">
        <v>0</v>
      </c>
      <c r="AD915" s="4" t="b">
        <v>0</v>
      </c>
      <c r="AE915" s="4"/>
      <c r="AF915" s="4"/>
      <c r="AG915" s="4" t="b">
        <v>0</v>
      </c>
      <c r="AH915" s="4"/>
      <c r="AI915" s="5">
        <v>40962</v>
      </c>
      <c r="AJ915" s="5">
        <v>40961</v>
      </c>
      <c r="AK915" s="5">
        <v>40976</v>
      </c>
      <c r="AL915" s="5">
        <v>40987</v>
      </c>
      <c r="AM915" s="5">
        <v>41025</v>
      </c>
      <c r="AN915" s="5">
        <v>41030</v>
      </c>
      <c r="AO915" s="4">
        <v>3</v>
      </c>
      <c r="AP915" s="5">
        <v>41025</v>
      </c>
      <c r="AQ915" s="5">
        <v>41117</v>
      </c>
      <c r="AR915" s="5">
        <v>41058</v>
      </c>
      <c r="AS915" s="5">
        <v>41057</v>
      </c>
      <c r="AT915" s="5">
        <v>41089</v>
      </c>
      <c r="AU915" s="5">
        <v>41087</v>
      </c>
      <c r="AV915" s="4"/>
      <c r="AW915" s="5">
        <v>41089</v>
      </c>
      <c r="AX915" s="5">
        <v>41087</v>
      </c>
      <c r="AY915" s="4" t="s">
        <v>247</v>
      </c>
      <c r="AZ915" s="5">
        <v>41033</v>
      </c>
      <c r="BA915" s="5">
        <v>41033</v>
      </c>
      <c r="BB915" s="5">
        <v>41075</v>
      </c>
      <c r="BC915" s="5">
        <v>41074</v>
      </c>
      <c r="BD915" s="4">
        <v>1</v>
      </c>
      <c r="BE915" s="5">
        <v>41075</v>
      </c>
      <c r="BF915" s="5">
        <v>41074</v>
      </c>
      <c r="BG915" s="4"/>
      <c r="BH915" s="4"/>
      <c r="BI915" s="5">
        <v>41115</v>
      </c>
      <c r="BJ915" s="5">
        <v>41117</v>
      </c>
      <c r="BK915" s="4">
        <v>2</v>
      </c>
      <c r="BL915" s="4"/>
      <c r="BM915" s="5">
        <v>41115</v>
      </c>
      <c r="BN915" s="5">
        <v>41400</v>
      </c>
      <c r="BO915" s="5">
        <v>41150</v>
      </c>
      <c r="BP915" s="4"/>
      <c r="BQ915" s="4"/>
      <c r="BR915" s="5">
        <v>41101</v>
      </c>
      <c r="BS915" s="4"/>
      <c r="BT915" s="5">
        <v>41123</v>
      </c>
      <c r="BU915" s="5">
        <v>41123</v>
      </c>
      <c r="BV915" s="5">
        <v>41157</v>
      </c>
      <c r="BW915" s="5">
        <v>41157</v>
      </c>
      <c r="BX915" s="5">
        <v>41149</v>
      </c>
      <c r="BY915" s="5">
        <v>41162</v>
      </c>
      <c r="BZ915" s="5">
        <v>41159</v>
      </c>
      <c r="CA915" s="4"/>
      <c r="CB915" s="4"/>
      <c r="CC915" s="4"/>
      <c r="CD915" s="4"/>
      <c r="CE915" s="4"/>
      <c r="CF915" s="4"/>
      <c r="CG915" s="4"/>
      <c r="CH915" s="4"/>
      <c r="CI915" s="5">
        <v>41162</v>
      </c>
      <c r="CJ915" s="5">
        <v>41176</v>
      </c>
      <c r="CK915" s="5">
        <v>41166</v>
      </c>
      <c r="CL915" s="5">
        <v>41188</v>
      </c>
      <c r="CM915" s="5">
        <v>41180</v>
      </c>
      <c r="CN915" s="5">
        <v>41534</v>
      </c>
      <c r="CO915" s="5">
        <v>41498</v>
      </c>
      <c r="CP915" s="4"/>
      <c r="CQ915" s="4"/>
      <c r="CR915" s="5">
        <v>41162</v>
      </c>
      <c r="CS915" s="4"/>
      <c r="CT915" s="4"/>
      <c r="CU915" s="4"/>
      <c r="CV915" s="4"/>
      <c r="CW915" s="5">
        <v>41150</v>
      </c>
      <c r="CX915" s="5">
        <v>41150</v>
      </c>
      <c r="CY915" s="5">
        <v>41142</v>
      </c>
      <c r="CZ915" s="5">
        <v>41142</v>
      </c>
      <c r="DA915" s="5">
        <v>41164</v>
      </c>
      <c r="DB915" s="5">
        <v>41165</v>
      </c>
      <c r="DC915" s="5">
        <v>40966</v>
      </c>
      <c r="DD915" s="4" t="s">
        <v>573</v>
      </c>
      <c r="DE915" s="4" t="s">
        <v>2839</v>
      </c>
      <c r="DF915" s="5">
        <v>41152</v>
      </c>
      <c r="DG915" s="5">
        <v>41151</v>
      </c>
      <c r="DH915" s="4" t="s">
        <v>174</v>
      </c>
      <c r="DI915" s="5">
        <v>41149</v>
      </c>
      <c r="DJ915" s="4" t="b">
        <v>1</v>
      </c>
      <c r="DK915" s="4"/>
      <c r="DL915" s="4">
        <v>2944774</v>
      </c>
      <c r="DM915" s="4">
        <v>6270867</v>
      </c>
      <c r="DN915" s="4" t="s">
        <v>2850</v>
      </c>
      <c r="DO915" s="4"/>
      <c r="DP915" s="4" t="s">
        <v>2851</v>
      </c>
      <c r="DQ915" s="4" t="s">
        <v>148</v>
      </c>
      <c r="DR915" s="4"/>
      <c r="DS915" s="4"/>
      <c r="DT915" s="5">
        <v>42101</v>
      </c>
      <c r="DU915" s="4"/>
      <c r="DV915" s="4"/>
      <c r="DW915" s="4"/>
      <c r="DX915" s="4"/>
      <c r="DY915" s="4"/>
      <c r="DZ915" s="4"/>
      <c r="EA915" s="4"/>
      <c r="EB915" s="4"/>
      <c r="EC915" s="4"/>
      <c r="ED915" s="4"/>
      <c r="EE915" s="4"/>
      <c r="EF915" s="4"/>
      <c r="EG915" s="5">
        <v>41171</v>
      </c>
      <c r="EH915" s="5">
        <v>41169</v>
      </c>
      <c r="EI915" s="5">
        <v>40987</v>
      </c>
    </row>
    <row r="916" spans="1:139" hidden="1" x14ac:dyDescent="0.2">
      <c r="A916">
        <f>VLOOKUP(B916,Sheet1!$A$1:$B$18,2,FALSE)</f>
        <v>0</v>
      </c>
      <c r="B916" t="str">
        <f>LEFT(D916,3)</f>
        <v>GSB</v>
      </c>
      <c r="C916" s="2">
        <v>915</v>
      </c>
      <c r="D916" s="3" t="str">
        <f>HYPERLINK("https://sitebase.nzcomms.co.nz/spm/spmnominalview/GSB-028-014/","GSB-028-014")</f>
        <v>GSB-028-014</v>
      </c>
      <c r="E916" s="4" t="s">
        <v>2852</v>
      </c>
      <c r="F916" s="3" t="str">
        <f>HYPERLINK("https://sitebase.nzcomms.co.nz/spm/spmcandidateview/GSB-028-014-B/","GSB-028-014-B")</f>
        <v>GSB-028-014-B</v>
      </c>
      <c r="G916" s="4" t="s">
        <v>2853</v>
      </c>
      <c r="H916" s="4" t="s">
        <v>2835</v>
      </c>
      <c r="I916" s="4">
        <v>24</v>
      </c>
      <c r="J916" s="4" t="s">
        <v>570</v>
      </c>
      <c r="K916" s="4" t="s">
        <v>141</v>
      </c>
      <c r="L916" s="4" t="s">
        <v>150</v>
      </c>
      <c r="M916" s="4" t="s">
        <v>571</v>
      </c>
      <c r="N916" s="4" t="s">
        <v>2058</v>
      </c>
      <c r="O916" s="4"/>
      <c r="P916" s="4" t="s">
        <v>182</v>
      </c>
      <c r="Q916" s="4" t="s">
        <v>192</v>
      </c>
      <c r="R916" s="4"/>
      <c r="S916" s="4"/>
      <c r="T916" s="4"/>
      <c r="U916" s="4">
        <v>-38.650713410000002</v>
      </c>
      <c r="V916" s="4">
        <v>178.02030407999999</v>
      </c>
      <c r="W916" s="4"/>
      <c r="X916" s="5">
        <v>40235</v>
      </c>
      <c r="Y916" s="4"/>
      <c r="Z916" s="5">
        <v>40235</v>
      </c>
      <c r="AA916" s="4" t="s">
        <v>152</v>
      </c>
      <c r="AB916" s="3" t="str">
        <f>HYPERLINK("https://sitebase.nzcomms.co.nz/spm/spmcandidateview/HKB-030-001-A/","HKB-030-001-A")</f>
        <v>HKB-030-001-A</v>
      </c>
      <c r="AC916" s="4" t="b">
        <v>0</v>
      </c>
      <c r="AD916" s="4" t="b">
        <v>0</v>
      </c>
      <c r="AE916" s="4"/>
      <c r="AF916" s="4"/>
      <c r="AG916" s="4" t="b">
        <v>0</v>
      </c>
      <c r="AH916" s="4"/>
      <c r="AI916" s="5">
        <v>42095</v>
      </c>
      <c r="AJ916" s="5">
        <v>42095</v>
      </c>
      <c r="AK916" s="5">
        <v>42244</v>
      </c>
      <c r="AL916" s="5">
        <v>42256</v>
      </c>
      <c r="AM916" s="5">
        <v>42272</v>
      </c>
      <c r="AN916" s="4"/>
      <c r="AO916" s="4">
        <v>1</v>
      </c>
      <c r="AP916" s="4"/>
      <c r="AQ916" s="4"/>
      <c r="AR916" s="5">
        <v>42213</v>
      </c>
      <c r="AS916" s="5">
        <v>42213</v>
      </c>
      <c r="AT916" s="5">
        <v>42307</v>
      </c>
      <c r="AU916" s="4"/>
      <c r="AV916" s="4"/>
      <c r="AW916" s="4"/>
      <c r="AX916" s="4"/>
      <c r="AY916" s="4" t="s">
        <v>172</v>
      </c>
      <c r="AZ916" s="5">
        <v>42275</v>
      </c>
      <c r="BA916" s="4"/>
      <c r="BB916" s="5">
        <v>42307</v>
      </c>
      <c r="BC916" s="4"/>
      <c r="BD916" s="4">
        <v>1</v>
      </c>
      <c r="BE916" s="4"/>
      <c r="BF916" s="4"/>
      <c r="BG916" s="5">
        <v>42293</v>
      </c>
      <c r="BH916" s="4"/>
      <c r="BI916" s="5">
        <v>42321</v>
      </c>
      <c r="BJ916" s="4"/>
      <c r="BK916" s="4">
        <v>1</v>
      </c>
      <c r="BL916" s="4"/>
      <c r="BM916" s="4"/>
      <c r="BN916" s="4"/>
      <c r="BO916" s="4"/>
      <c r="BP916" s="4"/>
      <c r="BQ916" s="4"/>
      <c r="BR916" s="4"/>
      <c r="BS916" s="4"/>
      <c r="BT916" s="5">
        <v>42387</v>
      </c>
      <c r="BU916" s="4"/>
      <c r="BV916" s="5">
        <v>42429</v>
      </c>
      <c r="BW916" s="4"/>
      <c r="BX916" s="4"/>
      <c r="BY916" s="5">
        <v>42440</v>
      </c>
      <c r="BZ916" s="4"/>
      <c r="CA916" s="4"/>
      <c r="CB916" s="4"/>
      <c r="CC916" s="4"/>
      <c r="CD916" s="4"/>
      <c r="CE916" s="4"/>
      <c r="CF916" s="4"/>
      <c r="CG916" s="4"/>
      <c r="CH916" s="4"/>
      <c r="CI916" s="4"/>
      <c r="CJ916" s="5">
        <v>42475</v>
      </c>
      <c r="CK916" s="4"/>
      <c r="CL916" s="4"/>
      <c r="CM916" s="4"/>
      <c r="CN916" s="4"/>
      <c r="CO916" s="4"/>
      <c r="CP916" s="4" t="s">
        <v>2854</v>
      </c>
      <c r="CQ916" s="4"/>
      <c r="CR916" s="4"/>
      <c r="CS916" s="4"/>
      <c r="CT916" s="4"/>
      <c r="CU916" s="4"/>
      <c r="CV916" s="4"/>
      <c r="CW916" s="4"/>
      <c r="CX916" s="4"/>
      <c r="CY916" s="4"/>
      <c r="CZ916" s="4"/>
      <c r="DA916" s="5">
        <v>42460</v>
      </c>
      <c r="DB916" s="4"/>
      <c r="DC916" s="4"/>
      <c r="DD916" s="4"/>
      <c r="DE916" s="4"/>
      <c r="DF916" s="4"/>
      <c r="DG916" s="4"/>
      <c r="DH916" s="4" t="s">
        <v>1521</v>
      </c>
      <c r="DI916" s="4"/>
      <c r="DJ916" s="4" t="b">
        <v>0</v>
      </c>
      <c r="DK916" s="4"/>
      <c r="DL916" s="4">
        <v>2946843</v>
      </c>
      <c r="DM916" s="4">
        <v>6271445</v>
      </c>
      <c r="DN916" s="4" t="s">
        <v>2855</v>
      </c>
      <c r="DO916" s="4"/>
      <c r="DP916" s="4"/>
      <c r="DQ916" s="4" t="s">
        <v>148</v>
      </c>
      <c r="DR916" s="4" t="s">
        <v>255</v>
      </c>
      <c r="DS916" s="4"/>
      <c r="DT916" s="4"/>
      <c r="DU916" s="4" t="s">
        <v>577</v>
      </c>
      <c r="DV916" s="4"/>
      <c r="DW916" s="4"/>
      <c r="DX916" s="4"/>
      <c r="DY916" s="5">
        <v>42310</v>
      </c>
      <c r="DZ916" s="4"/>
      <c r="EA916" s="4"/>
      <c r="EB916" s="4"/>
      <c r="EC916" s="4"/>
      <c r="ED916" s="4"/>
      <c r="EE916" s="5">
        <v>42342</v>
      </c>
      <c r="EF916" s="4"/>
      <c r="EG916" s="4"/>
      <c r="EH916" s="4"/>
      <c r="EI916" s="5">
        <v>42256</v>
      </c>
    </row>
    <row r="917" spans="1:139" hidden="1" x14ac:dyDescent="0.2">
      <c r="A917">
        <f>VLOOKUP(B917,Sheet1!$A$1:$B$18,2,FALSE)</f>
        <v>0</v>
      </c>
      <c r="B917" t="str">
        <f>LEFT(D917,3)</f>
        <v>GSB</v>
      </c>
      <c r="C917" s="2">
        <v>916</v>
      </c>
      <c r="D917" s="3" t="str">
        <f>HYPERLINK("https://sitebase.nzcomms.co.nz/spm/spmnominalview/GSB-028-015/","GSB-028-015")</f>
        <v>GSB-028-015</v>
      </c>
      <c r="E917" s="4" t="s">
        <v>2856</v>
      </c>
      <c r="F917" s="3" t="str">
        <f>HYPERLINK("https://sitebase.nzcomms.co.nz/spm/spmcandidateview/GSB-028-015-C/","GSB-028-015-C")</f>
        <v>GSB-028-015-C</v>
      </c>
      <c r="G917" s="4" t="s">
        <v>2857</v>
      </c>
      <c r="H917" s="4" t="s">
        <v>2835</v>
      </c>
      <c r="I917" s="4">
        <v>7</v>
      </c>
      <c r="J917" s="4" t="s">
        <v>180</v>
      </c>
      <c r="K917" s="4" t="s">
        <v>141</v>
      </c>
      <c r="L917" s="4" t="s">
        <v>150</v>
      </c>
      <c r="M917" s="4" t="s">
        <v>190</v>
      </c>
      <c r="N917" s="4" t="s">
        <v>346</v>
      </c>
      <c r="O917" s="4"/>
      <c r="P917" s="4" t="s">
        <v>169</v>
      </c>
      <c r="Q917" s="4" t="s">
        <v>192</v>
      </c>
      <c r="R917" s="4">
        <v>18</v>
      </c>
      <c r="S917" s="4">
        <v>18</v>
      </c>
      <c r="T917" s="4"/>
      <c r="U917" s="4">
        <v>-38.675186719999999</v>
      </c>
      <c r="V917" s="4">
        <v>178.04587814000001</v>
      </c>
      <c r="W917" s="4"/>
      <c r="X917" s="5">
        <v>40932</v>
      </c>
      <c r="Y917" s="4"/>
      <c r="Z917" s="5">
        <v>40235</v>
      </c>
      <c r="AA917" s="4" t="s">
        <v>152</v>
      </c>
      <c r="AB917" s="3" t="str">
        <f>HYPERLINK("https://sitebase.nzcomms.co.nz/spm/spmcandidateview/HKB-031-001-A/","HKB-031-001-A")</f>
        <v>HKB-031-001-A</v>
      </c>
      <c r="AC917" s="4" t="b">
        <v>0</v>
      </c>
      <c r="AD917" s="4" t="b">
        <v>0</v>
      </c>
      <c r="AE917" s="4"/>
      <c r="AF917" s="4"/>
      <c r="AG917" s="4" t="b">
        <v>0</v>
      </c>
      <c r="AH917" s="4"/>
      <c r="AI917" s="5">
        <v>40962</v>
      </c>
      <c r="AJ917" s="5">
        <v>40962</v>
      </c>
      <c r="AK917" s="5">
        <v>40976</v>
      </c>
      <c r="AL917" s="5">
        <v>40980</v>
      </c>
      <c r="AM917" s="5">
        <v>41025</v>
      </c>
      <c r="AN917" s="5">
        <v>41025</v>
      </c>
      <c r="AO917" s="4">
        <v>1</v>
      </c>
      <c r="AP917" s="5">
        <v>41025</v>
      </c>
      <c r="AQ917" s="5">
        <v>41025</v>
      </c>
      <c r="AR917" s="5">
        <v>41053</v>
      </c>
      <c r="AS917" s="5">
        <v>41044</v>
      </c>
      <c r="AT917" s="5">
        <v>41089</v>
      </c>
      <c r="AU917" s="5">
        <v>41074</v>
      </c>
      <c r="AV917" s="4">
        <v>1</v>
      </c>
      <c r="AW917" s="5">
        <v>41089</v>
      </c>
      <c r="AX917" s="5">
        <v>41074</v>
      </c>
      <c r="AY917" s="4" t="s">
        <v>172</v>
      </c>
      <c r="AZ917" s="5">
        <v>41033</v>
      </c>
      <c r="BA917" s="5">
        <v>41033</v>
      </c>
      <c r="BB917" s="5">
        <v>41075</v>
      </c>
      <c r="BC917" s="5">
        <v>41066</v>
      </c>
      <c r="BD917" s="4">
        <v>1</v>
      </c>
      <c r="BE917" s="5">
        <v>41075</v>
      </c>
      <c r="BF917" s="5">
        <v>41066</v>
      </c>
      <c r="BG917" s="4"/>
      <c r="BH917" s="4"/>
      <c r="BI917" s="5">
        <v>41180</v>
      </c>
      <c r="BJ917" s="5">
        <v>41178</v>
      </c>
      <c r="BK917" s="4">
        <v>1</v>
      </c>
      <c r="BL917" s="4"/>
      <c r="BM917" s="5">
        <v>41180</v>
      </c>
      <c r="BN917" s="5">
        <v>41178</v>
      </c>
      <c r="BO917" s="5">
        <v>41183</v>
      </c>
      <c r="BP917" s="4"/>
      <c r="BQ917" s="4"/>
      <c r="BR917" s="5">
        <v>41136</v>
      </c>
      <c r="BS917" s="4"/>
      <c r="BT917" s="5">
        <v>41169</v>
      </c>
      <c r="BU917" s="5">
        <v>41169</v>
      </c>
      <c r="BV917" s="5">
        <v>41184</v>
      </c>
      <c r="BW917" s="5">
        <v>41184</v>
      </c>
      <c r="BX917" s="5">
        <v>41183</v>
      </c>
      <c r="BY917" s="5">
        <v>41186</v>
      </c>
      <c r="BZ917" s="5">
        <v>41185</v>
      </c>
      <c r="CA917" s="4"/>
      <c r="CB917" s="4"/>
      <c r="CC917" s="4"/>
      <c r="CD917" s="4"/>
      <c r="CE917" s="4"/>
      <c r="CF917" s="4"/>
      <c r="CG917" s="4"/>
      <c r="CH917" s="4"/>
      <c r="CI917" s="5">
        <v>41185</v>
      </c>
      <c r="CJ917" s="5">
        <v>41208</v>
      </c>
      <c r="CK917" s="5">
        <v>41201</v>
      </c>
      <c r="CL917" s="5">
        <v>41195</v>
      </c>
      <c r="CM917" s="5">
        <v>41195</v>
      </c>
      <c r="CN917" s="5">
        <v>41411</v>
      </c>
      <c r="CO917" s="5">
        <v>41401</v>
      </c>
      <c r="CP917" s="4"/>
      <c r="CQ917" s="4"/>
      <c r="CR917" s="5">
        <v>41186</v>
      </c>
      <c r="CS917" s="4"/>
      <c r="CT917" s="4"/>
      <c r="CU917" s="5">
        <v>41173</v>
      </c>
      <c r="CV917" s="5">
        <v>41183</v>
      </c>
      <c r="CW917" s="5">
        <v>41173</v>
      </c>
      <c r="CX917" s="5">
        <v>41183</v>
      </c>
      <c r="CY917" s="5">
        <v>41184</v>
      </c>
      <c r="CZ917" s="5">
        <v>41183</v>
      </c>
      <c r="DA917" s="5">
        <v>41186</v>
      </c>
      <c r="DB917" s="5">
        <v>41186</v>
      </c>
      <c r="DC917" s="5">
        <v>40966</v>
      </c>
      <c r="DD917" s="4" t="s">
        <v>573</v>
      </c>
      <c r="DE917" s="4" t="s">
        <v>2839</v>
      </c>
      <c r="DF917" s="5">
        <v>41184</v>
      </c>
      <c r="DG917" s="5">
        <v>41184</v>
      </c>
      <c r="DH917" s="4" t="s">
        <v>174</v>
      </c>
      <c r="DI917" s="5">
        <v>41184</v>
      </c>
      <c r="DJ917" s="4" t="b">
        <v>1</v>
      </c>
      <c r="DK917" s="4"/>
      <c r="DL917" s="4">
        <v>2948914</v>
      </c>
      <c r="DM917" s="4">
        <v>6268608</v>
      </c>
      <c r="DN917" s="4" t="s">
        <v>2858</v>
      </c>
      <c r="DO917" s="4"/>
      <c r="DP917" s="4"/>
      <c r="DQ917" s="4" t="s">
        <v>148</v>
      </c>
      <c r="DR917" s="4"/>
      <c r="DS917" s="4"/>
      <c r="DT917" s="5">
        <v>42101</v>
      </c>
      <c r="DU917" s="4"/>
      <c r="DV917" s="4"/>
      <c r="DW917" s="4"/>
      <c r="DX917" s="4"/>
      <c r="DY917" s="4"/>
      <c r="DZ917" s="4"/>
      <c r="EA917" s="4"/>
      <c r="EB917" s="4"/>
      <c r="EC917" s="4"/>
      <c r="ED917" s="4"/>
      <c r="EE917" s="4"/>
      <c r="EF917" s="4"/>
      <c r="EG917" s="5">
        <v>41190</v>
      </c>
      <c r="EH917" s="5">
        <v>41187</v>
      </c>
      <c r="EI917" s="5">
        <v>40980</v>
      </c>
    </row>
    <row r="918" spans="1:139" hidden="1" x14ac:dyDescent="0.2">
      <c r="A918">
        <f>VLOOKUP(B918,Sheet1!$A$1:$B$18,2,FALSE)</f>
        <v>0</v>
      </c>
      <c r="B918" t="str">
        <f>LEFT(D918,3)</f>
        <v>GSB</v>
      </c>
      <c r="C918" s="2">
        <v>917</v>
      </c>
      <c r="D918" s="3" t="str">
        <f>HYPERLINK("https://sitebase.nzcomms.co.nz/spm/spmnominalview/GSB-028-016/","GSB-028-016")</f>
        <v>GSB-028-016</v>
      </c>
      <c r="E918" s="4" t="s">
        <v>2859</v>
      </c>
      <c r="F918" s="3" t="str">
        <f>HYPERLINK("https://sitebase.nzcomms.co.nz/spm/spmcandidateview/GSB-028-016-A/","GSB-028-016-A")</f>
        <v>GSB-028-016-A</v>
      </c>
      <c r="G918" s="4" t="s">
        <v>2860</v>
      </c>
      <c r="H918" s="4" t="s">
        <v>2835</v>
      </c>
      <c r="I918" s="4">
        <v>7</v>
      </c>
      <c r="J918" s="4" t="s">
        <v>180</v>
      </c>
      <c r="K918" s="4" t="s">
        <v>141</v>
      </c>
      <c r="L918" s="4" t="s">
        <v>142</v>
      </c>
      <c r="M918" s="4" t="s">
        <v>190</v>
      </c>
      <c r="N918" s="4" t="s">
        <v>142</v>
      </c>
      <c r="O918" s="4"/>
      <c r="P918" s="4" t="s">
        <v>169</v>
      </c>
      <c r="Q918" s="4" t="s">
        <v>142</v>
      </c>
      <c r="R918" s="4"/>
      <c r="S918" s="4"/>
      <c r="T918" s="4">
        <v>1</v>
      </c>
      <c r="U918" s="4">
        <v>-38.67818733</v>
      </c>
      <c r="V918" s="4">
        <v>178.06993906</v>
      </c>
      <c r="W918" s="4"/>
      <c r="X918" s="5">
        <v>40932</v>
      </c>
      <c r="Y918" s="4"/>
      <c r="Z918" s="5">
        <v>40695</v>
      </c>
      <c r="AA918" s="4" t="s">
        <v>171</v>
      </c>
      <c r="AB918" s="3" t="str">
        <f>HYPERLINK("https://sitebase.nzcomms.co.nz/spm/spmcandidateview/GSB-028-003-A/","GSB-028-003-A")</f>
        <v>GSB-028-003-A</v>
      </c>
      <c r="AC918" s="4" t="b">
        <v>1</v>
      </c>
      <c r="AD918" s="4" t="b">
        <v>1</v>
      </c>
      <c r="AE918" s="5">
        <v>40695</v>
      </c>
      <c r="AF918" s="4"/>
      <c r="AG918" s="4" t="b">
        <v>1</v>
      </c>
      <c r="AH918" s="4"/>
      <c r="AI918" s="5">
        <v>40746</v>
      </c>
      <c r="AJ918" s="5">
        <v>40745</v>
      </c>
      <c r="AK918" s="5">
        <v>40746</v>
      </c>
      <c r="AL918" s="5">
        <v>40746</v>
      </c>
      <c r="AM918" s="5">
        <v>40763</v>
      </c>
      <c r="AN918" s="5">
        <v>40759</v>
      </c>
      <c r="AO918" s="4">
        <v>1</v>
      </c>
      <c r="AP918" s="5">
        <v>40763</v>
      </c>
      <c r="AQ918" s="5">
        <v>40759</v>
      </c>
      <c r="AR918" s="5">
        <v>40823</v>
      </c>
      <c r="AS918" s="5">
        <v>40822</v>
      </c>
      <c r="AT918" s="5">
        <v>41033</v>
      </c>
      <c r="AU918" s="5">
        <v>41022</v>
      </c>
      <c r="AV918" s="4"/>
      <c r="AW918" s="5">
        <v>41060</v>
      </c>
      <c r="AX918" s="5">
        <v>41101</v>
      </c>
      <c r="AY918" s="4" t="s">
        <v>247</v>
      </c>
      <c r="AZ918" s="5">
        <v>40765</v>
      </c>
      <c r="BA918" s="5">
        <v>40771</v>
      </c>
      <c r="BB918" s="5">
        <v>40795</v>
      </c>
      <c r="BC918" s="5">
        <v>40800</v>
      </c>
      <c r="BD918" s="4">
        <v>1</v>
      </c>
      <c r="BE918" s="5">
        <v>40795</v>
      </c>
      <c r="BF918" s="5">
        <v>40800</v>
      </c>
      <c r="BG918" s="4"/>
      <c r="BH918" s="4"/>
      <c r="BI918" s="5">
        <v>41017</v>
      </c>
      <c r="BJ918" s="5">
        <v>41018</v>
      </c>
      <c r="BK918" s="4">
        <v>2</v>
      </c>
      <c r="BL918" s="4"/>
      <c r="BM918" s="5">
        <v>41017</v>
      </c>
      <c r="BN918" s="5">
        <v>41045</v>
      </c>
      <c r="BO918" s="5">
        <v>41054</v>
      </c>
      <c r="BP918" s="4"/>
      <c r="BQ918" s="4"/>
      <c r="BR918" s="4"/>
      <c r="BS918" s="4"/>
      <c r="BT918" s="5">
        <v>41050</v>
      </c>
      <c r="BU918" s="5">
        <v>41037</v>
      </c>
      <c r="BV918" s="5">
        <v>41056</v>
      </c>
      <c r="BW918" s="5">
        <v>41056</v>
      </c>
      <c r="BX918" s="5">
        <v>41056</v>
      </c>
      <c r="BY918" s="5">
        <v>41061</v>
      </c>
      <c r="BZ918" s="5">
        <v>41070</v>
      </c>
      <c r="CA918" s="4"/>
      <c r="CB918" s="4"/>
      <c r="CC918" s="4"/>
      <c r="CD918" s="4"/>
      <c r="CE918" s="4"/>
      <c r="CF918" s="4"/>
      <c r="CG918" s="4"/>
      <c r="CH918" s="4"/>
      <c r="CI918" s="5">
        <v>41071</v>
      </c>
      <c r="CJ918" s="5">
        <v>41075</v>
      </c>
      <c r="CK918" s="5">
        <v>41075</v>
      </c>
      <c r="CL918" s="5">
        <v>41089</v>
      </c>
      <c r="CM918" s="5">
        <v>41089</v>
      </c>
      <c r="CN918" s="5">
        <v>41435</v>
      </c>
      <c r="CO918" s="5">
        <v>41418</v>
      </c>
      <c r="CP918" s="4" t="s">
        <v>2861</v>
      </c>
      <c r="CQ918" s="4" t="s">
        <v>230</v>
      </c>
      <c r="CR918" s="5">
        <v>41062</v>
      </c>
      <c r="CS918" s="5">
        <v>41041</v>
      </c>
      <c r="CT918" s="5">
        <v>41041</v>
      </c>
      <c r="CU918" s="5">
        <v>41019</v>
      </c>
      <c r="CV918" s="5">
        <v>41050</v>
      </c>
      <c r="CW918" s="5">
        <v>41053</v>
      </c>
      <c r="CX918" s="5">
        <v>41054</v>
      </c>
      <c r="CY918" s="5">
        <v>41054</v>
      </c>
      <c r="CZ918" s="5">
        <v>41057</v>
      </c>
      <c r="DA918" s="5">
        <v>41068</v>
      </c>
      <c r="DB918" s="5">
        <v>41068</v>
      </c>
      <c r="DC918" s="4"/>
      <c r="DD918" s="4"/>
      <c r="DE918" s="4" t="s">
        <v>2839</v>
      </c>
      <c r="DF918" s="4"/>
      <c r="DG918" s="4"/>
      <c r="DH918" s="4" t="s">
        <v>174</v>
      </c>
      <c r="DI918" s="5">
        <v>41054</v>
      </c>
      <c r="DJ918" s="4" t="b">
        <v>0</v>
      </c>
      <c r="DK918" s="4"/>
      <c r="DL918" s="4">
        <v>2950986</v>
      </c>
      <c r="DM918" s="4">
        <v>6268158</v>
      </c>
      <c r="DN918" s="4" t="s">
        <v>2862</v>
      </c>
      <c r="DO918" s="4"/>
      <c r="DP918" s="4" t="s">
        <v>2863</v>
      </c>
      <c r="DQ918" s="4" t="s">
        <v>148</v>
      </c>
      <c r="DR918" s="4"/>
      <c r="DS918" s="4"/>
      <c r="DT918" s="5">
        <v>42101</v>
      </c>
      <c r="DU918" s="4"/>
      <c r="DV918" s="4"/>
      <c r="DW918" s="4"/>
      <c r="DX918" s="4"/>
      <c r="DY918" s="4"/>
      <c r="DZ918" s="4"/>
      <c r="EA918" s="4"/>
      <c r="EB918" s="4"/>
      <c r="EC918" s="4"/>
      <c r="ED918" s="4"/>
      <c r="EE918" s="4"/>
      <c r="EF918" s="4"/>
      <c r="EG918" s="5">
        <v>41071</v>
      </c>
      <c r="EH918" s="5">
        <v>41075</v>
      </c>
      <c r="EI918" s="5">
        <v>40746</v>
      </c>
    </row>
    <row r="919" spans="1:139" hidden="1" x14ac:dyDescent="0.2">
      <c r="A919">
        <f>VLOOKUP(B919,Sheet1!$A$1:$B$18,2,FALSE)</f>
        <v>0</v>
      </c>
      <c r="B919" t="str">
        <f>LEFT(D919,3)</f>
        <v>GSB</v>
      </c>
      <c r="C919" s="2">
        <v>918</v>
      </c>
      <c r="D919" s="3" t="str">
        <f>HYPERLINK("https://sitebase.nzcomms.co.nz/spm/spmnominalview/GSB-028-017/","GSB-028-017")</f>
        <v>GSB-028-017</v>
      </c>
      <c r="E919" s="4" t="s">
        <v>2864</v>
      </c>
      <c r="F919" s="4"/>
      <c r="G919" s="4"/>
      <c r="H919" s="4" t="s">
        <v>2835</v>
      </c>
      <c r="I919" s="4"/>
      <c r="J919" s="4" t="s">
        <v>196</v>
      </c>
      <c r="K919" s="4"/>
      <c r="L919" s="4"/>
      <c r="M919" s="4"/>
      <c r="N919" s="4"/>
      <c r="O919" s="4"/>
      <c r="P919" s="4"/>
      <c r="Q919" s="4"/>
      <c r="R919" s="4"/>
      <c r="S919" s="4"/>
      <c r="T919" s="4"/>
      <c r="U919" s="4"/>
      <c r="V919" s="4"/>
      <c r="W919" s="4"/>
      <c r="X919" s="4"/>
      <c r="Y919" s="4"/>
      <c r="Z919" s="4"/>
      <c r="AA919" s="4"/>
      <c r="AB919" s="4"/>
      <c r="AC919" s="4"/>
      <c r="AD919" s="4"/>
      <c r="AE919" s="4"/>
      <c r="AF919" s="4"/>
      <c r="AG919" s="4" t="b">
        <v>0</v>
      </c>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row>
    <row r="920" spans="1:139" hidden="1" x14ac:dyDescent="0.2">
      <c r="A920">
        <f>VLOOKUP(B920,Sheet1!$A$1:$B$18,2,FALSE)</f>
        <v>0</v>
      </c>
      <c r="B920" t="str">
        <f>LEFT(D920,3)</f>
        <v>GSB</v>
      </c>
      <c r="C920" s="2">
        <v>919</v>
      </c>
      <c r="D920" s="3" t="str">
        <f>HYPERLINK("https://sitebase.nzcomms.co.nz/spm/spmnominalview/GSB-028-018/","GSB-028-018")</f>
        <v>GSB-028-018</v>
      </c>
      <c r="E920" s="4" t="s">
        <v>2844</v>
      </c>
      <c r="F920" s="3" t="str">
        <f>HYPERLINK("https://sitebase.nzcomms.co.nz/spm/spmcandidateview/GSB-028-018-A/","GSB-028-018-A")</f>
        <v>GSB-028-018-A</v>
      </c>
      <c r="G920" s="4" t="s">
        <v>2844</v>
      </c>
      <c r="H920" s="4" t="s">
        <v>2835</v>
      </c>
      <c r="I920" s="4">
        <v>4</v>
      </c>
      <c r="J920" s="4" t="s">
        <v>180</v>
      </c>
      <c r="K920" s="4" t="s">
        <v>141</v>
      </c>
      <c r="L920" s="4" t="s">
        <v>142</v>
      </c>
      <c r="M920" s="4" t="s">
        <v>190</v>
      </c>
      <c r="N920" s="4" t="s">
        <v>142</v>
      </c>
      <c r="O920" s="4"/>
      <c r="P920" s="4" t="s">
        <v>169</v>
      </c>
      <c r="Q920" s="4" t="s">
        <v>142</v>
      </c>
      <c r="R920" s="4"/>
      <c r="S920" s="4"/>
      <c r="T920" s="4">
        <v>1</v>
      </c>
      <c r="U920" s="4">
        <v>-38.596075210000002</v>
      </c>
      <c r="V920" s="4">
        <v>177.98853539999999</v>
      </c>
      <c r="W920" s="4"/>
      <c r="X920" s="5">
        <v>40933</v>
      </c>
      <c r="Y920" s="4"/>
      <c r="Z920" s="5">
        <v>40695</v>
      </c>
      <c r="AA920" s="4" t="s">
        <v>171</v>
      </c>
      <c r="AB920" s="3" t="str">
        <f>HYPERLINK("https://sitebase.nzcomms.co.nz/spm/spmcandidateview/GSB-028-003-A/","GSB-028-003-A")</f>
        <v>GSB-028-003-A</v>
      </c>
      <c r="AC920" s="4" t="b">
        <v>1</v>
      </c>
      <c r="AD920" s="4" t="b">
        <v>1</v>
      </c>
      <c r="AE920" s="5">
        <v>40695</v>
      </c>
      <c r="AF920" s="4"/>
      <c r="AG920" s="4" t="b">
        <v>1</v>
      </c>
      <c r="AH920" s="4"/>
      <c r="AI920" s="5">
        <v>40767</v>
      </c>
      <c r="AJ920" s="5">
        <v>40767</v>
      </c>
      <c r="AK920" s="5">
        <v>40770</v>
      </c>
      <c r="AL920" s="5">
        <v>40770</v>
      </c>
      <c r="AM920" s="5">
        <v>40757</v>
      </c>
      <c r="AN920" s="5">
        <v>40753</v>
      </c>
      <c r="AO920" s="4">
        <v>3</v>
      </c>
      <c r="AP920" s="5">
        <v>40771</v>
      </c>
      <c r="AQ920" s="5">
        <v>40780</v>
      </c>
      <c r="AR920" s="5">
        <v>40788</v>
      </c>
      <c r="AS920" s="5">
        <v>40780</v>
      </c>
      <c r="AT920" s="5">
        <v>40893</v>
      </c>
      <c r="AU920" s="5">
        <v>40869</v>
      </c>
      <c r="AV920" s="4"/>
      <c r="AW920" s="5">
        <v>40898</v>
      </c>
      <c r="AX920" s="5">
        <v>40967</v>
      </c>
      <c r="AY920" s="4" t="s">
        <v>172</v>
      </c>
      <c r="AZ920" s="5">
        <v>40767</v>
      </c>
      <c r="BA920" s="5">
        <v>40771</v>
      </c>
      <c r="BB920" s="5">
        <v>40809</v>
      </c>
      <c r="BC920" s="5">
        <v>40807</v>
      </c>
      <c r="BD920" s="4">
        <v>2</v>
      </c>
      <c r="BE920" s="5">
        <v>40813</v>
      </c>
      <c r="BF920" s="5">
        <v>40807</v>
      </c>
      <c r="BG920" s="4"/>
      <c r="BH920" s="4"/>
      <c r="BI920" s="5">
        <v>41018</v>
      </c>
      <c r="BJ920" s="5">
        <v>41019</v>
      </c>
      <c r="BK920" s="4">
        <v>2</v>
      </c>
      <c r="BL920" s="4">
        <v>3</v>
      </c>
      <c r="BM920" s="5">
        <v>41018</v>
      </c>
      <c r="BN920" s="5">
        <v>41542</v>
      </c>
      <c r="BO920" s="5">
        <v>41047</v>
      </c>
      <c r="BP920" s="4"/>
      <c r="BQ920" s="4"/>
      <c r="BR920" s="4"/>
      <c r="BS920" s="4"/>
      <c r="BT920" s="5">
        <v>41050</v>
      </c>
      <c r="BU920" s="5">
        <v>41048</v>
      </c>
      <c r="BV920" s="5">
        <v>41057</v>
      </c>
      <c r="BW920" s="5">
        <v>41056</v>
      </c>
      <c r="BX920" s="5">
        <v>41056</v>
      </c>
      <c r="BY920" s="5">
        <v>41067</v>
      </c>
      <c r="BZ920" s="5">
        <v>41067</v>
      </c>
      <c r="CA920" s="4"/>
      <c r="CB920" s="4"/>
      <c r="CC920" s="4"/>
      <c r="CD920" s="4"/>
      <c r="CE920" s="4"/>
      <c r="CF920" s="4"/>
      <c r="CG920" s="4"/>
      <c r="CH920" s="4"/>
      <c r="CI920" s="5">
        <v>41069</v>
      </c>
      <c r="CJ920" s="5">
        <v>41075</v>
      </c>
      <c r="CK920" s="5">
        <v>41075</v>
      </c>
      <c r="CL920" s="5">
        <v>41089</v>
      </c>
      <c r="CM920" s="5">
        <v>41089</v>
      </c>
      <c r="CN920" s="5">
        <v>41534</v>
      </c>
      <c r="CO920" s="5">
        <v>41561</v>
      </c>
      <c r="CP920" s="4" t="s">
        <v>2865</v>
      </c>
      <c r="CQ920" s="4" t="s">
        <v>230</v>
      </c>
      <c r="CR920" s="5">
        <v>41068</v>
      </c>
      <c r="CS920" s="5">
        <v>41088</v>
      </c>
      <c r="CT920" s="5">
        <v>41088</v>
      </c>
      <c r="CU920" s="5">
        <v>41019</v>
      </c>
      <c r="CV920" s="5">
        <v>41047</v>
      </c>
      <c r="CW920" s="5">
        <v>41029</v>
      </c>
      <c r="CX920" s="5">
        <v>41047</v>
      </c>
      <c r="CY920" s="5">
        <v>41054</v>
      </c>
      <c r="CZ920" s="5">
        <v>41054</v>
      </c>
      <c r="DA920" s="5">
        <v>41068</v>
      </c>
      <c r="DB920" s="5">
        <v>41068</v>
      </c>
      <c r="DC920" s="4"/>
      <c r="DD920" s="4"/>
      <c r="DE920" s="4" t="s">
        <v>2839</v>
      </c>
      <c r="DF920" s="4"/>
      <c r="DG920" s="4"/>
      <c r="DH920" s="4" t="s">
        <v>174</v>
      </c>
      <c r="DI920" s="5">
        <v>41055</v>
      </c>
      <c r="DJ920" s="4" t="b">
        <v>0</v>
      </c>
      <c r="DK920" s="4"/>
      <c r="DL920" s="4">
        <v>2944417</v>
      </c>
      <c r="DM920" s="4">
        <v>6277655</v>
      </c>
      <c r="DN920" s="4" t="s">
        <v>2866</v>
      </c>
      <c r="DO920" s="4"/>
      <c r="DP920" s="4"/>
      <c r="DQ920" s="4" t="s">
        <v>148</v>
      </c>
      <c r="DR920" s="4"/>
      <c r="DS920" s="4"/>
      <c r="DT920" s="4"/>
      <c r="DU920" s="4"/>
      <c r="DV920" s="4"/>
      <c r="DW920" s="4"/>
      <c r="DX920" s="4"/>
      <c r="DY920" s="4"/>
      <c r="DZ920" s="4"/>
      <c r="EA920" s="4"/>
      <c r="EB920" s="4"/>
      <c r="EC920" s="4"/>
      <c r="ED920" s="4"/>
      <c r="EE920" s="4"/>
      <c r="EF920" s="4"/>
      <c r="EG920" s="5">
        <v>41074</v>
      </c>
      <c r="EH920" s="5">
        <v>41079</v>
      </c>
      <c r="EI920" s="4"/>
    </row>
    <row r="921" spans="1:139" hidden="1" x14ac:dyDescent="0.2">
      <c r="A921">
        <f>VLOOKUP(B921,Sheet1!$A$1:$B$18,2,FALSE)</f>
        <v>0</v>
      </c>
      <c r="B921" t="str">
        <f>LEFT(D921,3)</f>
        <v>GSB</v>
      </c>
      <c r="C921" s="2">
        <v>920</v>
      </c>
      <c r="D921" s="3" t="str">
        <f>HYPERLINK("https://sitebase.nzcomms.co.nz/spm/spmnominalview/GSB-028-019/","GSB-028-019")</f>
        <v>GSB-028-019</v>
      </c>
      <c r="E921" s="4" t="s">
        <v>2867</v>
      </c>
      <c r="F921" s="3" t="str">
        <f>HYPERLINK("https://sitebase.nzcomms.co.nz/spm/spmcandidateview/GSB-028-019-A/","GSB-028-019-A")</f>
        <v>GSB-028-019-A</v>
      </c>
      <c r="G921" s="4" t="s">
        <v>2225</v>
      </c>
      <c r="H921" s="4" t="s">
        <v>2835</v>
      </c>
      <c r="I921" s="4">
        <v>24</v>
      </c>
      <c r="J921" s="4" t="s">
        <v>165</v>
      </c>
      <c r="K921" s="4" t="s">
        <v>141</v>
      </c>
      <c r="L921" s="4" t="s">
        <v>142</v>
      </c>
      <c r="M921" s="4" t="s">
        <v>166</v>
      </c>
      <c r="N921" s="4" t="s">
        <v>1986</v>
      </c>
      <c r="O921" s="4"/>
      <c r="P921" s="4" t="s">
        <v>169</v>
      </c>
      <c r="Q921" s="4" t="s">
        <v>142</v>
      </c>
      <c r="R921" s="4"/>
      <c r="S921" s="4">
        <v>16.5</v>
      </c>
      <c r="T921" s="4"/>
      <c r="U921" s="4">
        <v>-37.805868320000002</v>
      </c>
      <c r="V921" s="4">
        <v>178.35880915999999</v>
      </c>
      <c r="W921" s="4"/>
      <c r="X921" s="5">
        <v>42067</v>
      </c>
      <c r="Y921" s="4"/>
      <c r="Z921" s="5">
        <v>42109</v>
      </c>
      <c r="AA921" s="4" t="s">
        <v>152</v>
      </c>
      <c r="AB921" s="3" t="str">
        <f>HYPERLINK("https://sitebase.nzcomms.co.nz/spm/spmcandidateview/AKL-007-112-A/","AKL-007-112-A")</f>
        <v>AKL-007-112-A</v>
      </c>
      <c r="AC921" s="4" t="b">
        <v>0</v>
      </c>
      <c r="AD921" s="4" t="b">
        <v>0</v>
      </c>
      <c r="AE921" s="4"/>
      <c r="AF921" s="4"/>
      <c r="AG921" s="4" t="b">
        <v>0</v>
      </c>
      <c r="AH921" s="4"/>
      <c r="AI921" s="5">
        <v>41968</v>
      </c>
      <c r="AJ921" s="5">
        <v>41968</v>
      </c>
      <c r="AK921" s="5">
        <v>42090</v>
      </c>
      <c r="AL921" s="5">
        <v>42090</v>
      </c>
      <c r="AM921" s="5">
        <v>42111</v>
      </c>
      <c r="AN921" s="5">
        <v>42094</v>
      </c>
      <c r="AO921" s="4">
        <v>1</v>
      </c>
      <c r="AP921" s="5">
        <v>42102</v>
      </c>
      <c r="AQ921" s="5">
        <v>42094</v>
      </c>
      <c r="AR921" s="5">
        <v>42131</v>
      </c>
      <c r="AS921" s="5">
        <v>42131</v>
      </c>
      <c r="AT921" s="5">
        <v>42139</v>
      </c>
      <c r="AU921" s="5">
        <v>42131</v>
      </c>
      <c r="AV921" s="4"/>
      <c r="AW921" s="5">
        <v>42220</v>
      </c>
      <c r="AX921" s="5">
        <v>42220</v>
      </c>
      <c r="AY921" s="4" t="s">
        <v>183</v>
      </c>
      <c r="AZ921" s="5">
        <v>42155</v>
      </c>
      <c r="BA921" s="5">
        <v>42114</v>
      </c>
      <c r="BB921" s="5">
        <v>42185</v>
      </c>
      <c r="BC921" s="5">
        <v>42114</v>
      </c>
      <c r="BD921" s="4">
        <v>1</v>
      </c>
      <c r="BE921" s="4"/>
      <c r="BF921" s="5">
        <v>42114</v>
      </c>
      <c r="BG921" s="5">
        <v>42111</v>
      </c>
      <c r="BH921" s="5">
        <v>42090</v>
      </c>
      <c r="BI921" s="5">
        <v>42155</v>
      </c>
      <c r="BJ921" s="5">
        <v>42104</v>
      </c>
      <c r="BK921" s="4">
        <v>1</v>
      </c>
      <c r="BL921" s="4"/>
      <c r="BM921" s="5">
        <v>42104</v>
      </c>
      <c r="BN921" s="5">
        <v>42104</v>
      </c>
      <c r="BO921" s="4"/>
      <c r="BP921" s="4"/>
      <c r="BQ921" s="4"/>
      <c r="BR921" s="4"/>
      <c r="BS921" s="4"/>
      <c r="BT921" s="5">
        <v>42244</v>
      </c>
      <c r="BU921" s="5">
        <v>42243</v>
      </c>
      <c r="BV921" s="5">
        <v>42277</v>
      </c>
      <c r="BW921" s="5">
        <v>42264</v>
      </c>
      <c r="BX921" s="5">
        <v>42222</v>
      </c>
      <c r="BY921" s="5">
        <v>42286</v>
      </c>
      <c r="BZ921" s="5">
        <v>42282</v>
      </c>
      <c r="CA921" s="5">
        <v>42219</v>
      </c>
      <c r="CB921" s="5">
        <v>42213</v>
      </c>
      <c r="CC921" s="5">
        <v>42213</v>
      </c>
      <c r="CD921" s="5">
        <v>42213</v>
      </c>
      <c r="CE921" s="5">
        <v>42213</v>
      </c>
      <c r="CF921" s="5">
        <v>42213</v>
      </c>
      <c r="CG921" s="5">
        <v>42213</v>
      </c>
      <c r="CH921" s="5">
        <v>42213</v>
      </c>
      <c r="CI921" s="4"/>
      <c r="CJ921" s="5">
        <v>42306</v>
      </c>
      <c r="CK921" s="5">
        <v>42306</v>
      </c>
      <c r="CL921" s="4"/>
      <c r="CM921" s="4"/>
      <c r="CN921" s="4"/>
      <c r="CO921" s="4"/>
      <c r="CP921" s="4" t="s">
        <v>2868</v>
      </c>
      <c r="CQ921" s="4" t="s">
        <v>1657</v>
      </c>
      <c r="CR921" s="4"/>
      <c r="CS921" s="4"/>
      <c r="CT921" s="4"/>
      <c r="CU921" s="4"/>
      <c r="CV921" s="4"/>
      <c r="CW921" s="4"/>
      <c r="CX921" s="4"/>
      <c r="CY921" s="4"/>
      <c r="CZ921" s="4"/>
      <c r="DA921" s="5">
        <v>42303</v>
      </c>
      <c r="DB921" s="5">
        <v>42305</v>
      </c>
      <c r="DC921" s="4"/>
      <c r="DD921" s="4"/>
      <c r="DE921" s="4"/>
      <c r="DF921" s="5">
        <v>42213</v>
      </c>
      <c r="DG921" s="5">
        <v>42213</v>
      </c>
      <c r="DH921" s="4" t="s">
        <v>174</v>
      </c>
      <c r="DI921" s="5">
        <v>42222</v>
      </c>
      <c r="DJ921" s="4" t="b">
        <v>0</v>
      </c>
      <c r="DK921" s="4"/>
      <c r="DL921" s="4">
        <v>2981819</v>
      </c>
      <c r="DM921" s="4">
        <v>6363378</v>
      </c>
      <c r="DN921" s="4" t="s">
        <v>2869</v>
      </c>
      <c r="DO921" s="4"/>
      <c r="DP921" s="4"/>
      <c r="DQ921" s="4" t="s">
        <v>148</v>
      </c>
      <c r="DR921" s="4"/>
      <c r="DS921" s="4"/>
      <c r="DT921" s="4"/>
      <c r="DU921" s="4" t="s">
        <v>178</v>
      </c>
      <c r="DV921" s="4"/>
      <c r="DW921" s="4"/>
      <c r="DX921" s="5">
        <v>42118</v>
      </c>
      <c r="DY921" s="5">
        <v>42117</v>
      </c>
      <c r="DZ921" s="5">
        <v>42117</v>
      </c>
      <c r="EA921" s="4"/>
      <c r="EB921" s="4"/>
      <c r="EC921" s="4"/>
      <c r="ED921" s="4"/>
      <c r="EE921" s="5">
        <v>42138</v>
      </c>
      <c r="EF921" s="5">
        <v>42137</v>
      </c>
      <c r="EG921" s="4"/>
      <c r="EH921" s="4"/>
      <c r="EI921" s="5">
        <v>42090</v>
      </c>
    </row>
    <row r="922" spans="1:139" hidden="1" x14ac:dyDescent="0.2">
      <c r="A922">
        <f>VLOOKUP(B922,Sheet1!$A$1:$B$18,2,FALSE)</f>
        <v>0</v>
      </c>
      <c r="B922" t="str">
        <f>LEFT(D922,3)</f>
        <v>GSB</v>
      </c>
      <c r="C922" s="2">
        <v>921</v>
      </c>
      <c r="D922" s="3" t="str">
        <f>HYPERLINK("https://sitebase.nzcomms.co.nz/spm/spmnominalview/GSB-028-020/","GSB-028-020")</f>
        <v>GSB-028-020</v>
      </c>
      <c r="E922" s="4" t="s">
        <v>2870</v>
      </c>
      <c r="F922" s="3" t="str">
        <f>HYPERLINK("https://sitebase.nzcomms.co.nz/spm/spmcandidateview/GSB-028-020-A/","GSB-028-020-A")</f>
        <v>GSB-028-020-A</v>
      </c>
      <c r="G922" s="4" t="s">
        <v>150</v>
      </c>
      <c r="H922" s="4" t="s">
        <v>2835</v>
      </c>
      <c r="I922" s="4">
        <v>24</v>
      </c>
      <c r="J922" s="4" t="s">
        <v>165</v>
      </c>
      <c r="K922" s="4" t="s">
        <v>141</v>
      </c>
      <c r="L922" s="4" t="s">
        <v>150</v>
      </c>
      <c r="M922" s="4" t="s">
        <v>166</v>
      </c>
      <c r="N922" s="4" t="s">
        <v>1572</v>
      </c>
      <c r="O922" s="4"/>
      <c r="P922" s="4" t="s">
        <v>169</v>
      </c>
      <c r="Q922" s="4" t="s">
        <v>192</v>
      </c>
      <c r="R922" s="4"/>
      <c r="S922" s="4"/>
      <c r="T922" s="4"/>
      <c r="U922" s="4">
        <v>-37.59918613</v>
      </c>
      <c r="V922" s="4">
        <v>178.30884861999999</v>
      </c>
      <c r="W922" s="4"/>
      <c r="X922" s="5">
        <v>42067</v>
      </c>
      <c r="Y922" s="4"/>
      <c r="Z922" s="5">
        <v>42109</v>
      </c>
      <c r="AA922" s="4" t="s">
        <v>171</v>
      </c>
      <c r="AB922" s="3" t="str">
        <f>HYPERLINK("https://sitebase.nzcomms.co.nz/spm/spmcandidateview/GSB-028-019-A/","GSB-028-019-A")</f>
        <v>GSB-028-019-A</v>
      </c>
      <c r="AC922" s="4" t="b">
        <v>0</v>
      </c>
      <c r="AD922" s="4" t="b">
        <v>0</v>
      </c>
      <c r="AE922" s="4"/>
      <c r="AF922" s="4"/>
      <c r="AG922" s="4" t="b">
        <v>0</v>
      </c>
      <c r="AH922" s="4"/>
      <c r="AI922" s="5">
        <v>42097</v>
      </c>
      <c r="AJ922" s="5">
        <v>42095</v>
      </c>
      <c r="AK922" s="5">
        <v>42124</v>
      </c>
      <c r="AL922" s="5">
        <v>42109</v>
      </c>
      <c r="AM922" s="5">
        <v>42155</v>
      </c>
      <c r="AN922" s="5">
        <v>42151</v>
      </c>
      <c r="AO922" s="4">
        <v>2</v>
      </c>
      <c r="AP922" s="4"/>
      <c r="AQ922" s="5">
        <v>42206</v>
      </c>
      <c r="AR922" s="5">
        <v>42213</v>
      </c>
      <c r="AS922" s="5">
        <v>42213</v>
      </c>
      <c r="AT922" s="5">
        <v>42223</v>
      </c>
      <c r="AU922" s="5">
        <v>42221</v>
      </c>
      <c r="AV922" s="4"/>
      <c r="AW922" s="4"/>
      <c r="AX922" s="5">
        <v>42220</v>
      </c>
      <c r="AY922" s="4" t="s">
        <v>247</v>
      </c>
      <c r="AZ922" s="5">
        <v>42174</v>
      </c>
      <c r="BA922" s="5">
        <v>42164</v>
      </c>
      <c r="BB922" s="5">
        <v>42230</v>
      </c>
      <c r="BC922" s="5">
        <v>42229</v>
      </c>
      <c r="BD922" s="4">
        <v>1</v>
      </c>
      <c r="BE922" s="4"/>
      <c r="BF922" s="5">
        <v>42257</v>
      </c>
      <c r="BG922" s="5">
        <v>42139</v>
      </c>
      <c r="BH922" s="5">
        <v>42138</v>
      </c>
      <c r="BI922" s="5">
        <v>42216</v>
      </c>
      <c r="BJ922" s="5">
        <v>42216</v>
      </c>
      <c r="BK922" s="4">
        <v>2</v>
      </c>
      <c r="BL922" s="4"/>
      <c r="BM922" s="4"/>
      <c r="BN922" s="5">
        <v>42250</v>
      </c>
      <c r="BO922" s="4"/>
      <c r="BP922" s="4"/>
      <c r="BQ922" s="4"/>
      <c r="BR922" s="4"/>
      <c r="BS922" s="4"/>
      <c r="BT922" s="5">
        <v>42262</v>
      </c>
      <c r="BU922" s="5">
        <v>42268</v>
      </c>
      <c r="BV922" s="5">
        <v>42293</v>
      </c>
      <c r="BW922" s="5">
        <v>42283</v>
      </c>
      <c r="BX922" s="4"/>
      <c r="BY922" s="5">
        <v>42307</v>
      </c>
      <c r="BZ922" s="5">
        <v>42311</v>
      </c>
      <c r="CA922" s="5">
        <v>42251</v>
      </c>
      <c r="CB922" s="4"/>
      <c r="CC922" s="5">
        <v>42251</v>
      </c>
      <c r="CD922" s="4"/>
      <c r="CE922" s="4"/>
      <c r="CF922" s="4"/>
      <c r="CG922" s="4"/>
      <c r="CH922" s="4"/>
      <c r="CI922" s="4"/>
      <c r="CJ922" s="5">
        <v>42321</v>
      </c>
      <c r="CK922" s="5">
        <v>42318</v>
      </c>
      <c r="CL922" s="4"/>
      <c r="CM922" s="4"/>
      <c r="CN922" s="4"/>
      <c r="CO922" s="4"/>
      <c r="CP922" s="4" t="s">
        <v>2871</v>
      </c>
      <c r="CQ922" s="4"/>
      <c r="CR922" s="4"/>
      <c r="CS922" s="4"/>
      <c r="CT922" s="4"/>
      <c r="CU922" s="4"/>
      <c r="CV922" s="4"/>
      <c r="CW922" s="4"/>
      <c r="CX922" s="4"/>
      <c r="CY922" s="4"/>
      <c r="CZ922" s="4"/>
      <c r="DA922" s="5">
        <v>42314</v>
      </c>
      <c r="DB922" s="5">
        <v>42318</v>
      </c>
      <c r="DC922" s="4"/>
      <c r="DD922" s="4" t="s">
        <v>586</v>
      </c>
      <c r="DE922" s="4"/>
      <c r="DF922" s="4"/>
      <c r="DG922" s="4"/>
      <c r="DH922" s="4" t="s">
        <v>174</v>
      </c>
      <c r="DI922" s="4"/>
      <c r="DJ922" s="4" t="b">
        <v>0</v>
      </c>
      <c r="DK922" s="4"/>
      <c r="DL922" s="4">
        <v>2978770</v>
      </c>
      <c r="DM922" s="4">
        <v>6386541</v>
      </c>
      <c r="DN922" s="4" t="s">
        <v>2872</v>
      </c>
      <c r="DO922" s="4"/>
      <c r="DP922" s="4"/>
      <c r="DQ922" s="4" t="s">
        <v>148</v>
      </c>
      <c r="DR922" s="4"/>
      <c r="DS922" s="4"/>
      <c r="DT922" s="4"/>
      <c r="DU922" s="4" t="s">
        <v>178</v>
      </c>
      <c r="DV922" s="4"/>
      <c r="DW922" s="5">
        <v>42194</v>
      </c>
      <c r="DX922" s="5">
        <v>42157</v>
      </c>
      <c r="DY922" s="5">
        <v>42202</v>
      </c>
      <c r="DZ922" s="5">
        <v>42212</v>
      </c>
      <c r="EA922" s="4"/>
      <c r="EB922" s="4"/>
      <c r="EC922" s="4"/>
      <c r="ED922" s="4"/>
      <c r="EE922" s="5">
        <v>42251</v>
      </c>
      <c r="EF922" s="5">
        <v>42250</v>
      </c>
      <c r="EG922" s="4"/>
      <c r="EH922" s="4"/>
      <c r="EI922" s="5">
        <v>42109</v>
      </c>
    </row>
    <row r="923" spans="1:139" hidden="1" x14ac:dyDescent="0.2">
      <c r="A923">
        <f>VLOOKUP(B923,Sheet1!$A$1:$B$18,2,FALSE)</f>
        <v>0</v>
      </c>
      <c r="B923" t="str">
        <f>LEFT(D923,3)</f>
        <v>GSB</v>
      </c>
      <c r="C923" s="2">
        <v>922</v>
      </c>
      <c r="D923" s="3" t="str">
        <f>HYPERLINK("https://sitebase.nzcomms.co.nz/spm/spmnominalview/GSB-028-021/","GSB-028-021")</f>
        <v>GSB-028-021</v>
      </c>
      <c r="E923" s="4" t="s">
        <v>2873</v>
      </c>
      <c r="F923" s="3" t="str">
        <f>HYPERLINK("https://sitebase.nzcomms.co.nz/spm/spmcandidateview/GSB-028-021-A/","GSB-028-021-A")</f>
        <v>GSB-028-021-A</v>
      </c>
      <c r="G923" s="4" t="s">
        <v>2874</v>
      </c>
      <c r="H923" s="4" t="s">
        <v>2835</v>
      </c>
      <c r="I923" s="4">
        <v>24</v>
      </c>
      <c r="J923" s="4" t="s">
        <v>165</v>
      </c>
      <c r="K923" s="4" t="s">
        <v>141</v>
      </c>
      <c r="L923" s="4" t="s">
        <v>150</v>
      </c>
      <c r="M923" s="4" t="s">
        <v>166</v>
      </c>
      <c r="N923" s="4" t="s">
        <v>167</v>
      </c>
      <c r="O923" s="4"/>
      <c r="P923" s="4" t="s">
        <v>169</v>
      </c>
      <c r="Q923" s="4" t="s">
        <v>192</v>
      </c>
      <c r="R923" s="4"/>
      <c r="S923" s="4"/>
      <c r="T923" s="4"/>
      <c r="U923" s="4">
        <v>-38.461632590000001</v>
      </c>
      <c r="V923" s="4">
        <v>177.89169222999999</v>
      </c>
      <c r="W923" s="4"/>
      <c r="X923" s="5">
        <v>42067</v>
      </c>
      <c r="Y923" s="4"/>
      <c r="Z923" s="5">
        <v>42109</v>
      </c>
      <c r="AA923" s="4" t="s">
        <v>145</v>
      </c>
      <c r="AB923" s="3" t="str">
        <f>HYPERLINK("https://sitebase.nzcomms.co.nz/spm/spmcandidateview/HKB-030-001-A/","HKB-030-001-A")</f>
        <v>HKB-030-001-A</v>
      </c>
      <c r="AC923" s="4" t="b">
        <v>0</v>
      </c>
      <c r="AD923" s="4" t="b">
        <v>0</v>
      </c>
      <c r="AE923" s="4"/>
      <c r="AF923" s="4"/>
      <c r="AG923" s="4" t="b">
        <v>0</v>
      </c>
      <c r="AH923" s="4"/>
      <c r="AI923" s="5">
        <v>42097</v>
      </c>
      <c r="AJ923" s="5">
        <v>42095</v>
      </c>
      <c r="AK923" s="5">
        <v>42111</v>
      </c>
      <c r="AL923" s="5">
        <v>42109</v>
      </c>
      <c r="AM923" s="5">
        <v>42142</v>
      </c>
      <c r="AN923" s="5">
        <v>42150</v>
      </c>
      <c r="AO923" s="4">
        <v>1</v>
      </c>
      <c r="AP923" s="4"/>
      <c r="AQ923" s="5">
        <v>42150</v>
      </c>
      <c r="AR923" s="4"/>
      <c r="AS923" s="5">
        <v>42130</v>
      </c>
      <c r="AT923" s="5">
        <v>42244</v>
      </c>
      <c r="AU923" s="5">
        <v>42257</v>
      </c>
      <c r="AV923" s="4"/>
      <c r="AW923" s="5">
        <v>42244</v>
      </c>
      <c r="AX923" s="5">
        <v>42227</v>
      </c>
      <c r="AY923" s="4" t="s">
        <v>247</v>
      </c>
      <c r="AZ923" s="5">
        <v>42153</v>
      </c>
      <c r="BA923" s="5">
        <v>42152</v>
      </c>
      <c r="BB923" s="5">
        <v>42181</v>
      </c>
      <c r="BC923" s="5">
        <v>42193</v>
      </c>
      <c r="BD923" s="4">
        <v>1</v>
      </c>
      <c r="BE923" s="4"/>
      <c r="BF923" s="5">
        <v>42227</v>
      </c>
      <c r="BG923" s="5">
        <v>42139</v>
      </c>
      <c r="BH923" s="5">
        <v>42138</v>
      </c>
      <c r="BI923" s="5">
        <v>42216</v>
      </c>
      <c r="BJ923" s="5">
        <v>42215</v>
      </c>
      <c r="BK923" s="4">
        <v>1</v>
      </c>
      <c r="BL923" s="4"/>
      <c r="BM923" s="4"/>
      <c r="BN923" s="5">
        <v>42215</v>
      </c>
      <c r="BO923" s="4"/>
      <c r="BP923" s="4"/>
      <c r="BQ923" s="4"/>
      <c r="BR923" s="4"/>
      <c r="BS923" s="4"/>
      <c r="BT923" s="5">
        <v>42262</v>
      </c>
      <c r="BU923" s="5">
        <v>42283</v>
      </c>
      <c r="BV923" s="5">
        <v>42319</v>
      </c>
      <c r="BW923" s="5">
        <v>42325</v>
      </c>
      <c r="BX923" s="4"/>
      <c r="BY923" s="5">
        <v>42321</v>
      </c>
      <c r="BZ923" s="5">
        <v>42325</v>
      </c>
      <c r="CA923" s="5">
        <v>42251</v>
      </c>
      <c r="CB923" s="4"/>
      <c r="CC923" s="5">
        <v>42213</v>
      </c>
      <c r="CD923" s="5">
        <v>42213</v>
      </c>
      <c r="CE923" s="4"/>
      <c r="CF923" s="4"/>
      <c r="CG923" s="4"/>
      <c r="CH923" s="4"/>
      <c r="CI923" s="4"/>
      <c r="CJ923" s="5">
        <v>42332</v>
      </c>
      <c r="CK923" s="5">
        <v>42332</v>
      </c>
      <c r="CL923" s="4"/>
      <c r="CM923" s="4"/>
      <c r="CN923" s="4"/>
      <c r="CO923" s="4"/>
      <c r="CP923" s="4" t="s">
        <v>2875</v>
      </c>
      <c r="CQ923" s="4"/>
      <c r="CR923" s="4"/>
      <c r="CS923" s="4"/>
      <c r="CT923" s="4"/>
      <c r="CU923" s="4"/>
      <c r="CV923" s="4"/>
      <c r="CW923" s="4"/>
      <c r="CX923" s="4"/>
      <c r="CY923" s="4"/>
      <c r="CZ923" s="4"/>
      <c r="DA923" s="5">
        <v>42332</v>
      </c>
      <c r="DB923" s="5">
        <v>42325</v>
      </c>
      <c r="DC923" s="4"/>
      <c r="DD923" s="4"/>
      <c r="DE923" s="4"/>
      <c r="DF923" s="5">
        <v>42251</v>
      </c>
      <c r="DG923" s="4"/>
      <c r="DH923" s="4" t="s">
        <v>174</v>
      </c>
      <c r="DI923" s="4"/>
      <c r="DJ923" s="4" t="b">
        <v>0</v>
      </c>
      <c r="DK923" s="4"/>
      <c r="DL923" s="4">
        <v>2936802</v>
      </c>
      <c r="DM923" s="4">
        <v>6293020</v>
      </c>
      <c r="DN923" s="4" t="s">
        <v>2876</v>
      </c>
      <c r="DO923" s="4"/>
      <c r="DP923" s="4"/>
      <c r="DQ923" s="4" t="s">
        <v>148</v>
      </c>
      <c r="DR923" s="4"/>
      <c r="DS923" s="4"/>
      <c r="DT923" s="4"/>
      <c r="DU923" s="4" t="s">
        <v>178</v>
      </c>
      <c r="DV923" s="4"/>
      <c r="DW923" s="5">
        <v>42157</v>
      </c>
      <c r="DX923" s="5">
        <v>42128</v>
      </c>
      <c r="DY923" s="5">
        <v>42202</v>
      </c>
      <c r="DZ923" s="5">
        <v>42206</v>
      </c>
      <c r="EA923" s="4"/>
      <c r="EB923" s="4"/>
      <c r="EC923" s="4"/>
      <c r="ED923" s="4"/>
      <c r="EE923" s="5">
        <v>42255</v>
      </c>
      <c r="EF923" s="5">
        <v>42255</v>
      </c>
      <c r="EG923" s="4"/>
      <c r="EH923" s="4"/>
      <c r="EI923" s="5">
        <v>42109</v>
      </c>
    </row>
    <row r="924" spans="1:139" hidden="1" x14ac:dyDescent="0.2">
      <c r="A924">
        <f>VLOOKUP(B924,Sheet1!$A$1:$B$18,2,FALSE)</f>
        <v>0</v>
      </c>
      <c r="B924" t="str">
        <f>LEFT(D924,3)</f>
        <v>GSB</v>
      </c>
      <c r="C924" s="2">
        <v>923</v>
      </c>
      <c r="D924" s="3" t="str">
        <f>HYPERLINK("https://sitebase.nzcomms.co.nz/spm/spmnominalview/GSB-028-022/","GSB-028-022")</f>
        <v>GSB-028-022</v>
      </c>
      <c r="E924" s="4" t="s">
        <v>2877</v>
      </c>
      <c r="F924" s="3" t="str">
        <f>HYPERLINK("https://sitebase.nzcomms.co.nz/spm/spmcandidateview/GSB-028-022-B/","GSB-028-022-B")</f>
        <v>GSB-028-022-B</v>
      </c>
      <c r="G924" s="4" t="s">
        <v>2878</v>
      </c>
      <c r="H924" s="4" t="s">
        <v>2835</v>
      </c>
      <c r="I924" s="4">
        <v>24</v>
      </c>
      <c r="J924" s="4" t="s">
        <v>165</v>
      </c>
      <c r="K924" s="4" t="s">
        <v>141</v>
      </c>
      <c r="L924" s="4" t="s">
        <v>142</v>
      </c>
      <c r="M924" s="4" t="s">
        <v>166</v>
      </c>
      <c r="N924" s="4" t="s">
        <v>142</v>
      </c>
      <c r="O924" s="4"/>
      <c r="P924" s="4" t="s">
        <v>169</v>
      </c>
      <c r="Q924" s="4" t="s">
        <v>142</v>
      </c>
      <c r="R924" s="4"/>
      <c r="S924" s="4"/>
      <c r="T924" s="4"/>
      <c r="U924" s="4">
        <v>-38.395618349999999</v>
      </c>
      <c r="V924" s="4">
        <v>178.32404492000001</v>
      </c>
      <c r="W924" s="4"/>
      <c r="X924" s="5">
        <v>42073</v>
      </c>
      <c r="Y924" s="4"/>
      <c r="Z924" s="5">
        <v>42094</v>
      </c>
      <c r="AA924" s="4" t="s">
        <v>171</v>
      </c>
      <c r="AB924" s="3" t="str">
        <f>HYPERLINK("https://sitebase.nzcomms.co.nz/spm/spmcandidateview/GSB-028-024-A/","GSB-028-024-A")</f>
        <v>GSB-028-024-A</v>
      </c>
      <c r="AC924" s="4" t="b">
        <v>0</v>
      </c>
      <c r="AD924" s="4" t="b">
        <v>0</v>
      </c>
      <c r="AE924" s="4"/>
      <c r="AF924" s="4"/>
      <c r="AG924" s="4" t="b">
        <v>0</v>
      </c>
      <c r="AH924" s="4"/>
      <c r="AI924" s="5">
        <v>42097</v>
      </c>
      <c r="AJ924" s="5">
        <v>42095</v>
      </c>
      <c r="AK924" s="5">
        <v>42223</v>
      </c>
      <c r="AL924" s="5">
        <v>42221</v>
      </c>
      <c r="AM924" s="5">
        <v>42230</v>
      </c>
      <c r="AN924" s="5">
        <v>42222</v>
      </c>
      <c r="AO924" s="4">
        <v>1</v>
      </c>
      <c r="AP924" s="4"/>
      <c r="AQ924" s="5">
        <v>42222</v>
      </c>
      <c r="AR924" s="5">
        <v>42223</v>
      </c>
      <c r="AS924" s="5">
        <v>42221</v>
      </c>
      <c r="AT924" s="5">
        <v>42247</v>
      </c>
      <c r="AU924" s="5">
        <v>42222</v>
      </c>
      <c r="AV924" s="4"/>
      <c r="AW924" s="4"/>
      <c r="AX924" s="5">
        <v>42222</v>
      </c>
      <c r="AY924" s="4"/>
      <c r="AZ924" s="5">
        <v>42247</v>
      </c>
      <c r="BA924" s="5">
        <v>42222</v>
      </c>
      <c r="BB924" s="5">
        <v>42277</v>
      </c>
      <c r="BC924" s="5">
        <v>42222</v>
      </c>
      <c r="BD924" s="4">
        <v>1</v>
      </c>
      <c r="BE924" s="4"/>
      <c r="BF924" s="5">
        <v>42222</v>
      </c>
      <c r="BG924" s="5">
        <v>42230</v>
      </c>
      <c r="BH924" s="5">
        <v>42221</v>
      </c>
      <c r="BI924" s="5">
        <v>42241</v>
      </c>
      <c r="BJ924" s="5">
        <v>42236</v>
      </c>
      <c r="BK924" s="4">
        <v>1</v>
      </c>
      <c r="BL924" s="4"/>
      <c r="BM924" s="4"/>
      <c r="BN924" s="5">
        <v>42236</v>
      </c>
      <c r="BO924" s="4"/>
      <c r="BP924" s="4"/>
      <c r="BQ924" s="4"/>
      <c r="BR924" s="4"/>
      <c r="BS924" s="4"/>
      <c r="BT924" s="5">
        <v>42279</v>
      </c>
      <c r="BU924" s="5">
        <v>42268</v>
      </c>
      <c r="BV924" s="5">
        <v>42293</v>
      </c>
      <c r="BW924" s="5">
        <v>42311</v>
      </c>
      <c r="BX924" s="4"/>
      <c r="BY924" s="5">
        <v>42307</v>
      </c>
      <c r="BZ924" s="5">
        <v>42311</v>
      </c>
      <c r="CA924" s="4"/>
      <c r="CB924" s="4"/>
      <c r="CC924" s="4"/>
      <c r="CD924" s="4"/>
      <c r="CE924" s="4"/>
      <c r="CF924" s="4"/>
      <c r="CG924" s="4"/>
      <c r="CH924" s="4"/>
      <c r="CI924" s="4"/>
      <c r="CJ924" s="5">
        <v>42348</v>
      </c>
      <c r="CK924" s="5">
        <v>42344</v>
      </c>
      <c r="CL924" s="4"/>
      <c r="CM924" s="4"/>
      <c r="CN924" s="4"/>
      <c r="CO924" s="4"/>
      <c r="CP924" s="4" t="s">
        <v>2879</v>
      </c>
      <c r="CQ924" s="4" t="s">
        <v>1657</v>
      </c>
      <c r="CR924" s="4"/>
      <c r="CS924" s="4"/>
      <c r="CT924" s="4"/>
      <c r="CU924" s="4"/>
      <c r="CV924" s="4"/>
      <c r="CW924" s="4"/>
      <c r="CX924" s="4"/>
      <c r="CY924" s="4"/>
      <c r="CZ924" s="4"/>
      <c r="DA924" s="5">
        <v>42342</v>
      </c>
      <c r="DB924" s="5">
        <v>42342</v>
      </c>
      <c r="DC924" s="4"/>
      <c r="DD924" s="4"/>
      <c r="DE924" s="4"/>
      <c r="DF924" s="4"/>
      <c r="DG924" s="4"/>
      <c r="DH924" s="4" t="s">
        <v>174</v>
      </c>
      <c r="DI924" s="4"/>
      <c r="DJ924" s="4" t="b">
        <v>0</v>
      </c>
      <c r="DK924" s="4"/>
      <c r="DL924" s="4">
        <v>2974912</v>
      </c>
      <c r="DM924" s="4">
        <v>6298202</v>
      </c>
      <c r="DN924" s="4" t="s">
        <v>2880</v>
      </c>
      <c r="DO924" s="4"/>
      <c r="DP924" s="4"/>
      <c r="DQ924" s="4" t="s">
        <v>148</v>
      </c>
      <c r="DR924" s="4"/>
      <c r="DS924" s="4"/>
      <c r="DT924" s="4"/>
      <c r="DU924" s="4" t="s">
        <v>178</v>
      </c>
      <c r="DV924" s="4"/>
      <c r="DW924" s="4"/>
      <c r="DX924" s="5">
        <v>42216</v>
      </c>
      <c r="DY924" s="5">
        <v>42251</v>
      </c>
      <c r="DZ924" s="5">
        <v>42220</v>
      </c>
      <c r="EA924" s="4"/>
      <c r="EB924" s="4"/>
      <c r="EC924" s="4"/>
      <c r="ED924" s="4"/>
      <c r="EE924" s="5">
        <v>42279</v>
      </c>
      <c r="EF924" s="5">
        <v>42240</v>
      </c>
      <c r="EG924" s="4"/>
      <c r="EH924" s="4"/>
      <c r="EI924" s="5">
        <v>42221</v>
      </c>
    </row>
    <row r="925" spans="1:139" hidden="1" x14ac:dyDescent="0.2">
      <c r="A925">
        <f>VLOOKUP(B925,Sheet1!$A$1:$B$18,2,FALSE)</f>
        <v>0</v>
      </c>
      <c r="B925" t="str">
        <f>LEFT(D925,3)</f>
        <v>GSB</v>
      </c>
      <c r="C925" s="2">
        <v>924</v>
      </c>
      <c r="D925" s="3" t="str">
        <f>HYPERLINK("https://sitebase.nzcomms.co.nz/spm/spmnominalview/GSB-028-023/","GSB-028-023")</f>
        <v>GSB-028-023</v>
      </c>
      <c r="E925" s="4" t="s">
        <v>2881</v>
      </c>
      <c r="F925" s="4"/>
      <c r="G925" s="4"/>
      <c r="H925" s="4" t="s">
        <v>2835</v>
      </c>
      <c r="I925" s="4">
        <v>24</v>
      </c>
      <c r="J925" s="4" t="s">
        <v>196</v>
      </c>
      <c r="K925" s="4"/>
      <c r="L925" s="4"/>
      <c r="M925" s="4"/>
      <c r="N925" s="4"/>
      <c r="O925" s="4"/>
      <c r="P925" s="4"/>
      <c r="Q925" s="4"/>
      <c r="R925" s="4"/>
      <c r="S925" s="4"/>
      <c r="T925" s="4"/>
      <c r="U925" s="4"/>
      <c r="V925" s="4"/>
      <c r="W925" s="4"/>
      <c r="X925" s="4"/>
      <c r="Y925" s="4"/>
      <c r="Z925" s="4"/>
      <c r="AA925" s="4"/>
      <c r="AB925" s="4"/>
      <c r="AC925" s="4"/>
      <c r="AD925" s="4"/>
      <c r="AE925" s="4"/>
      <c r="AF925" s="4"/>
      <c r="AG925" s="4" t="b">
        <v>0</v>
      </c>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row>
    <row r="926" spans="1:139" hidden="1" x14ac:dyDescent="0.2">
      <c r="A926">
        <f>VLOOKUP(B926,Sheet1!$A$1:$B$18,2,FALSE)</f>
        <v>0</v>
      </c>
      <c r="B926" t="str">
        <f>LEFT(D926,3)</f>
        <v>GSB</v>
      </c>
      <c r="C926" s="2">
        <v>925</v>
      </c>
      <c r="D926" s="3" t="str">
        <f>HYPERLINK("https://sitebase.nzcomms.co.nz/spm/spmnominalview/GSB-028-024/","GSB-028-024")</f>
        <v>GSB-028-024</v>
      </c>
      <c r="E926" s="4" t="s">
        <v>2882</v>
      </c>
      <c r="F926" s="3" t="str">
        <f>HYPERLINK("https://sitebase.nzcomms.co.nz/spm/spmcandidateview/GSB-028-024-A/","GSB-028-024-A")</f>
        <v>GSB-028-024-A</v>
      </c>
      <c r="G926" s="4" t="s">
        <v>2883</v>
      </c>
      <c r="H926" s="4" t="s">
        <v>2835</v>
      </c>
      <c r="I926" s="4">
        <v>24</v>
      </c>
      <c r="J926" s="4" t="s">
        <v>165</v>
      </c>
      <c r="K926" s="4" t="s">
        <v>141</v>
      </c>
      <c r="L926" s="4" t="s">
        <v>142</v>
      </c>
      <c r="M926" s="4" t="s">
        <v>324</v>
      </c>
      <c r="N926" s="4" t="s">
        <v>364</v>
      </c>
      <c r="O926" s="4"/>
      <c r="P926" s="4" t="s">
        <v>169</v>
      </c>
      <c r="Q926" s="4" t="s">
        <v>142</v>
      </c>
      <c r="R926" s="4"/>
      <c r="S926" s="4"/>
      <c r="T926" s="4"/>
      <c r="U926" s="4">
        <v>-38.09759348</v>
      </c>
      <c r="V926" s="4">
        <v>178.09814940000001</v>
      </c>
      <c r="W926" s="4"/>
      <c r="X926" s="5">
        <v>42109</v>
      </c>
      <c r="Y926" s="4"/>
      <c r="Z926" s="5">
        <v>42094</v>
      </c>
      <c r="AA926" s="4" t="s">
        <v>152</v>
      </c>
      <c r="AB926" s="3" t="str">
        <f>HYPERLINK("https://sitebase.nzcomms.co.nz/spm/spmcandidateview/AKL-007-112-A/","AKL-007-112-A")</f>
        <v>AKL-007-112-A</v>
      </c>
      <c r="AC926" s="4" t="b">
        <v>0</v>
      </c>
      <c r="AD926" s="4" t="b">
        <v>0</v>
      </c>
      <c r="AE926" s="4"/>
      <c r="AF926" s="4"/>
      <c r="AG926" s="4" t="b">
        <v>0</v>
      </c>
      <c r="AH926" s="4"/>
      <c r="AI926" s="5">
        <v>42222</v>
      </c>
      <c r="AJ926" s="5">
        <v>42222</v>
      </c>
      <c r="AK926" s="5">
        <v>42221</v>
      </c>
      <c r="AL926" s="5">
        <v>42221</v>
      </c>
      <c r="AM926" s="5">
        <v>42223</v>
      </c>
      <c r="AN926" s="5">
        <v>42222</v>
      </c>
      <c r="AO926" s="4">
        <v>1</v>
      </c>
      <c r="AP926" s="4"/>
      <c r="AQ926" s="5">
        <v>42222</v>
      </c>
      <c r="AR926" s="5">
        <v>42222</v>
      </c>
      <c r="AS926" s="5">
        <v>42222</v>
      </c>
      <c r="AT926" s="5">
        <v>42222</v>
      </c>
      <c r="AU926" s="5">
        <v>42222</v>
      </c>
      <c r="AV926" s="4"/>
      <c r="AW926" s="5">
        <v>42222</v>
      </c>
      <c r="AX926" s="5">
        <v>42227</v>
      </c>
      <c r="AY926" s="4" t="s">
        <v>172</v>
      </c>
      <c r="AZ926" s="4"/>
      <c r="BA926" s="5">
        <v>42222</v>
      </c>
      <c r="BB926" s="4"/>
      <c r="BC926" s="5">
        <v>42222</v>
      </c>
      <c r="BD926" s="4">
        <v>1</v>
      </c>
      <c r="BE926" s="4"/>
      <c r="BF926" s="5">
        <v>42222</v>
      </c>
      <c r="BG926" s="5">
        <v>42221</v>
      </c>
      <c r="BH926" s="5">
        <v>42221</v>
      </c>
      <c r="BI926" s="5">
        <v>42222</v>
      </c>
      <c r="BJ926" s="5">
        <v>42236</v>
      </c>
      <c r="BK926" s="4">
        <v>1</v>
      </c>
      <c r="BL926" s="4"/>
      <c r="BM926" s="4"/>
      <c r="BN926" s="5">
        <v>42236</v>
      </c>
      <c r="BO926" s="4"/>
      <c r="BP926" s="4"/>
      <c r="BQ926" s="4"/>
      <c r="BR926" s="4"/>
      <c r="BS926" s="4"/>
      <c r="BT926" s="5">
        <v>42293</v>
      </c>
      <c r="BU926" s="5">
        <v>42328</v>
      </c>
      <c r="BV926" s="5">
        <v>42300</v>
      </c>
      <c r="BW926" s="5">
        <v>42328</v>
      </c>
      <c r="BX926" s="4"/>
      <c r="BY926" s="5">
        <v>42321</v>
      </c>
      <c r="BZ926" s="5">
        <v>42328</v>
      </c>
      <c r="CA926" s="5">
        <v>42293</v>
      </c>
      <c r="CB926" s="4"/>
      <c r="CC926" s="5">
        <v>42286</v>
      </c>
      <c r="CD926" s="4"/>
      <c r="CE926" s="4"/>
      <c r="CF926" s="4"/>
      <c r="CG926" s="4"/>
      <c r="CH926" s="4"/>
      <c r="CI926" s="4"/>
      <c r="CJ926" s="5">
        <v>42348</v>
      </c>
      <c r="CK926" s="5">
        <v>42344</v>
      </c>
      <c r="CL926" s="4"/>
      <c r="CM926" s="4"/>
      <c r="CN926" s="4"/>
      <c r="CO926" s="4"/>
      <c r="CP926" s="4"/>
      <c r="CQ926" s="4" t="s">
        <v>1657</v>
      </c>
      <c r="CR926" s="4"/>
      <c r="CS926" s="4"/>
      <c r="CT926" s="4"/>
      <c r="CU926" s="4"/>
      <c r="CV926" s="4"/>
      <c r="CW926" s="4"/>
      <c r="CX926" s="4"/>
      <c r="CY926" s="4"/>
      <c r="CZ926" s="4"/>
      <c r="DA926" s="5">
        <v>42342</v>
      </c>
      <c r="DB926" s="5">
        <v>42342</v>
      </c>
      <c r="DC926" s="4"/>
      <c r="DD926" s="4"/>
      <c r="DE926" s="4"/>
      <c r="DF926" s="5">
        <v>42222</v>
      </c>
      <c r="DG926" s="5">
        <v>42222</v>
      </c>
      <c r="DH926" s="4" t="s">
        <v>174</v>
      </c>
      <c r="DI926" s="4"/>
      <c r="DJ926" s="4" t="b">
        <v>0</v>
      </c>
      <c r="DK926" s="4"/>
      <c r="DL926" s="4">
        <v>2957075</v>
      </c>
      <c r="DM926" s="4">
        <v>6332371</v>
      </c>
      <c r="DN926" s="4" t="s">
        <v>2884</v>
      </c>
      <c r="DO926" s="4"/>
      <c r="DP926" s="4"/>
      <c r="DQ926" s="4" t="s">
        <v>328</v>
      </c>
      <c r="DR926" s="4"/>
      <c r="DS926" s="4"/>
      <c r="DT926" s="4"/>
      <c r="DU926" s="4" t="s">
        <v>178</v>
      </c>
      <c r="DV926" s="4"/>
      <c r="DW926" s="4"/>
      <c r="DX926" s="5">
        <v>42216</v>
      </c>
      <c r="DY926" s="5">
        <v>42220</v>
      </c>
      <c r="DZ926" s="5">
        <v>42220</v>
      </c>
      <c r="EA926" s="4"/>
      <c r="EB926" s="4"/>
      <c r="EC926" s="4"/>
      <c r="ED926" s="4"/>
      <c r="EE926" s="5">
        <v>42244</v>
      </c>
      <c r="EF926" s="5">
        <v>42240</v>
      </c>
      <c r="EG926" s="4"/>
      <c r="EH926" s="4"/>
      <c r="EI926" s="5">
        <v>42221</v>
      </c>
    </row>
    <row r="927" spans="1:139" hidden="1" x14ac:dyDescent="0.2">
      <c r="A927">
        <f>VLOOKUP(B927,Sheet1!$A$1:$B$18,2,FALSE)</f>
        <v>0</v>
      </c>
      <c r="B927" t="str">
        <f>LEFT(D927,3)</f>
        <v>HKB</v>
      </c>
      <c r="C927" s="2">
        <v>926</v>
      </c>
      <c r="D927" s="3" t="str">
        <f>HYPERLINK("https://sitebase.nzcomms.co.nz/spm/spmnominalview/HKB-029-001/","HKB-029-001")</f>
        <v>HKB-029-001</v>
      </c>
      <c r="E927" s="4"/>
      <c r="F927" s="4"/>
      <c r="G927" s="4"/>
      <c r="H927" s="4" t="s">
        <v>1825</v>
      </c>
      <c r="I927" s="4"/>
      <c r="J927" s="4" t="s">
        <v>196</v>
      </c>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row>
    <row r="928" spans="1:139" hidden="1" x14ac:dyDescent="0.2">
      <c r="A928">
        <f>VLOOKUP(B928,Sheet1!$A$1:$B$18,2,FALSE)</f>
        <v>0</v>
      </c>
      <c r="B928" t="str">
        <f>LEFT(D928,3)</f>
        <v>HKB</v>
      </c>
      <c r="C928" s="2">
        <v>927</v>
      </c>
      <c r="D928" s="3" t="str">
        <f>HYPERLINK("https://sitebase.nzcomms.co.nz/spm/spmnominalview/HKB-029-002/","HKB-029-002")</f>
        <v>HKB-029-002</v>
      </c>
      <c r="E928" s="4" t="s">
        <v>1825</v>
      </c>
      <c r="F928" s="3" t="str">
        <f>HYPERLINK("https://sitebase.nzcomms.co.nz/spm/spmcandidateview/HKB-029-002-B/","HKB-029-002-B")</f>
        <v>HKB-029-002-B</v>
      </c>
      <c r="G928" s="4" t="s">
        <v>2885</v>
      </c>
      <c r="H928" s="4" t="s">
        <v>1825</v>
      </c>
      <c r="I928" s="4">
        <v>7</v>
      </c>
      <c r="J928" s="4" t="s">
        <v>180</v>
      </c>
      <c r="K928" s="4" t="s">
        <v>141</v>
      </c>
      <c r="L928" s="4" t="s">
        <v>150</v>
      </c>
      <c r="M928" s="4" t="s">
        <v>190</v>
      </c>
      <c r="N928" s="4" t="s">
        <v>224</v>
      </c>
      <c r="O928" s="4"/>
      <c r="P928" s="4" t="s">
        <v>169</v>
      </c>
      <c r="Q928" s="4" t="s">
        <v>170</v>
      </c>
      <c r="R928" s="4"/>
      <c r="S928" s="4">
        <v>15</v>
      </c>
      <c r="T928" s="4"/>
      <c r="U928" s="4">
        <v>-39.045018679999998</v>
      </c>
      <c r="V928" s="4">
        <v>177.37136007999999</v>
      </c>
      <c r="W928" s="4"/>
      <c r="X928" s="4"/>
      <c r="Y928" s="4"/>
      <c r="Z928" s="4"/>
      <c r="AA928" s="4" t="s">
        <v>152</v>
      </c>
      <c r="AB928" s="3" t="str">
        <f>HYPERLINK("https://sitebase.nzcomms.co.nz/spm/spmcandidateview/HKB-031-001-A/","HKB-031-001-A")</f>
        <v>HKB-031-001-A</v>
      </c>
      <c r="AC928" s="4" t="b">
        <v>0</v>
      </c>
      <c r="AD928" s="4" t="b">
        <v>0</v>
      </c>
      <c r="AE928" s="4"/>
      <c r="AF928" s="4"/>
      <c r="AG928" s="4" t="b">
        <v>0</v>
      </c>
      <c r="AH928" s="4"/>
      <c r="AI928" s="5">
        <v>40962</v>
      </c>
      <c r="AJ928" s="5">
        <v>40961</v>
      </c>
      <c r="AK928" s="5">
        <v>40976</v>
      </c>
      <c r="AL928" s="5">
        <v>40987</v>
      </c>
      <c r="AM928" s="5">
        <v>41037</v>
      </c>
      <c r="AN928" s="5">
        <v>41037</v>
      </c>
      <c r="AO928" s="4">
        <v>1</v>
      </c>
      <c r="AP928" s="5">
        <v>41037</v>
      </c>
      <c r="AQ928" s="5">
        <v>41037</v>
      </c>
      <c r="AR928" s="5">
        <v>41152</v>
      </c>
      <c r="AS928" s="5">
        <v>41157</v>
      </c>
      <c r="AT928" s="5">
        <v>41166</v>
      </c>
      <c r="AU928" s="5">
        <v>41165</v>
      </c>
      <c r="AV928" s="4">
        <v>1</v>
      </c>
      <c r="AW928" s="5">
        <v>41166</v>
      </c>
      <c r="AX928" s="5">
        <v>41165</v>
      </c>
      <c r="AY928" s="4" t="s">
        <v>247</v>
      </c>
      <c r="AZ928" s="5">
        <v>41054</v>
      </c>
      <c r="BA928" s="5">
        <v>41057</v>
      </c>
      <c r="BB928" s="5">
        <v>41110</v>
      </c>
      <c r="BC928" s="5">
        <v>41096</v>
      </c>
      <c r="BD928" s="4">
        <v>1</v>
      </c>
      <c r="BE928" s="5">
        <v>41110</v>
      </c>
      <c r="BF928" s="5">
        <v>41096</v>
      </c>
      <c r="BG928" s="4"/>
      <c r="BH928" s="4"/>
      <c r="BI928" s="5">
        <v>41180</v>
      </c>
      <c r="BJ928" s="5">
        <v>41184</v>
      </c>
      <c r="BK928" s="4">
        <v>1</v>
      </c>
      <c r="BL928" s="4"/>
      <c r="BM928" s="5">
        <v>41180</v>
      </c>
      <c r="BN928" s="5">
        <v>41184</v>
      </c>
      <c r="BO928" s="5">
        <v>41183</v>
      </c>
      <c r="BP928" s="4"/>
      <c r="BQ928" s="4"/>
      <c r="BR928" s="4"/>
      <c r="BS928" s="4"/>
      <c r="BT928" s="5">
        <v>41171</v>
      </c>
      <c r="BU928" s="5">
        <v>41172</v>
      </c>
      <c r="BV928" s="5">
        <v>41199</v>
      </c>
      <c r="BW928" s="5">
        <v>41199</v>
      </c>
      <c r="BX928" s="5">
        <v>41191</v>
      </c>
      <c r="BY928" s="5">
        <v>41201</v>
      </c>
      <c r="BZ928" s="5">
        <v>41200</v>
      </c>
      <c r="CA928" s="4"/>
      <c r="CB928" s="4"/>
      <c r="CC928" s="4"/>
      <c r="CD928" s="4"/>
      <c r="CE928" s="4"/>
      <c r="CF928" s="4"/>
      <c r="CG928" s="4"/>
      <c r="CH928" s="4"/>
      <c r="CI928" s="5">
        <v>41201</v>
      </c>
      <c r="CJ928" s="5">
        <v>41215</v>
      </c>
      <c r="CK928" s="5">
        <v>41215</v>
      </c>
      <c r="CL928" s="5">
        <v>41209</v>
      </c>
      <c r="CM928" s="5">
        <v>41208</v>
      </c>
      <c r="CN928" s="5">
        <v>41442</v>
      </c>
      <c r="CO928" s="5">
        <v>41425</v>
      </c>
      <c r="CP928" s="4"/>
      <c r="CQ928" s="4"/>
      <c r="CR928" s="5">
        <v>41201</v>
      </c>
      <c r="CS928" s="4"/>
      <c r="CT928" s="4"/>
      <c r="CU928" s="5">
        <v>41141</v>
      </c>
      <c r="CV928" s="5">
        <v>41183</v>
      </c>
      <c r="CW928" s="5">
        <v>41142</v>
      </c>
      <c r="CX928" s="5">
        <v>41183</v>
      </c>
      <c r="CY928" s="5">
        <v>41199</v>
      </c>
      <c r="CZ928" s="5">
        <v>41198</v>
      </c>
      <c r="DA928" s="5">
        <v>41206</v>
      </c>
      <c r="DB928" s="5">
        <v>41207</v>
      </c>
      <c r="DC928" s="5">
        <v>40966</v>
      </c>
      <c r="DD928" s="4" t="s">
        <v>586</v>
      </c>
      <c r="DE928" s="4" t="s">
        <v>2839</v>
      </c>
      <c r="DF928" s="5">
        <v>41194</v>
      </c>
      <c r="DG928" s="5">
        <v>41194</v>
      </c>
      <c r="DH928" s="4" t="s">
        <v>174</v>
      </c>
      <c r="DI928" s="5">
        <v>41197</v>
      </c>
      <c r="DJ928" s="4" t="b">
        <v>0</v>
      </c>
      <c r="DK928" s="4"/>
      <c r="DL928" s="4">
        <v>2888296</v>
      </c>
      <c r="DM928" s="4">
        <v>6230670</v>
      </c>
      <c r="DN928" s="4" t="s">
        <v>2886</v>
      </c>
      <c r="DO928" s="4"/>
      <c r="DP928" s="4" t="s">
        <v>2887</v>
      </c>
      <c r="DQ928" s="4" t="s">
        <v>148</v>
      </c>
      <c r="DR928" s="4"/>
      <c r="DS928" s="4"/>
      <c r="DT928" s="4"/>
      <c r="DU928" s="4"/>
      <c r="DV928" s="4"/>
      <c r="DW928" s="4"/>
      <c r="DX928" s="4"/>
      <c r="DY928" s="4"/>
      <c r="DZ928" s="4"/>
      <c r="EA928" s="4"/>
      <c r="EB928" s="4"/>
      <c r="EC928" s="4"/>
      <c r="ED928" s="4"/>
      <c r="EE928" s="4"/>
      <c r="EF928" s="4"/>
      <c r="EG928" s="5">
        <v>41206</v>
      </c>
      <c r="EH928" s="5">
        <v>41206</v>
      </c>
      <c r="EI928" s="5">
        <v>40987</v>
      </c>
    </row>
    <row r="929" spans="1:139" hidden="1" x14ac:dyDescent="0.2">
      <c r="A929">
        <f>VLOOKUP(B929,Sheet1!$A$1:$B$18,2,FALSE)</f>
        <v>0</v>
      </c>
      <c r="B929" t="str">
        <f>LEFT(D929,3)</f>
        <v>HKB</v>
      </c>
      <c r="C929" s="2">
        <v>928</v>
      </c>
      <c r="D929" s="3" t="str">
        <f>HYPERLINK("https://sitebase.nzcomms.co.nz/spm/spmnominalview/HKB-029-003/","HKB-029-003")</f>
        <v>HKB-029-003</v>
      </c>
      <c r="E929" s="4"/>
      <c r="F929" s="4"/>
      <c r="G929" s="4"/>
      <c r="H929" s="4" t="s">
        <v>1825</v>
      </c>
      <c r="I929" s="4"/>
      <c r="J929" s="4" t="s">
        <v>196</v>
      </c>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row>
    <row r="930" spans="1:139" hidden="1" x14ac:dyDescent="0.2">
      <c r="A930">
        <f>VLOOKUP(B930,Sheet1!$A$1:$B$18,2,FALSE)</f>
        <v>0</v>
      </c>
      <c r="B930" t="str">
        <f>LEFT(D930,3)</f>
        <v>HKB</v>
      </c>
      <c r="C930" s="2">
        <v>929</v>
      </c>
      <c r="D930" s="3" t="str">
        <f>HYPERLINK("https://sitebase.nzcomms.co.nz/spm/spmnominalview/HKB-029-004/","HKB-029-004")</f>
        <v>HKB-029-004</v>
      </c>
      <c r="E930" s="4" t="s">
        <v>2888</v>
      </c>
      <c r="F930" s="4"/>
      <c r="G930" s="4"/>
      <c r="H930" s="4" t="s">
        <v>1825</v>
      </c>
      <c r="I930" s="4"/>
      <c r="J930" s="4" t="s">
        <v>196</v>
      </c>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t="s">
        <v>2889</v>
      </c>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row>
    <row r="931" spans="1:139" hidden="1" x14ac:dyDescent="0.2">
      <c r="A931">
        <f>VLOOKUP(B931,Sheet1!$A$1:$B$18,2,FALSE)</f>
        <v>0</v>
      </c>
      <c r="B931" t="str">
        <f>LEFT(D931,3)</f>
        <v>HKB</v>
      </c>
      <c r="C931" s="2">
        <v>930</v>
      </c>
      <c r="D931" s="3" t="str">
        <f>HYPERLINK("https://sitebase.nzcomms.co.nz/spm/spmnominalview/HKB-029-005/","HKB-029-005")</f>
        <v>HKB-029-005</v>
      </c>
      <c r="E931" s="4" t="s">
        <v>2890</v>
      </c>
      <c r="F931" s="3" t="str">
        <f>HYPERLINK("https://sitebase.nzcomms.co.nz/spm/spmcandidateview/HKB-029-005-B/","HKB-029-005-B")</f>
        <v>HKB-029-005-B</v>
      </c>
      <c r="G931" s="4" t="s">
        <v>2891</v>
      </c>
      <c r="H931" s="4" t="s">
        <v>1825</v>
      </c>
      <c r="I931" s="4">
        <v>24</v>
      </c>
      <c r="J931" s="4" t="s">
        <v>331</v>
      </c>
      <c r="K931" s="4" t="s">
        <v>141</v>
      </c>
      <c r="L931" s="4" t="s">
        <v>150</v>
      </c>
      <c r="M931" s="4" t="s">
        <v>166</v>
      </c>
      <c r="N931" s="4" t="s">
        <v>346</v>
      </c>
      <c r="O931" s="4"/>
      <c r="P931" s="4" t="s">
        <v>169</v>
      </c>
      <c r="Q931" s="4" t="s">
        <v>170</v>
      </c>
      <c r="R931" s="4">
        <v>16</v>
      </c>
      <c r="S931" s="4">
        <v>17.5</v>
      </c>
      <c r="T931" s="4"/>
      <c r="U931" s="4">
        <v>-38.953701629999998</v>
      </c>
      <c r="V931" s="4">
        <v>177.77840879999999</v>
      </c>
      <c r="W931" s="4"/>
      <c r="X931" s="4"/>
      <c r="Y931" s="4"/>
      <c r="Z931" s="4"/>
      <c r="AA931" s="4"/>
      <c r="AB931" s="4"/>
      <c r="AC931" s="4" t="b">
        <v>0</v>
      </c>
      <c r="AD931" s="4" t="b">
        <v>0</v>
      </c>
      <c r="AE931" s="4"/>
      <c r="AF931" s="4"/>
      <c r="AG931" s="4" t="b">
        <v>0</v>
      </c>
      <c r="AH931" s="4"/>
      <c r="AI931" s="5">
        <v>42258</v>
      </c>
      <c r="AJ931" s="5">
        <v>42359</v>
      </c>
      <c r="AK931" s="5">
        <v>42359</v>
      </c>
      <c r="AL931" s="5">
        <v>42359</v>
      </c>
      <c r="AM931" s="5">
        <v>42405</v>
      </c>
      <c r="AN931" s="5">
        <v>42395</v>
      </c>
      <c r="AO931" s="4">
        <v>1</v>
      </c>
      <c r="AP931" s="4"/>
      <c r="AQ931" s="5">
        <v>42395</v>
      </c>
      <c r="AR931" s="5">
        <v>42419</v>
      </c>
      <c r="AS931" s="5">
        <v>42405</v>
      </c>
      <c r="AT931" s="5">
        <v>42440</v>
      </c>
      <c r="AU931" s="4"/>
      <c r="AV931" s="4"/>
      <c r="AW931" s="4"/>
      <c r="AX931" s="4"/>
      <c r="AY931" s="4"/>
      <c r="AZ931" s="5">
        <v>42419</v>
      </c>
      <c r="BA931" s="4"/>
      <c r="BB931" s="5">
        <v>42447</v>
      </c>
      <c r="BC931" s="4"/>
      <c r="BD931" s="4"/>
      <c r="BE931" s="4"/>
      <c r="BF931" s="4"/>
      <c r="BG931" s="5">
        <v>42447</v>
      </c>
      <c r="BH931" s="4"/>
      <c r="BI931" s="5">
        <v>42489</v>
      </c>
      <c r="BJ931" s="4"/>
      <c r="BK931" s="4"/>
      <c r="BL931" s="4"/>
      <c r="BM931" s="4"/>
      <c r="BN931" s="4"/>
      <c r="BO931" s="4"/>
      <c r="BP931" s="4"/>
      <c r="BQ931" s="4"/>
      <c r="BR931" s="4"/>
      <c r="BS931" s="4"/>
      <c r="BT931" s="5">
        <v>42531</v>
      </c>
      <c r="BU931" s="4"/>
      <c r="BV931" s="5">
        <v>42566</v>
      </c>
      <c r="BW931" s="4"/>
      <c r="BX931" s="4"/>
      <c r="BY931" s="5">
        <v>42580</v>
      </c>
      <c r="BZ931" s="4"/>
      <c r="CA931" s="4"/>
      <c r="CB931" s="4"/>
      <c r="CC931" s="4"/>
      <c r="CD931" s="4"/>
      <c r="CE931" s="4"/>
      <c r="CF931" s="4"/>
      <c r="CG931" s="4"/>
      <c r="CH931" s="4"/>
      <c r="CI931" s="4"/>
      <c r="CJ931" s="5">
        <v>42597</v>
      </c>
      <c r="CK931" s="4"/>
      <c r="CL931" s="4"/>
      <c r="CM931" s="4"/>
      <c r="CN931" s="4"/>
      <c r="CO931" s="4"/>
      <c r="CP931" s="4"/>
      <c r="CQ931" s="4"/>
      <c r="CR931" s="4"/>
      <c r="CS931" s="4"/>
      <c r="CT931" s="4"/>
      <c r="CU931" s="4"/>
      <c r="CV931" s="4"/>
      <c r="CW931" s="4"/>
      <c r="CX931" s="4"/>
      <c r="CY931" s="4"/>
      <c r="CZ931" s="4"/>
      <c r="DA931" s="5">
        <v>42587</v>
      </c>
      <c r="DB931" s="4"/>
      <c r="DC931" s="4"/>
      <c r="DD931" s="4"/>
      <c r="DE931" s="4"/>
      <c r="DF931" s="4"/>
      <c r="DG931" s="4"/>
      <c r="DH931" s="4" t="s">
        <v>174</v>
      </c>
      <c r="DI931" s="4"/>
      <c r="DJ931" s="4" t="b">
        <v>0</v>
      </c>
      <c r="DK931" s="4"/>
      <c r="DL931" s="4">
        <v>2924030</v>
      </c>
      <c r="DM931" s="4">
        <v>6238999</v>
      </c>
      <c r="DN931" s="4" t="s">
        <v>2892</v>
      </c>
      <c r="DO931" s="4"/>
      <c r="DP931" s="4"/>
      <c r="DQ931" s="4" t="s">
        <v>148</v>
      </c>
      <c r="DR931" s="4"/>
      <c r="DS931" s="4"/>
      <c r="DT931" s="4"/>
      <c r="DU931" s="4" t="s">
        <v>178</v>
      </c>
      <c r="DV931" s="4"/>
      <c r="DW931" s="4"/>
      <c r="DX931" s="4"/>
      <c r="DY931" s="5">
        <v>42485</v>
      </c>
      <c r="DZ931" s="4"/>
      <c r="EA931" s="4"/>
      <c r="EB931" s="4"/>
      <c r="EC931" s="4"/>
      <c r="ED931" s="4"/>
      <c r="EE931" s="5">
        <v>42521</v>
      </c>
      <c r="EF931" s="4"/>
      <c r="EG931" s="4"/>
      <c r="EH931" s="4"/>
      <c r="EI931" s="5">
        <v>42359</v>
      </c>
    </row>
    <row r="932" spans="1:139" hidden="1" x14ac:dyDescent="0.2">
      <c r="A932">
        <f>VLOOKUP(B932,Sheet1!$A$1:$B$18,2,FALSE)</f>
        <v>0</v>
      </c>
      <c r="B932" t="str">
        <f>LEFT(D932,3)</f>
        <v>HKB</v>
      </c>
      <c r="C932" s="2">
        <v>931</v>
      </c>
      <c r="D932" s="3" t="str">
        <f>HYPERLINK("https://sitebase.nzcomms.co.nz/spm/spmnominalview/HKB-029-006/","HKB-029-006")</f>
        <v>HKB-029-006</v>
      </c>
      <c r="E932" s="4" t="s">
        <v>2893</v>
      </c>
      <c r="F932" s="3" t="str">
        <f>HYPERLINK("https://sitebase.nzcomms.co.nz/spm/spmcandidateview/HKB-029-006-A/","HKB-029-006-A")</f>
        <v>HKB-029-006-A</v>
      </c>
      <c r="G932" s="4" t="s">
        <v>2893</v>
      </c>
      <c r="H932" s="4" t="s">
        <v>1825</v>
      </c>
      <c r="I932" s="4">
        <v>24</v>
      </c>
      <c r="J932" s="4" t="s">
        <v>331</v>
      </c>
      <c r="K932" s="4" t="s">
        <v>141</v>
      </c>
      <c r="L932" s="4" t="s">
        <v>142</v>
      </c>
      <c r="M932" s="4" t="s">
        <v>324</v>
      </c>
      <c r="N932" s="4" t="s">
        <v>142</v>
      </c>
      <c r="O932" s="4"/>
      <c r="P932" s="4" t="s">
        <v>169</v>
      </c>
      <c r="Q932" s="4" t="s">
        <v>142</v>
      </c>
      <c r="R932" s="4"/>
      <c r="S932" s="4"/>
      <c r="T932" s="4"/>
      <c r="U932" s="4"/>
      <c r="V932" s="4"/>
      <c r="W932" s="4"/>
      <c r="X932" s="4"/>
      <c r="Y932" s="4"/>
      <c r="Z932" s="4"/>
      <c r="AA932" s="4"/>
      <c r="AB932" s="4"/>
      <c r="AC932" s="4" t="b">
        <v>0</v>
      </c>
      <c r="AD932" s="4" t="b">
        <v>0</v>
      </c>
      <c r="AE932" s="4"/>
      <c r="AF932" s="4"/>
      <c r="AG932" s="4" t="b">
        <v>0</v>
      </c>
      <c r="AH932" s="4"/>
      <c r="AI932" s="4"/>
      <c r="AJ932" s="5">
        <v>42345</v>
      </c>
      <c r="AK932" s="5">
        <v>42412</v>
      </c>
      <c r="AL932" s="5">
        <v>42410</v>
      </c>
      <c r="AM932" s="5">
        <v>42440</v>
      </c>
      <c r="AN932" s="4"/>
      <c r="AO932" s="4"/>
      <c r="AP932" s="4"/>
      <c r="AQ932" s="4"/>
      <c r="AR932" s="5">
        <v>42426</v>
      </c>
      <c r="AS932" s="4"/>
      <c r="AT932" s="5">
        <v>42412</v>
      </c>
      <c r="AU932" s="4"/>
      <c r="AV932" s="4"/>
      <c r="AW932" s="4"/>
      <c r="AX932" s="4"/>
      <c r="AY932" s="4"/>
      <c r="AZ932" s="5">
        <v>42433</v>
      </c>
      <c r="BA932" s="4"/>
      <c r="BB932" s="5">
        <v>42447</v>
      </c>
      <c r="BC932" s="4"/>
      <c r="BD932" s="4"/>
      <c r="BE932" s="4"/>
      <c r="BF932" s="4"/>
      <c r="BG932" s="5">
        <v>42440</v>
      </c>
      <c r="BH932" s="4"/>
      <c r="BI932" s="5">
        <v>42459</v>
      </c>
      <c r="BJ932" s="4"/>
      <c r="BK932" s="4"/>
      <c r="BL932" s="4"/>
      <c r="BM932" s="4"/>
      <c r="BN932" s="4"/>
      <c r="BO932" s="4"/>
      <c r="BP932" s="4"/>
      <c r="BQ932" s="4"/>
      <c r="BR932" s="4"/>
      <c r="BS932" s="4"/>
      <c r="BT932" s="5">
        <v>42520</v>
      </c>
      <c r="BU932" s="4"/>
      <c r="BV932" s="5">
        <v>42551</v>
      </c>
      <c r="BW932" s="4"/>
      <c r="BX932" s="4"/>
      <c r="BY932" s="5">
        <v>42566</v>
      </c>
      <c r="BZ932" s="4"/>
      <c r="CA932" s="4"/>
      <c r="CB932" s="4"/>
      <c r="CC932" s="4"/>
      <c r="CD932" s="4"/>
      <c r="CE932" s="4"/>
      <c r="CF932" s="4"/>
      <c r="CG932" s="4"/>
      <c r="CH932" s="4"/>
      <c r="CI932" s="4"/>
      <c r="CJ932" s="5">
        <v>42601</v>
      </c>
      <c r="CK932" s="4"/>
      <c r="CL932" s="4"/>
      <c r="CM932" s="4"/>
      <c r="CN932" s="4"/>
      <c r="CO932" s="4"/>
      <c r="CP932" s="4"/>
      <c r="CQ932" s="4" t="s">
        <v>1657</v>
      </c>
      <c r="CR932" s="4"/>
      <c r="CS932" s="4"/>
      <c r="CT932" s="4"/>
      <c r="CU932" s="4"/>
      <c r="CV932" s="4"/>
      <c r="CW932" s="4"/>
      <c r="CX932" s="4"/>
      <c r="CY932" s="4"/>
      <c r="CZ932" s="4"/>
      <c r="DA932" s="5">
        <v>42580</v>
      </c>
      <c r="DB932" s="4"/>
      <c r="DC932" s="4"/>
      <c r="DD932" s="4"/>
      <c r="DE932" s="4"/>
      <c r="DF932" s="4"/>
      <c r="DG932" s="4"/>
      <c r="DH932" s="4" t="s">
        <v>174</v>
      </c>
      <c r="DI932" s="4"/>
      <c r="DJ932" s="4" t="b">
        <v>0</v>
      </c>
      <c r="DK932" s="4"/>
      <c r="DL932" s="4"/>
      <c r="DM932" s="4"/>
      <c r="DN932" s="4"/>
      <c r="DO932" s="4"/>
      <c r="DP932" s="4"/>
      <c r="DQ932" s="4" t="s">
        <v>328</v>
      </c>
      <c r="DR932" s="4"/>
      <c r="DS932" s="4"/>
      <c r="DT932" s="4"/>
      <c r="DU932" s="4" t="s">
        <v>178</v>
      </c>
      <c r="DV932" s="4"/>
      <c r="DW932" s="4"/>
      <c r="DX932" s="4"/>
      <c r="DY932" s="5">
        <v>42475</v>
      </c>
      <c r="DZ932" s="4"/>
      <c r="EA932" s="4"/>
      <c r="EB932" s="4"/>
      <c r="EC932" s="4"/>
      <c r="ED932" s="4"/>
      <c r="EE932" s="5">
        <v>42510</v>
      </c>
      <c r="EF932" s="4"/>
      <c r="EG932" s="4"/>
      <c r="EH932" s="4"/>
      <c r="EI932" s="5">
        <v>42410</v>
      </c>
    </row>
    <row r="933" spans="1:139" hidden="1" x14ac:dyDescent="0.2">
      <c r="A933">
        <f>VLOOKUP(B933,Sheet1!$A$1:$B$18,2,FALSE)</f>
        <v>0</v>
      </c>
      <c r="B933" t="str">
        <f>LEFT(D933,3)</f>
        <v>HKB</v>
      </c>
      <c r="C933" s="2">
        <v>932</v>
      </c>
      <c r="D933" s="3" t="str">
        <f>HYPERLINK("https://sitebase.nzcomms.co.nz/spm/spmnominalview/HKB-030-001/","HKB-030-001")</f>
        <v>HKB-030-001</v>
      </c>
      <c r="E933" s="4" t="s">
        <v>2894</v>
      </c>
      <c r="F933" s="3" t="str">
        <f>HYPERLINK("https://sitebase.nzcomms.co.nz/spm/spmcandidateview/HKB-030-001-A/","HKB-030-001-A")</f>
        <v>HKB-030-001-A</v>
      </c>
      <c r="G933" s="4" t="s">
        <v>2895</v>
      </c>
      <c r="H933" s="4" t="s">
        <v>2896</v>
      </c>
      <c r="I933" s="4">
        <v>1</v>
      </c>
      <c r="J933" s="4" t="s">
        <v>1633</v>
      </c>
      <c r="K933" s="4" t="s">
        <v>141</v>
      </c>
      <c r="L933" s="4" t="s">
        <v>181</v>
      </c>
      <c r="M933" s="4" t="s">
        <v>166</v>
      </c>
      <c r="N933" s="4" t="s">
        <v>181</v>
      </c>
      <c r="O933" s="4" t="s">
        <v>144</v>
      </c>
      <c r="P933" s="4" t="s">
        <v>169</v>
      </c>
      <c r="Q933" s="4" t="s">
        <v>170</v>
      </c>
      <c r="R933" s="4">
        <v>22.7</v>
      </c>
      <c r="S933" s="4">
        <v>23.2</v>
      </c>
      <c r="T933" s="4">
        <v>1</v>
      </c>
      <c r="U933" s="4">
        <v>-39.641474350000003</v>
      </c>
      <c r="V933" s="4">
        <v>176.8430194</v>
      </c>
      <c r="W933" s="4"/>
      <c r="X933" s="5">
        <v>40423</v>
      </c>
      <c r="Y933" s="4"/>
      <c r="Z933" s="5">
        <v>40221</v>
      </c>
      <c r="AA933" s="4" t="s">
        <v>145</v>
      </c>
      <c r="AB933" s="3" t="str">
        <f>HYPERLINK("https://sitebase.nzcomms.co.nz/spm/spmcandidateview/WLG-047-071-A/","WLG-047-071-A")</f>
        <v>WLG-047-071-A</v>
      </c>
      <c r="AC933" s="4" t="b">
        <v>0</v>
      </c>
      <c r="AD933" s="4" t="b">
        <v>1</v>
      </c>
      <c r="AE933" s="4"/>
      <c r="AF933" s="4"/>
      <c r="AG933" s="4" t="b">
        <v>0</v>
      </c>
      <c r="AH933" s="4"/>
      <c r="AI933" s="5">
        <v>40627</v>
      </c>
      <c r="AJ933" s="5">
        <v>40619</v>
      </c>
      <c r="AK933" s="5">
        <v>40634</v>
      </c>
      <c r="AL933" s="5">
        <v>40624</v>
      </c>
      <c r="AM933" s="5">
        <v>40665</v>
      </c>
      <c r="AN933" s="5">
        <v>40667</v>
      </c>
      <c r="AO933" s="4">
        <v>3</v>
      </c>
      <c r="AP933" s="5">
        <v>40665</v>
      </c>
      <c r="AQ933" s="5">
        <v>41981</v>
      </c>
      <c r="AR933" s="5">
        <v>40683</v>
      </c>
      <c r="AS933" s="5">
        <v>40681</v>
      </c>
      <c r="AT933" s="5">
        <v>40709</v>
      </c>
      <c r="AU933" s="5">
        <v>40704</v>
      </c>
      <c r="AV933" s="4">
        <v>1</v>
      </c>
      <c r="AW933" s="5">
        <v>40724</v>
      </c>
      <c r="AX933" s="5">
        <v>40730</v>
      </c>
      <c r="AY933" s="4" t="s">
        <v>172</v>
      </c>
      <c r="AZ933" s="5">
        <v>40697</v>
      </c>
      <c r="BA933" s="5">
        <v>40702</v>
      </c>
      <c r="BB933" s="5">
        <v>40742</v>
      </c>
      <c r="BC933" s="5">
        <v>40738</v>
      </c>
      <c r="BD933" s="4">
        <v>2</v>
      </c>
      <c r="BE933" s="5">
        <v>40746</v>
      </c>
      <c r="BF933" s="5">
        <v>40738</v>
      </c>
      <c r="BG933" s="4"/>
      <c r="BH933" s="4"/>
      <c r="BI933" s="5">
        <v>40781</v>
      </c>
      <c r="BJ933" s="5">
        <v>40781</v>
      </c>
      <c r="BK933" s="4">
        <v>1</v>
      </c>
      <c r="BL933" s="4"/>
      <c r="BM933" s="5">
        <v>40781</v>
      </c>
      <c r="BN933" s="5">
        <v>40781</v>
      </c>
      <c r="BO933" s="5">
        <v>40861</v>
      </c>
      <c r="BP933" s="4"/>
      <c r="BQ933" s="4"/>
      <c r="BR933" s="4"/>
      <c r="BS933" s="4"/>
      <c r="BT933" s="5">
        <v>40763</v>
      </c>
      <c r="BU933" s="5">
        <v>40763</v>
      </c>
      <c r="BV933" s="5">
        <v>40837</v>
      </c>
      <c r="BW933" s="5">
        <v>40861</v>
      </c>
      <c r="BX933" s="5">
        <v>40825</v>
      </c>
      <c r="BY933" s="5">
        <v>40830</v>
      </c>
      <c r="BZ933" s="5">
        <v>40830</v>
      </c>
      <c r="CA933" s="4"/>
      <c r="CB933" s="4"/>
      <c r="CC933" s="4"/>
      <c r="CD933" s="4"/>
      <c r="CE933" s="4"/>
      <c r="CF933" s="4"/>
      <c r="CG933" s="4"/>
      <c r="CH933" s="4"/>
      <c r="CI933" s="5">
        <v>40843</v>
      </c>
      <c r="CJ933" s="5">
        <v>40861</v>
      </c>
      <c r="CK933" s="5">
        <v>40855</v>
      </c>
      <c r="CL933" s="5">
        <v>40868</v>
      </c>
      <c r="CM933" s="5">
        <v>40862</v>
      </c>
      <c r="CN933" s="5">
        <v>41376</v>
      </c>
      <c r="CO933" s="5">
        <v>41383</v>
      </c>
      <c r="CP933" s="4" t="s">
        <v>2897</v>
      </c>
      <c r="CQ933" s="4"/>
      <c r="CR933" s="5">
        <v>40835</v>
      </c>
      <c r="CS933" s="5">
        <v>40784</v>
      </c>
      <c r="CT933" s="5">
        <v>40784</v>
      </c>
      <c r="CU933" s="5">
        <v>40816</v>
      </c>
      <c r="CV933" s="5">
        <v>40861</v>
      </c>
      <c r="CW933" s="5">
        <v>40795</v>
      </c>
      <c r="CX933" s="5">
        <v>40861</v>
      </c>
      <c r="CY933" s="5">
        <v>40829</v>
      </c>
      <c r="CZ933" s="5">
        <v>40829</v>
      </c>
      <c r="DA933" s="4"/>
      <c r="DB933" s="5">
        <v>40848</v>
      </c>
      <c r="DC933" s="4"/>
      <c r="DD933" s="4"/>
      <c r="DE933" s="4"/>
      <c r="DF933" s="4"/>
      <c r="DG933" s="4"/>
      <c r="DH933" s="4"/>
      <c r="DI933" s="5">
        <v>40825</v>
      </c>
      <c r="DJ933" s="4" t="b">
        <v>0</v>
      </c>
      <c r="DK933" s="4"/>
      <c r="DL933" s="4">
        <v>2839757</v>
      </c>
      <c r="DM933" s="4">
        <v>6166612</v>
      </c>
      <c r="DN933" s="4" t="s">
        <v>2898</v>
      </c>
      <c r="DO933" s="4"/>
      <c r="DP933" s="4" t="s">
        <v>2899</v>
      </c>
      <c r="DQ933" s="4" t="s">
        <v>148</v>
      </c>
      <c r="DR933" s="4"/>
      <c r="DS933" s="4"/>
      <c r="DT933" s="5">
        <v>42116</v>
      </c>
      <c r="DU933" s="4"/>
      <c r="DV933" s="4"/>
      <c r="DW933" s="4"/>
      <c r="DX933" s="4"/>
      <c r="DY933" s="4"/>
      <c r="DZ933" s="4"/>
      <c r="EA933" s="4"/>
      <c r="EB933" s="4"/>
      <c r="EC933" s="4"/>
      <c r="ED933" s="4"/>
      <c r="EE933" s="4"/>
      <c r="EF933" s="4"/>
      <c r="EG933" s="5">
        <v>40861</v>
      </c>
      <c r="EH933" s="5">
        <v>40861</v>
      </c>
      <c r="EI933" s="4"/>
    </row>
    <row r="934" spans="1:139" hidden="1" x14ac:dyDescent="0.2">
      <c r="A934">
        <f>VLOOKUP(B934,Sheet1!$A$1:$B$18,2,FALSE)</f>
        <v>0</v>
      </c>
      <c r="B934" t="str">
        <f>LEFT(D934,3)</f>
        <v>HKB</v>
      </c>
      <c r="C934" s="2">
        <v>933</v>
      </c>
      <c r="D934" s="3" t="str">
        <f>HYPERLINK("https://sitebase.nzcomms.co.nz/spm/spmnominalview/HKB-030-002/","HKB-030-002")</f>
        <v>HKB-030-002</v>
      </c>
      <c r="E934" s="4" t="s">
        <v>2900</v>
      </c>
      <c r="F934" s="3" t="str">
        <f>HYPERLINK("https://sitebase.nzcomms.co.nz/spm/spmcandidateview/HKB-030-002-E/","HKB-030-002-E")</f>
        <v>HKB-030-002-E</v>
      </c>
      <c r="G934" s="4" t="s">
        <v>2901</v>
      </c>
      <c r="H934" s="4" t="s">
        <v>2896</v>
      </c>
      <c r="I934" s="4">
        <v>1</v>
      </c>
      <c r="J934" s="4" t="s">
        <v>1633</v>
      </c>
      <c r="K934" s="4" t="s">
        <v>141</v>
      </c>
      <c r="L934" s="4" t="s">
        <v>150</v>
      </c>
      <c r="M934" s="4" t="s">
        <v>190</v>
      </c>
      <c r="N934" s="4" t="s">
        <v>1557</v>
      </c>
      <c r="O934" s="4" t="s">
        <v>144</v>
      </c>
      <c r="P934" s="4" t="s">
        <v>169</v>
      </c>
      <c r="Q934" s="4" t="s">
        <v>192</v>
      </c>
      <c r="R934" s="4">
        <v>24.5</v>
      </c>
      <c r="S934" s="4">
        <v>25</v>
      </c>
      <c r="T934" s="4">
        <v>1</v>
      </c>
      <c r="U934" s="4">
        <v>-39.6310541</v>
      </c>
      <c r="V934" s="4">
        <v>176.82836594</v>
      </c>
      <c r="W934" s="4"/>
      <c r="X934" s="5">
        <v>40423</v>
      </c>
      <c r="Y934" s="4"/>
      <c r="Z934" s="5">
        <v>40221</v>
      </c>
      <c r="AA934" s="4" t="s">
        <v>171</v>
      </c>
      <c r="AB934" s="3" t="str">
        <f>HYPERLINK("https://sitebase.nzcomms.co.nz/spm/spmcandidateview/HKB-030-001-A/","HKB-030-001-A")</f>
        <v>HKB-030-001-A</v>
      </c>
      <c r="AC934" s="4" t="b">
        <v>0</v>
      </c>
      <c r="AD934" s="4" t="b">
        <v>1</v>
      </c>
      <c r="AE934" s="4"/>
      <c r="AF934" s="4"/>
      <c r="AG934" s="4" t="b">
        <v>0</v>
      </c>
      <c r="AH934" s="4" t="s">
        <v>2902</v>
      </c>
      <c r="AI934" s="5">
        <v>40597</v>
      </c>
      <c r="AJ934" s="5">
        <v>40598</v>
      </c>
      <c r="AK934" s="5">
        <v>40604</v>
      </c>
      <c r="AL934" s="5">
        <v>40603</v>
      </c>
      <c r="AM934" s="5">
        <v>40625</v>
      </c>
      <c r="AN934" s="5">
        <v>40631</v>
      </c>
      <c r="AO934" s="4">
        <v>1</v>
      </c>
      <c r="AP934" s="5">
        <v>40625</v>
      </c>
      <c r="AQ934" s="5">
        <v>40631</v>
      </c>
      <c r="AR934" s="5">
        <v>40669</v>
      </c>
      <c r="AS934" s="5">
        <v>40669</v>
      </c>
      <c r="AT934" s="5">
        <v>40724</v>
      </c>
      <c r="AU934" s="5">
        <v>40725</v>
      </c>
      <c r="AV934" s="4">
        <v>1</v>
      </c>
      <c r="AW934" s="5">
        <v>40724</v>
      </c>
      <c r="AX934" s="5">
        <v>40725</v>
      </c>
      <c r="AY934" s="4" t="s">
        <v>172</v>
      </c>
      <c r="AZ934" s="5">
        <v>40672</v>
      </c>
      <c r="BA934" s="5">
        <v>40672</v>
      </c>
      <c r="BB934" s="5">
        <v>40700</v>
      </c>
      <c r="BC934" s="5">
        <v>40688</v>
      </c>
      <c r="BD934" s="4">
        <v>1</v>
      </c>
      <c r="BE934" s="5">
        <v>40707</v>
      </c>
      <c r="BF934" s="5">
        <v>40696</v>
      </c>
      <c r="BG934" s="4"/>
      <c r="BH934" s="4"/>
      <c r="BI934" s="5">
        <v>40784</v>
      </c>
      <c r="BJ934" s="5">
        <v>40794</v>
      </c>
      <c r="BK934" s="4">
        <v>1</v>
      </c>
      <c r="BL934" s="4"/>
      <c r="BM934" s="5">
        <v>40784</v>
      </c>
      <c r="BN934" s="5">
        <v>40794</v>
      </c>
      <c r="BO934" s="5">
        <v>40862</v>
      </c>
      <c r="BP934" s="4"/>
      <c r="BQ934" s="4"/>
      <c r="BR934" s="4"/>
      <c r="BS934" s="4"/>
      <c r="BT934" s="5">
        <v>40791</v>
      </c>
      <c r="BU934" s="5">
        <v>40791</v>
      </c>
      <c r="BV934" s="5">
        <v>40807</v>
      </c>
      <c r="BW934" s="5">
        <v>40807</v>
      </c>
      <c r="BX934" s="5">
        <v>40809</v>
      </c>
      <c r="BY934" s="5">
        <v>40829</v>
      </c>
      <c r="BZ934" s="5">
        <v>40829</v>
      </c>
      <c r="CA934" s="4"/>
      <c r="CB934" s="4"/>
      <c r="CC934" s="4"/>
      <c r="CD934" s="4"/>
      <c r="CE934" s="4"/>
      <c r="CF934" s="4"/>
      <c r="CG934" s="4"/>
      <c r="CH934" s="4"/>
      <c r="CI934" s="5">
        <v>40843</v>
      </c>
      <c r="CJ934" s="5">
        <v>40861</v>
      </c>
      <c r="CK934" s="5">
        <v>40855</v>
      </c>
      <c r="CL934" s="5">
        <v>40868</v>
      </c>
      <c r="CM934" s="5">
        <v>40862</v>
      </c>
      <c r="CN934" s="5">
        <v>40952</v>
      </c>
      <c r="CO934" s="5">
        <v>41121</v>
      </c>
      <c r="CP934" s="4"/>
      <c r="CQ934" s="4"/>
      <c r="CR934" s="5">
        <v>40835</v>
      </c>
      <c r="CS934" s="5">
        <v>40784</v>
      </c>
      <c r="CT934" s="5">
        <v>40784</v>
      </c>
      <c r="CU934" s="5">
        <v>40819</v>
      </c>
      <c r="CV934" s="5">
        <v>40862</v>
      </c>
      <c r="CW934" s="5">
        <v>40784</v>
      </c>
      <c r="CX934" s="5">
        <v>40862</v>
      </c>
      <c r="CY934" s="5">
        <v>40822</v>
      </c>
      <c r="CZ934" s="5">
        <v>40822</v>
      </c>
      <c r="DA934" s="4"/>
      <c r="DB934" s="5">
        <v>40843</v>
      </c>
      <c r="DC934" s="4"/>
      <c r="DD934" s="4"/>
      <c r="DE934" s="4"/>
      <c r="DF934" s="4"/>
      <c r="DG934" s="4"/>
      <c r="DH934" s="4"/>
      <c r="DI934" s="5">
        <v>40813</v>
      </c>
      <c r="DJ934" s="4" t="b">
        <v>0</v>
      </c>
      <c r="DK934" s="4"/>
      <c r="DL934" s="4">
        <v>2838550</v>
      </c>
      <c r="DM934" s="4">
        <v>6167822</v>
      </c>
      <c r="DN934" s="4" t="s">
        <v>2903</v>
      </c>
      <c r="DO934" s="4"/>
      <c r="DP934" s="4" t="s">
        <v>2904</v>
      </c>
      <c r="DQ934" s="4" t="s">
        <v>148</v>
      </c>
      <c r="DR934" s="4"/>
      <c r="DS934" s="4"/>
      <c r="DT934" s="5">
        <v>42116</v>
      </c>
      <c r="DU934" s="4"/>
      <c r="DV934" s="4"/>
      <c r="DW934" s="4"/>
      <c r="DX934" s="4"/>
      <c r="DY934" s="4"/>
      <c r="DZ934" s="4"/>
      <c r="EA934" s="4"/>
      <c r="EB934" s="4"/>
      <c r="EC934" s="4"/>
      <c r="ED934" s="4"/>
      <c r="EE934" s="4"/>
      <c r="EF934" s="4"/>
      <c r="EG934" s="5">
        <v>40854</v>
      </c>
      <c r="EH934" s="5">
        <v>40854</v>
      </c>
      <c r="EI934" s="4"/>
    </row>
    <row r="935" spans="1:139" hidden="1" x14ac:dyDescent="0.2">
      <c r="A935">
        <f>VLOOKUP(B935,Sheet1!$A$1:$B$18,2,FALSE)</f>
        <v>0</v>
      </c>
      <c r="B935" t="str">
        <f>LEFT(D935,3)</f>
        <v>HKB</v>
      </c>
      <c r="C935" s="2">
        <v>934</v>
      </c>
      <c r="D935" s="3" t="str">
        <f>HYPERLINK("https://sitebase.nzcomms.co.nz/spm/spmnominalview/HKB-030-003/","HKB-030-003")</f>
        <v>HKB-030-003</v>
      </c>
      <c r="E935" s="4"/>
      <c r="F935" s="4"/>
      <c r="G935" s="4"/>
      <c r="H935" s="4" t="s">
        <v>2896</v>
      </c>
      <c r="I935" s="4"/>
      <c r="J935" s="4" t="s">
        <v>196</v>
      </c>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row>
    <row r="936" spans="1:139" hidden="1" x14ac:dyDescent="0.2">
      <c r="A936">
        <f>VLOOKUP(B936,Sheet1!$A$1:$B$18,2,FALSE)</f>
        <v>0</v>
      </c>
      <c r="B936" t="str">
        <f>LEFT(D936,3)</f>
        <v>HKB</v>
      </c>
      <c r="C936" s="2">
        <v>935</v>
      </c>
      <c r="D936" s="3" t="str">
        <f>HYPERLINK("https://sitebase.nzcomms.co.nz/spm/spmnominalview/HKB-030-004/","HKB-030-004")</f>
        <v>HKB-030-004</v>
      </c>
      <c r="E936" s="4" t="s">
        <v>1769</v>
      </c>
      <c r="F936" s="3" t="str">
        <f>HYPERLINK("https://sitebase.nzcomms.co.nz/spm/spmcandidateview/HKB-030-004-D/","HKB-030-004-D")</f>
        <v>HKB-030-004-D</v>
      </c>
      <c r="G936" s="4" t="s">
        <v>2905</v>
      </c>
      <c r="H936" s="4" t="s">
        <v>2896</v>
      </c>
      <c r="I936" s="4">
        <v>1</v>
      </c>
      <c r="J936" s="4" t="s">
        <v>1633</v>
      </c>
      <c r="K936" s="4" t="s">
        <v>141</v>
      </c>
      <c r="L936" s="4" t="s">
        <v>189</v>
      </c>
      <c r="M936" s="4" t="s">
        <v>190</v>
      </c>
      <c r="N936" s="4" t="s">
        <v>274</v>
      </c>
      <c r="O936" s="4" t="s">
        <v>356</v>
      </c>
      <c r="P936" s="4" t="s">
        <v>182</v>
      </c>
      <c r="Q936" s="4" t="s">
        <v>192</v>
      </c>
      <c r="R936" s="4">
        <v>15</v>
      </c>
      <c r="S936" s="4">
        <v>15.5</v>
      </c>
      <c r="T936" s="4">
        <v>2</v>
      </c>
      <c r="U936" s="4">
        <v>-39.637813260000001</v>
      </c>
      <c r="V936" s="4">
        <v>176.86568030999999</v>
      </c>
      <c r="W936" s="4"/>
      <c r="X936" s="5">
        <v>40423</v>
      </c>
      <c r="Y936" s="4"/>
      <c r="Z936" s="5">
        <v>40221</v>
      </c>
      <c r="AA936" s="4" t="s">
        <v>171</v>
      </c>
      <c r="AB936" s="3" t="str">
        <f>HYPERLINK("https://sitebase.nzcomms.co.nz/spm/spmcandidateview/HKB-030-006-E/","HKB-030-006-E")</f>
        <v>HKB-030-006-E</v>
      </c>
      <c r="AC936" s="4" t="b">
        <v>0</v>
      </c>
      <c r="AD936" s="4" t="b">
        <v>1</v>
      </c>
      <c r="AE936" s="4"/>
      <c r="AF936" s="4"/>
      <c r="AG936" s="4" t="b">
        <v>0</v>
      </c>
      <c r="AH936" s="4"/>
      <c r="AI936" s="5">
        <v>40688</v>
      </c>
      <c r="AJ936" s="5">
        <v>40653</v>
      </c>
      <c r="AK936" s="5">
        <v>40665</v>
      </c>
      <c r="AL936" s="5">
        <v>40665</v>
      </c>
      <c r="AM936" s="5">
        <v>40688</v>
      </c>
      <c r="AN936" s="5">
        <v>40694</v>
      </c>
      <c r="AO936" s="4">
        <v>3</v>
      </c>
      <c r="AP936" s="5">
        <v>40688</v>
      </c>
      <c r="AQ936" s="5">
        <v>41969</v>
      </c>
      <c r="AR936" s="5">
        <v>40763</v>
      </c>
      <c r="AS936" s="5">
        <v>40765</v>
      </c>
      <c r="AT936" s="5">
        <v>40784</v>
      </c>
      <c r="AU936" s="5">
        <v>40777</v>
      </c>
      <c r="AV936" s="4"/>
      <c r="AW936" s="5">
        <v>40791</v>
      </c>
      <c r="AX936" s="5">
        <v>40788</v>
      </c>
      <c r="AY936" s="4" t="s">
        <v>198</v>
      </c>
      <c r="AZ936" s="5">
        <v>40774</v>
      </c>
      <c r="BA936" s="5">
        <v>40780</v>
      </c>
      <c r="BB936" s="5">
        <v>40805</v>
      </c>
      <c r="BC936" s="5">
        <v>40802</v>
      </c>
      <c r="BD936" s="4">
        <v>2</v>
      </c>
      <c r="BE936" s="5">
        <v>40809</v>
      </c>
      <c r="BF936" s="5">
        <v>40802</v>
      </c>
      <c r="BG936" s="4"/>
      <c r="BH936" s="4"/>
      <c r="BI936" s="5">
        <v>40877</v>
      </c>
      <c r="BJ936" s="5">
        <v>40899</v>
      </c>
      <c r="BK936" s="4">
        <v>1</v>
      </c>
      <c r="BL936" s="4"/>
      <c r="BM936" s="5">
        <v>40877</v>
      </c>
      <c r="BN936" s="5">
        <v>40899</v>
      </c>
      <c r="BO936" s="5">
        <v>40892</v>
      </c>
      <c r="BP936" s="4"/>
      <c r="BQ936" s="4"/>
      <c r="BR936" s="4"/>
      <c r="BS936" s="4"/>
      <c r="BT936" s="5">
        <v>40889</v>
      </c>
      <c r="BU936" s="5">
        <v>40889</v>
      </c>
      <c r="BV936" s="5">
        <v>40897</v>
      </c>
      <c r="BW936" s="5">
        <v>40897</v>
      </c>
      <c r="BX936" s="5">
        <v>40921</v>
      </c>
      <c r="BY936" s="5">
        <v>40934</v>
      </c>
      <c r="BZ936" s="5">
        <v>40933</v>
      </c>
      <c r="CA936" s="4"/>
      <c r="CB936" s="4"/>
      <c r="CC936" s="4"/>
      <c r="CD936" s="4"/>
      <c r="CE936" s="4"/>
      <c r="CF936" s="4"/>
      <c r="CG936" s="4"/>
      <c r="CH936" s="4"/>
      <c r="CI936" s="5">
        <v>40934</v>
      </c>
      <c r="CJ936" s="5">
        <v>40949</v>
      </c>
      <c r="CK936" s="5">
        <v>40954</v>
      </c>
      <c r="CL936" s="5">
        <v>40956</v>
      </c>
      <c r="CM936" s="5">
        <v>40966</v>
      </c>
      <c r="CN936" s="5">
        <v>41057</v>
      </c>
      <c r="CO936" s="5">
        <v>41144</v>
      </c>
      <c r="CP936" s="4"/>
      <c r="CQ936" s="4"/>
      <c r="CR936" s="5">
        <v>40934</v>
      </c>
      <c r="CS936" s="5">
        <v>40892</v>
      </c>
      <c r="CT936" s="5">
        <v>40892</v>
      </c>
      <c r="CU936" s="5">
        <v>40892</v>
      </c>
      <c r="CV936" s="5">
        <v>40892</v>
      </c>
      <c r="CW936" s="5">
        <v>40892</v>
      </c>
      <c r="CX936" s="5">
        <v>40892</v>
      </c>
      <c r="CY936" s="5">
        <v>40931</v>
      </c>
      <c r="CZ936" s="5">
        <v>40931</v>
      </c>
      <c r="DA936" s="4"/>
      <c r="DB936" s="5">
        <v>40952</v>
      </c>
      <c r="DC936" s="4"/>
      <c r="DD936" s="4"/>
      <c r="DE936" s="4"/>
      <c r="DF936" s="4"/>
      <c r="DG936" s="4"/>
      <c r="DH936" s="4"/>
      <c r="DI936" s="5">
        <v>40922</v>
      </c>
      <c r="DJ936" s="4" t="b">
        <v>0</v>
      </c>
      <c r="DK936" s="4"/>
      <c r="DL936" s="4">
        <v>2841718</v>
      </c>
      <c r="DM936" s="4">
        <v>6166934</v>
      </c>
      <c r="DN936" s="4" t="s">
        <v>2906</v>
      </c>
      <c r="DO936" s="4"/>
      <c r="DP936" s="4"/>
      <c r="DQ936" s="4" t="s">
        <v>148</v>
      </c>
      <c r="DR936" s="4"/>
      <c r="DS936" s="4"/>
      <c r="DT936" s="5">
        <v>42116</v>
      </c>
      <c r="DU936" s="4"/>
      <c r="DV936" s="4"/>
      <c r="DW936" s="4"/>
      <c r="DX936" s="4"/>
      <c r="DY936" s="4"/>
      <c r="DZ936" s="4"/>
      <c r="EA936" s="4"/>
      <c r="EB936" s="4"/>
      <c r="EC936" s="4"/>
      <c r="ED936" s="4"/>
      <c r="EE936" s="4"/>
      <c r="EF936" s="4"/>
      <c r="EG936" s="5">
        <v>40952</v>
      </c>
      <c r="EH936" s="5">
        <v>40952</v>
      </c>
      <c r="EI936" s="4"/>
    </row>
    <row r="937" spans="1:139" hidden="1" x14ac:dyDescent="0.2">
      <c r="A937">
        <f>VLOOKUP(B937,Sheet1!$A$1:$B$18,2,FALSE)</f>
        <v>0</v>
      </c>
      <c r="B937" t="str">
        <f>LEFT(D937,3)</f>
        <v>HKB</v>
      </c>
      <c r="C937" s="2">
        <v>936</v>
      </c>
      <c r="D937" s="3" t="str">
        <f>HYPERLINK("https://sitebase.nzcomms.co.nz/spm/spmnominalview/HKB-030-005/","HKB-030-005")</f>
        <v>HKB-030-005</v>
      </c>
      <c r="E937" s="4"/>
      <c r="F937" s="4"/>
      <c r="G937" s="4"/>
      <c r="H937" s="4" t="s">
        <v>2896</v>
      </c>
      <c r="I937" s="4"/>
      <c r="J937" s="4" t="s">
        <v>196</v>
      </c>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row>
    <row r="938" spans="1:139" hidden="1" x14ac:dyDescent="0.2">
      <c r="A938">
        <f>VLOOKUP(B938,Sheet1!$A$1:$B$18,2,FALSE)</f>
        <v>0</v>
      </c>
      <c r="B938" t="str">
        <f>LEFT(D938,3)</f>
        <v>HKB</v>
      </c>
      <c r="C938" s="2">
        <v>937</v>
      </c>
      <c r="D938" s="3" t="str">
        <f>HYPERLINK("https://sitebase.nzcomms.co.nz/spm/spmnominalview/HKB-030-006/","HKB-030-006")</f>
        <v>HKB-030-006</v>
      </c>
      <c r="E938" s="4" t="s">
        <v>2907</v>
      </c>
      <c r="F938" s="3" t="str">
        <f>HYPERLINK("https://sitebase.nzcomms.co.nz/spm/spmcandidateview/HKB-030-006-E/","HKB-030-006-E")</f>
        <v>HKB-030-006-E</v>
      </c>
      <c r="G938" s="4" t="s">
        <v>2908</v>
      </c>
      <c r="H938" s="4" t="s">
        <v>2896</v>
      </c>
      <c r="I938" s="4">
        <v>1</v>
      </c>
      <c r="J938" s="4" t="s">
        <v>1633</v>
      </c>
      <c r="K938" s="4" t="s">
        <v>141</v>
      </c>
      <c r="L938" s="4" t="s">
        <v>150</v>
      </c>
      <c r="M938" s="4" t="s">
        <v>190</v>
      </c>
      <c r="N938" s="4" t="s">
        <v>1557</v>
      </c>
      <c r="O938" s="4" t="s">
        <v>144</v>
      </c>
      <c r="P938" s="4" t="s">
        <v>169</v>
      </c>
      <c r="Q938" s="4" t="s">
        <v>192</v>
      </c>
      <c r="R938" s="4">
        <v>24.5</v>
      </c>
      <c r="S938" s="4">
        <v>25</v>
      </c>
      <c r="T938" s="4">
        <v>1</v>
      </c>
      <c r="U938" s="4">
        <v>-39.627923719999998</v>
      </c>
      <c r="V938" s="4">
        <v>176.85384017999999</v>
      </c>
      <c r="W938" s="4"/>
      <c r="X938" s="5">
        <v>40423</v>
      </c>
      <c r="Y938" s="4"/>
      <c r="Z938" s="4"/>
      <c r="AA938" s="4" t="s">
        <v>171</v>
      </c>
      <c r="AB938" s="3" t="str">
        <f>HYPERLINK("https://sitebase.nzcomms.co.nz/spm/spmcandidateview/HKB-030-002-E/","HKB-030-002-E")</f>
        <v>HKB-030-002-E</v>
      </c>
      <c r="AC938" s="4" t="b">
        <v>0</v>
      </c>
      <c r="AD938" s="4" t="b">
        <v>1</v>
      </c>
      <c r="AE938" s="4"/>
      <c r="AF938" s="4"/>
      <c r="AG938" s="4" t="b">
        <v>0</v>
      </c>
      <c r="AH938" s="4" t="s">
        <v>2909</v>
      </c>
      <c r="AI938" s="5">
        <v>40654</v>
      </c>
      <c r="AJ938" s="5">
        <v>40653</v>
      </c>
      <c r="AK938" s="5">
        <v>40665</v>
      </c>
      <c r="AL938" s="5">
        <v>40665</v>
      </c>
      <c r="AM938" s="5">
        <v>40689</v>
      </c>
      <c r="AN938" s="5">
        <v>40694</v>
      </c>
      <c r="AO938" s="4">
        <v>1</v>
      </c>
      <c r="AP938" s="5">
        <v>40689</v>
      </c>
      <c r="AQ938" s="5">
        <v>40694</v>
      </c>
      <c r="AR938" s="5">
        <v>40725</v>
      </c>
      <c r="AS938" s="5">
        <v>40723</v>
      </c>
      <c r="AT938" s="5">
        <v>40739</v>
      </c>
      <c r="AU938" s="5">
        <v>40730</v>
      </c>
      <c r="AV938" s="4">
        <v>1</v>
      </c>
      <c r="AW938" s="5">
        <v>40746</v>
      </c>
      <c r="AX938" s="5">
        <v>40730</v>
      </c>
      <c r="AY938" s="4" t="s">
        <v>172</v>
      </c>
      <c r="AZ938" s="5">
        <v>40704</v>
      </c>
      <c r="BA938" s="5">
        <v>40707</v>
      </c>
      <c r="BB938" s="5">
        <v>40735</v>
      </c>
      <c r="BC938" s="5">
        <v>40736</v>
      </c>
      <c r="BD938" s="4">
        <v>1</v>
      </c>
      <c r="BE938" s="5">
        <v>40738</v>
      </c>
      <c r="BF938" s="5">
        <v>40736</v>
      </c>
      <c r="BG938" s="4"/>
      <c r="BH938" s="4"/>
      <c r="BI938" s="5">
        <v>40781</v>
      </c>
      <c r="BJ938" s="5">
        <v>40899</v>
      </c>
      <c r="BK938" s="4">
        <v>1</v>
      </c>
      <c r="BL938" s="4"/>
      <c r="BM938" s="5">
        <v>40802</v>
      </c>
      <c r="BN938" s="5">
        <v>40899</v>
      </c>
      <c r="BO938" s="5">
        <v>40862</v>
      </c>
      <c r="BP938" s="4"/>
      <c r="BQ938" s="4"/>
      <c r="BR938" s="4"/>
      <c r="BS938" s="4"/>
      <c r="BT938" s="5">
        <v>40829</v>
      </c>
      <c r="BU938" s="5">
        <v>40829</v>
      </c>
      <c r="BV938" s="5">
        <v>40872</v>
      </c>
      <c r="BW938" s="5">
        <v>40875</v>
      </c>
      <c r="BX938" s="5">
        <v>40863</v>
      </c>
      <c r="BY938" s="5">
        <v>40872</v>
      </c>
      <c r="BZ938" s="5">
        <v>40875</v>
      </c>
      <c r="CA938" s="4"/>
      <c r="CB938" s="4"/>
      <c r="CC938" s="4"/>
      <c r="CD938" s="4"/>
      <c r="CE938" s="4"/>
      <c r="CF938" s="4"/>
      <c r="CG938" s="4"/>
      <c r="CH938" s="4"/>
      <c r="CI938" s="5">
        <v>40876</v>
      </c>
      <c r="CJ938" s="5">
        <v>40891</v>
      </c>
      <c r="CK938" s="5">
        <v>40884</v>
      </c>
      <c r="CL938" s="5">
        <v>40882</v>
      </c>
      <c r="CM938" s="5">
        <v>40893</v>
      </c>
      <c r="CN938" s="5">
        <v>40983</v>
      </c>
      <c r="CO938" s="5">
        <v>41121</v>
      </c>
      <c r="CP938" s="4"/>
      <c r="CQ938" s="4"/>
      <c r="CR938" s="5">
        <v>40876</v>
      </c>
      <c r="CS938" s="5">
        <v>40862</v>
      </c>
      <c r="CT938" s="5">
        <v>40862</v>
      </c>
      <c r="CU938" s="5">
        <v>40820</v>
      </c>
      <c r="CV938" s="5">
        <v>40862</v>
      </c>
      <c r="CW938" s="5">
        <v>40857</v>
      </c>
      <c r="CX938" s="5">
        <v>40862</v>
      </c>
      <c r="CY938" s="5">
        <v>40875</v>
      </c>
      <c r="CZ938" s="5">
        <v>40875</v>
      </c>
      <c r="DA938" s="4"/>
      <c r="DB938" s="5">
        <v>40877</v>
      </c>
      <c r="DC938" s="4"/>
      <c r="DD938" s="4"/>
      <c r="DE938" s="4"/>
      <c r="DF938" s="4"/>
      <c r="DG938" s="4"/>
      <c r="DH938" s="4"/>
      <c r="DI938" s="5">
        <v>40863</v>
      </c>
      <c r="DJ938" s="4" t="b">
        <v>0</v>
      </c>
      <c r="DK938" s="4"/>
      <c r="DL938" s="4">
        <v>2840750</v>
      </c>
      <c r="DM938" s="4">
        <v>6168075</v>
      </c>
      <c r="DN938" s="4" t="s">
        <v>2910</v>
      </c>
      <c r="DO938" s="4"/>
      <c r="DP938" s="4"/>
      <c r="DQ938" s="4" t="s">
        <v>148</v>
      </c>
      <c r="DR938" s="4"/>
      <c r="DS938" s="4"/>
      <c r="DT938" s="5">
        <v>42116</v>
      </c>
      <c r="DU938" s="4"/>
      <c r="DV938" s="4"/>
      <c r="DW938" s="4"/>
      <c r="DX938" s="4"/>
      <c r="DY938" s="4"/>
      <c r="DZ938" s="4"/>
      <c r="EA938" s="4"/>
      <c r="EB938" s="4"/>
      <c r="EC938" s="4"/>
      <c r="ED938" s="4"/>
      <c r="EE938" s="4"/>
      <c r="EF938" s="4"/>
      <c r="EG938" s="5">
        <v>40883</v>
      </c>
      <c r="EH938" s="5">
        <v>40883</v>
      </c>
      <c r="EI938" s="4"/>
    </row>
    <row r="939" spans="1:139" hidden="1" x14ac:dyDescent="0.2">
      <c r="A939">
        <f>VLOOKUP(B939,Sheet1!$A$1:$B$18,2,FALSE)</f>
        <v>0</v>
      </c>
      <c r="B939" t="str">
        <f>LEFT(D939,3)</f>
        <v>HKB</v>
      </c>
      <c r="C939" s="2">
        <v>938</v>
      </c>
      <c r="D939" s="3" t="str">
        <f>HYPERLINK("https://sitebase.nzcomms.co.nz/spm/spmnominalview/HKB-030-007/","HKB-030-007")</f>
        <v>HKB-030-007</v>
      </c>
      <c r="E939" s="4"/>
      <c r="F939" s="4"/>
      <c r="G939" s="4"/>
      <c r="H939" s="4" t="s">
        <v>2896</v>
      </c>
      <c r="I939" s="4"/>
      <c r="J939" s="4" t="s">
        <v>196</v>
      </c>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row>
    <row r="940" spans="1:139" hidden="1" x14ac:dyDescent="0.2">
      <c r="A940">
        <f>VLOOKUP(B940,Sheet1!$A$1:$B$18,2,FALSE)</f>
        <v>0</v>
      </c>
      <c r="B940" t="str">
        <f>LEFT(D940,3)</f>
        <v>HKB</v>
      </c>
      <c r="C940" s="2">
        <v>939</v>
      </c>
      <c r="D940" s="3" t="str">
        <f>HYPERLINK("https://sitebase.nzcomms.co.nz/spm/spmnominalview/HKB-030-008/","HKB-030-008")</f>
        <v>HKB-030-008</v>
      </c>
      <c r="E940" s="4"/>
      <c r="F940" s="4"/>
      <c r="G940" s="4"/>
      <c r="H940" s="4" t="s">
        <v>2896</v>
      </c>
      <c r="I940" s="4"/>
      <c r="J940" s="4" t="s">
        <v>196</v>
      </c>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row>
    <row r="941" spans="1:139" hidden="1" x14ac:dyDescent="0.2">
      <c r="A941">
        <f>VLOOKUP(B941,Sheet1!$A$1:$B$18,2,FALSE)</f>
        <v>0</v>
      </c>
      <c r="B941" t="str">
        <f>LEFT(D941,3)</f>
        <v>HKB</v>
      </c>
      <c r="C941" s="2">
        <v>940</v>
      </c>
      <c r="D941" s="3" t="str">
        <f>HYPERLINK("https://sitebase.nzcomms.co.nz/spm/spmnominalview/HKB-030-009/","HKB-030-009")</f>
        <v>HKB-030-009</v>
      </c>
      <c r="E941" s="4" t="s">
        <v>2911</v>
      </c>
      <c r="F941" s="3" t="str">
        <f>HYPERLINK("https://sitebase.nzcomms.co.nz/spm/spmcandidateview/HKB-030-009-D/","HKB-030-009-D")</f>
        <v>HKB-030-009-D</v>
      </c>
      <c r="G941" s="4" t="s">
        <v>2912</v>
      </c>
      <c r="H941" s="4" t="s">
        <v>2896</v>
      </c>
      <c r="I941" s="4">
        <v>1</v>
      </c>
      <c r="J941" s="4" t="s">
        <v>1633</v>
      </c>
      <c r="K941" s="4" t="s">
        <v>141</v>
      </c>
      <c r="L941" s="4" t="s">
        <v>150</v>
      </c>
      <c r="M941" s="4" t="s">
        <v>190</v>
      </c>
      <c r="N941" s="4" t="s">
        <v>1557</v>
      </c>
      <c r="O941" s="4" t="s">
        <v>144</v>
      </c>
      <c r="P941" s="4" t="s">
        <v>169</v>
      </c>
      <c r="Q941" s="4" t="s">
        <v>192</v>
      </c>
      <c r="R941" s="4">
        <v>24.5</v>
      </c>
      <c r="S941" s="4">
        <v>25</v>
      </c>
      <c r="T941" s="4">
        <v>1</v>
      </c>
      <c r="U941" s="4">
        <v>-39.667167919999997</v>
      </c>
      <c r="V941" s="4">
        <v>176.87717357</v>
      </c>
      <c r="W941" s="4"/>
      <c r="X941" s="5">
        <v>40423</v>
      </c>
      <c r="Y941" s="4"/>
      <c r="Z941" s="5">
        <v>40221</v>
      </c>
      <c r="AA941" s="4" t="s">
        <v>145</v>
      </c>
      <c r="AB941" s="3" t="str">
        <f>HYPERLINK("https://sitebase.nzcomms.co.nz/spm/spmcandidateview/HKB-030-001-A/","HKB-030-001-A")</f>
        <v>HKB-030-001-A</v>
      </c>
      <c r="AC941" s="4" t="b">
        <v>0</v>
      </c>
      <c r="AD941" s="4" t="b">
        <v>1</v>
      </c>
      <c r="AE941" s="4"/>
      <c r="AF941" s="4"/>
      <c r="AG941" s="4" t="b">
        <v>0</v>
      </c>
      <c r="AH941" s="4"/>
      <c r="AI941" s="5">
        <v>40597</v>
      </c>
      <c r="AJ941" s="5">
        <v>40598</v>
      </c>
      <c r="AK941" s="5">
        <v>40604</v>
      </c>
      <c r="AL941" s="5">
        <v>40603</v>
      </c>
      <c r="AM941" s="5">
        <v>40633</v>
      </c>
      <c r="AN941" s="5">
        <v>40633</v>
      </c>
      <c r="AO941" s="4">
        <v>1</v>
      </c>
      <c r="AP941" s="5">
        <v>40633</v>
      </c>
      <c r="AQ941" s="5">
        <v>40633</v>
      </c>
      <c r="AR941" s="5">
        <v>40669</v>
      </c>
      <c r="AS941" s="5">
        <v>40669</v>
      </c>
      <c r="AT941" s="5">
        <v>40739</v>
      </c>
      <c r="AU941" s="5">
        <v>40738</v>
      </c>
      <c r="AV941" s="4">
        <v>1</v>
      </c>
      <c r="AW941" s="5">
        <v>40739</v>
      </c>
      <c r="AX941" s="5">
        <v>40738</v>
      </c>
      <c r="AY941" s="4" t="s">
        <v>172</v>
      </c>
      <c r="AZ941" s="5">
        <v>40672</v>
      </c>
      <c r="BA941" s="5">
        <v>40672</v>
      </c>
      <c r="BB941" s="5">
        <v>40700</v>
      </c>
      <c r="BC941" s="5">
        <v>40688</v>
      </c>
      <c r="BD941" s="4">
        <v>1</v>
      </c>
      <c r="BE941" s="5">
        <v>40707</v>
      </c>
      <c r="BF941" s="5">
        <v>40696</v>
      </c>
      <c r="BG941" s="4"/>
      <c r="BH941" s="4"/>
      <c r="BI941" s="5">
        <v>40781</v>
      </c>
      <c r="BJ941" s="5">
        <v>40770</v>
      </c>
      <c r="BK941" s="4">
        <v>1</v>
      </c>
      <c r="BL941" s="4"/>
      <c r="BM941" s="5">
        <v>40770</v>
      </c>
      <c r="BN941" s="5">
        <v>40770</v>
      </c>
      <c r="BO941" s="5">
        <v>40861</v>
      </c>
      <c r="BP941" s="4"/>
      <c r="BQ941" s="4"/>
      <c r="BR941" s="4"/>
      <c r="BS941" s="4"/>
      <c r="BT941" s="5">
        <v>40771</v>
      </c>
      <c r="BU941" s="5">
        <v>40772</v>
      </c>
      <c r="BV941" s="5">
        <v>40807</v>
      </c>
      <c r="BW941" s="5">
        <v>40807</v>
      </c>
      <c r="BX941" s="5">
        <v>40809</v>
      </c>
      <c r="BY941" s="5">
        <v>40819</v>
      </c>
      <c r="BZ941" s="5">
        <v>40819</v>
      </c>
      <c r="CA941" s="4"/>
      <c r="CB941" s="4"/>
      <c r="CC941" s="4"/>
      <c r="CD941" s="4"/>
      <c r="CE941" s="4"/>
      <c r="CF941" s="4"/>
      <c r="CG941" s="4"/>
      <c r="CH941" s="4"/>
      <c r="CI941" s="5">
        <v>40843</v>
      </c>
      <c r="CJ941" s="5">
        <v>40861</v>
      </c>
      <c r="CK941" s="5">
        <v>40855</v>
      </c>
      <c r="CL941" s="5">
        <v>40868</v>
      </c>
      <c r="CM941" s="5">
        <v>40862</v>
      </c>
      <c r="CN941" s="5">
        <v>40952</v>
      </c>
      <c r="CO941" s="5">
        <v>41121</v>
      </c>
      <c r="CP941" s="4" t="s">
        <v>2913</v>
      </c>
      <c r="CQ941" s="4"/>
      <c r="CR941" s="5">
        <v>40835</v>
      </c>
      <c r="CS941" s="5">
        <v>40784</v>
      </c>
      <c r="CT941" s="5">
        <v>40784</v>
      </c>
      <c r="CU941" s="5">
        <v>40820</v>
      </c>
      <c r="CV941" s="5">
        <v>40861</v>
      </c>
      <c r="CW941" s="5">
        <v>40784</v>
      </c>
      <c r="CX941" s="5">
        <v>40861</v>
      </c>
      <c r="CY941" s="5">
        <v>40816</v>
      </c>
      <c r="CZ941" s="5">
        <v>40816</v>
      </c>
      <c r="DA941" s="4"/>
      <c r="DB941" s="5">
        <v>40843</v>
      </c>
      <c r="DC941" s="4"/>
      <c r="DD941" s="4"/>
      <c r="DE941" s="4"/>
      <c r="DF941" s="4"/>
      <c r="DG941" s="4"/>
      <c r="DH941" s="4"/>
      <c r="DI941" s="5">
        <v>40812</v>
      </c>
      <c r="DJ941" s="4" t="b">
        <v>0</v>
      </c>
      <c r="DK941" s="4"/>
      <c r="DL941" s="4">
        <v>2842562</v>
      </c>
      <c r="DM941" s="4">
        <v>6163635</v>
      </c>
      <c r="DN941" s="4" t="s">
        <v>2914</v>
      </c>
      <c r="DO941" s="4"/>
      <c r="DP941" s="4" t="s">
        <v>2915</v>
      </c>
      <c r="DQ941" s="4" t="s">
        <v>148</v>
      </c>
      <c r="DR941" s="4"/>
      <c r="DS941" s="4"/>
      <c r="DT941" s="5">
        <v>42116</v>
      </c>
      <c r="DU941" s="4"/>
      <c r="DV941" s="4"/>
      <c r="DW941" s="4"/>
      <c r="DX941" s="4"/>
      <c r="DY941" s="4"/>
      <c r="DZ941" s="4"/>
      <c r="EA941" s="4"/>
      <c r="EB941" s="4"/>
      <c r="EC941" s="4"/>
      <c r="ED941" s="4"/>
      <c r="EE941" s="4"/>
      <c r="EF941" s="4"/>
      <c r="EG941" s="5">
        <v>40858</v>
      </c>
      <c r="EH941" s="5">
        <v>40861</v>
      </c>
      <c r="EI941" s="4"/>
    </row>
    <row r="942" spans="1:139" hidden="1" x14ac:dyDescent="0.2">
      <c r="A942">
        <f>VLOOKUP(B942,Sheet1!$A$1:$B$18,2,FALSE)</f>
        <v>0</v>
      </c>
      <c r="B942" t="str">
        <f>LEFT(D942,3)</f>
        <v>HKB</v>
      </c>
      <c r="C942" s="2">
        <v>941</v>
      </c>
      <c r="D942" s="3" t="str">
        <f>HYPERLINK("https://sitebase.nzcomms.co.nz/spm/spmnominalview/HKB-030-010/","HKB-030-010")</f>
        <v>HKB-030-010</v>
      </c>
      <c r="E942" s="4"/>
      <c r="F942" s="4"/>
      <c r="G942" s="4"/>
      <c r="H942" s="4" t="s">
        <v>2896</v>
      </c>
      <c r="I942" s="4"/>
      <c r="J942" s="4" t="s">
        <v>196</v>
      </c>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row>
    <row r="943" spans="1:139" hidden="1" x14ac:dyDescent="0.2">
      <c r="A943">
        <f>VLOOKUP(B943,Sheet1!$A$1:$B$18,2,FALSE)</f>
        <v>0</v>
      </c>
      <c r="B943" t="str">
        <f>LEFT(D943,3)</f>
        <v>HKB</v>
      </c>
      <c r="C943" s="2">
        <v>942</v>
      </c>
      <c r="D943" s="3" t="str">
        <f>HYPERLINK("https://sitebase.nzcomms.co.nz/spm/spmnominalview/HKB-030-011/","HKB-030-011")</f>
        <v>HKB-030-011</v>
      </c>
      <c r="E943" s="4"/>
      <c r="F943" s="4"/>
      <c r="G943" s="4"/>
      <c r="H943" s="4" t="s">
        <v>2896</v>
      </c>
      <c r="I943" s="4"/>
      <c r="J943" s="4" t="s">
        <v>196</v>
      </c>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row>
    <row r="944" spans="1:139" hidden="1" x14ac:dyDescent="0.2">
      <c r="A944">
        <f>VLOOKUP(B944,Sheet1!$A$1:$B$18,2,FALSE)</f>
        <v>0</v>
      </c>
      <c r="B944" t="str">
        <f>LEFT(D944,3)</f>
        <v>HKB</v>
      </c>
      <c r="C944" s="2">
        <v>943</v>
      </c>
      <c r="D944" s="3" t="str">
        <f>HYPERLINK("https://sitebase.nzcomms.co.nz/spm/spmnominalview/HKB-030-012/","HKB-030-012")</f>
        <v>HKB-030-012</v>
      </c>
      <c r="E944" s="4"/>
      <c r="F944" s="4"/>
      <c r="G944" s="4"/>
      <c r="H944" s="4" t="s">
        <v>2896</v>
      </c>
      <c r="I944" s="4"/>
      <c r="J944" s="4" t="s">
        <v>196</v>
      </c>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row>
    <row r="945" spans="1:139" hidden="1" x14ac:dyDescent="0.2">
      <c r="A945">
        <f>VLOOKUP(B945,Sheet1!$A$1:$B$18,2,FALSE)</f>
        <v>0</v>
      </c>
      <c r="B945" t="str">
        <f>LEFT(D945,3)</f>
        <v>HKB</v>
      </c>
      <c r="C945" s="2">
        <v>944</v>
      </c>
      <c r="D945" s="3" t="str">
        <f>HYPERLINK("https://sitebase.nzcomms.co.nz/spm/spmnominalview/HKB-030-013/","HKB-030-013")</f>
        <v>HKB-030-013</v>
      </c>
      <c r="E945" s="4"/>
      <c r="F945" s="4"/>
      <c r="G945" s="4"/>
      <c r="H945" s="4" t="s">
        <v>2896</v>
      </c>
      <c r="I945" s="4"/>
      <c r="J945" s="4" t="s">
        <v>196</v>
      </c>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row>
    <row r="946" spans="1:139" hidden="1" x14ac:dyDescent="0.2">
      <c r="A946">
        <f>VLOOKUP(B946,Sheet1!$A$1:$B$18,2,FALSE)</f>
        <v>0</v>
      </c>
      <c r="B946" t="str">
        <f>LEFT(D946,3)</f>
        <v>HKB</v>
      </c>
      <c r="C946" s="2">
        <v>945</v>
      </c>
      <c r="D946" s="3" t="str">
        <f>HYPERLINK("https://sitebase.nzcomms.co.nz/spm/spmnominalview/HKB-030-014/","HKB-030-014")</f>
        <v>HKB-030-014</v>
      </c>
      <c r="E946" s="4"/>
      <c r="F946" s="4"/>
      <c r="G946" s="4"/>
      <c r="H946" s="4" t="s">
        <v>2896</v>
      </c>
      <c r="I946" s="4"/>
      <c r="J946" s="4" t="s">
        <v>196</v>
      </c>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row>
    <row r="947" spans="1:139" hidden="1" x14ac:dyDescent="0.2">
      <c r="A947">
        <f>VLOOKUP(B947,Sheet1!$A$1:$B$18,2,FALSE)</f>
        <v>0</v>
      </c>
      <c r="B947" t="str">
        <f>LEFT(D947,3)</f>
        <v>HKB</v>
      </c>
      <c r="C947" s="2">
        <v>946</v>
      </c>
      <c r="D947" s="3" t="str">
        <f>HYPERLINK("https://sitebase.nzcomms.co.nz/spm/spmnominalview/HKB-030-015/","HKB-030-015")</f>
        <v>HKB-030-015</v>
      </c>
      <c r="E947" s="4" t="s">
        <v>2916</v>
      </c>
      <c r="F947" s="3" t="str">
        <f>HYPERLINK("https://sitebase.nzcomms.co.nz/spm/spmcandidateview/HKB-030-015-A/","HKB-030-015-A")</f>
        <v>HKB-030-015-A</v>
      </c>
      <c r="G947" s="4" t="s">
        <v>2917</v>
      </c>
      <c r="H947" s="4" t="s">
        <v>2896</v>
      </c>
      <c r="I947" s="4">
        <v>24</v>
      </c>
      <c r="J947" s="4" t="s">
        <v>331</v>
      </c>
      <c r="K947" s="4" t="s">
        <v>141</v>
      </c>
      <c r="L947" s="4" t="s">
        <v>142</v>
      </c>
      <c r="M947" s="4" t="s">
        <v>166</v>
      </c>
      <c r="N947" s="4" t="s">
        <v>1986</v>
      </c>
      <c r="O947" s="4"/>
      <c r="P947" s="4" t="s">
        <v>169</v>
      </c>
      <c r="Q947" s="4" t="s">
        <v>142</v>
      </c>
      <c r="R947" s="4"/>
      <c r="S947" s="4"/>
      <c r="T947" s="4">
        <v>1</v>
      </c>
      <c r="U947" s="4">
        <v>-39.751480239999999</v>
      </c>
      <c r="V947" s="4">
        <v>176.78343043999999</v>
      </c>
      <c r="W947" s="4"/>
      <c r="X947" s="4"/>
      <c r="Y947" s="4"/>
      <c r="Z947" s="4"/>
      <c r="AA947" s="4" t="s">
        <v>171</v>
      </c>
      <c r="AB947" s="3" t="str">
        <f>HYPERLINK("https://sitebase.nzcomms.co.nz/spm/spmcandidateview/HKB-030-022-B/","HKB-030-022-B")</f>
        <v>HKB-030-022-B</v>
      </c>
      <c r="AC947" s="4" t="b">
        <v>0</v>
      </c>
      <c r="AD947" s="4" t="b">
        <v>0</v>
      </c>
      <c r="AE947" s="4"/>
      <c r="AF947" s="4"/>
      <c r="AG947" s="4" t="b">
        <v>0</v>
      </c>
      <c r="AH947" s="4"/>
      <c r="AI947" s="5">
        <v>42342</v>
      </c>
      <c r="AJ947" s="5">
        <v>42345</v>
      </c>
      <c r="AK947" s="5">
        <v>42359</v>
      </c>
      <c r="AL947" s="5">
        <v>42359</v>
      </c>
      <c r="AM947" s="5">
        <v>42412</v>
      </c>
      <c r="AN947" s="5">
        <v>42391</v>
      </c>
      <c r="AO947" s="4">
        <v>1</v>
      </c>
      <c r="AP947" s="4"/>
      <c r="AQ947" s="5">
        <v>42391</v>
      </c>
      <c r="AR947" s="5">
        <v>42405</v>
      </c>
      <c r="AS947" s="5">
        <v>42395</v>
      </c>
      <c r="AT947" s="5">
        <v>42447</v>
      </c>
      <c r="AU947" s="4"/>
      <c r="AV947" s="4"/>
      <c r="AW947" s="4"/>
      <c r="AX947" s="4"/>
      <c r="AY947" s="4" t="s">
        <v>172</v>
      </c>
      <c r="AZ947" s="5">
        <v>42430</v>
      </c>
      <c r="BA947" s="4"/>
      <c r="BB947" s="5">
        <v>42459</v>
      </c>
      <c r="BC947" s="4"/>
      <c r="BD947" s="4"/>
      <c r="BE947" s="4"/>
      <c r="BF947" s="4"/>
      <c r="BG947" s="5">
        <v>42433</v>
      </c>
      <c r="BH947" s="4"/>
      <c r="BI947" s="5">
        <v>42459</v>
      </c>
      <c r="BJ947" s="4"/>
      <c r="BK947" s="4"/>
      <c r="BL947" s="4"/>
      <c r="BM947" s="4"/>
      <c r="BN947" s="4"/>
      <c r="BO947" s="4"/>
      <c r="BP947" s="4"/>
      <c r="BQ947" s="4"/>
      <c r="BR947" s="4"/>
      <c r="BS947" s="4"/>
      <c r="BT947" s="5">
        <v>42510</v>
      </c>
      <c r="BU947" s="4"/>
      <c r="BV947" s="5">
        <v>42531</v>
      </c>
      <c r="BW947" s="4"/>
      <c r="BX947" s="4"/>
      <c r="BY947" s="5">
        <v>42545</v>
      </c>
      <c r="BZ947" s="4"/>
      <c r="CA947" s="4"/>
      <c r="CB947" s="4"/>
      <c r="CC947" s="4"/>
      <c r="CD947" s="4"/>
      <c r="CE947" s="4"/>
      <c r="CF947" s="4"/>
      <c r="CG947" s="4"/>
      <c r="CH947" s="4"/>
      <c r="CI947" s="4"/>
      <c r="CJ947" s="5">
        <v>42566</v>
      </c>
      <c r="CK947" s="4"/>
      <c r="CL947" s="5">
        <v>41249</v>
      </c>
      <c r="CM947" s="4"/>
      <c r="CN947" s="4"/>
      <c r="CO947" s="4"/>
      <c r="CP947" s="4"/>
      <c r="CQ947" s="4" t="s">
        <v>230</v>
      </c>
      <c r="CR947" s="4"/>
      <c r="CS947" s="4"/>
      <c r="CT947" s="4"/>
      <c r="CU947" s="4"/>
      <c r="CV947" s="4"/>
      <c r="CW947" s="4"/>
      <c r="CX947" s="4"/>
      <c r="CY947" s="4"/>
      <c r="CZ947" s="4"/>
      <c r="DA947" s="5">
        <v>42552</v>
      </c>
      <c r="DB947" s="4"/>
      <c r="DC947" s="4"/>
      <c r="DD947" s="4"/>
      <c r="DE947" s="4" t="s">
        <v>2918</v>
      </c>
      <c r="DF947" s="4"/>
      <c r="DG947" s="4"/>
      <c r="DH947" s="4" t="s">
        <v>174</v>
      </c>
      <c r="DI947" s="4"/>
      <c r="DJ947" s="4" t="b">
        <v>0</v>
      </c>
      <c r="DK947" s="4"/>
      <c r="DL947" s="4">
        <v>2834128</v>
      </c>
      <c r="DM947" s="4">
        <v>6154628</v>
      </c>
      <c r="DN947" s="4"/>
      <c r="DO947" s="4"/>
      <c r="DP947" s="4"/>
      <c r="DQ947" s="4" t="s">
        <v>148</v>
      </c>
      <c r="DR947" s="4" t="s">
        <v>255</v>
      </c>
      <c r="DS947" s="4"/>
      <c r="DT947" s="4"/>
      <c r="DU947" s="4" t="s">
        <v>178</v>
      </c>
      <c r="DV947" s="4"/>
      <c r="DW947" s="4"/>
      <c r="DX947" s="4"/>
      <c r="DY947" s="5">
        <v>42468</v>
      </c>
      <c r="DZ947" s="4"/>
      <c r="EA947" s="4"/>
      <c r="EB947" s="4"/>
      <c r="EC947" s="4"/>
      <c r="ED947" s="4"/>
      <c r="EE947" s="5">
        <v>42503</v>
      </c>
      <c r="EF947" s="4"/>
      <c r="EG947" s="4"/>
      <c r="EH947" s="4"/>
      <c r="EI947" s="5">
        <v>42359</v>
      </c>
    </row>
    <row r="948" spans="1:139" hidden="1" x14ac:dyDescent="0.2">
      <c r="A948">
        <f>VLOOKUP(B948,Sheet1!$A$1:$B$18,2,FALSE)</f>
        <v>0</v>
      </c>
      <c r="B948" t="str">
        <f>LEFT(D948,3)</f>
        <v>HKB</v>
      </c>
      <c r="C948" s="2">
        <v>947</v>
      </c>
      <c r="D948" s="3" t="str">
        <f>HYPERLINK("https://sitebase.nzcomms.co.nz/spm/spmnominalview/HKB-030-016/","HKB-030-016")</f>
        <v>HKB-030-016</v>
      </c>
      <c r="E948" s="4"/>
      <c r="F948" s="4"/>
      <c r="G948" s="4"/>
      <c r="H948" s="4" t="s">
        <v>2896</v>
      </c>
      <c r="I948" s="4"/>
      <c r="J948" s="4" t="s">
        <v>196</v>
      </c>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row>
    <row r="949" spans="1:139" hidden="1" x14ac:dyDescent="0.2">
      <c r="A949">
        <f>VLOOKUP(B949,Sheet1!$A$1:$B$18,2,FALSE)</f>
        <v>0</v>
      </c>
      <c r="B949" t="str">
        <f>LEFT(D949,3)</f>
        <v>HKB</v>
      </c>
      <c r="C949" s="2">
        <v>948</v>
      </c>
      <c r="D949" s="3" t="str">
        <f>HYPERLINK("https://sitebase.nzcomms.co.nz/spm/spmnominalview/HKB-030-017/","HKB-030-017")</f>
        <v>HKB-030-017</v>
      </c>
      <c r="E949" s="4"/>
      <c r="F949" s="4"/>
      <c r="G949" s="4"/>
      <c r="H949" s="4" t="s">
        <v>2896</v>
      </c>
      <c r="I949" s="4"/>
      <c r="J949" s="4" t="s">
        <v>196</v>
      </c>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row>
    <row r="950" spans="1:139" hidden="1" x14ac:dyDescent="0.2">
      <c r="A950">
        <f>VLOOKUP(B950,Sheet1!$A$1:$B$18,2,FALSE)</f>
        <v>0</v>
      </c>
      <c r="B950" t="str">
        <f>LEFT(D950,3)</f>
        <v>HKB</v>
      </c>
      <c r="C950" s="2">
        <v>949</v>
      </c>
      <c r="D950" s="3" t="str">
        <f>HYPERLINK("https://sitebase.nzcomms.co.nz/spm/spmnominalview/HKB-030-018/","HKB-030-018")</f>
        <v>HKB-030-018</v>
      </c>
      <c r="E950" s="4" t="s">
        <v>2919</v>
      </c>
      <c r="F950" s="3" t="str">
        <f>HYPERLINK("https://sitebase.nzcomms.co.nz/spm/spmcandidateview/HKB-030-018-A/","HKB-030-018-A")</f>
        <v>HKB-030-018-A</v>
      </c>
      <c r="G950" s="4" t="s">
        <v>2920</v>
      </c>
      <c r="H950" s="4" t="s">
        <v>2896</v>
      </c>
      <c r="I950" s="4">
        <v>1</v>
      </c>
      <c r="J950" s="4" t="s">
        <v>1633</v>
      </c>
      <c r="K950" s="4" t="s">
        <v>141</v>
      </c>
      <c r="L950" s="4" t="s">
        <v>142</v>
      </c>
      <c r="M950" s="4" t="s">
        <v>190</v>
      </c>
      <c r="N950" s="4" t="s">
        <v>142</v>
      </c>
      <c r="O950" s="4" t="s">
        <v>144</v>
      </c>
      <c r="P950" s="4" t="s">
        <v>169</v>
      </c>
      <c r="Q950" s="4" t="s">
        <v>142</v>
      </c>
      <c r="R950" s="4">
        <v>25</v>
      </c>
      <c r="S950" s="4">
        <v>25.75</v>
      </c>
      <c r="T950" s="4">
        <v>1</v>
      </c>
      <c r="U950" s="4">
        <v>-39.656154399999998</v>
      </c>
      <c r="V950" s="4">
        <v>176.8531691</v>
      </c>
      <c r="W950" s="4"/>
      <c r="X950" s="5">
        <v>40423</v>
      </c>
      <c r="Y950" s="4"/>
      <c r="Z950" s="4"/>
      <c r="AA950" s="4" t="s">
        <v>171</v>
      </c>
      <c r="AB950" s="3" t="str">
        <f>HYPERLINK("https://sitebase.nzcomms.co.nz/spm/spmcandidateview/HKB-030-001-A/","HKB-030-001-A")</f>
        <v>HKB-030-001-A</v>
      </c>
      <c r="AC950" s="4" t="b">
        <v>0</v>
      </c>
      <c r="AD950" s="4" t="b">
        <v>1</v>
      </c>
      <c r="AE950" s="4"/>
      <c r="AF950" s="4"/>
      <c r="AG950" s="4" t="b">
        <v>0</v>
      </c>
      <c r="AH950" s="4" t="s">
        <v>2921</v>
      </c>
      <c r="AI950" s="5">
        <v>40599</v>
      </c>
      <c r="AJ950" s="5">
        <v>40599</v>
      </c>
      <c r="AK950" s="5">
        <v>40606</v>
      </c>
      <c r="AL950" s="5">
        <v>40603</v>
      </c>
      <c r="AM950" s="5">
        <v>40620</v>
      </c>
      <c r="AN950" s="5">
        <v>40618</v>
      </c>
      <c r="AO950" s="4">
        <v>3</v>
      </c>
      <c r="AP950" s="5">
        <v>40686</v>
      </c>
      <c r="AQ950" s="5">
        <v>40686</v>
      </c>
      <c r="AR950" s="5">
        <v>40711</v>
      </c>
      <c r="AS950" s="5">
        <v>40704</v>
      </c>
      <c r="AT950" s="5">
        <v>40753</v>
      </c>
      <c r="AU950" s="5">
        <v>40751</v>
      </c>
      <c r="AV950" s="4">
        <v>1</v>
      </c>
      <c r="AW950" s="5">
        <v>40787</v>
      </c>
      <c r="AX950" s="5">
        <v>40759</v>
      </c>
      <c r="AY950" s="4" t="s">
        <v>247</v>
      </c>
      <c r="AZ950" s="5">
        <v>40697</v>
      </c>
      <c r="BA950" s="5">
        <v>40702</v>
      </c>
      <c r="BB950" s="5">
        <v>40732</v>
      </c>
      <c r="BC950" s="5">
        <v>40723</v>
      </c>
      <c r="BD950" s="4">
        <v>3</v>
      </c>
      <c r="BE950" s="5">
        <v>40770</v>
      </c>
      <c r="BF950" s="5">
        <v>40730</v>
      </c>
      <c r="BG950" s="4"/>
      <c r="BH950" s="4"/>
      <c r="BI950" s="5">
        <v>40781</v>
      </c>
      <c r="BJ950" s="5">
        <v>40793</v>
      </c>
      <c r="BK950" s="4">
        <v>2</v>
      </c>
      <c r="BL950" s="4"/>
      <c r="BM950" s="5">
        <v>40785</v>
      </c>
      <c r="BN950" s="5">
        <v>40801</v>
      </c>
      <c r="BO950" s="5">
        <v>40861</v>
      </c>
      <c r="BP950" s="4"/>
      <c r="BQ950" s="4"/>
      <c r="BR950" s="4"/>
      <c r="BS950" s="4"/>
      <c r="BT950" s="5">
        <v>40807</v>
      </c>
      <c r="BU950" s="5">
        <v>40807</v>
      </c>
      <c r="BV950" s="5">
        <v>40815</v>
      </c>
      <c r="BW950" s="5">
        <v>40815</v>
      </c>
      <c r="BX950" s="5">
        <v>40821</v>
      </c>
      <c r="BY950" s="5">
        <v>40836</v>
      </c>
      <c r="BZ950" s="5">
        <v>40843</v>
      </c>
      <c r="CA950" s="4"/>
      <c r="CB950" s="4"/>
      <c r="CC950" s="4"/>
      <c r="CD950" s="4"/>
      <c r="CE950" s="4"/>
      <c r="CF950" s="4"/>
      <c r="CG950" s="4"/>
      <c r="CH950" s="4"/>
      <c r="CI950" s="5">
        <v>40843</v>
      </c>
      <c r="CJ950" s="5">
        <v>40861</v>
      </c>
      <c r="CK950" s="5">
        <v>40855</v>
      </c>
      <c r="CL950" s="5">
        <v>40868</v>
      </c>
      <c r="CM950" s="5">
        <v>40862</v>
      </c>
      <c r="CN950" s="5">
        <v>40952</v>
      </c>
      <c r="CO950" s="5">
        <v>41152</v>
      </c>
      <c r="CP950" s="4" t="s">
        <v>2922</v>
      </c>
      <c r="CQ950" s="4" t="s">
        <v>230</v>
      </c>
      <c r="CR950" s="5">
        <v>40843</v>
      </c>
      <c r="CS950" s="5">
        <v>40784</v>
      </c>
      <c r="CT950" s="5">
        <v>40784</v>
      </c>
      <c r="CU950" s="5">
        <v>40815</v>
      </c>
      <c r="CV950" s="5">
        <v>40861</v>
      </c>
      <c r="CW950" s="5">
        <v>40861</v>
      </c>
      <c r="CX950" s="5">
        <v>40861</v>
      </c>
      <c r="CY950" s="5">
        <v>40830</v>
      </c>
      <c r="CZ950" s="5">
        <v>40830</v>
      </c>
      <c r="DA950" s="4"/>
      <c r="DB950" s="5">
        <v>40847</v>
      </c>
      <c r="DC950" s="4"/>
      <c r="DD950" s="4"/>
      <c r="DE950" s="4"/>
      <c r="DF950" s="4"/>
      <c r="DG950" s="4"/>
      <c r="DH950" s="4"/>
      <c r="DI950" s="5">
        <v>40821</v>
      </c>
      <c r="DJ950" s="4" t="b">
        <v>0</v>
      </c>
      <c r="DK950" s="4"/>
      <c r="DL950" s="4">
        <v>2840557</v>
      </c>
      <c r="DM950" s="4">
        <v>6164946</v>
      </c>
      <c r="DN950" s="4" t="s">
        <v>2923</v>
      </c>
      <c r="DO950" s="4"/>
      <c r="DP950" s="4" t="s">
        <v>2924</v>
      </c>
      <c r="DQ950" s="4" t="s">
        <v>148</v>
      </c>
      <c r="DR950" s="4"/>
      <c r="DS950" s="4"/>
      <c r="DT950" s="5">
        <v>42116</v>
      </c>
      <c r="DU950" s="4"/>
      <c r="DV950" s="4"/>
      <c r="DW950" s="4"/>
      <c r="DX950" s="4"/>
      <c r="DY950" s="4"/>
      <c r="DZ950" s="4"/>
      <c r="EA950" s="4"/>
      <c r="EB950" s="4"/>
      <c r="EC950" s="4"/>
      <c r="ED950" s="4"/>
      <c r="EE950" s="4"/>
      <c r="EF950" s="4"/>
      <c r="EG950" s="5">
        <v>40861</v>
      </c>
      <c r="EH950" s="5">
        <v>40861</v>
      </c>
      <c r="EI950" s="4"/>
    </row>
    <row r="951" spans="1:139" hidden="1" x14ac:dyDescent="0.2">
      <c r="A951">
        <f>VLOOKUP(B951,Sheet1!$A$1:$B$18,2,FALSE)</f>
        <v>0</v>
      </c>
      <c r="B951" t="str">
        <f>LEFT(D951,3)</f>
        <v>HKB</v>
      </c>
      <c r="C951" s="2">
        <v>950</v>
      </c>
      <c r="D951" s="3" t="str">
        <f>HYPERLINK("https://sitebase.nzcomms.co.nz/spm/spmnominalview/HKB-030-019/","HKB-030-019")</f>
        <v>HKB-030-019</v>
      </c>
      <c r="E951" s="4" t="s">
        <v>2925</v>
      </c>
      <c r="F951" s="3" t="str">
        <f>HYPERLINK("https://sitebase.nzcomms.co.nz/spm/spmcandidateview/HKB-030-019-A/","HKB-030-019-A")</f>
        <v>HKB-030-019-A</v>
      </c>
      <c r="G951" s="4" t="s">
        <v>2926</v>
      </c>
      <c r="H951" s="4" t="s">
        <v>2896</v>
      </c>
      <c r="I951" s="4">
        <v>1</v>
      </c>
      <c r="J951" s="4" t="s">
        <v>1633</v>
      </c>
      <c r="K951" s="4" t="s">
        <v>141</v>
      </c>
      <c r="L951" s="4" t="s">
        <v>150</v>
      </c>
      <c r="M951" s="4" t="s">
        <v>190</v>
      </c>
      <c r="N951" s="4" t="s">
        <v>1557</v>
      </c>
      <c r="O951" s="4" t="s">
        <v>144</v>
      </c>
      <c r="P951" s="4" t="s">
        <v>169</v>
      </c>
      <c r="Q951" s="4" t="s">
        <v>192</v>
      </c>
      <c r="R951" s="4">
        <v>24.5</v>
      </c>
      <c r="S951" s="4">
        <v>25</v>
      </c>
      <c r="T951" s="4">
        <v>1</v>
      </c>
      <c r="U951" s="4">
        <v>-39.65164979</v>
      </c>
      <c r="V951" s="4">
        <v>176.76585949</v>
      </c>
      <c r="W951" s="4"/>
      <c r="X951" s="5">
        <v>40423</v>
      </c>
      <c r="Y951" s="4"/>
      <c r="Z951" s="5">
        <v>40221</v>
      </c>
      <c r="AA951" s="4" t="s">
        <v>145</v>
      </c>
      <c r="AB951" s="3" t="str">
        <f>HYPERLINK("https://sitebase.nzcomms.co.nz/spm/spmcandidateview/HKB-030-001-A/","HKB-030-001-A")</f>
        <v>HKB-030-001-A</v>
      </c>
      <c r="AC951" s="4" t="b">
        <v>0</v>
      </c>
      <c r="AD951" s="4" t="b">
        <v>1</v>
      </c>
      <c r="AE951" s="4"/>
      <c r="AF951" s="4"/>
      <c r="AG951" s="4" t="b">
        <v>0</v>
      </c>
      <c r="AH951" s="4"/>
      <c r="AI951" s="5">
        <v>40627</v>
      </c>
      <c r="AJ951" s="5">
        <v>40619</v>
      </c>
      <c r="AK951" s="5">
        <v>40634</v>
      </c>
      <c r="AL951" s="5">
        <v>40624</v>
      </c>
      <c r="AM951" s="5">
        <v>40637</v>
      </c>
      <c r="AN951" s="5">
        <v>40640</v>
      </c>
      <c r="AO951" s="4">
        <v>1</v>
      </c>
      <c r="AP951" s="5">
        <v>40637</v>
      </c>
      <c r="AQ951" s="5">
        <v>40640</v>
      </c>
      <c r="AR951" s="5">
        <v>40683</v>
      </c>
      <c r="AS951" s="5">
        <v>40674</v>
      </c>
      <c r="AT951" s="5">
        <v>40718</v>
      </c>
      <c r="AU951" s="5">
        <v>40717</v>
      </c>
      <c r="AV951" s="4">
        <v>1</v>
      </c>
      <c r="AW951" s="5">
        <v>40724</v>
      </c>
      <c r="AX951" s="5">
        <v>40730</v>
      </c>
      <c r="AY951" s="4" t="s">
        <v>172</v>
      </c>
      <c r="AZ951" s="5">
        <v>40686</v>
      </c>
      <c r="BA951" s="5">
        <v>40682</v>
      </c>
      <c r="BB951" s="5">
        <v>40717</v>
      </c>
      <c r="BC951" s="5">
        <v>40695</v>
      </c>
      <c r="BD951" s="4">
        <v>1</v>
      </c>
      <c r="BE951" s="5">
        <v>40724</v>
      </c>
      <c r="BF951" s="5">
        <v>40709</v>
      </c>
      <c r="BG951" s="4"/>
      <c r="BH951" s="4"/>
      <c r="BI951" s="5">
        <v>40787</v>
      </c>
      <c r="BJ951" s="5">
        <v>40808</v>
      </c>
      <c r="BK951" s="4">
        <v>1</v>
      </c>
      <c r="BL951" s="4"/>
      <c r="BM951" s="5">
        <v>40794</v>
      </c>
      <c r="BN951" s="5">
        <v>40808</v>
      </c>
      <c r="BO951" s="5">
        <v>40862</v>
      </c>
      <c r="BP951" s="4"/>
      <c r="BQ951" s="4"/>
      <c r="BR951" s="4"/>
      <c r="BS951" s="4"/>
      <c r="BT951" s="5">
        <v>40808</v>
      </c>
      <c r="BU951" s="5">
        <v>40808</v>
      </c>
      <c r="BV951" s="5">
        <v>40823</v>
      </c>
      <c r="BW951" s="5">
        <v>40823</v>
      </c>
      <c r="BX951" s="5">
        <v>40825</v>
      </c>
      <c r="BY951" s="5">
        <v>40828</v>
      </c>
      <c r="BZ951" s="5">
        <v>40828</v>
      </c>
      <c r="CA951" s="4"/>
      <c r="CB951" s="4"/>
      <c r="CC951" s="4"/>
      <c r="CD951" s="4"/>
      <c r="CE951" s="4"/>
      <c r="CF951" s="4"/>
      <c r="CG951" s="4"/>
      <c r="CH951" s="4"/>
      <c r="CI951" s="5">
        <v>40843</v>
      </c>
      <c r="CJ951" s="5">
        <v>40861</v>
      </c>
      <c r="CK951" s="5">
        <v>40855</v>
      </c>
      <c r="CL951" s="5">
        <v>40868</v>
      </c>
      <c r="CM951" s="5">
        <v>40862</v>
      </c>
      <c r="CN951" s="5">
        <v>40952</v>
      </c>
      <c r="CO951" s="5">
        <v>41152</v>
      </c>
      <c r="CP951" s="4"/>
      <c r="CQ951" s="4"/>
      <c r="CR951" s="5">
        <v>40843</v>
      </c>
      <c r="CS951" s="5">
        <v>40784</v>
      </c>
      <c r="CT951" s="5">
        <v>40784</v>
      </c>
      <c r="CU951" s="5">
        <v>40816</v>
      </c>
      <c r="CV951" s="5">
        <v>40862</v>
      </c>
      <c r="CW951" s="5">
        <v>40805</v>
      </c>
      <c r="CX951" s="5">
        <v>40862</v>
      </c>
      <c r="CY951" s="5">
        <v>40826</v>
      </c>
      <c r="CZ951" s="5">
        <v>40826</v>
      </c>
      <c r="DA951" s="4"/>
      <c r="DB951" s="5">
        <v>40847</v>
      </c>
      <c r="DC951" s="4"/>
      <c r="DD951" s="4"/>
      <c r="DE951" s="4"/>
      <c r="DF951" s="4"/>
      <c r="DG951" s="4"/>
      <c r="DH951" s="4"/>
      <c r="DI951" s="5">
        <v>40825</v>
      </c>
      <c r="DJ951" s="4" t="b">
        <v>0</v>
      </c>
      <c r="DK951" s="4"/>
      <c r="DL951" s="4">
        <v>2833092</v>
      </c>
      <c r="DM951" s="4">
        <v>6165766</v>
      </c>
      <c r="DN951" s="4" t="s">
        <v>2927</v>
      </c>
      <c r="DO951" s="4"/>
      <c r="DP951" s="4" t="s">
        <v>2928</v>
      </c>
      <c r="DQ951" s="4" t="s">
        <v>148</v>
      </c>
      <c r="DR951" s="4"/>
      <c r="DS951" s="4"/>
      <c r="DT951" s="4"/>
      <c r="DU951" s="4"/>
      <c r="DV951" s="4"/>
      <c r="DW951" s="4"/>
      <c r="DX951" s="4"/>
      <c r="DY951" s="4"/>
      <c r="DZ951" s="4"/>
      <c r="EA951" s="4"/>
      <c r="EB951" s="4"/>
      <c r="EC951" s="4"/>
      <c r="ED951" s="4"/>
      <c r="EE951" s="4"/>
      <c r="EF951" s="4"/>
      <c r="EG951" s="5">
        <v>40856</v>
      </c>
      <c r="EH951" s="5">
        <v>40856</v>
      </c>
      <c r="EI951" s="4"/>
    </row>
    <row r="952" spans="1:139" hidden="1" x14ac:dyDescent="0.2">
      <c r="A952">
        <f>VLOOKUP(B952,Sheet1!$A$1:$B$18,2,FALSE)</f>
        <v>0</v>
      </c>
      <c r="B952" t="str">
        <f>LEFT(D952,3)</f>
        <v>HKB</v>
      </c>
      <c r="C952" s="2">
        <v>951</v>
      </c>
      <c r="D952" s="3" t="str">
        <f>HYPERLINK("https://sitebase.nzcomms.co.nz/spm/spmnominalview/HKB-030-020/","HKB-030-020")</f>
        <v>HKB-030-020</v>
      </c>
      <c r="E952" s="4" t="s">
        <v>2929</v>
      </c>
      <c r="F952" s="3" t="str">
        <f>HYPERLINK("https://sitebase.nzcomms.co.nz/spm/spmcandidateview/HKB-030-020-B/","HKB-030-020-B")</f>
        <v>HKB-030-020-B</v>
      </c>
      <c r="G952" s="4" t="s">
        <v>2930</v>
      </c>
      <c r="H952" s="4" t="s">
        <v>2896</v>
      </c>
      <c r="I952" s="4">
        <v>1</v>
      </c>
      <c r="J952" s="4" t="s">
        <v>1633</v>
      </c>
      <c r="K952" s="4" t="s">
        <v>141</v>
      </c>
      <c r="L952" s="4" t="s">
        <v>150</v>
      </c>
      <c r="M952" s="4" t="s">
        <v>190</v>
      </c>
      <c r="N952" s="4" t="s">
        <v>1557</v>
      </c>
      <c r="O952" s="4" t="s">
        <v>144</v>
      </c>
      <c r="P952" s="4" t="s">
        <v>169</v>
      </c>
      <c r="Q952" s="4" t="s">
        <v>192</v>
      </c>
      <c r="R952" s="4">
        <v>23.5</v>
      </c>
      <c r="S952" s="4">
        <v>25</v>
      </c>
      <c r="T952" s="4">
        <v>1</v>
      </c>
      <c r="U952" s="4">
        <v>-39.581162970000001</v>
      </c>
      <c r="V952" s="4">
        <v>176.76389523</v>
      </c>
      <c r="W952" s="4"/>
      <c r="X952" s="5">
        <v>40423</v>
      </c>
      <c r="Y952" s="4"/>
      <c r="Z952" s="5">
        <v>40221</v>
      </c>
      <c r="AA952" s="4" t="s">
        <v>171</v>
      </c>
      <c r="AB952" s="3" t="str">
        <f>HYPERLINK("https://sitebase.nzcomms.co.nz/spm/spmcandidateview/HKB-030-022-B/","HKB-030-022-B")</f>
        <v>HKB-030-022-B</v>
      </c>
      <c r="AC952" s="4" t="b">
        <v>0</v>
      </c>
      <c r="AD952" s="4" t="b">
        <v>1</v>
      </c>
      <c r="AE952" s="4"/>
      <c r="AF952" s="4"/>
      <c r="AG952" s="4" t="b">
        <v>0</v>
      </c>
      <c r="AH952" s="4" t="s">
        <v>2931</v>
      </c>
      <c r="AI952" s="5">
        <v>40654</v>
      </c>
      <c r="AJ952" s="5">
        <v>40653</v>
      </c>
      <c r="AK952" s="5">
        <v>40665</v>
      </c>
      <c r="AL952" s="5">
        <v>40665</v>
      </c>
      <c r="AM952" s="5">
        <v>40689</v>
      </c>
      <c r="AN952" s="5">
        <v>40694</v>
      </c>
      <c r="AO952" s="4">
        <v>1</v>
      </c>
      <c r="AP952" s="5">
        <v>40689</v>
      </c>
      <c r="AQ952" s="5">
        <v>40694</v>
      </c>
      <c r="AR952" s="5">
        <v>40704</v>
      </c>
      <c r="AS952" s="5">
        <v>40707</v>
      </c>
      <c r="AT952" s="5">
        <v>40718</v>
      </c>
      <c r="AU952" s="5">
        <v>40717</v>
      </c>
      <c r="AV952" s="4">
        <v>1</v>
      </c>
      <c r="AW952" s="5">
        <v>40724</v>
      </c>
      <c r="AX952" s="5">
        <v>40730</v>
      </c>
      <c r="AY952" s="4" t="s">
        <v>172</v>
      </c>
      <c r="AZ952" s="5">
        <v>40704</v>
      </c>
      <c r="BA952" s="5">
        <v>40707</v>
      </c>
      <c r="BB952" s="5">
        <v>40735</v>
      </c>
      <c r="BC952" s="5">
        <v>40722</v>
      </c>
      <c r="BD952" s="4">
        <v>1</v>
      </c>
      <c r="BE952" s="5">
        <v>40738</v>
      </c>
      <c r="BF952" s="5">
        <v>40736</v>
      </c>
      <c r="BG952" s="4"/>
      <c r="BH952" s="4"/>
      <c r="BI952" s="5">
        <v>40791</v>
      </c>
      <c r="BJ952" s="5">
        <v>40808</v>
      </c>
      <c r="BK952" s="4">
        <v>1</v>
      </c>
      <c r="BL952" s="4"/>
      <c r="BM952" s="5">
        <v>40791</v>
      </c>
      <c r="BN952" s="5">
        <v>40808</v>
      </c>
      <c r="BO952" s="5">
        <v>40816</v>
      </c>
      <c r="BP952" s="4"/>
      <c r="BQ952" s="4"/>
      <c r="BR952" s="4"/>
      <c r="BS952" s="4"/>
      <c r="BT952" s="5">
        <v>40807</v>
      </c>
      <c r="BU952" s="5">
        <v>40807</v>
      </c>
      <c r="BV952" s="5">
        <v>40828</v>
      </c>
      <c r="BW952" s="5">
        <v>40828</v>
      </c>
      <c r="BX952" s="5">
        <v>40829</v>
      </c>
      <c r="BY952" s="5">
        <v>40834</v>
      </c>
      <c r="BZ952" s="5">
        <v>40834</v>
      </c>
      <c r="CA952" s="4"/>
      <c r="CB952" s="4"/>
      <c r="CC952" s="4"/>
      <c r="CD952" s="4"/>
      <c r="CE952" s="4"/>
      <c r="CF952" s="4"/>
      <c r="CG952" s="4"/>
      <c r="CH952" s="4"/>
      <c r="CI952" s="5">
        <v>40835</v>
      </c>
      <c r="CJ952" s="5">
        <v>40861</v>
      </c>
      <c r="CK952" s="5">
        <v>40855</v>
      </c>
      <c r="CL952" s="5">
        <v>40868</v>
      </c>
      <c r="CM952" s="5">
        <v>40862</v>
      </c>
      <c r="CN952" s="5">
        <v>41369</v>
      </c>
      <c r="CO952" s="5">
        <v>41373</v>
      </c>
      <c r="CP952" s="4" t="s">
        <v>2932</v>
      </c>
      <c r="CQ952" s="4"/>
      <c r="CR952" s="5">
        <v>40835</v>
      </c>
      <c r="CS952" s="5">
        <v>40784</v>
      </c>
      <c r="CT952" s="5">
        <v>40784</v>
      </c>
      <c r="CU952" s="5">
        <v>40816</v>
      </c>
      <c r="CV952" s="5">
        <v>40861</v>
      </c>
      <c r="CW952" s="5">
        <v>40805</v>
      </c>
      <c r="CX952" s="5">
        <v>40816</v>
      </c>
      <c r="CY952" s="5">
        <v>40834</v>
      </c>
      <c r="CZ952" s="5">
        <v>40834</v>
      </c>
      <c r="DA952" s="4"/>
      <c r="DB952" s="5">
        <v>40843</v>
      </c>
      <c r="DC952" s="4"/>
      <c r="DD952" s="4"/>
      <c r="DE952" s="4"/>
      <c r="DF952" s="4"/>
      <c r="DG952" s="4"/>
      <c r="DH952" s="4"/>
      <c r="DI952" s="5">
        <v>40829</v>
      </c>
      <c r="DJ952" s="4" t="b">
        <v>0</v>
      </c>
      <c r="DK952" s="4"/>
      <c r="DL952" s="4">
        <v>2833254</v>
      </c>
      <c r="DM952" s="4">
        <v>6173592</v>
      </c>
      <c r="DN952" s="4" t="s">
        <v>2933</v>
      </c>
      <c r="DO952" s="4"/>
      <c r="DP952" s="4" t="s">
        <v>2934</v>
      </c>
      <c r="DQ952" s="4" t="s">
        <v>148</v>
      </c>
      <c r="DR952" s="4"/>
      <c r="DS952" s="4"/>
      <c r="DT952" s="5">
        <v>42116</v>
      </c>
      <c r="DU952" s="4"/>
      <c r="DV952" s="4"/>
      <c r="DW952" s="4"/>
      <c r="DX952" s="4"/>
      <c r="DY952" s="4"/>
      <c r="DZ952" s="4"/>
      <c r="EA952" s="4"/>
      <c r="EB952" s="4"/>
      <c r="EC952" s="4"/>
      <c r="ED952" s="4"/>
      <c r="EE952" s="4"/>
      <c r="EF952" s="4"/>
      <c r="EG952" s="5">
        <v>40861</v>
      </c>
      <c r="EH952" s="5">
        <v>40861</v>
      </c>
      <c r="EI952" s="4"/>
    </row>
    <row r="953" spans="1:139" hidden="1" x14ac:dyDescent="0.2">
      <c r="A953">
        <f>VLOOKUP(B953,Sheet1!$A$1:$B$18,2,FALSE)</f>
        <v>0</v>
      </c>
      <c r="B953" t="str">
        <f>LEFT(D953,3)</f>
        <v>HKB</v>
      </c>
      <c r="C953" s="2">
        <v>952</v>
      </c>
      <c r="D953" s="3" t="str">
        <f>HYPERLINK("https://sitebase.nzcomms.co.nz/spm/spmnominalview/HKB-030-021/","HKB-030-021")</f>
        <v>HKB-030-021</v>
      </c>
      <c r="E953" s="4" t="s">
        <v>2935</v>
      </c>
      <c r="F953" s="3" t="str">
        <f>HYPERLINK("https://sitebase.nzcomms.co.nz/spm/spmcandidateview/HKB-030-021-B/","HKB-030-021-B")</f>
        <v>HKB-030-021-B</v>
      </c>
      <c r="G953" s="4" t="s">
        <v>2936</v>
      </c>
      <c r="H953" s="4" t="s">
        <v>2896</v>
      </c>
      <c r="I953" s="4">
        <v>1</v>
      </c>
      <c r="J953" s="4" t="s">
        <v>1633</v>
      </c>
      <c r="K953" s="4" t="s">
        <v>141</v>
      </c>
      <c r="L953" s="4" t="s">
        <v>150</v>
      </c>
      <c r="M953" s="4" t="s">
        <v>190</v>
      </c>
      <c r="N953" s="4" t="s">
        <v>156</v>
      </c>
      <c r="O953" s="4" t="s">
        <v>144</v>
      </c>
      <c r="P953" s="4" t="s">
        <v>169</v>
      </c>
      <c r="Q953" s="4" t="s">
        <v>192</v>
      </c>
      <c r="R953" s="4">
        <v>24.5</v>
      </c>
      <c r="S953" s="4">
        <v>25</v>
      </c>
      <c r="T953" s="4">
        <v>1</v>
      </c>
      <c r="U953" s="4">
        <v>-39.625098430000001</v>
      </c>
      <c r="V953" s="4">
        <v>176.78682506000001</v>
      </c>
      <c r="W953" s="4"/>
      <c r="X953" s="5">
        <v>40423</v>
      </c>
      <c r="Y953" s="4"/>
      <c r="Z953" s="5">
        <v>40221</v>
      </c>
      <c r="AA953" s="4" t="s">
        <v>171</v>
      </c>
      <c r="AB953" s="3" t="str">
        <f>HYPERLINK("https://sitebase.nzcomms.co.nz/spm/spmcandidateview/HKB-030-022-B/","HKB-030-022-B")</f>
        <v>HKB-030-022-B</v>
      </c>
      <c r="AC953" s="4" t="b">
        <v>0</v>
      </c>
      <c r="AD953" s="4" t="b">
        <v>1</v>
      </c>
      <c r="AE953" s="4"/>
      <c r="AF953" s="4"/>
      <c r="AG953" s="4" t="b">
        <v>0</v>
      </c>
      <c r="AH953" s="4" t="s">
        <v>2931</v>
      </c>
      <c r="AI953" s="5">
        <v>40654</v>
      </c>
      <c r="AJ953" s="5">
        <v>40653</v>
      </c>
      <c r="AK953" s="5">
        <v>40665</v>
      </c>
      <c r="AL953" s="5">
        <v>40665</v>
      </c>
      <c r="AM953" s="5">
        <v>40688</v>
      </c>
      <c r="AN953" s="5">
        <v>40690</v>
      </c>
      <c r="AO953" s="4">
        <v>1</v>
      </c>
      <c r="AP953" s="5">
        <v>40688</v>
      </c>
      <c r="AQ953" s="5">
        <v>40690</v>
      </c>
      <c r="AR953" s="5">
        <v>40718</v>
      </c>
      <c r="AS953" s="5">
        <v>40711</v>
      </c>
      <c r="AT953" s="5">
        <v>40739</v>
      </c>
      <c r="AU953" s="5">
        <v>40730</v>
      </c>
      <c r="AV953" s="4">
        <v>1</v>
      </c>
      <c r="AW953" s="5">
        <v>40739</v>
      </c>
      <c r="AX953" s="5">
        <v>40730</v>
      </c>
      <c r="AY953" s="4" t="s">
        <v>172</v>
      </c>
      <c r="AZ953" s="5">
        <v>40718</v>
      </c>
      <c r="BA953" s="5">
        <v>40718</v>
      </c>
      <c r="BB953" s="5">
        <v>40749</v>
      </c>
      <c r="BC953" s="5">
        <v>40735</v>
      </c>
      <c r="BD953" s="4">
        <v>1</v>
      </c>
      <c r="BE953" s="5">
        <v>40756</v>
      </c>
      <c r="BF953" s="5">
        <v>40735</v>
      </c>
      <c r="BG953" s="4"/>
      <c r="BH953" s="4"/>
      <c r="BI953" s="5">
        <v>40802</v>
      </c>
      <c r="BJ953" s="5">
        <v>40899</v>
      </c>
      <c r="BK953" s="4">
        <v>1</v>
      </c>
      <c r="BL953" s="4"/>
      <c r="BM953" s="5">
        <v>40868</v>
      </c>
      <c r="BN953" s="5">
        <v>40899</v>
      </c>
      <c r="BO953" s="5">
        <v>40876</v>
      </c>
      <c r="BP953" s="4"/>
      <c r="BQ953" s="4"/>
      <c r="BR953" s="4"/>
      <c r="BS953" s="4"/>
      <c r="BT953" s="5">
        <v>40858</v>
      </c>
      <c r="BU953" s="5">
        <v>40858</v>
      </c>
      <c r="BV953" s="5">
        <v>40876</v>
      </c>
      <c r="BW953" s="5">
        <v>40876</v>
      </c>
      <c r="BX953" s="5">
        <v>40876</v>
      </c>
      <c r="BY953" s="5">
        <v>40879</v>
      </c>
      <c r="BZ953" s="5">
        <v>40878</v>
      </c>
      <c r="CA953" s="4"/>
      <c r="CB953" s="4"/>
      <c r="CC953" s="4"/>
      <c r="CD953" s="4"/>
      <c r="CE953" s="4"/>
      <c r="CF953" s="4"/>
      <c r="CG953" s="4"/>
      <c r="CH953" s="4"/>
      <c r="CI953" s="5">
        <v>40884</v>
      </c>
      <c r="CJ953" s="5">
        <v>40899</v>
      </c>
      <c r="CK953" s="5">
        <v>40884</v>
      </c>
      <c r="CL953" s="5">
        <v>40899</v>
      </c>
      <c r="CM953" s="5">
        <v>40893</v>
      </c>
      <c r="CN953" s="5">
        <v>41410</v>
      </c>
      <c r="CO953" s="5">
        <v>41411</v>
      </c>
      <c r="CP953" s="4" t="s">
        <v>2937</v>
      </c>
      <c r="CQ953" s="4"/>
      <c r="CR953" s="5">
        <v>40880</v>
      </c>
      <c r="CS953" s="5">
        <v>40862</v>
      </c>
      <c r="CT953" s="5">
        <v>40862</v>
      </c>
      <c r="CU953" s="5">
        <v>40823</v>
      </c>
      <c r="CV953" s="5">
        <v>40876</v>
      </c>
      <c r="CW953" s="5">
        <v>40865</v>
      </c>
      <c r="CX953" s="5">
        <v>40876</v>
      </c>
      <c r="CY953" s="5">
        <v>40878</v>
      </c>
      <c r="CZ953" s="5">
        <v>40878</v>
      </c>
      <c r="DA953" s="4"/>
      <c r="DB953" s="5">
        <v>40884</v>
      </c>
      <c r="DC953" s="4"/>
      <c r="DD953" s="4"/>
      <c r="DE953" s="4"/>
      <c r="DF953" s="4"/>
      <c r="DG953" s="4"/>
      <c r="DH953" s="4" t="s">
        <v>174</v>
      </c>
      <c r="DI953" s="5">
        <v>40875</v>
      </c>
      <c r="DJ953" s="4" t="b">
        <v>0</v>
      </c>
      <c r="DK953" s="4"/>
      <c r="DL953" s="4">
        <v>2835015</v>
      </c>
      <c r="DM953" s="4">
        <v>6168635</v>
      </c>
      <c r="DN953" s="4" t="s">
        <v>2938</v>
      </c>
      <c r="DO953" s="4"/>
      <c r="DP953" s="4" t="s">
        <v>2939</v>
      </c>
      <c r="DQ953" s="4" t="s">
        <v>148</v>
      </c>
      <c r="DR953" s="4"/>
      <c r="DS953" s="4"/>
      <c r="DT953" s="5">
        <v>42116</v>
      </c>
      <c r="DU953" s="4"/>
      <c r="DV953" s="4"/>
      <c r="DW953" s="4"/>
      <c r="DX953" s="4"/>
      <c r="DY953" s="4"/>
      <c r="DZ953" s="4"/>
      <c r="EA953" s="4"/>
      <c r="EB953" s="4"/>
      <c r="EC953" s="4"/>
      <c r="ED953" s="4"/>
      <c r="EE953" s="4"/>
      <c r="EF953" s="4"/>
      <c r="EG953" s="5">
        <v>40886</v>
      </c>
      <c r="EH953" s="5">
        <v>40886</v>
      </c>
      <c r="EI953" s="4"/>
    </row>
    <row r="954" spans="1:139" hidden="1" x14ac:dyDescent="0.2">
      <c r="A954">
        <f>VLOOKUP(B954,Sheet1!$A$1:$B$18,2,FALSE)</f>
        <v>0</v>
      </c>
      <c r="B954" t="str">
        <f>LEFT(D954,3)</f>
        <v>HKB</v>
      </c>
      <c r="C954" s="2">
        <v>953</v>
      </c>
      <c r="D954" s="3" t="str">
        <f>HYPERLINK("https://sitebase.nzcomms.co.nz/spm/spmnominalview/HKB-030-022/","HKB-030-022")</f>
        <v>HKB-030-022</v>
      </c>
      <c r="E954" s="4" t="s">
        <v>2940</v>
      </c>
      <c r="F954" s="3" t="str">
        <f>HYPERLINK("https://sitebase.nzcomms.co.nz/spm/spmcandidateview/HKB-030-022-B/","HKB-030-022-B")</f>
        <v>HKB-030-022-B</v>
      </c>
      <c r="G954" s="4" t="s">
        <v>2941</v>
      </c>
      <c r="H954" s="4" t="s">
        <v>2896</v>
      </c>
      <c r="I954" s="4">
        <v>1</v>
      </c>
      <c r="J954" s="4" t="s">
        <v>1633</v>
      </c>
      <c r="K954" s="4" t="s">
        <v>141</v>
      </c>
      <c r="L954" s="4" t="s">
        <v>150</v>
      </c>
      <c r="M954" s="4" t="s">
        <v>190</v>
      </c>
      <c r="N954" s="4" t="s">
        <v>730</v>
      </c>
      <c r="O954" s="4" t="s">
        <v>144</v>
      </c>
      <c r="P954" s="4" t="s">
        <v>169</v>
      </c>
      <c r="Q954" s="4" t="s">
        <v>192</v>
      </c>
      <c r="R954" s="4">
        <v>24</v>
      </c>
      <c r="S954" s="4">
        <v>26.1</v>
      </c>
      <c r="T954" s="4">
        <v>1</v>
      </c>
      <c r="U954" s="4">
        <v>-39.61458674</v>
      </c>
      <c r="V954" s="4">
        <v>176.79695899999999</v>
      </c>
      <c r="W954" s="4"/>
      <c r="X954" s="5">
        <v>40423</v>
      </c>
      <c r="Y954" s="4"/>
      <c r="Z954" s="5">
        <v>40221</v>
      </c>
      <c r="AA954" s="4" t="s">
        <v>145</v>
      </c>
      <c r="AB954" s="3" t="str">
        <f>HYPERLINK("https://sitebase.nzcomms.co.nz/spm/spmcandidateview/HKB-030-001-A/","HKB-030-001-A")</f>
        <v>HKB-030-001-A</v>
      </c>
      <c r="AC954" s="4" t="b">
        <v>0</v>
      </c>
      <c r="AD954" s="4" t="b">
        <v>1</v>
      </c>
      <c r="AE954" s="4"/>
      <c r="AF954" s="4"/>
      <c r="AG954" s="4" t="b">
        <v>0</v>
      </c>
      <c r="AH954" s="4"/>
      <c r="AI954" s="5">
        <v>40695</v>
      </c>
      <c r="AJ954" s="5">
        <v>40695</v>
      </c>
      <c r="AK954" s="5">
        <v>40702</v>
      </c>
      <c r="AL954" s="5">
        <v>40696</v>
      </c>
      <c r="AM954" s="5">
        <v>40714</v>
      </c>
      <c r="AN954" s="5">
        <v>40710</v>
      </c>
      <c r="AO954" s="4">
        <v>2</v>
      </c>
      <c r="AP954" s="5">
        <v>40714</v>
      </c>
      <c r="AQ954" s="5">
        <v>40765</v>
      </c>
      <c r="AR954" s="5">
        <v>40718</v>
      </c>
      <c r="AS954" s="5">
        <v>40721</v>
      </c>
      <c r="AT954" s="5">
        <v>40732</v>
      </c>
      <c r="AU954" s="5">
        <v>40730</v>
      </c>
      <c r="AV954" s="4">
        <v>1</v>
      </c>
      <c r="AW954" s="5">
        <v>40732</v>
      </c>
      <c r="AX954" s="5">
        <v>40730</v>
      </c>
      <c r="AY954" s="4" t="s">
        <v>247</v>
      </c>
      <c r="AZ954" s="5">
        <v>40721</v>
      </c>
      <c r="BA954" s="5">
        <v>40799</v>
      </c>
      <c r="BB954" s="5">
        <v>40760</v>
      </c>
      <c r="BC954" s="5">
        <v>40821</v>
      </c>
      <c r="BD954" s="4">
        <v>2</v>
      </c>
      <c r="BE954" s="5">
        <v>40760</v>
      </c>
      <c r="BF954" s="5">
        <v>40760</v>
      </c>
      <c r="BG954" s="4"/>
      <c r="BH954" s="4"/>
      <c r="BI954" s="5">
        <v>40787</v>
      </c>
      <c r="BJ954" s="5">
        <v>40794</v>
      </c>
      <c r="BK954" s="4">
        <v>2</v>
      </c>
      <c r="BL954" s="4"/>
      <c r="BM954" s="5">
        <v>40788</v>
      </c>
      <c r="BN954" s="5">
        <v>40809</v>
      </c>
      <c r="BO954" s="5">
        <v>40826</v>
      </c>
      <c r="BP954" s="4"/>
      <c r="BQ954" s="4"/>
      <c r="BR954" s="4"/>
      <c r="BS954" s="4"/>
      <c r="BT954" s="5">
        <v>40791</v>
      </c>
      <c r="BU954" s="5">
        <v>40791</v>
      </c>
      <c r="BV954" s="5">
        <v>40826</v>
      </c>
      <c r="BW954" s="5">
        <v>40826</v>
      </c>
      <c r="BX954" s="5">
        <v>40823</v>
      </c>
      <c r="BY954" s="5">
        <v>40833</v>
      </c>
      <c r="BZ954" s="5">
        <v>40833</v>
      </c>
      <c r="CA954" s="4"/>
      <c r="CB954" s="4"/>
      <c r="CC954" s="4"/>
      <c r="CD954" s="4"/>
      <c r="CE954" s="4"/>
      <c r="CF954" s="4"/>
      <c r="CG954" s="4"/>
      <c r="CH954" s="4"/>
      <c r="CI954" s="5">
        <v>40835</v>
      </c>
      <c r="CJ954" s="5">
        <v>40861</v>
      </c>
      <c r="CK954" s="5">
        <v>40855</v>
      </c>
      <c r="CL954" s="5">
        <v>40868</v>
      </c>
      <c r="CM954" s="5">
        <v>40862</v>
      </c>
      <c r="CN954" s="5">
        <v>41411</v>
      </c>
      <c r="CO954" s="5">
        <v>41396</v>
      </c>
      <c r="CP954" s="4" t="s">
        <v>2942</v>
      </c>
      <c r="CQ954" s="4"/>
      <c r="CR954" s="5">
        <v>40835</v>
      </c>
      <c r="CS954" s="5">
        <v>40784</v>
      </c>
      <c r="CT954" s="5">
        <v>40784</v>
      </c>
      <c r="CU954" s="5">
        <v>40816</v>
      </c>
      <c r="CV954" s="5">
        <v>40826</v>
      </c>
      <c r="CW954" s="5">
        <v>40798</v>
      </c>
      <c r="CX954" s="5">
        <v>40826</v>
      </c>
      <c r="CY954" s="5">
        <v>40834</v>
      </c>
      <c r="CZ954" s="5">
        <v>40835</v>
      </c>
      <c r="DA954" s="4"/>
      <c r="DB954" s="5">
        <v>40843</v>
      </c>
      <c r="DC954" s="4"/>
      <c r="DD954" s="4"/>
      <c r="DE954" s="4"/>
      <c r="DF954" s="4"/>
      <c r="DG954" s="4"/>
      <c r="DH954" s="4"/>
      <c r="DI954" s="5">
        <v>40823</v>
      </c>
      <c r="DJ954" s="4" t="b">
        <v>0</v>
      </c>
      <c r="DK954" s="4"/>
      <c r="DL954" s="4">
        <v>2835934</v>
      </c>
      <c r="DM954" s="4">
        <v>6169764</v>
      </c>
      <c r="DN954" s="4" t="s">
        <v>2943</v>
      </c>
      <c r="DO954" s="4"/>
      <c r="DP954" s="4" t="s">
        <v>2944</v>
      </c>
      <c r="DQ954" s="4" t="s">
        <v>148</v>
      </c>
      <c r="DR954" s="4"/>
      <c r="DS954" s="4"/>
      <c r="DT954" s="5">
        <v>42116</v>
      </c>
      <c r="DU954" s="4"/>
      <c r="DV954" s="4"/>
      <c r="DW954" s="4"/>
      <c r="DX954" s="4"/>
      <c r="DY954" s="4"/>
      <c r="DZ954" s="4"/>
      <c r="EA954" s="4"/>
      <c r="EB954" s="4"/>
      <c r="EC954" s="4"/>
      <c r="ED954" s="4"/>
      <c r="EE954" s="4"/>
      <c r="EF954" s="4"/>
      <c r="EG954" s="5">
        <v>40857</v>
      </c>
      <c r="EH954" s="5">
        <v>40857</v>
      </c>
      <c r="EI954" s="5">
        <v>40696</v>
      </c>
    </row>
    <row r="955" spans="1:139" hidden="1" x14ac:dyDescent="0.2">
      <c r="A955">
        <f>VLOOKUP(B955,Sheet1!$A$1:$B$18,2,FALSE)</f>
        <v>0</v>
      </c>
      <c r="B955" t="str">
        <f>LEFT(D955,3)</f>
        <v>HKB</v>
      </c>
      <c r="C955" s="2">
        <v>954</v>
      </c>
      <c r="D955" s="3" t="str">
        <f>HYPERLINK("https://sitebase.nzcomms.co.nz/spm/spmnominalview/HKB-030-023/","HKB-030-023")</f>
        <v>HKB-030-023</v>
      </c>
      <c r="E955" s="4" t="s">
        <v>2945</v>
      </c>
      <c r="F955" s="3" t="str">
        <f>HYPERLINK("https://sitebase.nzcomms.co.nz/spm/spmcandidateview/HKB-030-023-C/","HKB-030-023-C")</f>
        <v>HKB-030-023-C</v>
      </c>
      <c r="G955" s="4" t="s">
        <v>2946</v>
      </c>
      <c r="H955" s="4" t="s">
        <v>2896</v>
      </c>
      <c r="I955" s="4">
        <v>1</v>
      </c>
      <c r="J955" s="4" t="s">
        <v>1633</v>
      </c>
      <c r="K955" s="4" t="s">
        <v>141</v>
      </c>
      <c r="L955" s="4" t="s">
        <v>150</v>
      </c>
      <c r="M955" s="4" t="s">
        <v>190</v>
      </c>
      <c r="N955" s="4" t="s">
        <v>156</v>
      </c>
      <c r="O955" s="4" t="s">
        <v>144</v>
      </c>
      <c r="P955" s="4" t="s">
        <v>169</v>
      </c>
      <c r="Q955" s="4" t="s">
        <v>192</v>
      </c>
      <c r="R955" s="4">
        <v>24.5</v>
      </c>
      <c r="S955" s="4">
        <v>25</v>
      </c>
      <c r="T955" s="4">
        <v>1</v>
      </c>
      <c r="U955" s="4">
        <v>-39.674529389999996</v>
      </c>
      <c r="V955" s="4">
        <v>176.82523097000001</v>
      </c>
      <c r="W955" s="4"/>
      <c r="X955" s="5">
        <v>40423</v>
      </c>
      <c r="Y955" s="4"/>
      <c r="Z955" s="5">
        <v>40221</v>
      </c>
      <c r="AA955" s="4" t="s">
        <v>171</v>
      </c>
      <c r="AB955" s="3" t="str">
        <f>HYPERLINK("https://sitebase.nzcomms.co.nz/spm/spmcandidateview/HKB-030-018-A/","HKB-030-018-A")</f>
        <v>HKB-030-018-A</v>
      </c>
      <c r="AC955" s="4" t="b">
        <v>0</v>
      </c>
      <c r="AD955" s="4" t="b">
        <v>1</v>
      </c>
      <c r="AE955" s="4"/>
      <c r="AF955" s="4"/>
      <c r="AG955" s="4" t="b">
        <v>0</v>
      </c>
      <c r="AH955" s="4" t="s">
        <v>2921</v>
      </c>
      <c r="AI955" s="5">
        <v>40597</v>
      </c>
      <c r="AJ955" s="5">
        <v>40598</v>
      </c>
      <c r="AK955" s="5">
        <v>40604</v>
      </c>
      <c r="AL955" s="5">
        <v>40603</v>
      </c>
      <c r="AM955" s="5">
        <v>40618</v>
      </c>
      <c r="AN955" s="5">
        <v>40618</v>
      </c>
      <c r="AO955" s="4">
        <v>2</v>
      </c>
      <c r="AP955" s="5">
        <v>40634</v>
      </c>
      <c r="AQ955" s="5">
        <v>40644</v>
      </c>
      <c r="AR955" s="5">
        <v>40654</v>
      </c>
      <c r="AS955" s="5">
        <v>40654</v>
      </c>
      <c r="AT955" s="5">
        <v>40718</v>
      </c>
      <c r="AU955" s="5">
        <v>40717</v>
      </c>
      <c r="AV955" s="4">
        <v>2</v>
      </c>
      <c r="AW955" s="5">
        <v>40724</v>
      </c>
      <c r="AX955" s="5">
        <v>40730</v>
      </c>
      <c r="AY955" s="4" t="s">
        <v>172</v>
      </c>
      <c r="AZ955" s="5">
        <v>40659</v>
      </c>
      <c r="BA955" s="5">
        <v>40659</v>
      </c>
      <c r="BB955" s="5">
        <v>40689</v>
      </c>
      <c r="BC955" s="5">
        <v>40669</v>
      </c>
      <c r="BD955" s="4">
        <v>2</v>
      </c>
      <c r="BE955" s="5">
        <v>40702</v>
      </c>
      <c r="BF955" s="5">
        <v>40709</v>
      </c>
      <c r="BG955" s="4"/>
      <c r="BH955" s="4"/>
      <c r="BI955" s="5">
        <v>40765</v>
      </c>
      <c r="BJ955" s="5">
        <v>40794</v>
      </c>
      <c r="BK955" s="4">
        <v>1</v>
      </c>
      <c r="BL955" s="4"/>
      <c r="BM955" s="5">
        <v>40765</v>
      </c>
      <c r="BN955" s="5">
        <v>40794</v>
      </c>
      <c r="BO955" s="5">
        <v>40862</v>
      </c>
      <c r="BP955" s="4"/>
      <c r="BQ955" s="4"/>
      <c r="BR955" s="4"/>
      <c r="BS955" s="4"/>
      <c r="BT955" s="5">
        <v>40770</v>
      </c>
      <c r="BU955" s="5">
        <v>40772</v>
      </c>
      <c r="BV955" s="5">
        <v>40807</v>
      </c>
      <c r="BW955" s="5">
        <v>40807</v>
      </c>
      <c r="BX955" s="5">
        <v>40819</v>
      </c>
      <c r="BY955" s="5">
        <v>40823</v>
      </c>
      <c r="BZ955" s="5">
        <v>40823</v>
      </c>
      <c r="CA955" s="4"/>
      <c r="CB955" s="4"/>
      <c r="CC955" s="4"/>
      <c r="CD955" s="4"/>
      <c r="CE955" s="4"/>
      <c r="CF955" s="4"/>
      <c r="CG955" s="4"/>
      <c r="CH955" s="4"/>
      <c r="CI955" s="5">
        <v>40843</v>
      </c>
      <c r="CJ955" s="5">
        <v>40861</v>
      </c>
      <c r="CK955" s="5">
        <v>40855</v>
      </c>
      <c r="CL955" s="5">
        <v>40868</v>
      </c>
      <c r="CM955" s="5">
        <v>40862</v>
      </c>
      <c r="CN955" s="5">
        <v>40952</v>
      </c>
      <c r="CO955" s="5">
        <v>41152</v>
      </c>
      <c r="CP955" s="4" t="s">
        <v>2947</v>
      </c>
      <c r="CQ955" s="4"/>
      <c r="CR955" s="5">
        <v>40836</v>
      </c>
      <c r="CS955" s="5">
        <v>40784</v>
      </c>
      <c r="CT955" s="5">
        <v>40784</v>
      </c>
      <c r="CU955" s="5">
        <v>40816</v>
      </c>
      <c r="CV955" s="5">
        <v>40862</v>
      </c>
      <c r="CW955" s="5">
        <v>40801</v>
      </c>
      <c r="CX955" s="5">
        <v>40862</v>
      </c>
      <c r="CY955" s="5">
        <v>40816</v>
      </c>
      <c r="CZ955" s="5">
        <v>40816</v>
      </c>
      <c r="DA955" s="4"/>
      <c r="DB955" s="5">
        <v>40843</v>
      </c>
      <c r="DC955" s="4"/>
      <c r="DD955" s="4"/>
      <c r="DE955" s="4"/>
      <c r="DF955" s="4"/>
      <c r="DG955" s="4"/>
      <c r="DH955" s="4"/>
      <c r="DI955" s="5">
        <v>40819</v>
      </c>
      <c r="DJ955" s="4" t="b">
        <v>0</v>
      </c>
      <c r="DK955" s="4"/>
      <c r="DL955" s="4">
        <v>2838074</v>
      </c>
      <c r="DM955" s="4">
        <v>6163011</v>
      </c>
      <c r="DN955" s="4" t="s">
        <v>2948</v>
      </c>
      <c r="DO955" s="4"/>
      <c r="DP955" s="4" t="s">
        <v>2949</v>
      </c>
      <c r="DQ955" s="4" t="s">
        <v>148</v>
      </c>
      <c r="DR955" s="4"/>
      <c r="DS955" s="4"/>
      <c r="DT955" s="4"/>
      <c r="DU955" s="4"/>
      <c r="DV955" s="4"/>
      <c r="DW955" s="4"/>
      <c r="DX955" s="4"/>
      <c r="DY955" s="4"/>
      <c r="DZ955" s="4"/>
      <c r="EA955" s="4"/>
      <c r="EB955" s="4"/>
      <c r="EC955" s="4"/>
      <c r="ED955" s="4"/>
      <c r="EE955" s="4"/>
      <c r="EF955" s="4"/>
      <c r="EG955" s="5">
        <v>40823</v>
      </c>
      <c r="EH955" s="5">
        <v>40854</v>
      </c>
      <c r="EI955" s="4"/>
    </row>
    <row r="956" spans="1:139" hidden="1" x14ac:dyDescent="0.2">
      <c r="A956">
        <f>VLOOKUP(B956,Sheet1!$A$1:$B$18,2,FALSE)</f>
        <v>0</v>
      </c>
      <c r="B956" t="str">
        <f>LEFT(D956,3)</f>
        <v>HKB</v>
      </c>
      <c r="C956" s="2">
        <v>955</v>
      </c>
      <c r="D956" s="3" t="str">
        <f>HYPERLINK("https://sitebase.nzcomms.co.nz/spm/spmnominalview/HKB-030-024/","HKB-030-024")</f>
        <v>HKB-030-024</v>
      </c>
      <c r="E956" s="4" t="s">
        <v>2950</v>
      </c>
      <c r="F956" s="3" t="str">
        <f>HYPERLINK("https://sitebase.nzcomms.co.nz/spm/spmcandidateview/HKB-030-024-A/","HKB-030-024-A")</f>
        <v>HKB-030-024-A</v>
      </c>
      <c r="G956" s="4" t="s">
        <v>2951</v>
      </c>
      <c r="H956" s="4" t="s">
        <v>2896</v>
      </c>
      <c r="I956" s="4">
        <v>1</v>
      </c>
      <c r="J956" s="4" t="s">
        <v>1633</v>
      </c>
      <c r="K956" s="4" t="s">
        <v>141</v>
      </c>
      <c r="L956" s="4" t="s">
        <v>150</v>
      </c>
      <c r="M956" s="4" t="s">
        <v>190</v>
      </c>
      <c r="N956" s="4" t="s">
        <v>730</v>
      </c>
      <c r="O956" s="4" t="s">
        <v>144</v>
      </c>
      <c r="P956" s="4" t="s">
        <v>169</v>
      </c>
      <c r="Q956" s="4" t="s">
        <v>192</v>
      </c>
      <c r="R956" s="4">
        <v>24</v>
      </c>
      <c r="S956" s="4">
        <v>25</v>
      </c>
      <c r="T956" s="4">
        <v>1</v>
      </c>
      <c r="U956" s="4">
        <v>-39.653292880000002</v>
      </c>
      <c r="V956" s="4">
        <v>176.82406272</v>
      </c>
      <c r="W956" s="4"/>
      <c r="X956" s="5">
        <v>40423</v>
      </c>
      <c r="Y956" s="4"/>
      <c r="Z956" s="5">
        <v>40221</v>
      </c>
      <c r="AA956" s="4" t="s">
        <v>171</v>
      </c>
      <c r="AB956" s="3" t="str">
        <f>HYPERLINK("https://sitebase.nzcomms.co.nz/spm/spmcandidateview/HKB-030-001-A/","HKB-030-001-A")</f>
        <v>HKB-030-001-A</v>
      </c>
      <c r="AC956" s="4" t="b">
        <v>0</v>
      </c>
      <c r="AD956" s="4" t="b">
        <v>1</v>
      </c>
      <c r="AE956" s="4"/>
      <c r="AF956" s="4"/>
      <c r="AG956" s="4" t="b">
        <v>0</v>
      </c>
      <c r="AH956" s="4" t="s">
        <v>2952</v>
      </c>
      <c r="AI956" s="5">
        <v>40724</v>
      </c>
      <c r="AJ956" s="5">
        <v>40724</v>
      </c>
      <c r="AK956" s="5">
        <v>40732</v>
      </c>
      <c r="AL956" s="5">
        <v>40730</v>
      </c>
      <c r="AM956" s="5">
        <v>40753</v>
      </c>
      <c r="AN956" s="5">
        <v>40753</v>
      </c>
      <c r="AO956" s="4">
        <v>1</v>
      </c>
      <c r="AP956" s="5">
        <v>40753</v>
      </c>
      <c r="AQ956" s="5">
        <v>40753</v>
      </c>
      <c r="AR956" s="5">
        <v>40770</v>
      </c>
      <c r="AS956" s="5">
        <v>40758</v>
      </c>
      <c r="AT956" s="5">
        <v>40791</v>
      </c>
      <c r="AU956" s="5">
        <v>40780</v>
      </c>
      <c r="AV956" s="4">
        <v>1</v>
      </c>
      <c r="AW956" s="5">
        <v>40798</v>
      </c>
      <c r="AX956" s="5">
        <v>40821</v>
      </c>
      <c r="AY956" s="4" t="s">
        <v>172</v>
      </c>
      <c r="AZ956" s="5">
        <v>40760</v>
      </c>
      <c r="BA956" s="5">
        <v>40764</v>
      </c>
      <c r="BB956" s="5">
        <v>40795</v>
      </c>
      <c r="BC956" s="5">
        <v>40785</v>
      </c>
      <c r="BD956" s="4">
        <v>1</v>
      </c>
      <c r="BE956" s="5">
        <v>40798</v>
      </c>
      <c r="BF956" s="5">
        <v>40785</v>
      </c>
      <c r="BG956" s="4"/>
      <c r="BH956" s="4"/>
      <c r="BI956" s="5">
        <v>40877</v>
      </c>
      <c r="BJ956" s="5">
        <v>41150</v>
      </c>
      <c r="BK956" s="4">
        <v>1</v>
      </c>
      <c r="BL956" s="4"/>
      <c r="BM956" s="5">
        <v>40877</v>
      </c>
      <c r="BN956" s="5">
        <v>41150</v>
      </c>
      <c r="BO956" s="5">
        <v>40892</v>
      </c>
      <c r="BP956" s="4"/>
      <c r="BQ956" s="4"/>
      <c r="BR956" s="4"/>
      <c r="BS956" s="4"/>
      <c r="BT956" s="5">
        <v>40885</v>
      </c>
      <c r="BU956" s="5">
        <v>40887</v>
      </c>
      <c r="BV956" s="5">
        <v>40925</v>
      </c>
      <c r="BW956" s="5">
        <v>40928</v>
      </c>
      <c r="BX956" s="5">
        <v>40927</v>
      </c>
      <c r="BY956" s="5">
        <v>40935</v>
      </c>
      <c r="BZ956" s="5">
        <v>40939</v>
      </c>
      <c r="CA956" s="4"/>
      <c r="CB956" s="4"/>
      <c r="CC956" s="4"/>
      <c r="CD956" s="4"/>
      <c r="CE956" s="4"/>
      <c r="CF956" s="4"/>
      <c r="CG956" s="4"/>
      <c r="CH956" s="4"/>
      <c r="CI956" s="5">
        <v>40942</v>
      </c>
      <c r="CJ956" s="5">
        <v>40949</v>
      </c>
      <c r="CK956" s="5">
        <v>40954</v>
      </c>
      <c r="CL956" s="5">
        <v>40959</v>
      </c>
      <c r="CM956" s="5">
        <v>40967</v>
      </c>
      <c r="CN956" s="5">
        <v>41057</v>
      </c>
      <c r="CO956" s="5">
        <v>41152</v>
      </c>
      <c r="CP956" s="4"/>
      <c r="CQ956" s="4"/>
      <c r="CR956" s="5">
        <v>40940</v>
      </c>
      <c r="CS956" s="5">
        <v>40892</v>
      </c>
      <c r="CT956" s="5">
        <v>40892</v>
      </c>
      <c r="CU956" s="5">
        <v>40892</v>
      </c>
      <c r="CV956" s="5">
        <v>40892</v>
      </c>
      <c r="CW956" s="5">
        <v>40898</v>
      </c>
      <c r="CX956" s="5">
        <v>40892</v>
      </c>
      <c r="CY956" s="5">
        <v>40932</v>
      </c>
      <c r="CZ956" s="5">
        <v>40932</v>
      </c>
      <c r="DA956" s="4"/>
      <c r="DB956" s="5">
        <v>40967</v>
      </c>
      <c r="DC956" s="4"/>
      <c r="DD956" s="4"/>
      <c r="DE956" s="4"/>
      <c r="DF956" s="4"/>
      <c r="DG956" s="4"/>
      <c r="DH956" s="4"/>
      <c r="DI956" s="5">
        <v>40928</v>
      </c>
      <c r="DJ956" s="4" t="b">
        <v>0</v>
      </c>
      <c r="DK956" s="4"/>
      <c r="DL956" s="4">
        <v>2838075</v>
      </c>
      <c r="DM956" s="4">
        <v>6165371</v>
      </c>
      <c r="DN956" s="4" t="s">
        <v>2953</v>
      </c>
      <c r="DO956" s="4"/>
      <c r="DP956" s="4" t="s">
        <v>2954</v>
      </c>
      <c r="DQ956" s="4" t="s">
        <v>148</v>
      </c>
      <c r="DR956" s="4"/>
      <c r="DS956" s="4"/>
      <c r="DT956" s="5">
        <v>42116</v>
      </c>
      <c r="DU956" s="4"/>
      <c r="DV956" s="4"/>
      <c r="DW956" s="4"/>
      <c r="DX956" s="4"/>
      <c r="DY956" s="4"/>
      <c r="DZ956" s="4"/>
      <c r="EA956" s="4"/>
      <c r="EB956" s="4"/>
      <c r="EC956" s="4"/>
      <c r="ED956" s="4"/>
      <c r="EE956" s="4"/>
      <c r="EF956" s="4"/>
      <c r="EG956" s="5">
        <v>40953</v>
      </c>
      <c r="EH956" s="5">
        <v>40953</v>
      </c>
      <c r="EI956" s="4"/>
    </row>
    <row r="957" spans="1:139" hidden="1" x14ac:dyDescent="0.2">
      <c r="A957">
        <f>VLOOKUP(B957,Sheet1!$A$1:$B$18,2,FALSE)</f>
        <v>0</v>
      </c>
      <c r="B957" t="str">
        <f>LEFT(D957,3)</f>
        <v>HKB</v>
      </c>
      <c r="C957" s="2">
        <v>956</v>
      </c>
      <c r="D957" s="3" t="str">
        <f>HYPERLINK("https://sitebase.nzcomms.co.nz/spm/spmnominalview/HKB-030-025/","HKB-030-025")</f>
        <v>HKB-030-025</v>
      </c>
      <c r="E957" s="4" t="s">
        <v>2955</v>
      </c>
      <c r="F957" s="3" t="str">
        <f>HYPERLINK("https://sitebase.nzcomms.co.nz/spm/spmcandidateview/HKB-030-025-A/","HKB-030-025-A")</f>
        <v>HKB-030-025-A</v>
      </c>
      <c r="G957" s="4" t="s">
        <v>2956</v>
      </c>
      <c r="H957" s="4" t="s">
        <v>2896</v>
      </c>
      <c r="I957" s="4">
        <v>1</v>
      </c>
      <c r="J957" s="4" t="s">
        <v>1633</v>
      </c>
      <c r="K957" s="4" t="s">
        <v>141</v>
      </c>
      <c r="L957" s="4" t="s">
        <v>150</v>
      </c>
      <c r="M957" s="4" t="s">
        <v>190</v>
      </c>
      <c r="N957" s="4" t="s">
        <v>346</v>
      </c>
      <c r="O957" s="4" t="s">
        <v>356</v>
      </c>
      <c r="P957" s="4" t="s">
        <v>182</v>
      </c>
      <c r="Q957" s="4" t="s">
        <v>170</v>
      </c>
      <c r="R957" s="4">
        <v>7.5</v>
      </c>
      <c r="S957" s="4">
        <v>8</v>
      </c>
      <c r="T957" s="4">
        <v>1</v>
      </c>
      <c r="U957" s="4">
        <v>-39.680387979999999</v>
      </c>
      <c r="V957" s="4">
        <v>176.93980117000001</v>
      </c>
      <c r="W957" s="4"/>
      <c r="X957" s="5">
        <v>40423</v>
      </c>
      <c r="Y957" s="4"/>
      <c r="Z957" s="5">
        <v>40221</v>
      </c>
      <c r="AA957" s="4" t="s">
        <v>171</v>
      </c>
      <c r="AB957" s="3" t="str">
        <f>HYPERLINK("https://sitebase.nzcomms.co.nz/spm/spmcandidateview/HKB-030-001-A/","HKB-030-001-A")</f>
        <v>HKB-030-001-A</v>
      </c>
      <c r="AC957" s="4" t="b">
        <v>0</v>
      </c>
      <c r="AD957" s="4" t="b">
        <v>1</v>
      </c>
      <c r="AE957" s="4"/>
      <c r="AF957" s="4"/>
      <c r="AG957" s="4" t="b">
        <v>0</v>
      </c>
      <c r="AH957" s="4" t="s">
        <v>2957</v>
      </c>
      <c r="AI957" s="5">
        <v>40619</v>
      </c>
      <c r="AJ957" s="5">
        <v>40619</v>
      </c>
      <c r="AK957" s="5">
        <v>40626</v>
      </c>
      <c r="AL957" s="5">
        <v>40624</v>
      </c>
      <c r="AM957" s="5">
        <v>40648</v>
      </c>
      <c r="AN957" s="5">
        <v>40648</v>
      </c>
      <c r="AO957" s="4">
        <v>1</v>
      </c>
      <c r="AP957" s="5">
        <v>40648</v>
      </c>
      <c r="AQ957" s="5">
        <v>40648</v>
      </c>
      <c r="AR957" s="5">
        <v>40676</v>
      </c>
      <c r="AS957" s="5">
        <v>40673</v>
      </c>
      <c r="AT957" s="5">
        <v>40714</v>
      </c>
      <c r="AU957" s="5">
        <v>40711</v>
      </c>
      <c r="AV957" s="4">
        <v>1</v>
      </c>
      <c r="AW957" s="5">
        <v>40724</v>
      </c>
      <c r="AX957" s="5">
        <v>40730</v>
      </c>
      <c r="AY957" s="4" t="s">
        <v>172</v>
      </c>
      <c r="AZ957" s="5">
        <v>40679</v>
      </c>
      <c r="BA957" s="5">
        <v>40682</v>
      </c>
      <c r="BB957" s="5">
        <v>40710</v>
      </c>
      <c r="BC957" s="5">
        <v>40708</v>
      </c>
      <c r="BD957" s="4">
        <v>1</v>
      </c>
      <c r="BE957" s="5">
        <v>40732</v>
      </c>
      <c r="BF957" s="5">
        <v>40736</v>
      </c>
      <c r="BG957" s="4"/>
      <c r="BH957" s="4"/>
      <c r="BI957" s="5">
        <v>40786</v>
      </c>
      <c r="BJ957" s="5">
        <v>40809</v>
      </c>
      <c r="BK957" s="4">
        <v>1</v>
      </c>
      <c r="BL957" s="4"/>
      <c r="BM957" s="5">
        <v>40794</v>
      </c>
      <c r="BN957" s="5">
        <v>40809</v>
      </c>
      <c r="BO957" s="5">
        <v>40861</v>
      </c>
      <c r="BP957" s="4"/>
      <c r="BQ957" s="4"/>
      <c r="BR957" s="4"/>
      <c r="BS957" s="4"/>
      <c r="BT957" s="5">
        <v>40807</v>
      </c>
      <c r="BU957" s="5">
        <v>40807</v>
      </c>
      <c r="BV957" s="5">
        <v>40844</v>
      </c>
      <c r="BW957" s="5">
        <v>40844</v>
      </c>
      <c r="BX957" s="5">
        <v>40841</v>
      </c>
      <c r="BY957" s="5">
        <v>40845</v>
      </c>
      <c r="BZ957" s="5">
        <v>40845</v>
      </c>
      <c r="CA957" s="4"/>
      <c r="CB957" s="4"/>
      <c r="CC957" s="4"/>
      <c r="CD957" s="4"/>
      <c r="CE957" s="4"/>
      <c r="CF957" s="4"/>
      <c r="CG957" s="4"/>
      <c r="CH957" s="4"/>
      <c r="CI957" s="5">
        <v>40847</v>
      </c>
      <c r="CJ957" s="5">
        <v>40861</v>
      </c>
      <c r="CK957" s="5">
        <v>40855</v>
      </c>
      <c r="CL957" s="5">
        <v>40868</v>
      </c>
      <c r="CM957" s="5">
        <v>40862</v>
      </c>
      <c r="CN957" s="5">
        <v>40952</v>
      </c>
      <c r="CO957" s="5">
        <v>41215</v>
      </c>
      <c r="CP957" s="4" t="s">
        <v>2958</v>
      </c>
      <c r="CQ957" s="4"/>
      <c r="CR957" s="5">
        <v>40845</v>
      </c>
      <c r="CS957" s="5">
        <v>40784</v>
      </c>
      <c r="CT957" s="5">
        <v>40784</v>
      </c>
      <c r="CU957" s="5">
        <v>40823</v>
      </c>
      <c r="CV957" s="5">
        <v>40861</v>
      </c>
      <c r="CW957" s="5">
        <v>40842</v>
      </c>
      <c r="CX957" s="5">
        <v>40861</v>
      </c>
      <c r="CY957" s="5">
        <v>40843</v>
      </c>
      <c r="CZ957" s="5">
        <v>40843</v>
      </c>
      <c r="DA957" s="4"/>
      <c r="DB957" s="5">
        <v>40848</v>
      </c>
      <c r="DC957" s="4"/>
      <c r="DD957" s="4"/>
      <c r="DE957" s="4"/>
      <c r="DF957" s="4"/>
      <c r="DG957" s="4"/>
      <c r="DH957" s="4"/>
      <c r="DI957" s="5">
        <v>40843</v>
      </c>
      <c r="DJ957" s="4" t="b">
        <v>0</v>
      </c>
      <c r="DK957" s="4"/>
      <c r="DL957" s="4">
        <v>2847866</v>
      </c>
      <c r="DM957" s="4">
        <v>6161933</v>
      </c>
      <c r="DN957" s="4" t="s">
        <v>2959</v>
      </c>
      <c r="DO957" s="4"/>
      <c r="DP957" s="4" t="s">
        <v>2960</v>
      </c>
      <c r="DQ957" s="4" t="s">
        <v>148</v>
      </c>
      <c r="DR957" s="4"/>
      <c r="DS957" s="4"/>
      <c r="DT957" s="4"/>
      <c r="DU957" s="4"/>
      <c r="DV957" s="4"/>
      <c r="DW957" s="4"/>
      <c r="DX957" s="4"/>
      <c r="DY957" s="4"/>
      <c r="DZ957" s="4"/>
      <c r="EA957" s="4"/>
      <c r="EB957" s="4"/>
      <c r="EC957" s="4"/>
      <c r="ED957" s="4"/>
      <c r="EE957" s="4"/>
      <c r="EF957" s="4"/>
      <c r="EG957" s="5">
        <v>40861</v>
      </c>
      <c r="EH957" s="5">
        <v>40861</v>
      </c>
      <c r="EI957" s="4"/>
    </row>
    <row r="958" spans="1:139" hidden="1" x14ac:dyDescent="0.2">
      <c r="A958">
        <f>VLOOKUP(B958,Sheet1!$A$1:$B$18,2,FALSE)</f>
        <v>0</v>
      </c>
      <c r="B958" t="str">
        <f>LEFT(D958,3)</f>
        <v>HKB</v>
      </c>
      <c r="C958" s="2">
        <v>957</v>
      </c>
      <c r="D958" s="3" t="str">
        <f>HYPERLINK("https://sitebase.nzcomms.co.nz/spm/spmnominalview/HKB-030-026/","HKB-030-026")</f>
        <v>HKB-030-026</v>
      </c>
      <c r="E958" s="4" t="s">
        <v>2961</v>
      </c>
      <c r="F958" s="3" t="str">
        <f>HYPERLINK("https://sitebase.nzcomms.co.nz/spm/spmcandidateview/HKB-030-026-A/","HKB-030-026-A")</f>
        <v>HKB-030-026-A</v>
      </c>
      <c r="G958" s="4" t="s">
        <v>2962</v>
      </c>
      <c r="H958" s="4" t="s">
        <v>2896</v>
      </c>
      <c r="I958" s="4">
        <v>1</v>
      </c>
      <c r="J958" s="4" t="s">
        <v>1633</v>
      </c>
      <c r="K958" s="4" t="s">
        <v>141</v>
      </c>
      <c r="L958" s="4" t="s">
        <v>142</v>
      </c>
      <c r="M958" s="4" t="s">
        <v>190</v>
      </c>
      <c r="N958" s="4" t="s">
        <v>142</v>
      </c>
      <c r="O958" s="4" t="s">
        <v>144</v>
      </c>
      <c r="P958" s="4" t="s">
        <v>169</v>
      </c>
      <c r="Q958" s="4" t="s">
        <v>142</v>
      </c>
      <c r="R958" s="4">
        <v>25</v>
      </c>
      <c r="S958" s="4">
        <v>26</v>
      </c>
      <c r="T958" s="4"/>
      <c r="U958" s="4">
        <v>-39.600623560000002</v>
      </c>
      <c r="V958" s="4">
        <v>176.91272759</v>
      </c>
      <c r="W958" s="4"/>
      <c r="X958" s="5">
        <v>40423</v>
      </c>
      <c r="Y958" s="4"/>
      <c r="Z958" s="5">
        <v>40221</v>
      </c>
      <c r="AA958" s="4" t="s">
        <v>171</v>
      </c>
      <c r="AB958" s="3" t="str">
        <f>HYPERLINK("https://sitebase.nzcomms.co.nz/spm/spmcandidateview/HKB-030-025-A/","HKB-030-025-A")</f>
        <v>HKB-030-025-A</v>
      </c>
      <c r="AC958" s="4" t="b">
        <v>0</v>
      </c>
      <c r="AD958" s="4" t="b">
        <v>1</v>
      </c>
      <c r="AE958" s="4"/>
      <c r="AF958" s="4"/>
      <c r="AG958" s="4" t="b">
        <v>0</v>
      </c>
      <c r="AH958" s="4" t="s">
        <v>2963</v>
      </c>
      <c r="AI958" s="5">
        <v>40618</v>
      </c>
      <c r="AJ958" s="5">
        <v>40618</v>
      </c>
      <c r="AK958" s="5">
        <v>40625</v>
      </c>
      <c r="AL958" s="5">
        <v>40627</v>
      </c>
      <c r="AM958" s="5">
        <v>40651</v>
      </c>
      <c r="AN958" s="5">
        <v>40651</v>
      </c>
      <c r="AO958" s="4">
        <v>1</v>
      </c>
      <c r="AP958" s="5">
        <v>40651</v>
      </c>
      <c r="AQ958" s="5">
        <v>40651</v>
      </c>
      <c r="AR958" s="5">
        <v>40781</v>
      </c>
      <c r="AS958" s="5">
        <v>40785</v>
      </c>
      <c r="AT958" s="5">
        <v>40812</v>
      </c>
      <c r="AU958" s="5">
        <v>40786</v>
      </c>
      <c r="AV958" s="4"/>
      <c r="AW958" s="5">
        <v>40816</v>
      </c>
      <c r="AX958" s="5">
        <v>40812</v>
      </c>
      <c r="AY958" s="4" t="s">
        <v>172</v>
      </c>
      <c r="AZ958" s="5">
        <v>40659</v>
      </c>
      <c r="BA958" s="5">
        <v>40659</v>
      </c>
      <c r="BB958" s="5">
        <v>40690</v>
      </c>
      <c r="BC958" s="5">
        <v>40669</v>
      </c>
      <c r="BD958" s="4">
        <v>1</v>
      </c>
      <c r="BE958" s="5">
        <v>40703</v>
      </c>
      <c r="BF958" s="5">
        <v>40709</v>
      </c>
      <c r="BG958" s="4"/>
      <c r="BH958" s="4"/>
      <c r="BI958" s="5">
        <v>40877</v>
      </c>
      <c r="BJ958" s="5">
        <v>40877</v>
      </c>
      <c r="BK958" s="4">
        <v>1</v>
      </c>
      <c r="BL958" s="4"/>
      <c r="BM958" s="5">
        <v>40877</v>
      </c>
      <c r="BN958" s="5">
        <v>40877</v>
      </c>
      <c r="BO958" s="5">
        <v>40970</v>
      </c>
      <c r="BP958" s="4"/>
      <c r="BQ958" s="4"/>
      <c r="BR958" s="4"/>
      <c r="BS958" s="4"/>
      <c r="BT958" s="5">
        <v>40960</v>
      </c>
      <c r="BU958" s="5">
        <v>40955</v>
      </c>
      <c r="BV958" s="5">
        <v>40968</v>
      </c>
      <c r="BW958" s="5">
        <v>40956</v>
      </c>
      <c r="BX958" s="5">
        <v>40961</v>
      </c>
      <c r="BY958" s="5">
        <v>40974</v>
      </c>
      <c r="BZ958" s="5">
        <v>40977</v>
      </c>
      <c r="CA958" s="4"/>
      <c r="CB958" s="4"/>
      <c r="CC958" s="4"/>
      <c r="CD958" s="4"/>
      <c r="CE958" s="4"/>
      <c r="CF958" s="4"/>
      <c r="CG958" s="4"/>
      <c r="CH958" s="4"/>
      <c r="CI958" s="5">
        <v>40977</v>
      </c>
      <c r="CJ958" s="5">
        <v>40983</v>
      </c>
      <c r="CK958" s="5">
        <v>40983</v>
      </c>
      <c r="CL958" s="5">
        <v>40977</v>
      </c>
      <c r="CM958" s="5">
        <v>40991</v>
      </c>
      <c r="CN958" s="5">
        <v>41081</v>
      </c>
      <c r="CO958" s="5">
        <v>41121</v>
      </c>
      <c r="CP958" s="4"/>
      <c r="CQ958" s="4" t="s">
        <v>230</v>
      </c>
      <c r="CR958" s="5">
        <v>40974</v>
      </c>
      <c r="CS958" s="5">
        <v>40921</v>
      </c>
      <c r="CT958" s="5">
        <v>40921</v>
      </c>
      <c r="CU958" s="5">
        <v>40921</v>
      </c>
      <c r="CV958" s="5">
        <v>40970</v>
      </c>
      <c r="CW958" s="5">
        <v>40921</v>
      </c>
      <c r="CX958" s="5">
        <v>40970</v>
      </c>
      <c r="CY958" s="5">
        <v>40973</v>
      </c>
      <c r="CZ958" s="5">
        <v>40974</v>
      </c>
      <c r="DA958" s="4"/>
      <c r="DB958" s="5">
        <v>40983</v>
      </c>
      <c r="DC958" s="4"/>
      <c r="DD958" s="4"/>
      <c r="DE958" s="4"/>
      <c r="DF958" s="4"/>
      <c r="DG958" s="4"/>
      <c r="DH958" s="4"/>
      <c r="DI958" s="5">
        <v>40968</v>
      </c>
      <c r="DJ958" s="4" t="b">
        <v>0</v>
      </c>
      <c r="DK958" s="4"/>
      <c r="DL958" s="4">
        <v>2845934</v>
      </c>
      <c r="DM958" s="4">
        <v>6170883</v>
      </c>
      <c r="DN958" s="4" t="s">
        <v>2964</v>
      </c>
      <c r="DO958" s="4"/>
      <c r="DP958" s="4" t="s">
        <v>2965</v>
      </c>
      <c r="DQ958" s="4" t="s">
        <v>148</v>
      </c>
      <c r="DR958" s="4"/>
      <c r="DS958" s="4"/>
      <c r="DT958" s="4"/>
      <c r="DU958" s="4"/>
      <c r="DV958" s="4"/>
      <c r="DW958" s="4"/>
      <c r="DX958" s="4"/>
      <c r="DY958" s="4"/>
      <c r="DZ958" s="4"/>
      <c r="EA958" s="4"/>
      <c r="EB958" s="4"/>
      <c r="EC958" s="4"/>
      <c r="ED958" s="4"/>
      <c r="EE958" s="4"/>
      <c r="EF958" s="4"/>
      <c r="EG958" s="5">
        <v>40983</v>
      </c>
      <c r="EH958" s="5">
        <v>40983</v>
      </c>
      <c r="EI958" s="4"/>
    </row>
    <row r="959" spans="1:139" hidden="1" x14ac:dyDescent="0.2">
      <c r="A959">
        <f>VLOOKUP(B959,Sheet1!$A$1:$B$18,2,FALSE)</f>
        <v>0</v>
      </c>
      <c r="B959" t="str">
        <f>LEFT(D959,3)</f>
        <v>HKB</v>
      </c>
      <c r="C959" s="2">
        <v>958</v>
      </c>
      <c r="D959" s="3" t="str">
        <f>HYPERLINK("https://sitebase.nzcomms.co.nz/spm/spmnominalview/HKB-030-027/","HKB-030-027")</f>
        <v>HKB-030-027</v>
      </c>
      <c r="E959" s="4" t="s">
        <v>2966</v>
      </c>
      <c r="F959" s="3" t="str">
        <f>HYPERLINK("https://sitebase.nzcomms.co.nz/spm/spmcandidateview/HKB-030-027-A/","HKB-030-027-A")</f>
        <v>HKB-030-027-A</v>
      </c>
      <c r="G959" s="4" t="s">
        <v>2967</v>
      </c>
      <c r="H959" s="4" t="s">
        <v>2896</v>
      </c>
      <c r="I959" s="4">
        <v>24</v>
      </c>
      <c r="J959" s="4" t="s">
        <v>570</v>
      </c>
      <c r="K959" s="4" t="s">
        <v>141</v>
      </c>
      <c r="L959" s="4" t="s">
        <v>150</v>
      </c>
      <c r="M959" s="4" t="s">
        <v>1193</v>
      </c>
      <c r="N959" s="4" t="s">
        <v>1557</v>
      </c>
      <c r="O959" s="4"/>
      <c r="P959" s="4" t="s">
        <v>169</v>
      </c>
      <c r="Q959" s="4" t="s">
        <v>192</v>
      </c>
      <c r="R959" s="4"/>
      <c r="S959" s="4"/>
      <c r="T959" s="4"/>
      <c r="U959" s="4">
        <v>-39.607540120000003</v>
      </c>
      <c r="V959" s="4">
        <v>176.77520765</v>
      </c>
      <c r="W959" s="4"/>
      <c r="X959" s="5">
        <v>42058</v>
      </c>
      <c r="Y959" s="4"/>
      <c r="Z959" s="5">
        <v>42166</v>
      </c>
      <c r="AA959" s="4" t="s">
        <v>145</v>
      </c>
      <c r="AB959" s="3" t="str">
        <f>HYPERLINK("https://sitebase.nzcomms.co.nz/spm/spmcandidateview/HKB-030-022-B/","HKB-030-022-B")</f>
        <v>HKB-030-022-B</v>
      </c>
      <c r="AC959" s="4" t="b">
        <v>0</v>
      </c>
      <c r="AD959" s="4" t="b">
        <v>0</v>
      </c>
      <c r="AE959" s="4"/>
      <c r="AF959" s="4"/>
      <c r="AG959" s="4" t="b">
        <v>0</v>
      </c>
      <c r="AH959" s="4"/>
      <c r="AI959" s="5">
        <v>42151</v>
      </c>
      <c r="AJ959" s="5">
        <v>42145</v>
      </c>
      <c r="AK959" s="5">
        <v>42167</v>
      </c>
      <c r="AL959" s="5">
        <v>42167</v>
      </c>
      <c r="AM959" s="5">
        <v>42202</v>
      </c>
      <c r="AN959" s="5">
        <v>42172</v>
      </c>
      <c r="AO959" s="4">
        <v>1</v>
      </c>
      <c r="AP959" s="4"/>
      <c r="AQ959" s="5">
        <v>42172</v>
      </c>
      <c r="AR959" s="5">
        <v>42213</v>
      </c>
      <c r="AS959" s="5">
        <v>42208</v>
      </c>
      <c r="AT959" s="5">
        <v>42230</v>
      </c>
      <c r="AU959" s="5">
        <v>42208</v>
      </c>
      <c r="AV959" s="4"/>
      <c r="AW959" s="5">
        <v>42213</v>
      </c>
      <c r="AX959" s="5">
        <v>42220</v>
      </c>
      <c r="AY959" s="4" t="s">
        <v>172</v>
      </c>
      <c r="AZ959" s="5">
        <v>42209</v>
      </c>
      <c r="BA959" s="5">
        <v>42184</v>
      </c>
      <c r="BB959" s="5">
        <v>42247</v>
      </c>
      <c r="BC959" s="5">
        <v>42208</v>
      </c>
      <c r="BD959" s="4">
        <v>1</v>
      </c>
      <c r="BE959" s="4"/>
      <c r="BF959" s="5">
        <v>42222</v>
      </c>
      <c r="BG959" s="5">
        <v>42300</v>
      </c>
      <c r="BH959" s="4"/>
      <c r="BI959" s="5">
        <v>42335</v>
      </c>
      <c r="BJ959" s="4"/>
      <c r="BK959" s="4"/>
      <c r="BL959" s="4"/>
      <c r="BM959" s="4"/>
      <c r="BN959" s="4"/>
      <c r="BO959" s="4"/>
      <c r="BP959" s="4"/>
      <c r="BQ959" s="4"/>
      <c r="BR959" s="4"/>
      <c r="BS959" s="4"/>
      <c r="BT959" s="5">
        <v>42387</v>
      </c>
      <c r="BU959" s="4"/>
      <c r="BV959" s="5">
        <v>42429</v>
      </c>
      <c r="BW959" s="4"/>
      <c r="BX959" s="4"/>
      <c r="BY959" s="5">
        <v>42440</v>
      </c>
      <c r="BZ959" s="4"/>
      <c r="CA959" s="4"/>
      <c r="CB959" s="4"/>
      <c r="CC959" s="4"/>
      <c r="CD959" s="4"/>
      <c r="CE959" s="4"/>
      <c r="CF959" s="4"/>
      <c r="CG959" s="4"/>
      <c r="CH959" s="4"/>
      <c r="CI959" s="4"/>
      <c r="CJ959" s="5">
        <v>42489</v>
      </c>
      <c r="CK959" s="4"/>
      <c r="CL959" s="4"/>
      <c r="CM959" s="4"/>
      <c r="CN959" s="4"/>
      <c r="CO959" s="4"/>
      <c r="CP959" s="4" t="s">
        <v>2968</v>
      </c>
      <c r="CQ959" s="4"/>
      <c r="CR959" s="4"/>
      <c r="CS959" s="4"/>
      <c r="CT959" s="4"/>
      <c r="CU959" s="4"/>
      <c r="CV959" s="4"/>
      <c r="CW959" s="4"/>
      <c r="CX959" s="4"/>
      <c r="CY959" s="4"/>
      <c r="CZ959" s="4"/>
      <c r="DA959" s="5">
        <v>42460</v>
      </c>
      <c r="DB959" s="4"/>
      <c r="DC959" s="4"/>
      <c r="DD959" s="4"/>
      <c r="DE959" s="4"/>
      <c r="DF959" s="4"/>
      <c r="DG959" s="4"/>
      <c r="DH959" s="4" t="s">
        <v>1521</v>
      </c>
      <c r="DI959" s="4"/>
      <c r="DJ959" s="4" t="b">
        <v>0</v>
      </c>
      <c r="DK959" s="4"/>
      <c r="DL959" s="4">
        <v>2834101</v>
      </c>
      <c r="DM959" s="4">
        <v>6170625</v>
      </c>
      <c r="DN959" s="4" t="s">
        <v>2969</v>
      </c>
      <c r="DO959" s="4"/>
      <c r="DP959" s="4"/>
      <c r="DQ959" s="4" t="s">
        <v>148</v>
      </c>
      <c r="DR959" s="4" t="s">
        <v>255</v>
      </c>
      <c r="DS959" s="4"/>
      <c r="DT959" s="4"/>
      <c r="DU959" s="4" t="s">
        <v>577</v>
      </c>
      <c r="DV959" s="4"/>
      <c r="DW959" s="4"/>
      <c r="DX959" s="4"/>
      <c r="DY959" s="5">
        <v>42310</v>
      </c>
      <c r="DZ959" s="4"/>
      <c r="EA959" s="4"/>
      <c r="EB959" s="4"/>
      <c r="EC959" s="4"/>
      <c r="ED959" s="4"/>
      <c r="EE959" s="5">
        <v>42342</v>
      </c>
      <c r="EF959" s="4"/>
      <c r="EG959" s="4"/>
      <c r="EH959" s="4"/>
      <c r="EI959" s="5">
        <v>42167</v>
      </c>
    </row>
    <row r="960" spans="1:139" hidden="1" x14ac:dyDescent="0.2">
      <c r="A960">
        <f>VLOOKUP(B960,Sheet1!$A$1:$B$18,2,FALSE)</f>
        <v>0</v>
      </c>
      <c r="B960" t="str">
        <f>LEFT(D960,3)</f>
        <v>HKB</v>
      </c>
      <c r="C960" s="2">
        <v>959</v>
      </c>
      <c r="D960" s="3" t="str">
        <f>HYPERLINK("https://sitebase.nzcomms.co.nz/spm/spmnominalview/HKB-030-028/","HKB-030-028")</f>
        <v>HKB-030-028</v>
      </c>
      <c r="E960" s="4" t="s">
        <v>2970</v>
      </c>
      <c r="F960" s="3" t="str">
        <f>HYPERLINK("https://sitebase.nzcomms.co.nz/spm/spmcandidateview/HKB-030-028-A/","HKB-030-028-A")</f>
        <v>HKB-030-028-A</v>
      </c>
      <c r="G960" s="4" t="s">
        <v>2337</v>
      </c>
      <c r="H960" s="4" t="s">
        <v>2896</v>
      </c>
      <c r="I960" s="4">
        <v>24</v>
      </c>
      <c r="J960" s="4" t="s">
        <v>331</v>
      </c>
      <c r="K960" s="4" t="s">
        <v>141</v>
      </c>
      <c r="L960" s="4" t="s">
        <v>142</v>
      </c>
      <c r="M960" s="4" t="s">
        <v>166</v>
      </c>
      <c r="N960" s="4" t="s">
        <v>142</v>
      </c>
      <c r="O960" s="4"/>
      <c r="P960" s="4" t="s">
        <v>169</v>
      </c>
      <c r="Q960" s="4" t="s">
        <v>142</v>
      </c>
      <c r="R960" s="4"/>
      <c r="S960" s="4"/>
      <c r="T960" s="4"/>
      <c r="U960" s="4">
        <v>-39.390055820000001</v>
      </c>
      <c r="V960" s="4">
        <v>176.80928786000001</v>
      </c>
      <c r="W960" s="4"/>
      <c r="X960" s="4"/>
      <c r="Y960" s="4"/>
      <c r="Z960" s="4"/>
      <c r="AA960" s="4"/>
      <c r="AB960" s="4"/>
      <c r="AC960" s="4" t="b">
        <v>0</v>
      </c>
      <c r="AD960" s="4" t="b">
        <v>0</v>
      </c>
      <c r="AE960" s="4"/>
      <c r="AF960" s="4"/>
      <c r="AG960" s="4" t="b">
        <v>0</v>
      </c>
      <c r="AH960" s="4"/>
      <c r="AI960" s="5">
        <v>42258</v>
      </c>
      <c r="AJ960" s="5">
        <v>42257</v>
      </c>
      <c r="AK960" s="5">
        <v>42278</v>
      </c>
      <c r="AL960" s="5">
        <v>42278</v>
      </c>
      <c r="AM960" s="5">
        <v>42300</v>
      </c>
      <c r="AN960" s="5">
        <v>42349</v>
      </c>
      <c r="AO960" s="4">
        <v>1</v>
      </c>
      <c r="AP960" s="4"/>
      <c r="AQ960" s="5">
        <v>42349</v>
      </c>
      <c r="AR960" s="5">
        <v>42356</v>
      </c>
      <c r="AS960" s="4"/>
      <c r="AT960" s="5">
        <v>42444</v>
      </c>
      <c r="AU960" s="4"/>
      <c r="AV960" s="4"/>
      <c r="AW960" s="4"/>
      <c r="AX960" s="4"/>
      <c r="AY960" s="4"/>
      <c r="AZ960" s="5">
        <v>42440</v>
      </c>
      <c r="BA960" s="4"/>
      <c r="BB960" s="5">
        <v>42468</v>
      </c>
      <c r="BC960" s="4"/>
      <c r="BD960" s="4"/>
      <c r="BE960" s="4"/>
      <c r="BF960" s="4"/>
      <c r="BG960" s="5">
        <v>42433</v>
      </c>
      <c r="BH960" s="4"/>
      <c r="BI960" s="5">
        <v>42468</v>
      </c>
      <c r="BJ960" s="4"/>
      <c r="BK960" s="4"/>
      <c r="BL960" s="4"/>
      <c r="BM960" s="4"/>
      <c r="BN960" s="4"/>
      <c r="BO960" s="4"/>
      <c r="BP960" s="4"/>
      <c r="BQ960" s="4"/>
      <c r="BR960" s="4"/>
      <c r="BS960" s="4"/>
      <c r="BT960" s="5">
        <v>42510</v>
      </c>
      <c r="BU960" s="4"/>
      <c r="BV960" s="5">
        <v>42531</v>
      </c>
      <c r="BW960" s="4"/>
      <c r="BX960" s="4"/>
      <c r="BY960" s="5">
        <v>42545</v>
      </c>
      <c r="BZ960" s="4"/>
      <c r="CA960" s="4"/>
      <c r="CB960" s="4"/>
      <c r="CC960" s="4"/>
      <c r="CD960" s="4"/>
      <c r="CE960" s="4"/>
      <c r="CF960" s="4"/>
      <c r="CG960" s="4"/>
      <c r="CH960" s="4"/>
      <c r="CI960" s="4"/>
      <c r="CJ960" s="5">
        <v>42573</v>
      </c>
      <c r="CK960" s="4"/>
      <c r="CL960" s="4"/>
      <c r="CM960" s="4"/>
      <c r="CN960" s="4"/>
      <c r="CO960" s="4"/>
      <c r="CP960" s="4"/>
      <c r="CQ960" s="4" t="s">
        <v>230</v>
      </c>
      <c r="CR960" s="4"/>
      <c r="CS960" s="4"/>
      <c r="CT960" s="4"/>
      <c r="CU960" s="4"/>
      <c r="CV960" s="4"/>
      <c r="CW960" s="4"/>
      <c r="CX960" s="4"/>
      <c r="CY960" s="4"/>
      <c r="CZ960" s="4"/>
      <c r="DA960" s="5">
        <v>42559</v>
      </c>
      <c r="DB960" s="4"/>
      <c r="DC960" s="4"/>
      <c r="DD960" s="4"/>
      <c r="DE960" s="4"/>
      <c r="DF960" s="4"/>
      <c r="DG960" s="4"/>
      <c r="DH960" s="4" t="s">
        <v>174</v>
      </c>
      <c r="DI960" s="4"/>
      <c r="DJ960" s="4" t="b">
        <v>0</v>
      </c>
      <c r="DK960" s="4"/>
      <c r="DL960" s="4">
        <v>2838056</v>
      </c>
      <c r="DM960" s="4">
        <v>6194624</v>
      </c>
      <c r="DN960" s="4" t="s">
        <v>2971</v>
      </c>
      <c r="DO960" s="4"/>
      <c r="DP960" s="4"/>
      <c r="DQ960" s="4" t="s">
        <v>148</v>
      </c>
      <c r="DR960" s="4"/>
      <c r="DS960" s="4"/>
      <c r="DT960" s="4"/>
      <c r="DU960" s="4" t="s">
        <v>178</v>
      </c>
      <c r="DV960" s="4"/>
      <c r="DW960" s="4"/>
      <c r="DX960" s="4"/>
      <c r="DY960" s="5">
        <v>42475</v>
      </c>
      <c r="DZ960" s="4"/>
      <c r="EA960" s="4"/>
      <c r="EB960" s="4"/>
      <c r="EC960" s="4"/>
      <c r="ED960" s="4"/>
      <c r="EE960" s="5">
        <v>42503</v>
      </c>
      <c r="EF960" s="4"/>
      <c r="EG960" s="4"/>
      <c r="EH960" s="4"/>
      <c r="EI960" s="5">
        <v>42278</v>
      </c>
    </row>
    <row r="961" spans="1:139" hidden="1" x14ac:dyDescent="0.2">
      <c r="A961">
        <f>VLOOKUP(B961,Sheet1!$A$1:$B$18,2,FALSE)</f>
        <v>0</v>
      </c>
      <c r="B961" t="str">
        <f>LEFT(D961,3)</f>
        <v>HKB</v>
      </c>
      <c r="C961" s="2">
        <v>960</v>
      </c>
      <c r="D961" s="3" t="str">
        <f>HYPERLINK("https://sitebase.nzcomms.co.nz/spm/spmnominalview/HKB-031-001/","HKB-031-001")</f>
        <v>HKB-031-001</v>
      </c>
      <c r="E961" s="4" t="s">
        <v>2972</v>
      </c>
      <c r="F961" s="3" t="str">
        <f>HYPERLINK("https://sitebase.nzcomms.co.nz/spm/spmcandidateview/HKB-031-001-A/","HKB-031-001-A")</f>
        <v>HKB-031-001-A</v>
      </c>
      <c r="G961" s="4" t="s">
        <v>2973</v>
      </c>
      <c r="H961" s="4" t="s">
        <v>2974</v>
      </c>
      <c r="I961" s="4">
        <v>1</v>
      </c>
      <c r="J961" s="4" t="s">
        <v>1633</v>
      </c>
      <c r="K961" s="4" t="s">
        <v>141</v>
      </c>
      <c r="L961" s="4" t="s">
        <v>181</v>
      </c>
      <c r="M961" s="4" t="s">
        <v>190</v>
      </c>
      <c r="N961" s="4" t="s">
        <v>181</v>
      </c>
      <c r="O961" s="4" t="s">
        <v>144</v>
      </c>
      <c r="P961" s="4" t="s">
        <v>169</v>
      </c>
      <c r="Q961" s="4" t="s">
        <v>170</v>
      </c>
      <c r="R961" s="4">
        <v>24</v>
      </c>
      <c r="S961" s="4">
        <v>24.5</v>
      </c>
      <c r="T961" s="4">
        <v>1</v>
      </c>
      <c r="U961" s="4">
        <v>-39.492151290000002</v>
      </c>
      <c r="V961" s="4">
        <v>176.91794096000001</v>
      </c>
      <c r="W961" s="4"/>
      <c r="X961" s="5">
        <v>40423</v>
      </c>
      <c r="Y961" s="4"/>
      <c r="Z961" s="5">
        <v>40221</v>
      </c>
      <c r="AA961" s="4" t="s">
        <v>145</v>
      </c>
      <c r="AB961" s="3" t="str">
        <f>HYPERLINK("https://sitebase.nzcomms.co.nz/spm/spmcandidateview/WLG-047-071-A/","WLG-047-071-A")</f>
        <v>WLG-047-071-A</v>
      </c>
      <c r="AC961" s="4" t="b">
        <v>0</v>
      </c>
      <c r="AD961" s="4" t="b">
        <v>1</v>
      </c>
      <c r="AE961" s="4"/>
      <c r="AF961" s="4"/>
      <c r="AG961" s="4" t="b">
        <v>0</v>
      </c>
      <c r="AH961" s="4"/>
      <c r="AI961" s="5">
        <v>40598</v>
      </c>
      <c r="AJ961" s="5">
        <v>40598</v>
      </c>
      <c r="AK961" s="5">
        <v>40605</v>
      </c>
      <c r="AL961" s="5">
        <v>40603</v>
      </c>
      <c r="AM961" s="5">
        <v>40665</v>
      </c>
      <c r="AN961" s="5">
        <v>40667</v>
      </c>
      <c r="AO961" s="4">
        <v>1</v>
      </c>
      <c r="AP961" s="5">
        <v>40665</v>
      </c>
      <c r="AQ961" s="5">
        <v>40667</v>
      </c>
      <c r="AR961" s="5">
        <v>40676</v>
      </c>
      <c r="AS961" s="5">
        <v>40674</v>
      </c>
      <c r="AT961" s="5">
        <v>40703</v>
      </c>
      <c r="AU961" s="5">
        <v>40703</v>
      </c>
      <c r="AV961" s="4">
        <v>1</v>
      </c>
      <c r="AW961" s="5">
        <v>40724</v>
      </c>
      <c r="AX961" s="5">
        <v>40730</v>
      </c>
      <c r="AY961" s="4" t="s">
        <v>247</v>
      </c>
      <c r="AZ961" s="5">
        <v>40676</v>
      </c>
      <c r="BA961" s="5">
        <v>40682</v>
      </c>
      <c r="BB961" s="5">
        <v>40718</v>
      </c>
      <c r="BC961" s="5">
        <v>40703</v>
      </c>
      <c r="BD961" s="4">
        <v>1</v>
      </c>
      <c r="BE961" s="5">
        <v>40725</v>
      </c>
      <c r="BF961" s="5">
        <v>40709</v>
      </c>
      <c r="BG961" s="4"/>
      <c r="BH961" s="4"/>
      <c r="BI961" s="5">
        <v>40779</v>
      </c>
      <c r="BJ961" s="5">
        <v>40912</v>
      </c>
      <c r="BK961" s="4">
        <v>1</v>
      </c>
      <c r="BL961" s="4"/>
      <c r="BM961" s="5">
        <v>40779</v>
      </c>
      <c r="BN961" s="5">
        <v>40912</v>
      </c>
      <c r="BO961" s="5">
        <v>40861</v>
      </c>
      <c r="BP961" s="4"/>
      <c r="BQ961" s="4"/>
      <c r="BR961" s="4"/>
      <c r="BS961" s="4"/>
      <c r="BT961" s="5">
        <v>40804</v>
      </c>
      <c r="BU961" s="5">
        <v>40804</v>
      </c>
      <c r="BV961" s="5">
        <v>40837</v>
      </c>
      <c r="BW961" s="5">
        <v>40861</v>
      </c>
      <c r="BX961" s="5">
        <v>40819</v>
      </c>
      <c r="BY961" s="5">
        <v>40837</v>
      </c>
      <c r="BZ961" s="5">
        <v>40861</v>
      </c>
      <c r="CA961" s="4"/>
      <c r="CB961" s="4"/>
      <c r="CC961" s="4"/>
      <c r="CD961" s="4"/>
      <c r="CE961" s="4"/>
      <c r="CF961" s="4"/>
      <c r="CG961" s="4"/>
      <c r="CH961" s="4"/>
      <c r="CI961" s="5">
        <v>40845</v>
      </c>
      <c r="CJ961" s="5">
        <v>40861</v>
      </c>
      <c r="CK961" s="5">
        <v>40861</v>
      </c>
      <c r="CL961" s="5">
        <v>40868</v>
      </c>
      <c r="CM961" s="5">
        <v>40872</v>
      </c>
      <c r="CN961" s="5">
        <v>41411</v>
      </c>
      <c r="CO961" s="5">
        <v>41407</v>
      </c>
      <c r="CP961" s="4" t="s">
        <v>2975</v>
      </c>
      <c r="CQ961" s="4"/>
      <c r="CR961" s="5">
        <v>40844</v>
      </c>
      <c r="CS961" s="5">
        <v>40784</v>
      </c>
      <c r="CT961" s="5">
        <v>40784</v>
      </c>
      <c r="CU961" s="5">
        <v>40816</v>
      </c>
      <c r="CV961" s="5">
        <v>40861</v>
      </c>
      <c r="CW961" s="5">
        <v>40795</v>
      </c>
      <c r="CX961" s="5">
        <v>40861</v>
      </c>
      <c r="CY961" s="5">
        <v>40834</v>
      </c>
      <c r="CZ961" s="5">
        <v>40835</v>
      </c>
      <c r="DA961" s="4"/>
      <c r="DB961" s="5">
        <v>40848</v>
      </c>
      <c r="DC961" s="4"/>
      <c r="DD961" s="4"/>
      <c r="DE961" s="4"/>
      <c r="DF961" s="4"/>
      <c r="DG961" s="4"/>
      <c r="DH961" s="4" t="s">
        <v>174</v>
      </c>
      <c r="DI961" s="5">
        <v>40819</v>
      </c>
      <c r="DJ961" s="4" t="b">
        <v>0</v>
      </c>
      <c r="DK961" s="4"/>
      <c r="DL961" s="4">
        <v>2846910</v>
      </c>
      <c r="DM961" s="4">
        <v>6182895</v>
      </c>
      <c r="DN961" s="4" t="s">
        <v>2976</v>
      </c>
      <c r="DO961" s="4"/>
      <c r="DP961" s="4"/>
      <c r="DQ961" s="4" t="s">
        <v>148</v>
      </c>
      <c r="DR961" s="4"/>
      <c r="DS961" s="4"/>
      <c r="DT961" s="5">
        <v>42150</v>
      </c>
      <c r="DU961" s="4"/>
      <c r="DV961" s="4"/>
      <c r="DW961" s="4"/>
      <c r="DX961" s="4"/>
      <c r="DY961" s="4"/>
      <c r="DZ961" s="4"/>
      <c r="EA961" s="4"/>
      <c r="EB961" s="4"/>
      <c r="EC961" s="4"/>
      <c r="ED961" s="4"/>
      <c r="EE961" s="4"/>
      <c r="EF961" s="4"/>
      <c r="EG961" s="5">
        <v>40862</v>
      </c>
      <c r="EH961" s="5">
        <v>40862</v>
      </c>
      <c r="EI961" s="4"/>
    </row>
    <row r="962" spans="1:139" hidden="1" x14ac:dyDescent="0.2">
      <c r="A962">
        <f>VLOOKUP(B962,Sheet1!$A$1:$B$18,2,FALSE)</f>
        <v>0</v>
      </c>
      <c r="B962" t="str">
        <f>LEFT(D962,3)</f>
        <v>HKB</v>
      </c>
      <c r="C962" s="2">
        <v>961</v>
      </c>
      <c r="D962" s="3" t="str">
        <f>HYPERLINK("https://sitebase.nzcomms.co.nz/spm/spmnominalview/HKB-031-002/","HKB-031-002")</f>
        <v>HKB-031-002</v>
      </c>
      <c r="E962" s="4" t="s">
        <v>2977</v>
      </c>
      <c r="F962" s="4"/>
      <c r="G962" s="4"/>
      <c r="H962" s="4" t="s">
        <v>2974</v>
      </c>
      <c r="I962" s="4"/>
      <c r="J962" s="4" t="s">
        <v>196</v>
      </c>
      <c r="K962" s="4"/>
      <c r="L962" s="4"/>
      <c r="M962" s="4"/>
      <c r="N962" s="4"/>
      <c r="O962" s="4"/>
      <c r="P962" s="4"/>
      <c r="Q962" s="4"/>
      <c r="R962" s="4"/>
      <c r="S962" s="4"/>
      <c r="T962" s="4"/>
      <c r="U962" s="4"/>
      <c r="V962" s="4"/>
      <c r="W962" s="4"/>
      <c r="X962" s="4"/>
      <c r="Y962" s="4"/>
      <c r="Z962" s="4"/>
      <c r="AA962" s="4"/>
      <c r="AB962" s="4"/>
      <c r="AC962" s="4"/>
      <c r="AD962" s="4"/>
      <c r="AE962" s="4"/>
      <c r="AF962" s="4"/>
      <c r="AG962" s="4" t="b">
        <v>0</v>
      </c>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t="s">
        <v>2978</v>
      </c>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row>
    <row r="963" spans="1:139" hidden="1" x14ac:dyDescent="0.2">
      <c r="A963">
        <f>VLOOKUP(B963,Sheet1!$A$1:$B$18,2,FALSE)</f>
        <v>0</v>
      </c>
      <c r="B963" t="str">
        <f>LEFT(D963,3)</f>
        <v>HKB</v>
      </c>
      <c r="C963" s="2">
        <v>962</v>
      </c>
      <c r="D963" s="3" t="str">
        <f>HYPERLINK("https://sitebase.nzcomms.co.nz/spm/spmnominalview/HKB-031-003/","HKB-031-003")</f>
        <v>HKB-031-003</v>
      </c>
      <c r="E963" s="4" t="s">
        <v>2979</v>
      </c>
      <c r="F963" s="3" t="str">
        <f>HYPERLINK("https://sitebase.nzcomms.co.nz/spm/spmcandidateview/HKB-031-003-B/","HKB-031-003-B")</f>
        <v>HKB-031-003-B</v>
      </c>
      <c r="G963" s="4" t="s">
        <v>2980</v>
      </c>
      <c r="H963" s="4" t="s">
        <v>2974</v>
      </c>
      <c r="I963" s="4">
        <v>1</v>
      </c>
      <c r="J963" s="4" t="s">
        <v>1633</v>
      </c>
      <c r="K963" s="4" t="s">
        <v>141</v>
      </c>
      <c r="L963" s="4" t="s">
        <v>150</v>
      </c>
      <c r="M963" s="4" t="s">
        <v>190</v>
      </c>
      <c r="N963" s="4" t="s">
        <v>291</v>
      </c>
      <c r="O963" s="4" t="s">
        <v>144</v>
      </c>
      <c r="P963" s="4" t="s">
        <v>169</v>
      </c>
      <c r="Q963" s="4" t="s">
        <v>192</v>
      </c>
      <c r="R963" s="4">
        <v>23</v>
      </c>
      <c r="S963" s="4">
        <v>24</v>
      </c>
      <c r="T963" s="4">
        <v>1</v>
      </c>
      <c r="U963" s="4">
        <v>-39.49789973</v>
      </c>
      <c r="V963" s="4">
        <v>176.91592782999999</v>
      </c>
      <c r="W963" s="4"/>
      <c r="X963" s="5">
        <v>40423</v>
      </c>
      <c r="Y963" s="4"/>
      <c r="Z963" s="5">
        <v>40221</v>
      </c>
      <c r="AA963" s="4" t="s">
        <v>171</v>
      </c>
      <c r="AB963" s="3" t="str">
        <f>HYPERLINK("https://sitebase.nzcomms.co.nz/spm/spmcandidateview/HKB-031-001-A/","HKB-031-001-A")</f>
        <v>HKB-031-001-A</v>
      </c>
      <c r="AC963" s="4" t="b">
        <v>0</v>
      </c>
      <c r="AD963" s="4" t="b">
        <v>1</v>
      </c>
      <c r="AE963" s="4"/>
      <c r="AF963" s="4"/>
      <c r="AG963" s="4" t="b">
        <v>0</v>
      </c>
      <c r="AH963" s="4" t="s">
        <v>2952</v>
      </c>
      <c r="AI963" s="5">
        <v>40738</v>
      </c>
      <c r="AJ963" s="5">
        <v>40738</v>
      </c>
      <c r="AK963" s="5">
        <v>40742</v>
      </c>
      <c r="AL963" s="5">
        <v>40744</v>
      </c>
      <c r="AM963" s="5">
        <v>40760</v>
      </c>
      <c r="AN963" s="5">
        <v>40763</v>
      </c>
      <c r="AO963" s="4">
        <v>2</v>
      </c>
      <c r="AP963" s="5">
        <v>40760</v>
      </c>
      <c r="AQ963" s="5">
        <v>41977</v>
      </c>
      <c r="AR963" s="5">
        <v>40801</v>
      </c>
      <c r="AS963" s="5">
        <v>40822</v>
      </c>
      <c r="AT963" s="5">
        <v>40868</v>
      </c>
      <c r="AU963" s="5">
        <v>40837</v>
      </c>
      <c r="AV963" s="4"/>
      <c r="AW963" s="5">
        <v>40877</v>
      </c>
      <c r="AX963" s="5">
        <v>40837</v>
      </c>
      <c r="AY963" s="4" t="s">
        <v>247</v>
      </c>
      <c r="AZ963" s="5">
        <v>40786</v>
      </c>
      <c r="BA963" s="5">
        <v>40802</v>
      </c>
      <c r="BB963" s="5">
        <v>40816</v>
      </c>
      <c r="BC963" s="5">
        <v>40815</v>
      </c>
      <c r="BD963" s="4">
        <v>1</v>
      </c>
      <c r="BE963" s="5">
        <v>40823</v>
      </c>
      <c r="BF963" s="5">
        <v>40822</v>
      </c>
      <c r="BG963" s="4"/>
      <c r="BH963" s="4"/>
      <c r="BI963" s="4"/>
      <c r="BJ963" s="5">
        <v>40953</v>
      </c>
      <c r="BK963" s="4">
        <v>1</v>
      </c>
      <c r="BL963" s="4"/>
      <c r="BM963" s="4"/>
      <c r="BN963" s="5">
        <v>40953</v>
      </c>
      <c r="BO963" s="5">
        <v>40967</v>
      </c>
      <c r="BP963" s="4"/>
      <c r="BQ963" s="4"/>
      <c r="BR963" s="4"/>
      <c r="BS963" s="4"/>
      <c r="BT963" s="5">
        <v>40939</v>
      </c>
      <c r="BU963" s="5">
        <v>40939</v>
      </c>
      <c r="BV963" s="5">
        <v>40956</v>
      </c>
      <c r="BW963" s="5">
        <v>40963</v>
      </c>
      <c r="BX963" s="5">
        <v>40957</v>
      </c>
      <c r="BY963" s="5">
        <v>40966</v>
      </c>
      <c r="BZ963" s="5">
        <v>40967</v>
      </c>
      <c r="CA963" s="4"/>
      <c r="CB963" s="4"/>
      <c r="CC963" s="4"/>
      <c r="CD963" s="4"/>
      <c r="CE963" s="4"/>
      <c r="CF963" s="4"/>
      <c r="CG963" s="4"/>
      <c r="CH963" s="4"/>
      <c r="CI963" s="5">
        <v>40967</v>
      </c>
      <c r="CJ963" s="5">
        <v>40983</v>
      </c>
      <c r="CK963" s="5">
        <v>40983</v>
      </c>
      <c r="CL963" s="5">
        <v>40977</v>
      </c>
      <c r="CM963" s="5">
        <v>40982</v>
      </c>
      <c r="CN963" s="5">
        <v>41067</v>
      </c>
      <c r="CO963" s="5">
        <v>41200</v>
      </c>
      <c r="CP963" s="4"/>
      <c r="CQ963" s="4"/>
      <c r="CR963" s="5">
        <v>40966</v>
      </c>
      <c r="CS963" s="5">
        <v>40967</v>
      </c>
      <c r="CT963" s="5">
        <v>40967</v>
      </c>
      <c r="CU963" s="5">
        <v>40967</v>
      </c>
      <c r="CV963" s="5">
        <v>40967</v>
      </c>
      <c r="CW963" s="5">
        <v>40967</v>
      </c>
      <c r="CX963" s="5">
        <v>40967</v>
      </c>
      <c r="CY963" s="5">
        <v>40959</v>
      </c>
      <c r="CZ963" s="5">
        <v>40966</v>
      </c>
      <c r="DA963" s="4"/>
      <c r="DB963" s="5">
        <v>40974</v>
      </c>
      <c r="DC963" s="4"/>
      <c r="DD963" s="4"/>
      <c r="DE963" s="4"/>
      <c r="DF963" s="4"/>
      <c r="DG963" s="4"/>
      <c r="DH963" s="4"/>
      <c r="DI963" s="5">
        <v>40957</v>
      </c>
      <c r="DJ963" s="4" t="b">
        <v>0</v>
      </c>
      <c r="DK963" s="4"/>
      <c r="DL963" s="4">
        <v>2846709</v>
      </c>
      <c r="DM963" s="4">
        <v>6182265</v>
      </c>
      <c r="DN963" s="4" t="s">
        <v>2981</v>
      </c>
      <c r="DO963" s="4"/>
      <c r="DP963" s="4" t="s">
        <v>2982</v>
      </c>
      <c r="DQ963" s="4" t="s">
        <v>148</v>
      </c>
      <c r="DR963" s="4"/>
      <c r="DS963" s="4"/>
      <c r="DT963" s="5">
        <v>42150</v>
      </c>
      <c r="DU963" s="4"/>
      <c r="DV963" s="4"/>
      <c r="DW963" s="4"/>
      <c r="DX963" s="4"/>
      <c r="DY963" s="4"/>
      <c r="DZ963" s="4"/>
      <c r="EA963" s="4"/>
      <c r="EB963" s="4"/>
      <c r="EC963" s="4"/>
      <c r="ED963" s="4"/>
      <c r="EE963" s="4"/>
      <c r="EF963" s="4"/>
      <c r="EG963" s="5">
        <v>40970</v>
      </c>
      <c r="EH963" s="5">
        <v>40970</v>
      </c>
      <c r="EI963" s="4"/>
    </row>
    <row r="964" spans="1:139" hidden="1" x14ac:dyDescent="0.2">
      <c r="A964">
        <f>VLOOKUP(B964,Sheet1!$A$1:$B$18,2,FALSE)</f>
        <v>0</v>
      </c>
      <c r="B964" t="str">
        <f>LEFT(D964,3)</f>
        <v>HKB</v>
      </c>
      <c r="C964" s="2">
        <v>963</v>
      </c>
      <c r="D964" s="3" t="str">
        <f>HYPERLINK("https://sitebase.nzcomms.co.nz/spm/spmnominalview/HKB-031-004/","HKB-031-004")</f>
        <v>HKB-031-004</v>
      </c>
      <c r="E964" s="4" t="s">
        <v>2983</v>
      </c>
      <c r="F964" s="3" t="str">
        <f>HYPERLINK("https://sitebase.nzcomms.co.nz/spm/spmcandidateview/HKB-031-004-A/","HKB-031-004-A")</f>
        <v>HKB-031-004-A</v>
      </c>
      <c r="G964" s="4" t="s">
        <v>2984</v>
      </c>
      <c r="H964" s="4" t="s">
        <v>2974</v>
      </c>
      <c r="I964" s="4">
        <v>1</v>
      </c>
      <c r="J964" s="4" t="s">
        <v>1633</v>
      </c>
      <c r="K964" s="4" t="s">
        <v>141</v>
      </c>
      <c r="L964" s="4" t="s">
        <v>142</v>
      </c>
      <c r="M964" s="4" t="s">
        <v>190</v>
      </c>
      <c r="N964" s="4" t="s">
        <v>142</v>
      </c>
      <c r="O964" s="4" t="s">
        <v>144</v>
      </c>
      <c r="P964" s="4" t="s">
        <v>169</v>
      </c>
      <c r="Q964" s="4" t="s">
        <v>142</v>
      </c>
      <c r="R964" s="4">
        <v>22</v>
      </c>
      <c r="S964" s="4">
        <v>25</v>
      </c>
      <c r="T964" s="4">
        <v>1</v>
      </c>
      <c r="U964" s="4">
        <v>-39.50788094</v>
      </c>
      <c r="V964" s="4">
        <v>176.87702708</v>
      </c>
      <c r="W964" s="4"/>
      <c r="X964" s="5">
        <v>40423</v>
      </c>
      <c r="Y964" s="4"/>
      <c r="Z964" s="5">
        <v>40221</v>
      </c>
      <c r="AA964" s="4" t="s">
        <v>171</v>
      </c>
      <c r="AB964" s="3" t="str">
        <f>HYPERLINK("https://sitebase.nzcomms.co.nz/spm/spmcandidateview/HKB-031-015-B/","HKB-031-015-B")</f>
        <v>HKB-031-015-B</v>
      </c>
      <c r="AC964" s="4" t="b">
        <v>0</v>
      </c>
      <c r="AD964" s="4" t="b">
        <v>1</v>
      </c>
      <c r="AE964" s="4"/>
      <c r="AF964" s="4"/>
      <c r="AG964" s="4" t="b">
        <v>0</v>
      </c>
      <c r="AH964" s="4" t="s">
        <v>2952</v>
      </c>
      <c r="AI964" s="5">
        <v>40598</v>
      </c>
      <c r="AJ964" s="5">
        <v>40599</v>
      </c>
      <c r="AK964" s="5">
        <v>40612</v>
      </c>
      <c r="AL964" s="5">
        <v>40609</v>
      </c>
      <c r="AM964" s="5">
        <v>40634</v>
      </c>
      <c r="AN964" s="5">
        <v>40637</v>
      </c>
      <c r="AO964" s="4">
        <v>2</v>
      </c>
      <c r="AP964" s="5">
        <v>40693</v>
      </c>
      <c r="AQ964" s="5">
        <v>40690</v>
      </c>
      <c r="AR964" s="5">
        <v>40744</v>
      </c>
      <c r="AS964" s="5">
        <v>40721</v>
      </c>
      <c r="AT964" s="5">
        <v>40766</v>
      </c>
      <c r="AU964" s="5">
        <v>40763</v>
      </c>
      <c r="AV964" s="4"/>
      <c r="AW964" s="5">
        <v>40787</v>
      </c>
      <c r="AX964" s="5">
        <v>40787</v>
      </c>
      <c r="AY964" s="4" t="s">
        <v>172</v>
      </c>
      <c r="AZ964" s="5">
        <v>40694</v>
      </c>
      <c r="BA964" s="5">
        <v>40641</v>
      </c>
      <c r="BB964" s="5">
        <v>40724</v>
      </c>
      <c r="BC964" s="5">
        <v>40715</v>
      </c>
      <c r="BD964" s="4">
        <v>2</v>
      </c>
      <c r="BE964" s="5">
        <v>40731</v>
      </c>
      <c r="BF964" s="5">
        <v>40736</v>
      </c>
      <c r="BG964" s="4"/>
      <c r="BH964" s="4"/>
      <c r="BI964" s="4"/>
      <c r="BJ964" s="5">
        <v>40963</v>
      </c>
      <c r="BK964" s="4">
        <v>1</v>
      </c>
      <c r="BL964" s="4"/>
      <c r="BM964" s="4"/>
      <c r="BN964" s="5">
        <v>40963</v>
      </c>
      <c r="BO964" s="5">
        <v>40970</v>
      </c>
      <c r="BP964" s="4"/>
      <c r="BQ964" s="4"/>
      <c r="BR964" s="4"/>
      <c r="BS964" s="4"/>
      <c r="BT964" s="5">
        <v>40954</v>
      </c>
      <c r="BU964" s="5">
        <v>40958</v>
      </c>
      <c r="BV964" s="5">
        <v>40963</v>
      </c>
      <c r="BW964" s="5">
        <v>40970</v>
      </c>
      <c r="BX964" s="5">
        <v>40963</v>
      </c>
      <c r="BY964" s="5">
        <v>40970</v>
      </c>
      <c r="BZ964" s="5">
        <v>40977</v>
      </c>
      <c r="CA964" s="4"/>
      <c r="CB964" s="4"/>
      <c r="CC964" s="4"/>
      <c r="CD964" s="4"/>
      <c r="CE964" s="4"/>
      <c r="CF964" s="4"/>
      <c r="CG964" s="4"/>
      <c r="CH964" s="4"/>
      <c r="CI964" s="5">
        <v>40977</v>
      </c>
      <c r="CJ964" s="5">
        <v>40983</v>
      </c>
      <c r="CK964" s="5">
        <v>40983</v>
      </c>
      <c r="CL964" s="5">
        <v>40977</v>
      </c>
      <c r="CM964" s="5">
        <v>40991</v>
      </c>
      <c r="CN964" s="5">
        <v>41081</v>
      </c>
      <c r="CO964" s="5">
        <v>41152</v>
      </c>
      <c r="CP964" s="4" t="s">
        <v>2985</v>
      </c>
      <c r="CQ964" s="4" t="s">
        <v>230</v>
      </c>
      <c r="CR964" s="5">
        <v>40970</v>
      </c>
      <c r="CS964" s="5">
        <v>40932</v>
      </c>
      <c r="CT964" s="5">
        <v>40970</v>
      </c>
      <c r="CU964" s="5">
        <v>40939</v>
      </c>
      <c r="CV964" s="5">
        <v>40970</v>
      </c>
      <c r="CW964" s="5">
        <v>40948</v>
      </c>
      <c r="CX964" s="5">
        <v>40970</v>
      </c>
      <c r="CY964" s="5">
        <v>40966</v>
      </c>
      <c r="CZ964" s="5">
        <v>40969</v>
      </c>
      <c r="DA964" s="4"/>
      <c r="DB964" s="5">
        <v>40983</v>
      </c>
      <c r="DC964" s="4"/>
      <c r="DD964" s="4"/>
      <c r="DE964" s="4"/>
      <c r="DF964" s="4"/>
      <c r="DG964" s="4"/>
      <c r="DH964" s="4"/>
      <c r="DI964" s="5">
        <v>40963</v>
      </c>
      <c r="DJ964" s="4" t="b">
        <v>0</v>
      </c>
      <c r="DK964" s="4"/>
      <c r="DL964" s="4">
        <v>2843318</v>
      </c>
      <c r="DM964" s="4">
        <v>6181304</v>
      </c>
      <c r="DN964" s="4" t="s">
        <v>2986</v>
      </c>
      <c r="DO964" s="4"/>
      <c r="DP964" s="4"/>
      <c r="DQ964" s="4" t="s">
        <v>148</v>
      </c>
      <c r="DR964" s="4"/>
      <c r="DS964" s="4"/>
      <c r="DT964" s="5">
        <v>42150</v>
      </c>
      <c r="DU964" s="4"/>
      <c r="DV964" s="4"/>
      <c r="DW964" s="4"/>
      <c r="DX964" s="4"/>
      <c r="DY964" s="4"/>
      <c r="DZ964" s="4"/>
      <c r="EA964" s="4"/>
      <c r="EB964" s="4"/>
      <c r="EC964" s="4"/>
      <c r="ED964" s="4"/>
      <c r="EE964" s="4"/>
      <c r="EF964" s="4"/>
      <c r="EG964" s="5">
        <v>40983</v>
      </c>
      <c r="EH964" s="5">
        <v>40983</v>
      </c>
      <c r="EI964" s="4"/>
    </row>
    <row r="965" spans="1:139" hidden="1" x14ac:dyDescent="0.2">
      <c r="A965">
        <f>VLOOKUP(B965,Sheet1!$A$1:$B$18,2,FALSE)</f>
        <v>0</v>
      </c>
      <c r="B965" t="str">
        <f>LEFT(D965,3)</f>
        <v>HKB</v>
      </c>
      <c r="C965" s="2">
        <v>964</v>
      </c>
      <c r="D965" s="3" t="str">
        <f>HYPERLINK("https://sitebase.nzcomms.co.nz/spm/spmnominalview/HKB-031-005/","HKB-031-005")</f>
        <v>HKB-031-005</v>
      </c>
      <c r="E965" s="4" t="s">
        <v>2987</v>
      </c>
      <c r="F965" s="3" t="str">
        <f>HYPERLINK("https://sitebase.nzcomms.co.nz/spm/spmcandidateview/HKB-031-005-C/","HKB-031-005-C")</f>
        <v>HKB-031-005-C</v>
      </c>
      <c r="G965" s="4" t="s">
        <v>2988</v>
      </c>
      <c r="H965" s="4" t="s">
        <v>2974</v>
      </c>
      <c r="I965" s="4">
        <v>1</v>
      </c>
      <c r="J965" s="4" t="s">
        <v>1633</v>
      </c>
      <c r="K965" s="4" t="s">
        <v>141</v>
      </c>
      <c r="L965" s="4" t="s">
        <v>189</v>
      </c>
      <c r="M965" s="4" t="s">
        <v>190</v>
      </c>
      <c r="N965" s="4" t="s">
        <v>274</v>
      </c>
      <c r="O965" s="4" t="s">
        <v>144</v>
      </c>
      <c r="P965" s="4" t="s">
        <v>182</v>
      </c>
      <c r="Q965" s="4" t="s">
        <v>192</v>
      </c>
      <c r="R965" s="4">
        <v>13.2</v>
      </c>
      <c r="S965" s="4">
        <v>13.7</v>
      </c>
      <c r="T965" s="4">
        <v>1</v>
      </c>
      <c r="U965" s="4">
        <v>-39.503652459999998</v>
      </c>
      <c r="V965" s="4">
        <v>176.89678361</v>
      </c>
      <c r="W965" s="4"/>
      <c r="X965" s="5">
        <v>40423</v>
      </c>
      <c r="Y965" s="4"/>
      <c r="Z965" s="4"/>
      <c r="AA965" s="4"/>
      <c r="AB965" s="4"/>
      <c r="AC965" s="4" t="b">
        <v>0</v>
      </c>
      <c r="AD965" s="4" t="b">
        <v>1</v>
      </c>
      <c r="AE965" s="4"/>
      <c r="AF965" s="4"/>
      <c r="AG965" s="4" t="b">
        <v>0</v>
      </c>
      <c r="AH965" s="4"/>
      <c r="AI965" s="5">
        <v>40695</v>
      </c>
      <c r="AJ965" s="5">
        <v>40695</v>
      </c>
      <c r="AK965" s="5">
        <v>40702</v>
      </c>
      <c r="AL965" s="5">
        <v>40701</v>
      </c>
      <c r="AM965" s="5">
        <v>40714</v>
      </c>
      <c r="AN965" s="5">
        <v>40715</v>
      </c>
      <c r="AO965" s="4">
        <v>2</v>
      </c>
      <c r="AP965" s="5">
        <v>40714</v>
      </c>
      <c r="AQ965" s="5">
        <v>41978</v>
      </c>
      <c r="AR965" s="5">
        <v>40786</v>
      </c>
      <c r="AS965" s="5">
        <v>40786</v>
      </c>
      <c r="AT965" s="5">
        <v>40816</v>
      </c>
      <c r="AU965" s="5">
        <v>40822</v>
      </c>
      <c r="AV965" s="4"/>
      <c r="AW965" s="5">
        <v>40816</v>
      </c>
      <c r="AX965" s="5">
        <v>40822</v>
      </c>
      <c r="AY965" s="4" t="s">
        <v>193</v>
      </c>
      <c r="AZ965" s="5">
        <v>40774</v>
      </c>
      <c r="BA965" s="5">
        <v>40780</v>
      </c>
      <c r="BB965" s="5">
        <v>40805</v>
      </c>
      <c r="BC965" s="5">
        <v>40794</v>
      </c>
      <c r="BD965" s="4">
        <v>1</v>
      </c>
      <c r="BE965" s="5">
        <v>40809</v>
      </c>
      <c r="BF965" s="5">
        <v>40826</v>
      </c>
      <c r="BG965" s="4"/>
      <c r="BH965" s="4"/>
      <c r="BI965" s="5">
        <v>40882</v>
      </c>
      <c r="BJ965" s="5">
        <v>40882</v>
      </c>
      <c r="BK965" s="4">
        <v>1</v>
      </c>
      <c r="BL965" s="4"/>
      <c r="BM965" s="5">
        <v>40882</v>
      </c>
      <c r="BN965" s="5">
        <v>40882</v>
      </c>
      <c r="BO965" s="5">
        <v>40921</v>
      </c>
      <c r="BP965" s="4"/>
      <c r="BQ965" s="4"/>
      <c r="BR965" s="4"/>
      <c r="BS965" s="4"/>
      <c r="BT965" s="5">
        <v>40889</v>
      </c>
      <c r="BU965" s="5">
        <v>40891</v>
      </c>
      <c r="BV965" s="5">
        <v>40897</v>
      </c>
      <c r="BW965" s="5">
        <v>40897</v>
      </c>
      <c r="BX965" s="5">
        <v>40920</v>
      </c>
      <c r="BY965" s="5">
        <v>40942</v>
      </c>
      <c r="BZ965" s="5">
        <v>40942</v>
      </c>
      <c r="CA965" s="4"/>
      <c r="CB965" s="4"/>
      <c r="CC965" s="4"/>
      <c r="CD965" s="4"/>
      <c r="CE965" s="4"/>
      <c r="CF965" s="4"/>
      <c r="CG965" s="4"/>
      <c r="CH965" s="4"/>
      <c r="CI965" s="5">
        <v>40946</v>
      </c>
      <c r="CJ965" s="5">
        <v>40949</v>
      </c>
      <c r="CK965" s="5">
        <v>40954</v>
      </c>
      <c r="CL965" s="5">
        <v>40959</v>
      </c>
      <c r="CM965" s="5">
        <v>40966</v>
      </c>
      <c r="CN965" s="5">
        <v>41057</v>
      </c>
      <c r="CO965" s="5">
        <v>41152</v>
      </c>
      <c r="CP965" s="4" t="s">
        <v>2989</v>
      </c>
      <c r="CQ965" s="4"/>
      <c r="CR965" s="5">
        <v>40946</v>
      </c>
      <c r="CS965" s="5">
        <v>40921</v>
      </c>
      <c r="CT965" s="5">
        <v>40921</v>
      </c>
      <c r="CU965" s="5">
        <v>40921</v>
      </c>
      <c r="CV965" s="5">
        <v>40921</v>
      </c>
      <c r="CW965" s="5">
        <v>40921</v>
      </c>
      <c r="CX965" s="5">
        <v>40921</v>
      </c>
      <c r="CY965" s="5">
        <v>40942</v>
      </c>
      <c r="CZ965" s="5">
        <v>40942</v>
      </c>
      <c r="DA965" s="4"/>
      <c r="DB965" s="5">
        <v>40954</v>
      </c>
      <c r="DC965" s="4"/>
      <c r="DD965" s="4"/>
      <c r="DE965" s="4"/>
      <c r="DF965" s="4"/>
      <c r="DG965" s="4"/>
      <c r="DH965" s="4"/>
      <c r="DI965" s="5">
        <v>40921</v>
      </c>
      <c r="DJ965" s="4" t="b">
        <v>0</v>
      </c>
      <c r="DK965" s="4"/>
      <c r="DL965" s="4">
        <v>2845036</v>
      </c>
      <c r="DM965" s="4">
        <v>6181699</v>
      </c>
      <c r="DN965" s="4" t="s">
        <v>2990</v>
      </c>
      <c r="DO965" s="4"/>
      <c r="DP965" s="4"/>
      <c r="DQ965" s="4" t="s">
        <v>148</v>
      </c>
      <c r="DR965" s="4"/>
      <c r="DS965" s="4"/>
      <c r="DT965" s="5">
        <v>42150</v>
      </c>
      <c r="DU965" s="4"/>
      <c r="DV965" s="4"/>
      <c r="DW965" s="4"/>
      <c r="DX965" s="4"/>
      <c r="DY965" s="4"/>
      <c r="DZ965" s="4"/>
      <c r="EA965" s="4"/>
      <c r="EB965" s="4"/>
      <c r="EC965" s="4"/>
      <c r="ED965" s="4"/>
      <c r="EE965" s="4"/>
      <c r="EF965" s="4"/>
      <c r="EG965" s="5">
        <v>40953</v>
      </c>
      <c r="EH965" s="5">
        <v>40954</v>
      </c>
      <c r="EI965" s="4"/>
    </row>
    <row r="966" spans="1:139" hidden="1" x14ac:dyDescent="0.2">
      <c r="A966">
        <f>VLOOKUP(B966,Sheet1!$A$1:$B$18,2,FALSE)</f>
        <v>0</v>
      </c>
      <c r="B966" t="str">
        <f>LEFT(D966,3)</f>
        <v>HKB</v>
      </c>
      <c r="C966" s="2">
        <v>965</v>
      </c>
      <c r="D966" s="3" t="str">
        <f>HYPERLINK("https://sitebase.nzcomms.co.nz/spm/spmnominalview/HKB-031-006/","HKB-031-006")</f>
        <v>HKB-031-006</v>
      </c>
      <c r="E966" s="4" t="s">
        <v>2991</v>
      </c>
      <c r="F966" s="3" t="str">
        <f>HYPERLINK("https://sitebase.nzcomms.co.nz/spm/spmcandidateview/HKB-031-006-A/","HKB-031-006-A")</f>
        <v>HKB-031-006-A</v>
      </c>
      <c r="G966" s="4" t="s">
        <v>2992</v>
      </c>
      <c r="H966" s="4" t="s">
        <v>2974</v>
      </c>
      <c r="I966" s="4">
        <v>1</v>
      </c>
      <c r="J966" s="4" t="s">
        <v>1633</v>
      </c>
      <c r="K966" s="4" t="s">
        <v>141</v>
      </c>
      <c r="L966" s="4" t="s">
        <v>150</v>
      </c>
      <c r="M966" s="4" t="s">
        <v>190</v>
      </c>
      <c r="N966" s="4" t="s">
        <v>291</v>
      </c>
      <c r="O966" s="4" t="s">
        <v>144</v>
      </c>
      <c r="P966" s="4" t="s">
        <v>182</v>
      </c>
      <c r="Q966" s="4" t="s">
        <v>192</v>
      </c>
      <c r="R966" s="4">
        <v>19</v>
      </c>
      <c r="S966" s="4">
        <v>20</v>
      </c>
      <c r="T966" s="4">
        <v>1</v>
      </c>
      <c r="U966" s="4">
        <v>-39.51520987</v>
      </c>
      <c r="V966" s="4">
        <v>176.90504806000001</v>
      </c>
      <c r="W966" s="4"/>
      <c r="X966" s="5">
        <v>40423</v>
      </c>
      <c r="Y966" s="4"/>
      <c r="Z966" s="5">
        <v>40221</v>
      </c>
      <c r="AA966" s="4" t="s">
        <v>171</v>
      </c>
      <c r="AB966" s="3" t="str">
        <f>HYPERLINK("https://sitebase.nzcomms.co.nz/spm/spmcandidateview/HKB-031-012-A/","HKB-031-012-A")</f>
        <v>HKB-031-012-A</v>
      </c>
      <c r="AC966" s="4" t="b">
        <v>0</v>
      </c>
      <c r="AD966" s="4" t="b">
        <v>1</v>
      </c>
      <c r="AE966" s="4"/>
      <c r="AF966" s="4"/>
      <c r="AG966" s="4" t="b">
        <v>0</v>
      </c>
      <c r="AH966" s="4" t="s">
        <v>2921</v>
      </c>
      <c r="AI966" s="5">
        <v>40654</v>
      </c>
      <c r="AJ966" s="5">
        <v>40654</v>
      </c>
      <c r="AK966" s="5">
        <v>40665</v>
      </c>
      <c r="AL966" s="5">
        <v>40665</v>
      </c>
      <c r="AM966" s="5">
        <v>40689</v>
      </c>
      <c r="AN966" s="5">
        <v>40690</v>
      </c>
      <c r="AO966" s="4">
        <v>1</v>
      </c>
      <c r="AP966" s="5">
        <v>40689</v>
      </c>
      <c r="AQ966" s="5">
        <v>40690</v>
      </c>
      <c r="AR966" s="5">
        <v>40711</v>
      </c>
      <c r="AS966" s="5">
        <v>40711</v>
      </c>
      <c r="AT966" s="5">
        <v>40718</v>
      </c>
      <c r="AU966" s="5">
        <v>40717</v>
      </c>
      <c r="AV966" s="4">
        <v>1</v>
      </c>
      <c r="AW966" s="5">
        <v>40724</v>
      </c>
      <c r="AX966" s="5">
        <v>40730</v>
      </c>
      <c r="AY966" s="4" t="s">
        <v>172</v>
      </c>
      <c r="AZ966" s="5">
        <v>40714</v>
      </c>
      <c r="BA966" s="5">
        <v>40714</v>
      </c>
      <c r="BB966" s="5">
        <v>40744</v>
      </c>
      <c r="BC966" s="5">
        <v>40731</v>
      </c>
      <c r="BD966" s="4">
        <v>1</v>
      </c>
      <c r="BE966" s="5">
        <v>40751</v>
      </c>
      <c r="BF966" s="5">
        <v>40736</v>
      </c>
      <c r="BG966" s="4"/>
      <c r="BH966" s="4"/>
      <c r="BI966" s="5">
        <v>40786</v>
      </c>
      <c r="BJ966" s="5">
        <v>40899</v>
      </c>
      <c r="BK966" s="4">
        <v>1</v>
      </c>
      <c r="BL966" s="4"/>
      <c r="BM966" s="5">
        <v>40788</v>
      </c>
      <c r="BN966" s="5">
        <v>40899</v>
      </c>
      <c r="BO966" s="5">
        <v>40862</v>
      </c>
      <c r="BP966" s="4"/>
      <c r="BQ966" s="4"/>
      <c r="BR966" s="4"/>
      <c r="BS966" s="4"/>
      <c r="BT966" s="5">
        <v>40814</v>
      </c>
      <c r="BU966" s="5">
        <v>40814</v>
      </c>
      <c r="BV966" s="5">
        <v>40847</v>
      </c>
      <c r="BW966" s="5">
        <v>40849</v>
      </c>
      <c r="BX966" s="5">
        <v>40849</v>
      </c>
      <c r="BY966" s="5">
        <v>40859</v>
      </c>
      <c r="BZ966" s="5">
        <v>40859</v>
      </c>
      <c r="CA966" s="4"/>
      <c r="CB966" s="4"/>
      <c r="CC966" s="4"/>
      <c r="CD966" s="4"/>
      <c r="CE966" s="4"/>
      <c r="CF966" s="4"/>
      <c r="CG966" s="4"/>
      <c r="CH966" s="4"/>
      <c r="CI966" s="5">
        <v>40868</v>
      </c>
      <c r="CJ966" s="5">
        <v>40891</v>
      </c>
      <c r="CK966" s="5">
        <v>40885</v>
      </c>
      <c r="CL966" s="5">
        <v>40887</v>
      </c>
      <c r="CM966" s="5">
        <v>40893</v>
      </c>
      <c r="CN966" s="5">
        <v>40983</v>
      </c>
      <c r="CO966" s="5">
        <v>41152</v>
      </c>
      <c r="CP966" s="4" t="s">
        <v>2993</v>
      </c>
      <c r="CQ966" s="4"/>
      <c r="CR966" s="5">
        <v>40866</v>
      </c>
      <c r="CS966" s="5">
        <v>40784</v>
      </c>
      <c r="CT966" s="5">
        <v>40784</v>
      </c>
      <c r="CU966" s="5">
        <v>40786</v>
      </c>
      <c r="CV966" s="5">
        <v>40862</v>
      </c>
      <c r="CW966" s="5">
        <v>40798</v>
      </c>
      <c r="CX966" s="5">
        <v>40862</v>
      </c>
      <c r="CY966" s="5">
        <v>40858</v>
      </c>
      <c r="CZ966" s="5">
        <v>40859</v>
      </c>
      <c r="DA966" s="4"/>
      <c r="DB966" s="5">
        <v>40868</v>
      </c>
      <c r="DC966" s="4"/>
      <c r="DD966" s="4"/>
      <c r="DE966" s="4"/>
      <c r="DF966" s="4"/>
      <c r="DG966" s="4"/>
      <c r="DH966" s="4"/>
      <c r="DI966" s="5">
        <v>40849</v>
      </c>
      <c r="DJ966" s="4" t="b">
        <v>0</v>
      </c>
      <c r="DK966" s="4"/>
      <c r="DL966" s="4">
        <v>2845690</v>
      </c>
      <c r="DM966" s="4">
        <v>6180386</v>
      </c>
      <c r="DN966" s="4" t="s">
        <v>2994</v>
      </c>
      <c r="DO966" s="4"/>
      <c r="DP966" s="4"/>
      <c r="DQ966" s="4" t="s">
        <v>148</v>
      </c>
      <c r="DR966" s="4"/>
      <c r="DS966" s="4"/>
      <c r="DT966" s="5">
        <v>42150</v>
      </c>
      <c r="DU966" s="4"/>
      <c r="DV966" s="4"/>
      <c r="DW966" s="4"/>
      <c r="DX966" s="4"/>
      <c r="DY966" s="4"/>
      <c r="DZ966" s="4"/>
      <c r="EA966" s="4"/>
      <c r="EB966" s="4"/>
      <c r="EC966" s="4"/>
      <c r="ED966" s="4"/>
      <c r="EE966" s="4"/>
      <c r="EF966" s="4"/>
      <c r="EG966" s="5">
        <v>40879</v>
      </c>
      <c r="EH966" s="5">
        <v>40882</v>
      </c>
      <c r="EI966" s="4"/>
    </row>
    <row r="967" spans="1:139" hidden="1" x14ac:dyDescent="0.2">
      <c r="A967">
        <f>VLOOKUP(B967,Sheet1!$A$1:$B$18,2,FALSE)</f>
        <v>0</v>
      </c>
      <c r="B967" t="str">
        <f>LEFT(D967,3)</f>
        <v>HKB</v>
      </c>
      <c r="C967" s="2">
        <v>966</v>
      </c>
      <c r="D967" s="3" t="str">
        <f>HYPERLINK("https://sitebase.nzcomms.co.nz/spm/spmnominalview/HKB-031-007/","HKB-031-007")</f>
        <v>HKB-031-007</v>
      </c>
      <c r="E967" s="4" t="s">
        <v>2995</v>
      </c>
      <c r="F967" s="4"/>
      <c r="G967" s="4"/>
      <c r="H967" s="4" t="s">
        <v>2974</v>
      </c>
      <c r="I967" s="4"/>
      <c r="J967" s="4" t="s">
        <v>196</v>
      </c>
      <c r="K967" s="4"/>
      <c r="L967" s="4"/>
      <c r="M967" s="4"/>
      <c r="N967" s="4"/>
      <c r="O967" s="4"/>
      <c r="P967" s="4"/>
      <c r="Q967" s="4"/>
      <c r="R967" s="4"/>
      <c r="S967" s="4"/>
      <c r="T967" s="4"/>
      <c r="U967" s="4"/>
      <c r="V967" s="4"/>
      <c r="W967" s="4"/>
      <c r="X967" s="4"/>
      <c r="Y967" s="4"/>
      <c r="Z967" s="4"/>
      <c r="AA967" s="4"/>
      <c r="AB967" s="4"/>
      <c r="AC967" s="4"/>
      <c r="AD967" s="4"/>
      <c r="AE967" s="4"/>
      <c r="AF967" s="4"/>
      <c r="AG967" s="4" t="b">
        <v>0</v>
      </c>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t="s">
        <v>2996</v>
      </c>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row>
    <row r="968" spans="1:139" hidden="1" x14ac:dyDescent="0.2">
      <c r="A968">
        <f>VLOOKUP(B968,Sheet1!$A$1:$B$18,2,FALSE)</f>
        <v>0</v>
      </c>
      <c r="B968" t="str">
        <f>LEFT(D968,3)</f>
        <v>HKB</v>
      </c>
      <c r="C968" s="2">
        <v>967</v>
      </c>
      <c r="D968" s="3" t="str">
        <f>HYPERLINK("https://sitebase.nzcomms.co.nz/spm/spmnominalview/HKB-031-008/","HKB-031-008")</f>
        <v>HKB-031-008</v>
      </c>
      <c r="E968" s="4" t="s">
        <v>2997</v>
      </c>
      <c r="F968" s="4"/>
      <c r="G968" s="4"/>
      <c r="H968" s="4" t="s">
        <v>2974</v>
      </c>
      <c r="I968" s="4"/>
      <c r="J968" s="4" t="s">
        <v>196</v>
      </c>
      <c r="K968" s="4"/>
      <c r="L968" s="4"/>
      <c r="M968" s="4"/>
      <c r="N968" s="4"/>
      <c r="O968" s="4"/>
      <c r="P968" s="4"/>
      <c r="Q968" s="4"/>
      <c r="R968" s="4"/>
      <c r="S968" s="4"/>
      <c r="T968" s="4"/>
      <c r="U968" s="4"/>
      <c r="V968" s="4"/>
      <c r="W968" s="4"/>
      <c r="X968" s="4"/>
      <c r="Y968" s="4"/>
      <c r="Z968" s="4"/>
      <c r="AA968" s="4"/>
      <c r="AB968" s="4"/>
      <c r="AC968" s="4"/>
      <c r="AD968" s="4"/>
      <c r="AE968" s="4"/>
      <c r="AF968" s="4"/>
      <c r="AG968" s="4" t="b">
        <v>0</v>
      </c>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t="s">
        <v>2998</v>
      </c>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row>
    <row r="969" spans="1:139" hidden="1" x14ac:dyDescent="0.2">
      <c r="A969">
        <f>VLOOKUP(B969,Sheet1!$A$1:$B$18,2,FALSE)</f>
        <v>0</v>
      </c>
      <c r="B969" t="str">
        <f>LEFT(D969,3)</f>
        <v>HKB</v>
      </c>
      <c r="C969" s="2">
        <v>968</v>
      </c>
      <c r="D969" s="3" t="str">
        <f>HYPERLINK("https://sitebase.nzcomms.co.nz/spm/spmnominalview/HKB-031-009/","HKB-031-009")</f>
        <v>HKB-031-009</v>
      </c>
      <c r="E969" s="4"/>
      <c r="F969" s="4"/>
      <c r="G969" s="4"/>
      <c r="H969" s="4" t="s">
        <v>2974</v>
      </c>
      <c r="I969" s="4"/>
      <c r="J969" s="4" t="s">
        <v>196</v>
      </c>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row>
    <row r="970" spans="1:139" hidden="1" x14ac:dyDescent="0.2">
      <c r="A970">
        <f>VLOOKUP(B970,Sheet1!$A$1:$B$18,2,FALSE)</f>
        <v>0</v>
      </c>
      <c r="B970" t="str">
        <f>LEFT(D970,3)</f>
        <v>HKB</v>
      </c>
      <c r="C970" s="2">
        <v>969</v>
      </c>
      <c r="D970" s="3" t="str">
        <f>HYPERLINK("https://sitebase.nzcomms.co.nz/spm/spmnominalview/HKB-031-010/","HKB-031-010")</f>
        <v>HKB-031-010</v>
      </c>
      <c r="E970" s="4" t="s">
        <v>2999</v>
      </c>
      <c r="F970" s="3" t="str">
        <f>HYPERLINK("https://sitebase.nzcomms.co.nz/spm/spmcandidateview/HKB-031-010-A/","HKB-031-010-A")</f>
        <v>HKB-031-010-A</v>
      </c>
      <c r="G970" s="4" t="s">
        <v>3000</v>
      </c>
      <c r="H970" s="4" t="s">
        <v>2974</v>
      </c>
      <c r="I970" s="4">
        <v>1</v>
      </c>
      <c r="J970" s="4" t="s">
        <v>1633</v>
      </c>
      <c r="K970" s="4" t="s">
        <v>141</v>
      </c>
      <c r="L970" s="4" t="s">
        <v>142</v>
      </c>
      <c r="M970" s="4" t="s">
        <v>190</v>
      </c>
      <c r="N970" s="4" t="s">
        <v>142</v>
      </c>
      <c r="O970" s="4" t="s">
        <v>144</v>
      </c>
      <c r="P970" s="4" t="s">
        <v>169</v>
      </c>
      <c r="Q970" s="4" t="s">
        <v>142</v>
      </c>
      <c r="R970" s="4">
        <v>23.7</v>
      </c>
      <c r="S970" s="4">
        <v>24.2</v>
      </c>
      <c r="T970" s="4">
        <v>1</v>
      </c>
      <c r="U970" s="4">
        <v>-39.525692399999997</v>
      </c>
      <c r="V970" s="4">
        <v>176.86345201</v>
      </c>
      <c r="W970" s="4"/>
      <c r="X970" s="5">
        <v>40423</v>
      </c>
      <c r="Y970" s="4"/>
      <c r="Z970" s="5">
        <v>40221</v>
      </c>
      <c r="AA970" s="4" t="s">
        <v>171</v>
      </c>
      <c r="AB970" s="3" t="str">
        <f>HYPERLINK("https://sitebase.nzcomms.co.nz/spm/spmcandidateview/HKB-031-014-A/","HKB-031-014-A")</f>
        <v>HKB-031-014-A</v>
      </c>
      <c r="AC970" s="4" t="b">
        <v>0</v>
      </c>
      <c r="AD970" s="4" t="b">
        <v>1</v>
      </c>
      <c r="AE970" s="4"/>
      <c r="AF970" s="4"/>
      <c r="AG970" s="4" t="b">
        <v>0</v>
      </c>
      <c r="AH970" s="4" t="s">
        <v>3001</v>
      </c>
      <c r="AI970" s="5">
        <v>40598</v>
      </c>
      <c r="AJ970" s="5">
        <v>40599</v>
      </c>
      <c r="AK970" s="5">
        <v>40605</v>
      </c>
      <c r="AL970" s="5">
        <v>40603</v>
      </c>
      <c r="AM970" s="5">
        <v>40619</v>
      </c>
      <c r="AN970" s="5">
        <v>40618</v>
      </c>
      <c r="AO970" s="4">
        <v>1</v>
      </c>
      <c r="AP970" s="5">
        <v>40619</v>
      </c>
      <c r="AQ970" s="5">
        <v>40618</v>
      </c>
      <c r="AR970" s="5">
        <v>40724</v>
      </c>
      <c r="AS970" s="5">
        <v>40711</v>
      </c>
      <c r="AT970" s="5">
        <v>40770</v>
      </c>
      <c r="AU970" s="5">
        <v>40751</v>
      </c>
      <c r="AV970" s="4">
        <v>1</v>
      </c>
      <c r="AW970" s="5">
        <v>40787</v>
      </c>
      <c r="AX970" s="5">
        <v>40759</v>
      </c>
      <c r="AY970" s="4" t="s">
        <v>172</v>
      </c>
      <c r="AZ970" s="5">
        <v>40626</v>
      </c>
      <c r="BA970" s="5">
        <v>40618</v>
      </c>
      <c r="BB970" s="5">
        <v>40669</v>
      </c>
      <c r="BC970" s="5">
        <v>40632</v>
      </c>
      <c r="BD970" s="4">
        <v>1</v>
      </c>
      <c r="BE970" s="4"/>
      <c r="BF970" s="5">
        <v>40644</v>
      </c>
      <c r="BG970" s="4"/>
      <c r="BH970" s="4"/>
      <c r="BI970" s="5">
        <v>40774</v>
      </c>
      <c r="BJ970" s="5">
        <v>40794</v>
      </c>
      <c r="BK970" s="4">
        <v>2</v>
      </c>
      <c r="BL970" s="4"/>
      <c r="BM970" s="5">
        <v>40785</v>
      </c>
      <c r="BN970" s="5">
        <v>41198</v>
      </c>
      <c r="BO970" s="5">
        <v>40862</v>
      </c>
      <c r="BP970" s="4"/>
      <c r="BQ970" s="4"/>
      <c r="BR970" s="4"/>
      <c r="BS970" s="4"/>
      <c r="BT970" s="5">
        <v>40817</v>
      </c>
      <c r="BU970" s="5">
        <v>40817</v>
      </c>
      <c r="BV970" s="5">
        <v>40859</v>
      </c>
      <c r="BW970" s="5">
        <v>40861</v>
      </c>
      <c r="BX970" s="5">
        <v>40856</v>
      </c>
      <c r="BY970" s="5">
        <v>40860</v>
      </c>
      <c r="BZ970" s="5">
        <v>40861</v>
      </c>
      <c r="CA970" s="4"/>
      <c r="CB970" s="4"/>
      <c r="CC970" s="4"/>
      <c r="CD970" s="4"/>
      <c r="CE970" s="4"/>
      <c r="CF970" s="4"/>
      <c r="CG970" s="4"/>
      <c r="CH970" s="4"/>
      <c r="CI970" s="5">
        <v>40876</v>
      </c>
      <c r="CJ970" s="5">
        <v>40891</v>
      </c>
      <c r="CK970" s="5">
        <v>40885</v>
      </c>
      <c r="CL970" s="5">
        <v>40882</v>
      </c>
      <c r="CM970" s="5">
        <v>40893</v>
      </c>
      <c r="CN970" s="5">
        <v>40983</v>
      </c>
      <c r="CO970" s="5">
        <v>41212</v>
      </c>
      <c r="CP970" s="4" t="s">
        <v>3002</v>
      </c>
      <c r="CQ970" s="4" t="s">
        <v>230</v>
      </c>
      <c r="CR970" s="5">
        <v>40876</v>
      </c>
      <c r="CS970" s="5">
        <v>40784</v>
      </c>
      <c r="CT970" s="5">
        <v>40784</v>
      </c>
      <c r="CU970" s="5">
        <v>40816</v>
      </c>
      <c r="CV970" s="5">
        <v>40862</v>
      </c>
      <c r="CW970" s="5">
        <v>40798</v>
      </c>
      <c r="CX970" s="5">
        <v>40862</v>
      </c>
      <c r="CY970" s="5">
        <v>40858</v>
      </c>
      <c r="CZ970" s="5">
        <v>40861</v>
      </c>
      <c r="DA970" s="4"/>
      <c r="DB970" s="5">
        <v>40878</v>
      </c>
      <c r="DC970" s="4"/>
      <c r="DD970" s="4"/>
      <c r="DE970" s="4"/>
      <c r="DF970" s="4"/>
      <c r="DG970" s="4"/>
      <c r="DH970" s="4"/>
      <c r="DI970" s="5">
        <v>40856</v>
      </c>
      <c r="DJ970" s="4" t="b">
        <v>0</v>
      </c>
      <c r="DK970" s="4"/>
      <c r="DL970" s="4">
        <v>2842066</v>
      </c>
      <c r="DM970" s="4">
        <v>6179379</v>
      </c>
      <c r="DN970" s="4" t="s">
        <v>3003</v>
      </c>
      <c r="DO970" s="4"/>
      <c r="DP970" s="4"/>
      <c r="DQ970" s="4" t="s">
        <v>148</v>
      </c>
      <c r="DR970" s="4"/>
      <c r="DS970" s="4"/>
      <c r="DT970" s="5">
        <v>42150</v>
      </c>
      <c r="DU970" s="4"/>
      <c r="DV970" s="4"/>
      <c r="DW970" s="4"/>
      <c r="DX970" s="4"/>
      <c r="DY970" s="4"/>
      <c r="DZ970" s="4"/>
      <c r="EA970" s="4"/>
      <c r="EB970" s="4"/>
      <c r="EC970" s="4"/>
      <c r="ED970" s="4"/>
      <c r="EE970" s="4"/>
      <c r="EF970" s="4"/>
      <c r="EG970" s="5">
        <v>40883</v>
      </c>
      <c r="EH970" s="5">
        <v>40883</v>
      </c>
      <c r="EI970" s="4"/>
    </row>
    <row r="971" spans="1:139" hidden="1" x14ac:dyDescent="0.2">
      <c r="A971">
        <f>VLOOKUP(B971,Sheet1!$A$1:$B$18,2,FALSE)</f>
        <v>0</v>
      </c>
      <c r="B971" t="str">
        <f>LEFT(D971,3)</f>
        <v>HKB</v>
      </c>
      <c r="C971" s="2">
        <v>970</v>
      </c>
      <c r="D971" s="3" t="str">
        <f>HYPERLINK("https://sitebase.nzcomms.co.nz/spm/spmnominalview/HKB-031-011/","HKB-031-011")</f>
        <v>HKB-031-011</v>
      </c>
      <c r="E971" s="4" t="s">
        <v>3004</v>
      </c>
      <c r="F971" s="3" t="str">
        <f>HYPERLINK("https://sitebase.nzcomms.co.nz/spm/spmcandidateview/HKB-031-011-A/","HKB-031-011-A")</f>
        <v>HKB-031-011-A</v>
      </c>
      <c r="G971" s="4" t="s">
        <v>3005</v>
      </c>
      <c r="H971" s="4" t="s">
        <v>2974</v>
      </c>
      <c r="I971" s="4">
        <v>1</v>
      </c>
      <c r="J971" s="4" t="s">
        <v>1633</v>
      </c>
      <c r="K971" s="4" t="s">
        <v>141</v>
      </c>
      <c r="L971" s="4" t="s">
        <v>150</v>
      </c>
      <c r="M971" s="4" t="s">
        <v>190</v>
      </c>
      <c r="N971" s="4" t="s">
        <v>291</v>
      </c>
      <c r="O971" s="4" t="s">
        <v>144</v>
      </c>
      <c r="P971" s="4" t="s">
        <v>169</v>
      </c>
      <c r="Q971" s="4" t="s">
        <v>192</v>
      </c>
      <c r="R971" s="4">
        <v>19.5</v>
      </c>
      <c r="S971" s="4">
        <v>20</v>
      </c>
      <c r="T971" s="4">
        <v>3</v>
      </c>
      <c r="U971" s="4">
        <v>-39.536821949999997</v>
      </c>
      <c r="V971" s="4">
        <v>176.84851952</v>
      </c>
      <c r="W971" s="4"/>
      <c r="X971" s="5">
        <v>40423</v>
      </c>
      <c r="Y971" s="4"/>
      <c r="Z971" s="5">
        <v>40221</v>
      </c>
      <c r="AA971" s="4" t="s">
        <v>145</v>
      </c>
      <c r="AB971" s="3" t="str">
        <f>HYPERLINK("https://sitebase.nzcomms.co.nz/spm/spmcandidateview/HKB-031-001-A/","HKB-031-001-A")</f>
        <v>HKB-031-001-A</v>
      </c>
      <c r="AC971" s="4" t="b">
        <v>0</v>
      </c>
      <c r="AD971" s="4" t="b">
        <v>1</v>
      </c>
      <c r="AE971" s="4"/>
      <c r="AF971" s="4"/>
      <c r="AG971" s="4" t="b">
        <v>0</v>
      </c>
      <c r="AH971" s="4"/>
      <c r="AI971" s="5">
        <v>40654</v>
      </c>
      <c r="AJ971" s="5">
        <v>40654</v>
      </c>
      <c r="AK971" s="5">
        <v>40665</v>
      </c>
      <c r="AL971" s="5">
        <v>40665</v>
      </c>
      <c r="AM971" s="5">
        <v>40689</v>
      </c>
      <c r="AN971" s="5">
        <v>40690</v>
      </c>
      <c r="AO971" s="4">
        <v>1</v>
      </c>
      <c r="AP971" s="5">
        <v>40689</v>
      </c>
      <c r="AQ971" s="5">
        <v>40690</v>
      </c>
      <c r="AR971" s="5">
        <v>40704</v>
      </c>
      <c r="AS971" s="5">
        <v>40696</v>
      </c>
      <c r="AT971" s="5">
        <v>40724</v>
      </c>
      <c r="AU971" s="5">
        <v>40725</v>
      </c>
      <c r="AV971" s="4">
        <v>1</v>
      </c>
      <c r="AW971" s="5">
        <v>40739</v>
      </c>
      <c r="AX971" s="5">
        <v>40737</v>
      </c>
      <c r="AY971" s="4" t="s">
        <v>172</v>
      </c>
      <c r="AZ971" s="5">
        <v>40704</v>
      </c>
      <c r="BA971" s="5">
        <v>40707</v>
      </c>
      <c r="BB971" s="5">
        <v>40735</v>
      </c>
      <c r="BC971" s="5">
        <v>40724</v>
      </c>
      <c r="BD971" s="4">
        <v>1</v>
      </c>
      <c r="BE971" s="5">
        <v>40742</v>
      </c>
      <c r="BF971" s="5">
        <v>40730</v>
      </c>
      <c r="BG971" s="4"/>
      <c r="BH971" s="4"/>
      <c r="BI971" s="5">
        <v>40781</v>
      </c>
      <c r="BJ971" s="5">
        <v>40781</v>
      </c>
      <c r="BK971" s="4">
        <v>1</v>
      </c>
      <c r="BL971" s="4"/>
      <c r="BM971" s="5">
        <v>40781</v>
      </c>
      <c r="BN971" s="5">
        <v>40781</v>
      </c>
      <c r="BO971" s="5">
        <v>40862</v>
      </c>
      <c r="BP971" s="4"/>
      <c r="BQ971" s="4"/>
      <c r="BR971" s="4"/>
      <c r="BS971" s="4"/>
      <c r="BT971" s="5">
        <v>40834</v>
      </c>
      <c r="BU971" s="5">
        <v>40835</v>
      </c>
      <c r="BV971" s="5">
        <v>40859</v>
      </c>
      <c r="BW971" s="5">
        <v>40862</v>
      </c>
      <c r="BX971" s="5">
        <v>40858</v>
      </c>
      <c r="BY971" s="5">
        <v>40864</v>
      </c>
      <c r="BZ971" s="5">
        <v>40865</v>
      </c>
      <c r="CA971" s="4"/>
      <c r="CB971" s="4"/>
      <c r="CC971" s="4"/>
      <c r="CD971" s="4"/>
      <c r="CE971" s="4"/>
      <c r="CF971" s="4"/>
      <c r="CG971" s="4"/>
      <c r="CH971" s="4"/>
      <c r="CI971" s="5">
        <v>40892</v>
      </c>
      <c r="CJ971" s="5">
        <v>40899</v>
      </c>
      <c r="CK971" s="5">
        <v>40893</v>
      </c>
      <c r="CL971" s="5">
        <v>40931</v>
      </c>
      <c r="CM971" s="5">
        <v>40928</v>
      </c>
      <c r="CN971" s="5">
        <v>41018</v>
      </c>
      <c r="CO971" s="5">
        <v>41095</v>
      </c>
      <c r="CP971" s="4" t="s">
        <v>3006</v>
      </c>
      <c r="CQ971" s="4"/>
      <c r="CR971" s="5">
        <v>40893</v>
      </c>
      <c r="CS971" s="5">
        <v>40784</v>
      </c>
      <c r="CT971" s="5">
        <v>40784</v>
      </c>
      <c r="CU971" s="5">
        <v>40786</v>
      </c>
      <c r="CV971" s="5">
        <v>40862</v>
      </c>
      <c r="CW971" s="5">
        <v>40800</v>
      </c>
      <c r="CX971" s="5">
        <v>40862</v>
      </c>
      <c r="CY971" s="5">
        <v>40858</v>
      </c>
      <c r="CZ971" s="5">
        <v>40858</v>
      </c>
      <c r="DA971" s="4"/>
      <c r="DB971" s="5">
        <v>40893</v>
      </c>
      <c r="DC971" s="4"/>
      <c r="DD971" s="4"/>
      <c r="DE971" s="4"/>
      <c r="DF971" s="4"/>
      <c r="DG971" s="4"/>
      <c r="DH971" s="4"/>
      <c r="DI971" s="5">
        <v>40857</v>
      </c>
      <c r="DJ971" s="4" t="b">
        <v>0</v>
      </c>
      <c r="DK971" s="4"/>
      <c r="DL971" s="4">
        <v>2840730</v>
      </c>
      <c r="DM971" s="4">
        <v>6178200</v>
      </c>
      <c r="DN971" s="4" t="s">
        <v>3007</v>
      </c>
      <c r="DO971" s="4"/>
      <c r="DP971" s="4" t="s">
        <v>3008</v>
      </c>
      <c r="DQ971" s="4" t="s">
        <v>148</v>
      </c>
      <c r="DR971" s="4"/>
      <c r="DS971" s="4"/>
      <c r="DT971" s="5">
        <v>42150</v>
      </c>
      <c r="DU971" s="4"/>
      <c r="DV971" s="4"/>
      <c r="DW971" s="4"/>
      <c r="DX971" s="4"/>
      <c r="DY971" s="4"/>
      <c r="DZ971" s="4"/>
      <c r="EA971" s="4"/>
      <c r="EB971" s="4"/>
      <c r="EC971" s="4"/>
      <c r="ED971" s="4"/>
      <c r="EE971" s="4"/>
      <c r="EF971" s="4"/>
      <c r="EG971" s="5">
        <v>40900</v>
      </c>
      <c r="EH971" s="5">
        <v>40900</v>
      </c>
      <c r="EI971" s="4"/>
    </row>
    <row r="972" spans="1:139" hidden="1" x14ac:dyDescent="0.2">
      <c r="A972">
        <f>VLOOKUP(B972,Sheet1!$A$1:$B$18,2,FALSE)</f>
        <v>0</v>
      </c>
      <c r="B972" t="str">
        <f>LEFT(D972,3)</f>
        <v>HKB</v>
      </c>
      <c r="C972" s="2">
        <v>971</v>
      </c>
      <c r="D972" s="3" t="str">
        <f>HYPERLINK("https://sitebase.nzcomms.co.nz/spm/spmnominalview/HKB-031-012/","HKB-031-012")</f>
        <v>HKB-031-012</v>
      </c>
      <c r="E972" s="4" t="s">
        <v>3009</v>
      </c>
      <c r="F972" s="3" t="str">
        <f>HYPERLINK("https://sitebase.nzcomms.co.nz/spm/spmcandidateview/HKB-031-012-A/","HKB-031-012-A")</f>
        <v>HKB-031-012-A</v>
      </c>
      <c r="G972" s="4" t="s">
        <v>3010</v>
      </c>
      <c r="H972" s="4" t="s">
        <v>2974</v>
      </c>
      <c r="I972" s="4">
        <v>1</v>
      </c>
      <c r="J972" s="4" t="s">
        <v>1633</v>
      </c>
      <c r="K972" s="4" t="s">
        <v>141</v>
      </c>
      <c r="L972" s="4" t="s">
        <v>142</v>
      </c>
      <c r="M972" s="4" t="s">
        <v>190</v>
      </c>
      <c r="N972" s="4" t="s">
        <v>142</v>
      </c>
      <c r="O972" s="4" t="s">
        <v>144</v>
      </c>
      <c r="P972" s="4" t="s">
        <v>169</v>
      </c>
      <c r="Q972" s="4" t="s">
        <v>142</v>
      </c>
      <c r="R972" s="4">
        <v>21.2</v>
      </c>
      <c r="S972" s="4">
        <v>24</v>
      </c>
      <c r="T972" s="4">
        <v>1</v>
      </c>
      <c r="U972" s="4">
        <v>-39.541843839999999</v>
      </c>
      <c r="V972" s="4">
        <v>176.82525537000001</v>
      </c>
      <c r="W972" s="4"/>
      <c r="X972" s="5">
        <v>40423</v>
      </c>
      <c r="Y972" s="4"/>
      <c r="Z972" s="5">
        <v>40221</v>
      </c>
      <c r="AA972" s="4" t="s">
        <v>171</v>
      </c>
      <c r="AB972" s="3" t="str">
        <f>HYPERLINK("https://sitebase.nzcomms.co.nz/spm/spmcandidateview/HKB-030-022-B/","HKB-030-022-B")</f>
        <v>HKB-030-022-B</v>
      </c>
      <c r="AC972" s="4" t="b">
        <v>0</v>
      </c>
      <c r="AD972" s="4" t="b">
        <v>1</v>
      </c>
      <c r="AE972" s="4"/>
      <c r="AF972" s="4"/>
      <c r="AG972" s="4" t="b">
        <v>0</v>
      </c>
      <c r="AH972" s="4" t="s">
        <v>2952</v>
      </c>
      <c r="AI972" s="5">
        <v>40598</v>
      </c>
      <c r="AJ972" s="5">
        <v>40599</v>
      </c>
      <c r="AK972" s="5">
        <v>40612</v>
      </c>
      <c r="AL972" s="5">
        <v>40611</v>
      </c>
      <c r="AM972" s="5">
        <v>40651</v>
      </c>
      <c r="AN972" s="5">
        <v>40649</v>
      </c>
      <c r="AO972" s="4">
        <v>2</v>
      </c>
      <c r="AP972" s="5">
        <v>40688</v>
      </c>
      <c r="AQ972" s="5">
        <v>40688</v>
      </c>
      <c r="AR972" s="5">
        <v>40724</v>
      </c>
      <c r="AS972" s="5">
        <v>40714</v>
      </c>
      <c r="AT972" s="5">
        <v>40730</v>
      </c>
      <c r="AU972" s="5">
        <v>40737</v>
      </c>
      <c r="AV972" s="4"/>
      <c r="AW972" s="5">
        <v>40753</v>
      </c>
      <c r="AX972" s="5">
        <v>40751</v>
      </c>
      <c r="AY972" s="4" t="s">
        <v>247</v>
      </c>
      <c r="AZ972" s="5">
        <v>40697</v>
      </c>
      <c r="BA972" s="5">
        <v>40702</v>
      </c>
      <c r="BB972" s="5">
        <v>40732</v>
      </c>
      <c r="BC972" s="5">
        <v>40730</v>
      </c>
      <c r="BD972" s="4">
        <v>2</v>
      </c>
      <c r="BE972" s="5">
        <v>40739</v>
      </c>
      <c r="BF972" s="5">
        <v>40736</v>
      </c>
      <c r="BG972" s="4"/>
      <c r="BH972" s="4"/>
      <c r="BI972" s="5">
        <v>40815</v>
      </c>
      <c r="BJ972" s="5">
        <v>40815</v>
      </c>
      <c r="BK972" s="4">
        <v>1</v>
      </c>
      <c r="BL972" s="4"/>
      <c r="BM972" s="5">
        <v>40815</v>
      </c>
      <c r="BN972" s="5">
        <v>40815</v>
      </c>
      <c r="BO972" s="5">
        <v>40862</v>
      </c>
      <c r="BP972" s="4"/>
      <c r="BQ972" s="4"/>
      <c r="BR972" s="4"/>
      <c r="BS972" s="4"/>
      <c r="BT972" s="5">
        <v>40854</v>
      </c>
      <c r="BU972" s="5">
        <v>40854</v>
      </c>
      <c r="BV972" s="5">
        <v>40879</v>
      </c>
      <c r="BW972" s="5">
        <v>40879</v>
      </c>
      <c r="BX972" s="5">
        <v>40858</v>
      </c>
      <c r="BY972" s="5">
        <v>40880</v>
      </c>
      <c r="BZ972" s="5">
        <v>40880</v>
      </c>
      <c r="CA972" s="4"/>
      <c r="CB972" s="4"/>
      <c r="CC972" s="4"/>
      <c r="CD972" s="4"/>
      <c r="CE972" s="4"/>
      <c r="CF972" s="4"/>
      <c r="CG972" s="4"/>
      <c r="CH972" s="4"/>
      <c r="CI972" s="5">
        <v>40893</v>
      </c>
      <c r="CJ972" s="5">
        <v>40891</v>
      </c>
      <c r="CK972" s="5">
        <v>40885</v>
      </c>
      <c r="CL972" s="5">
        <v>40931</v>
      </c>
      <c r="CM972" s="5">
        <v>40928</v>
      </c>
      <c r="CN972" s="5">
        <v>41411</v>
      </c>
      <c r="CO972" s="5">
        <v>41394</v>
      </c>
      <c r="CP972" s="4" t="s">
        <v>3011</v>
      </c>
      <c r="CQ972" s="4" t="s">
        <v>230</v>
      </c>
      <c r="CR972" s="5">
        <v>40893</v>
      </c>
      <c r="CS972" s="5">
        <v>40862</v>
      </c>
      <c r="CT972" s="5">
        <v>40862</v>
      </c>
      <c r="CU972" s="5">
        <v>40862</v>
      </c>
      <c r="CV972" s="5">
        <v>40862</v>
      </c>
      <c r="CW972" s="5">
        <v>40862</v>
      </c>
      <c r="CX972" s="5">
        <v>40862</v>
      </c>
      <c r="CY972" s="5">
        <v>40858</v>
      </c>
      <c r="CZ972" s="5">
        <v>40859</v>
      </c>
      <c r="DA972" s="4"/>
      <c r="DB972" s="5">
        <v>40917</v>
      </c>
      <c r="DC972" s="4"/>
      <c r="DD972" s="4"/>
      <c r="DE972" s="4"/>
      <c r="DF972" s="4"/>
      <c r="DG972" s="4"/>
      <c r="DH972" s="4"/>
      <c r="DI972" s="5">
        <v>40858</v>
      </c>
      <c r="DJ972" s="4" t="b">
        <v>0</v>
      </c>
      <c r="DK972" s="4"/>
      <c r="DL972" s="4">
        <v>2838708</v>
      </c>
      <c r="DM972" s="4">
        <v>6177729</v>
      </c>
      <c r="DN972" s="4" t="s">
        <v>3012</v>
      </c>
      <c r="DO972" s="4"/>
      <c r="DP972" s="4"/>
      <c r="DQ972" s="4" t="s">
        <v>148</v>
      </c>
      <c r="DR972" s="4"/>
      <c r="DS972" s="4"/>
      <c r="DT972" s="5">
        <v>42150</v>
      </c>
      <c r="DU972" s="4"/>
      <c r="DV972" s="4"/>
      <c r="DW972" s="4"/>
      <c r="DX972" s="4"/>
      <c r="DY972" s="4"/>
      <c r="DZ972" s="4"/>
      <c r="EA972" s="4"/>
      <c r="EB972" s="4"/>
      <c r="EC972" s="4"/>
      <c r="ED972" s="4"/>
      <c r="EE972" s="4"/>
      <c r="EF972" s="4"/>
      <c r="EG972" s="5">
        <v>40900</v>
      </c>
      <c r="EH972" s="5">
        <v>40900</v>
      </c>
      <c r="EI972" s="4"/>
    </row>
    <row r="973" spans="1:139" hidden="1" x14ac:dyDescent="0.2">
      <c r="A973">
        <f>VLOOKUP(B973,Sheet1!$A$1:$B$18,2,FALSE)</f>
        <v>0</v>
      </c>
      <c r="B973" t="str">
        <f>LEFT(D973,3)</f>
        <v>HKB</v>
      </c>
      <c r="C973" s="2">
        <v>972</v>
      </c>
      <c r="D973" s="3" t="str">
        <f>HYPERLINK("https://sitebase.nzcomms.co.nz/spm/spmnominalview/HKB-031-013/","HKB-031-013")</f>
        <v>HKB-031-013</v>
      </c>
      <c r="E973" s="4" t="s">
        <v>487</v>
      </c>
      <c r="F973" s="3" t="str">
        <f>HYPERLINK("https://sitebase.nzcomms.co.nz/spm/spmcandidateview/HKB-031-013-A/","HKB-031-013-A")</f>
        <v>HKB-031-013-A</v>
      </c>
      <c r="G973" s="4" t="s">
        <v>3013</v>
      </c>
      <c r="H973" s="4" t="s">
        <v>2974</v>
      </c>
      <c r="I973" s="4">
        <v>1</v>
      </c>
      <c r="J973" s="4" t="s">
        <v>1633</v>
      </c>
      <c r="K973" s="4" t="s">
        <v>141</v>
      </c>
      <c r="L973" s="4" t="s">
        <v>142</v>
      </c>
      <c r="M973" s="4" t="s">
        <v>190</v>
      </c>
      <c r="N973" s="4" t="s">
        <v>142</v>
      </c>
      <c r="O973" s="4" t="s">
        <v>144</v>
      </c>
      <c r="P973" s="4" t="s">
        <v>169</v>
      </c>
      <c r="Q973" s="4" t="s">
        <v>142</v>
      </c>
      <c r="R973" s="4">
        <v>25</v>
      </c>
      <c r="S973" s="4">
        <v>26</v>
      </c>
      <c r="T973" s="4">
        <v>1</v>
      </c>
      <c r="U973" s="4">
        <v>-39.42963408</v>
      </c>
      <c r="V973" s="4">
        <v>176.86897909999999</v>
      </c>
      <c r="W973" s="4"/>
      <c r="X973" s="4"/>
      <c r="Y973" s="4"/>
      <c r="Z973" s="4"/>
      <c r="AA973" s="4" t="s">
        <v>171</v>
      </c>
      <c r="AB973" s="3" t="str">
        <f>HYPERLINK("https://sitebase.nzcomms.co.nz/spm/spmcandidateview/HKB-031-015-B/","HKB-031-015-B")</f>
        <v>HKB-031-015-B</v>
      </c>
      <c r="AC973" s="4" t="b">
        <v>0</v>
      </c>
      <c r="AD973" s="4" t="b">
        <v>1</v>
      </c>
      <c r="AE973" s="4"/>
      <c r="AF973" s="4"/>
      <c r="AG973" s="4" t="b">
        <v>0</v>
      </c>
      <c r="AH973" s="4" t="s">
        <v>2952</v>
      </c>
      <c r="AI973" s="5">
        <v>40618</v>
      </c>
      <c r="AJ973" s="5">
        <v>40599</v>
      </c>
      <c r="AK973" s="5">
        <v>40625</v>
      </c>
      <c r="AL973" s="5">
        <v>40603</v>
      </c>
      <c r="AM973" s="5">
        <v>40639</v>
      </c>
      <c r="AN973" s="5">
        <v>40631</v>
      </c>
      <c r="AO973" s="4">
        <v>1</v>
      </c>
      <c r="AP973" s="5">
        <v>40639</v>
      </c>
      <c r="AQ973" s="5">
        <v>40631</v>
      </c>
      <c r="AR973" s="5">
        <v>40753</v>
      </c>
      <c r="AS973" s="5">
        <v>40749</v>
      </c>
      <c r="AT973" s="5">
        <v>40770</v>
      </c>
      <c r="AU973" s="5">
        <v>40784</v>
      </c>
      <c r="AV973" s="4">
        <v>1</v>
      </c>
      <c r="AW973" s="5">
        <v>40786</v>
      </c>
      <c r="AX973" s="5">
        <v>40801</v>
      </c>
      <c r="AY973" s="4" t="s">
        <v>247</v>
      </c>
      <c r="AZ973" s="5">
        <v>40714</v>
      </c>
      <c r="BA973" s="5">
        <v>40715</v>
      </c>
      <c r="BB973" s="5">
        <v>40757</v>
      </c>
      <c r="BC973" s="5">
        <v>40743</v>
      </c>
      <c r="BD973" s="4">
        <v>1</v>
      </c>
      <c r="BE973" s="5">
        <v>40764</v>
      </c>
      <c r="BF973" s="5">
        <v>40743</v>
      </c>
      <c r="BG973" s="4"/>
      <c r="BH973" s="4"/>
      <c r="BI973" s="5">
        <v>40977</v>
      </c>
      <c r="BJ973" s="5">
        <v>40969</v>
      </c>
      <c r="BK973" s="4">
        <v>2</v>
      </c>
      <c r="BL973" s="4"/>
      <c r="BM973" s="5">
        <v>40977</v>
      </c>
      <c r="BN973" s="5">
        <v>40969</v>
      </c>
      <c r="BO973" s="5">
        <v>40970</v>
      </c>
      <c r="BP973" s="4"/>
      <c r="BQ973" s="4"/>
      <c r="BR973" s="4"/>
      <c r="BS973" s="4"/>
      <c r="BT973" s="5">
        <v>40966</v>
      </c>
      <c r="BU973" s="5">
        <v>40955</v>
      </c>
      <c r="BV973" s="5">
        <v>40970</v>
      </c>
      <c r="BW973" s="5">
        <v>40970</v>
      </c>
      <c r="BX973" s="5">
        <v>40959</v>
      </c>
      <c r="BY973" s="5">
        <v>40974</v>
      </c>
      <c r="BZ973" s="5">
        <v>40977</v>
      </c>
      <c r="CA973" s="4"/>
      <c r="CB973" s="4"/>
      <c r="CC973" s="4"/>
      <c r="CD973" s="4"/>
      <c r="CE973" s="4"/>
      <c r="CF973" s="4"/>
      <c r="CG973" s="4"/>
      <c r="CH973" s="4"/>
      <c r="CI973" s="5">
        <v>40977</v>
      </c>
      <c r="CJ973" s="5">
        <v>40983</v>
      </c>
      <c r="CK973" s="5">
        <v>40983</v>
      </c>
      <c r="CL973" s="5">
        <v>40977</v>
      </c>
      <c r="CM973" s="5">
        <v>40991</v>
      </c>
      <c r="CN973" s="5">
        <v>41081</v>
      </c>
      <c r="CO973" s="5">
        <v>41152</v>
      </c>
      <c r="CP973" s="4" t="s">
        <v>3014</v>
      </c>
      <c r="CQ973" s="4" t="s">
        <v>230</v>
      </c>
      <c r="CR973" s="5">
        <v>40975</v>
      </c>
      <c r="CS973" s="5">
        <v>40941</v>
      </c>
      <c r="CT973" s="5">
        <v>40977</v>
      </c>
      <c r="CU973" s="5">
        <v>40970</v>
      </c>
      <c r="CV973" s="5">
        <v>40970</v>
      </c>
      <c r="CW973" s="5">
        <v>40970</v>
      </c>
      <c r="CX973" s="5">
        <v>40970</v>
      </c>
      <c r="CY973" s="5">
        <v>40973</v>
      </c>
      <c r="CZ973" s="5">
        <v>40974</v>
      </c>
      <c r="DA973" s="4"/>
      <c r="DB973" s="5">
        <v>40983</v>
      </c>
      <c r="DC973" s="4"/>
      <c r="DD973" s="4"/>
      <c r="DE973" s="4"/>
      <c r="DF973" s="4"/>
      <c r="DG973" s="4"/>
      <c r="DH973" s="4"/>
      <c r="DI973" s="5">
        <v>40973</v>
      </c>
      <c r="DJ973" s="4" t="b">
        <v>0</v>
      </c>
      <c r="DK973" s="4"/>
      <c r="DL973" s="4">
        <v>2843003</v>
      </c>
      <c r="DM973" s="4">
        <v>6190013</v>
      </c>
      <c r="DN973" s="4" t="s">
        <v>3015</v>
      </c>
      <c r="DO973" s="4"/>
      <c r="DP973" s="4"/>
      <c r="DQ973" s="4" t="s">
        <v>148</v>
      </c>
      <c r="DR973" s="4"/>
      <c r="DS973" s="4"/>
      <c r="DT973" s="4"/>
      <c r="DU973" s="4"/>
      <c r="DV973" s="4"/>
      <c r="DW973" s="4"/>
      <c r="DX973" s="4"/>
      <c r="DY973" s="4"/>
      <c r="DZ973" s="4"/>
      <c r="EA973" s="4"/>
      <c r="EB973" s="4"/>
      <c r="EC973" s="4"/>
      <c r="ED973" s="4"/>
      <c r="EE973" s="4"/>
      <c r="EF973" s="4"/>
      <c r="EG973" s="5">
        <v>40983</v>
      </c>
      <c r="EH973" s="5">
        <v>40983</v>
      </c>
      <c r="EI973" s="4"/>
    </row>
    <row r="974" spans="1:139" hidden="1" x14ac:dyDescent="0.2">
      <c r="A974">
        <f>VLOOKUP(B974,Sheet1!$A$1:$B$18,2,FALSE)</f>
        <v>0</v>
      </c>
      <c r="B974" t="str">
        <f>LEFT(D974,3)</f>
        <v>HKB</v>
      </c>
      <c r="C974" s="2">
        <v>973</v>
      </c>
      <c r="D974" s="3" t="str">
        <f>HYPERLINK("https://sitebase.nzcomms.co.nz/spm/spmnominalview/HKB-031-014/","HKB-031-014")</f>
        <v>HKB-031-014</v>
      </c>
      <c r="E974" s="4" t="s">
        <v>2995</v>
      </c>
      <c r="F974" s="3" t="str">
        <f>HYPERLINK("https://sitebase.nzcomms.co.nz/spm/spmcandidateview/HKB-031-014-A/","HKB-031-014-A")</f>
        <v>HKB-031-014-A</v>
      </c>
      <c r="G974" s="4" t="s">
        <v>3016</v>
      </c>
      <c r="H974" s="4" t="s">
        <v>2974</v>
      </c>
      <c r="I974" s="4">
        <v>1</v>
      </c>
      <c r="J974" s="4" t="s">
        <v>1633</v>
      </c>
      <c r="K974" s="4" t="s">
        <v>141</v>
      </c>
      <c r="L974" s="4" t="s">
        <v>142</v>
      </c>
      <c r="M974" s="4" t="s">
        <v>190</v>
      </c>
      <c r="N974" s="4" t="s">
        <v>142</v>
      </c>
      <c r="O974" s="4" t="s">
        <v>144</v>
      </c>
      <c r="P974" s="4" t="s">
        <v>169</v>
      </c>
      <c r="Q974" s="4" t="s">
        <v>142</v>
      </c>
      <c r="R974" s="4">
        <v>28.8</v>
      </c>
      <c r="S974" s="4">
        <v>29.3</v>
      </c>
      <c r="T974" s="4">
        <v>1</v>
      </c>
      <c r="U974" s="4">
        <v>-39.509287630000003</v>
      </c>
      <c r="V974" s="4">
        <v>176.85501572999999</v>
      </c>
      <c r="W974" s="4"/>
      <c r="X974" s="5">
        <v>40423</v>
      </c>
      <c r="Y974" s="4"/>
      <c r="Z974" s="4"/>
      <c r="AA974" s="4" t="s">
        <v>171</v>
      </c>
      <c r="AB974" s="3" t="str">
        <f>HYPERLINK("https://sitebase.nzcomms.co.nz/spm/spmcandidateview/HKB-031-004-B/","HKB-031-004-B")</f>
        <v>HKB-031-004-B</v>
      </c>
      <c r="AC974" s="4" t="b">
        <v>0</v>
      </c>
      <c r="AD974" s="4" t="b">
        <v>1</v>
      </c>
      <c r="AE974" s="4"/>
      <c r="AF974" s="4"/>
      <c r="AG974" s="4" t="b">
        <v>0</v>
      </c>
      <c r="AH974" s="4" t="s">
        <v>2963</v>
      </c>
      <c r="AI974" s="5">
        <v>40638</v>
      </c>
      <c r="AJ974" s="5">
        <v>40599</v>
      </c>
      <c r="AK974" s="5">
        <v>40645</v>
      </c>
      <c r="AL974" s="5">
        <v>40603</v>
      </c>
      <c r="AM974" s="5">
        <v>40633</v>
      </c>
      <c r="AN974" s="5">
        <v>40633</v>
      </c>
      <c r="AO974" s="4">
        <v>2</v>
      </c>
      <c r="AP974" s="5">
        <v>40760</v>
      </c>
      <c r="AQ974" s="5">
        <v>40771</v>
      </c>
      <c r="AR974" s="5">
        <v>40774</v>
      </c>
      <c r="AS974" s="5">
        <v>40774</v>
      </c>
      <c r="AT974" s="5">
        <v>40816</v>
      </c>
      <c r="AU974" s="5">
        <v>40807</v>
      </c>
      <c r="AV974" s="4"/>
      <c r="AW974" s="5">
        <v>40816</v>
      </c>
      <c r="AX974" s="5">
        <v>40826</v>
      </c>
      <c r="AY974" s="4" t="s">
        <v>247</v>
      </c>
      <c r="AZ974" s="5">
        <v>40652</v>
      </c>
      <c r="BA974" s="5">
        <v>40655</v>
      </c>
      <c r="BB974" s="5">
        <v>40693</v>
      </c>
      <c r="BC974" s="5">
        <v>40682</v>
      </c>
      <c r="BD974" s="4">
        <v>1</v>
      </c>
      <c r="BE974" s="5">
        <v>40823</v>
      </c>
      <c r="BF974" s="5">
        <v>40812</v>
      </c>
      <c r="BG974" s="4"/>
      <c r="BH974" s="4"/>
      <c r="BI974" s="4"/>
      <c r="BJ974" s="5">
        <v>40946</v>
      </c>
      <c r="BK974" s="4">
        <v>2</v>
      </c>
      <c r="BL974" s="4"/>
      <c r="BM974" s="4"/>
      <c r="BN974" s="5">
        <v>40966</v>
      </c>
      <c r="BO974" s="5">
        <v>40967</v>
      </c>
      <c r="BP974" s="4"/>
      <c r="BQ974" s="4"/>
      <c r="BR974" s="4"/>
      <c r="BS974" s="4"/>
      <c r="BT974" s="5">
        <v>40959</v>
      </c>
      <c r="BU974" s="5">
        <v>40961</v>
      </c>
      <c r="BV974" s="5">
        <v>40963</v>
      </c>
      <c r="BW974" s="5">
        <v>40970</v>
      </c>
      <c r="BX974" s="5">
        <v>40967</v>
      </c>
      <c r="BY974" s="5">
        <v>40946</v>
      </c>
      <c r="BZ974" s="5">
        <v>40977</v>
      </c>
      <c r="CA974" s="4"/>
      <c r="CB974" s="4"/>
      <c r="CC974" s="4"/>
      <c r="CD974" s="4"/>
      <c r="CE974" s="4"/>
      <c r="CF974" s="4"/>
      <c r="CG974" s="4"/>
      <c r="CH974" s="4"/>
      <c r="CI974" s="5">
        <v>40981</v>
      </c>
      <c r="CJ974" s="5">
        <v>40983</v>
      </c>
      <c r="CK974" s="5">
        <v>40983</v>
      </c>
      <c r="CL974" s="5">
        <v>40986</v>
      </c>
      <c r="CM974" s="5">
        <v>40996</v>
      </c>
      <c r="CN974" s="5">
        <v>41086</v>
      </c>
      <c r="CO974" s="5">
        <v>41215</v>
      </c>
      <c r="CP974" s="4"/>
      <c r="CQ974" s="4" t="s">
        <v>230</v>
      </c>
      <c r="CR974" s="5">
        <v>40975</v>
      </c>
      <c r="CS974" s="5">
        <v>40967</v>
      </c>
      <c r="CT974" s="5">
        <v>40967</v>
      </c>
      <c r="CU974" s="5">
        <v>40967</v>
      </c>
      <c r="CV974" s="5">
        <v>40967</v>
      </c>
      <c r="CW974" s="5">
        <v>40967</v>
      </c>
      <c r="CX974" s="5">
        <v>40967</v>
      </c>
      <c r="CY974" s="5">
        <v>40983</v>
      </c>
      <c r="CZ974" s="5">
        <v>40983</v>
      </c>
      <c r="DA974" s="4"/>
      <c r="DB974" s="5">
        <v>40990</v>
      </c>
      <c r="DC974" s="4"/>
      <c r="DD974" s="4"/>
      <c r="DE974" s="4"/>
      <c r="DF974" s="4"/>
      <c r="DG974" s="4"/>
      <c r="DH974" s="4"/>
      <c r="DI974" s="5">
        <v>40966</v>
      </c>
      <c r="DJ974" s="4" t="b">
        <v>0</v>
      </c>
      <c r="DK974" s="4"/>
      <c r="DL974" s="4">
        <v>2841420</v>
      </c>
      <c r="DM974" s="4">
        <v>6181230</v>
      </c>
      <c r="DN974" s="4" t="s">
        <v>3017</v>
      </c>
      <c r="DO974" s="4"/>
      <c r="DP974" s="4"/>
      <c r="DQ974" s="4" t="s">
        <v>148</v>
      </c>
      <c r="DR974" s="4"/>
      <c r="DS974" s="4"/>
      <c r="DT974" s="5">
        <v>42150</v>
      </c>
      <c r="DU974" s="4"/>
      <c r="DV974" s="4"/>
      <c r="DW974" s="4"/>
      <c r="DX974" s="4"/>
      <c r="DY974" s="4"/>
      <c r="DZ974" s="4"/>
      <c r="EA974" s="4"/>
      <c r="EB974" s="4"/>
      <c r="EC974" s="4"/>
      <c r="ED974" s="4"/>
      <c r="EE974" s="4"/>
      <c r="EF974" s="4"/>
      <c r="EG974" s="5">
        <v>40988</v>
      </c>
      <c r="EH974" s="5">
        <v>40990</v>
      </c>
      <c r="EI974" s="4"/>
    </row>
    <row r="975" spans="1:139" hidden="1" x14ac:dyDescent="0.2">
      <c r="A975">
        <f>VLOOKUP(B975,Sheet1!$A$1:$B$18,2,FALSE)</f>
        <v>0</v>
      </c>
      <c r="B975" t="str">
        <f>LEFT(D975,3)</f>
        <v>HKB</v>
      </c>
      <c r="C975" s="2">
        <v>974</v>
      </c>
      <c r="D975" s="3" t="str">
        <f>HYPERLINK("https://sitebase.nzcomms.co.nz/spm/spmnominalview/HKB-031-015/","HKB-031-015")</f>
        <v>HKB-031-015</v>
      </c>
      <c r="E975" s="4" t="s">
        <v>3018</v>
      </c>
      <c r="F975" s="3" t="str">
        <f>HYPERLINK("https://sitebase.nzcomms.co.nz/spm/spmcandidateview/HKB-031-015-B/","HKB-031-015-B")</f>
        <v>HKB-031-015-B</v>
      </c>
      <c r="G975" s="4" t="s">
        <v>3019</v>
      </c>
      <c r="H975" s="4" t="s">
        <v>2974</v>
      </c>
      <c r="I975" s="4">
        <v>1</v>
      </c>
      <c r="J975" s="4" t="s">
        <v>1633</v>
      </c>
      <c r="K975" s="4" t="s">
        <v>141</v>
      </c>
      <c r="L975" s="4" t="s">
        <v>150</v>
      </c>
      <c r="M975" s="4" t="s">
        <v>190</v>
      </c>
      <c r="N975" s="4" t="s">
        <v>1557</v>
      </c>
      <c r="O975" s="4" t="s">
        <v>144</v>
      </c>
      <c r="P975" s="4" t="s">
        <v>169</v>
      </c>
      <c r="Q975" s="4" t="s">
        <v>192</v>
      </c>
      <c r="R975" s="4">
        <v>24</v>
      </c>
      <c r="S975" s="4">
        <v>25</v>
      </c>
      <c r="T975" s="4">
        <v>1</v>
      </c>
      <c r="U975" s="4">
        <v>-39.49160637</v>
      </c>
      <c r="V975" s="4">
        <v>176.88562037</v>
      </c>
      <c r="W975" s="4"/>
      <c r="X975" s="5">
        <v>40423</v>
      </c>
      <c r="Y975" s="4"/>
      <c r="Z975" s="4"/>
      <c r="AA975" s="4" t="s">
        <v>145</v>
      </c>
      <c r="AB975" s="3" t="str">
        <f>HYPERLINK("https://sitebase.nzcomms.co.nz/spm/spmcandidateview/HKB-031-001-A/","HKB-031-001-A")</f>
        <v>HKB-031-001-A</v>
      </c>
      <c r="AC975" s="4" t="b">
        <v>0</v>
      </c>
      <c r="AD975" s="4" t="b">
        <v>1</v>
      </c>
      <c r="AE975" s="4"/>
      <c r="AF975" s="4"/>
      <c r="AG975" s="4" t="b">
        <v>0</v>
      </c>
      <c r="AH975" s="4"/>
      <c r="AI975" s="5">
        <v>40724</v>
      </c>
      <c r="AJ975" s="5">
        <v>40724</v>
      </c>
      <c r="AK975" s="5">
        <v>40732</v>
      </c>
      <c r="AL975" s="5">
        <v>40730</v>
      </c>
      <c r="AM975" s="5">
        <v>40756</v>
      </c>
      <c r="AN975" s="5">
        <v>40753</v>
      </c>
      <c r="AO975" s="4">
        <v>2</v>
      </c>
      <c r="AP975" s="5">
        <v>40756</v>
      </c>
      <c r="AQ975" s="5">
        <v>40827</v>
      </c>
      <c r="AR975" s="5">
        <v>40784</v>
      </c>
      <c r="AS975" s="5">
        <v>40784</v>
      </c>
      <c r="AT975" s="5">
        <v>40805</v>
      </c>
      <c r="AU975" s="5">
        <v>40786</v>
      </c>
      <c r="AV975" s="4">
        <v>1</v>
      </c>
      <c r="AW975" s="5">
        <v>40812</v>
      </c>
      <c r="AX975" s="5">
        <v>40786</v>
      </c>
      <c r="AY975" s="4" t="s">
        <v>172</v>
      </c>
      <c r="AZ975" s="5">
        <v>40784</v>
      </c>
      <c r="BA975" s="5">
        <v>40780</v>
      </c>
      <c r="BB975" s="5">
        <v>40815</v>
      </c>
      <c r="BC975" s="5">
        <v>40794</v>
      </c>
      <c r="BD975" s="4">
        <v>1</v>
      </c>
      <c r="BE975" s="5">
        <v>40819</v>
      </c>
      <c r="BF975" s="5">
        <v>40820</v>
      </c>
      <c r="BG975" s="4"/>
      <c r="BH975" s="4"/>
      <c r="BI975" s="4"/>
      <c r="BJ975" s="5">
        <v>40967</v>
      </c>
      <c r="BK975" s="4">
        <v>1</v>
      </c>
      <c r="BL975" s="4"/>
      <c r="BM975" s="4"/>
      <c r="BN975" s="5">
        <v>40967</v>
      </c>
      <c r="BO975" s="5">
        <v>40967</v>
      </c>
      <c r="BP975" s="4"/>
      <c r="BQ975" s="4"/>
      <c r="BR975" s="4"/>
      <c r="BS975" s="4"/>
      <c r="BT975" s="5">
        <v>40924</v>
      </c>
      <c r="BU975" s="5">
        <v>40917</v>
      </c>
      <c r="BV975" s="5">
        <v>40948</v>
      </c>
      <c r="BW975" s="5">
        <v>40947</v>
      </c>
      <c r="BX975" s="5">
        <v>40947</v>
      </c>
      <c r="BY975" s="5">
        <v>40954</v>
      </c>
      <c r="BZ975" s="5">
        <v>40963</v>
      </c>
      <c r="CA975" s="4"/>
      <c r="CB975" s="4"/>
      <c r="CC975" s="4"/>
      <c r="CD975" s="4"/>
      <c r="CE975" s="4"/>
      <c r="CF975" s="4"/>
      <c r="CG975" s="4"/>
      <c r="CH975" s="4"/>
      <c r="CI975" s="5">
        <v>40956</v>
      </c>
      <c r="CJ975" s="5">
        <v>40983</v>
      </c>
      <c r="CK975" s="5">
        <v>40966</v>
      </c>
      <c r="CL975" s="5">
        <v>40960</v>
      </c>
      <c r="CM975" s="5">
        <v>40982</v>
      </c>
      <c r="CN975" s="5">
        <v>41411</v>
      </c>
      <c r="CO975" s="5">
        <v>41395</v>
      </c>
      <c r="CP975" s="4" t="s">
        <v>3020</v>
      </c>
      <c r="CQ975" s="4"/>
      <c r="CR975" s="5">
        <v>40956</v>
      </c>
      <c r="CS975" s="5">
        <v>40967</v>
      </c>
      <c r="CT975" s="5">
        <v>40967</v>
      </c>
      <c r="CU975" s="5">
        <v>40967</v>
      </c>
      <c r="CV975" s="5">
        <v>40967</v>
      </c>
      <c r="CW975" s="5">
        <v>40885</v>
      </c>
      <c r="CX975" s="5">
        <v>40967</v>
      </c>
      <c r="CY975" s="5">
        <v>40947</v>
      </c>
      <c r="CZ975" s="5">
        <v>40948</v>
      </c>
      <c r="DA975" s="4"/>
      <c r="DB975" s="5">
        <v>40970</v>
      </c>
      <c r="DC975" s="4"/>
      <c r="DD975" s="4"/>
      <c r="DE975" s="4"/>
      <c r="DF975" s="4"/>
      <c r="DG975" s="4"/>
      <c r="DH975" s="4" t="s">
        <v>174</v>
      </c>
      <c r="DI975" s="5">
        <v>40946</v>
      </c>
      <c r="DJ975" s="4" t="b">
        <v>0</v>
      </c>
      <c r="DK975" s="4"/>
      <c r="DL975" s="4">
        <v>2844135</v>
      </c>
      <c r="DM975" s="4">
        <v>6183077</v>
      </c>
      <c r="DN975" s="4" t="s">
        <v>3021</v>
      </c>
      <c r="DO975" s="4"/>
      <c r="DP975" s="4"/>
      <c r="DQ975" s="4" t="s">
        <v>148</v>
      </c>
      <c r="DR975" s="4"/>
      <c r="DS975" s="4"/>
      <c r="DT975" s="5">
        <v>42150</v>
      </c>
      <c r="DU975" s="4"/>
      <c r="DV975" s="4"/>
      <c r="DW975" s="4"/>
      <c r="DX975" s="4"/>
      <c r="DY975" s="4"/>
      <c r="DZ975" s="4"/>
      <c r="EA975" s="4"/>
      <c r="EB975" s="4"/>
      <c r="EC975" s="4"/>
      <c r="ED975" s="4"/>
      <c r="EE975" s="4"/>
      <c r="EF975" s="4"/>
      <c r="EG975" s="5">
        <v>40968</v>
      </c>
      <c r="EH975" s="5">
        <v>40970</v>
      </c>
      <c r="EI975" s="4"/>
    </row>
    <row r="976" spans="1:139" hidden="1" x14ac:dyDescent="0.2">
      <c r="A976">
        <f>VLOOKUP(B976,Sheet1!$A$1:$B$18,2,FALSE)</f>
        <v>0</v>
      </c>
      <c r="B976" t="str">
        <f>LEFT(D976,3)</f>
        <v>HKB</v>
      </c>
      <c r="C976" s="2">
        <v>975</v>
      </c>
      <c r="D976" s="3" t="str">
        <f>HYPERLINK("https://sitebase.nzcomms.co.nz/spm/spmnominalview/HKB-031-016/","HKB-031-016")</f>
        <v>HKB-031-016</v>
      </c>
      <c r="E976" s="4" t="s">
        <v>3022</v>
      </c>
      <c r="F976" s="3" t="str">
        <f>HYPERLINK("https://sitebase.nzcomms.co.nz/spm/spmcandidateview/HKB-031-016-D/","HKB-031-016-D")</f>
        <v>HKB-031-016-D</v>
      </c>
      <c r="G976" s="4" t="s">
        <v>3022</v>
      </c>
      <c r="H976" s="4" t="s">
        <v>2974</v>
      </c>
      <c r="I976" s="4">
        <v>1</v>
      </c>
      <c r="J976" s="4" t="s">
        <v>1633</v>
      </c>
      <c r="K976" s="4" t="s">
        <v>141</v>
      </c>
      <c r="L976" s="4" t="s">
        <v>150</v>
      </c>
      <c r="M976" s="4" t="s">
        <v>190</v>
      </c>
      <c r="N976" s="4" t="s">
        <v>1557</v>
      </c>
      <c r="O976" s="4" t="s">
        <v>144</v>
      </c>
      <c r="P976" s="4" t="s">
        <v>169</v>
      </c>
      <c r="Q976" s="4" t="s">
        <v>192</v>
      </c>
      <c r="R976" s="4">
        <v>24.5</v>
      </c>
      <c r="S976" s="4">
        <v>25</v>
      </c>
      <c r="T976" s="4">
        <v>1</v>
      </c>
      <c r="U976" s="4">
        <v>-39.545405600000002</v>
      </c>
      <c r="V976" s="4">
        <v>176.91956537999999</v>
      </c>
      <c r="W976" s="4"/>
      <c r="X976" s="5">
        <v>40423</v>
      </c>
      <c r="Y976" s="4"/>
      <c r="Z976" s="4"/>
      <c r="AA976" s="4" t="s">
        <v>171</v>
      </c>
      <c r="AB976" s="3" t="str">
        <f>HYPERLINK("https://sitebase.nzcomms.co.nz/spm/spmcandidateview/HKB-031-012-A/","HKB-031-012-A")</f>
        <v>HKB-031-012-A</v>
      </c>
      <c r="AC976" s="4" t="b">
        <v>0</v>
      </c>
      <c r="AD976" s="4" t="b">
        <v>1</v>
      </c>
      <c r="AE976" s="4"/>
      <c r="AF976" s="4"/>
      <c r="AG976" s="4" t="b">
        <v>0</v>
      </c>
      <c r="AH976" s="4" t="s">
        <v>3023</v>
      </c>
      <c r="AI976" s="5">
        <v>40693</v>
      </c>
      <c r="AJ976" s="5">
        <v>40654</v>
      </c>
      <c r="AK976" s="5">
        <v>40665</v>
      </c>
      <c r="AL976" s="5">
        <v>40665</v>
      </c>
      <c r="AM976" s="5">
        <v>40689</v>
      </c>
      <c r="AN976" s="5">
        <v>40690</v>
      </c>
      <c r="AO976" s="4">
        <v>1</v>
      </c>
      <c r="AP976" s="5">
        <v>40689</v>
      </c>
      <c r="AQ976" s="5">
        <v>40690</v>
      </c>
      <c r="AR976" s="5">
        <v>40711</v>
      </c>
      <c r="AS976" s="5">
        <v>40696</v>
      </c>
      <c r="AT976" s="5">
        <v>40714</v>
      </c>
      <c r="AU976" s="5">
        <v>40711</v>
      </c>
      <c r="AV976" s="4">
        <v>1</v>
      </c>
      <c r="AW976" s="5">
        <v>40724</v>
      </c>
      <c r="AX976" s="5">
        <v>40730</v>
      </c>
      <c r="AY976" s="4" t="s">
        <v>172</v>
      </c>
      <c r="AZ976" s="5">
        <v>40709</v>
      </c>
      <c r="BA976" s="5">
        <v>40710</v>
      </c>
      <c r="BB976" s="5">
        <v>40739</v>
      </c>
      <c r="BC976" s="5">
        <v>40736</v>
      </c>
      <c r="BD976" s="4">
        <v>1</v>
      </c>
      <c r="BE976" s="5">
        <v>40746</v>
      </c>
      <c r="BF976" s="5">
        <v>40736</v>
      </c>
      <c r="BG976" s="4"/>
      <c r="BH976" s="4"/>
      <c r="BI976" s="5">
        <v>40795</v>
      </c>
      <c r="BJ976" s="5">
        <v>40808</v>
      </c>
      <c r="BK976" s="4">
        <v>1</v>
      </c>
      <c r="BL976" s="4"/>
      <c r="BM976" s="5">
        <v>40795</v>
      </c>
      <c r="BN976" s="5">
        <v>40808</v>
      </c>
      <c r="BO976" s="5">
        <v>40784</v>
      </c>
      <c r="BP976" s="4"/>
      <c r="BQ976" s="4"/>
      <c r="BR976" s="4"/>
      <c r="BS976" s="4"/>
      <c r="BT976" s="5">
        <v>40824</v>
      </c>
      <c r="BU976" s="5">
        <v>40828</v>
      </c>
      <c r="BV976" s="5">
        <v>40850</v>
      </c>
      <c r="BW976" s="5">
        <v>40849</v>
      </c>
      <c r="BX976" s="5">
        <v>40850</v>
      </c>
      <c r="BY976" s="5">
        <v>40859</v>
      </c>
      <c r="BZ976" s="5">
        <v>40860</v>
      </c>
      <c r="CA976" s="4"/>
      <c r="CB976" s="4"/>
      <c r="CC976" s="4"/>
      <c r="CD976" s="4"/>
      <c r="CE976" s="4"/>
      <c r="CF976" s="4"/>
      <c r="CG976" s="4"/>
      <c r="CH976" s="4"/>
      <c r="CI976" s="5">
        <v>40861</v>
      </c>
      <c r="CJ976" s="5">
        <v>40875</v>
      </c>
      <c r="CK976" s="5">
        <v>40885</v>
      </c>
      <c r="CL976" s="5">
        <v>40882</v>
      </c>
      <c r="CM976" s="5">
        <v>40893</v>
      </c>
      <c r="CN976" s="5">
        <v>40983</v>
      </c>
      <c r="CO976" s="5">
        <v>41121</v>
      </c>
      <c r="CP976" s="4" t="s">
        <v>3024</v>
      </c>
      <c r="CQ976" s="4"/>
      <c r="CR976" s="5">
        <v>40861</v>
      </c>
      <c r="CS976" s="5">
        <v>40784</v>
      </c>
      <c r="CT976" s="5">
        <v>40784</v>
      </c>
      <c r="CU976" s="5">
        <v>40786</v>
      </c>
      <c r="CV976" s="5">
        <v>40862</v>
      </c>
      <c r="CW976" s="5">
        <v>40784</v>
      </c>
      <c r="CX976" s="5">
        <v>40784</v>
      </c>
      <c r="CY976" s="5">
        <v>40858</v>
      </c>
      <c r="CZ976" s="5">
        <v>40858</v>
      </c>
      <c r="DA976" s="4"/>
      <c r="DB976" s="5">
        <v>40868</v>
      </c>
      <c r="DC976" s="4"/>
      <c r="DD976" s="4"/>
      <c r="DE976" s="4"/>
      <c r="DF976" s="4"/>
      <c r="DG976" s="4"/>
      <c r="DH976" s="4"/>
      <c r="DI976" s="5">
        <v>40851</v>
      </c>
      <c r="DJ976" s="4" t="b">
        <v>0</v>
      </c>
      <c r="DK976" s="4"/>
      <c r="DL976" s="4">
        <v>2846790</v>
      </c>
      <c r="DM976" s="4">
        <v>6176982</v>
      </c>
      <c r="DN976" s="4" t="s">
        <v>3025</v>
      </c>
      <c r="DO976" s="4"/>
      <c r="DP976" s="4"/>
      <c r="DQ976" s="4" t="s">
        <v>148</v>
      </c>
      <c r="DR976" s="4"/>
      <c r="DS976" s="4"/>
      <c r="DT976" s="5">
        <v>42150</v>
      </c>
      <c r="DU976" s="4"/>
      <c r="DV976" s="4"/>
      <c r="DW976" s="4"/>
      <c r="DX976" s="4"/>
      <c r="DY976" s="4"/>
      <c r="DZ976" s="4"/>
      <c r="EA976" s="4"/>
      <c r="EB976" s="4"/>
      <c r="EC976" s="4"/>
      <c r="ED976" s="4"/>
      <c r="EE976" s="4"/>
      <c r="EF976" s="4"/>
      <c r="EG976" s="5">
        <v>40879</v>
      </c>
      <c r="EH976" s="5">
        <v>40882</v>
      </c>
      <c r="EI976" s="4"/>
    </row>
    <row r="977" spans="1:139" hidden="1" x14ac:dyDescent="0.2">
      <c r="A977">
        <f>VLOOKUP(B977,Sheet1!$A$1:$B$18,2,FALSE)</f>
        <v>0</v>
      </c>
      <c r="B977" t="str">
        <f>LEFT(D977,3)</f>
        <v>HKB</v>
      </c>
      <c r="C977" s="2">
        <v>976</v>
      </c>
      <c r="D977" s="3" t="str">
        <f>HYPERLINK("https://sitebase.nzcomms.co.nz/spm/spmnominalview/HKB-031-017/","HKB-031-017")</f>
        <v>HKB-031-017</v>
      </c>
      <c r="E977" s="4" t="s">
        <v>3026</v>
      </c>
      <c r="F977" s="3" t="str">
        <f>HYPERLINK("https://sitebase.nzcomms.co.nz/spm/spmcandidateview/HKB-031-017-B/","HKB-031-017-B")</f>
        <v>HKB-031-017-B</v>
      </c>
      <c r="G977" s="4" t="s">
        <v>3027</v>
      </c>
      <c r="H977" s="4" t="s">
        <v>2974</v>
      </c>
      <c r="I977" s="4">
        <v>1</v>
      </c>
      <c r="J977" s="4" t="s">
        <v>1633</v>
      </c>
      <c r="K977" s="4" t="s">
        <v>141</v>
      </c>
      <c r="L977" s="4" t="s">
        <v>150</v>
      </c>
      <c r="M977" s="4" t="s">
        <v>190</v>
      </c>
      <c r="N977" s="4" t="s">
        <v>346</v>
      </c>
      <c r="O977" s="4" t="s">
        <v>144</v>
      </c>
      <c r="P977" s="4" t="s">
        <v>182</v>
      </c>
      <c r="Q977" s="4" t="s">
        <v>192</v>
      </c>
      <c r="R977" s="4">
        <v>34.799999999999997</v>
      </c>
      <c r="S977" s="4">
        <v>37.1</v>
      </c>
      <c r="T977" s="4">
        <v>1</v>
      </c>
      <c r="U977" s="4">
        <v>-39.478944200000001</v>
      </c>
      <c r="V977" s="4">
        <v>176.92082219</v>
      </c>
      <c r="W977" s="4"/>
      <c r="X977" s="5">
        <v>40423</v>
      </c>
      <c r="Y977" s="4"/>
      <c r="Z977" s="4"/>
      <c r="AA977" s="4" t="s">
        <v>145</v>
      </c>
      <c r="AB977" s="3" t="str">
        <f>HYPERLINK("https://sitebase.nzcomms.co.nz/spm/spmcandidateview/HKB-031-001-A/","HKB-031-001-A")</f>
        <v>HKB-031-001-A</v>
      </c>
      <c r="AC977" s="4" t="b">
        <v>0</v>
      </c>
      <c r="AD977" s="4" t="b">
        <v>1</v>
      </c>
      <c r="AE977" s="4"/>
      <c r="AF977" s="4"/>
      <c r="AG977" s="4" t="b">
        <v>0</v>
      </c>
      <c r="AH977" s="4"/>
      <c r="AI977" s="5">
        <v>40695</v>
      </c>
      <c r="AJ977" s="5">
        <v>40695</v>
      </c>
      <c r="AK977" s="5">
        <v>40702</v>
      </c>
      <c r="AL977" s="5">
        <v>40702</v>
      </c>
      <c r="AM977" s="5">
        <v>40731</v>
      </c>
      <c r="AN977" s="5">
        <v>40732</v>
      </c>
      <c r="AO977" s="4">
        <v>2</v>
      </c>
      <c r="AP977" s="5">
        <v>40760</v>
      </c>
      <c r="AQ977" s="5">
        <v>40759</v>
      </c>
      <c r="AR977" s="5">
        <v>40763</v>
      </c>
      <c r="AS977" s="5">
        <v>40758</v>
      </c>
      <c r="AT977" s="5">
        <v>40786</v>
      </c>
      <c r="AU977" s="5">
        <v>40777</v>
      </c>
      <c r="AV977" s="4"/>
      <c r="AW977" s="5">
        <v>40793</v>
      </c>
      <c r="AX977" s="5">
        <v>40795</v>
      </c>
      <c r="AY977" s="4" t="s">
        <v>183</v>
      </c>
      <c r="AZ977" s="5">
        <v>40760</v>
      </c>
      <c r="BA977" s="5">
        <v>40764</v>
      </c>
      <c r="BB977" s="5">
        <v>40795</v>
      </c>
      <c r="BC977" s="5">
        <v>40784</v>
      </c>
      <c r="BD977" s="4">
        <v>2</v>
      </c>
      <c r="BE977" s="5">
        <v>40798</v>
      </c>
      <c r="BF977" s="5">
        <v>40784</v>
      </c>
      <c r="BG977" s="4"/>
      <c r="BH977" s="4"/>
      <c r="BI977" s="5">
        <v>40890</v>
      </c>
      <c r="BJ977" s="5">
        <v>40912</v>
      </c>
      <c r="BK977" s="4">
        <v>1</v>
      </c>
      <c r="BL977" s="4"/>
      <c r="BM977" s="5">
        <v>40890</v>
      </c>
      <c r="BN977" s="5">
        <v>40912</v>
      </c>
      <c r="BO977" s="5">
        <v>40967</v>
      </c>
      <c r="BP977" s="4"/>
      <c r="BQ977" s="4"/>
      <c r="BR977" s="4"/>
      <c r="BS977" s="4"/>
      <c r="BT977" s="5">
        <v>40882</v>
      </c>
      <c r="BU977" s="5">
        <v>40882</v>
      </c>
      <c r="BV977" s="5">
        <v>40973</v>
      </c>
      <c r="BW977" s="5">
        <v>40974</v>
      </c>
      <c r="BX977" s="5">
        <v>40966</v>
      </c>
      <c r="BY977" s="5">
        <v>40975</v>
      </c>
      <c r="BZ977" s="5">
        <v>40977</v>
      </c>
      <c r="CA977" s="4"/>
      <c r="CB977" s="4"/>
      <c r="CC977" s="4"/>
      <c r="CD977" s="4"/>
      <c r="CE977" s="4"/>
      <c r="CF977" s="4"/>
      <c r="CG977" s="4"/>
      <c r="CH977" s="4"/>
      <c r="CI977" s="5">
        <v>40980</v>
      </c>
      <c r="CJ977" s="5">
        <v>40998</v>
      </c>
      <c r="CK977" s="5">
        <v>40983</v>
      </c>
      <c r="CL977" s="5">
        <v>40989</v>
      </c>
      <c r="CM977" s="5">
        <v>40996</v>
      </c>
      <c r="CN977" s="5">
        <v>41086</v>
      </c>
      <c r="CO977" s="5">
        <v>41095</v>
      </c>
      <c r="CP977" s="4"/>
      <c r="CQ977" s="4"/>
      <c r="CR977" s="5">
        <v>40975</v>
      </c>
      <c r="CS977" s="5">
        <v>40967</v>
      </c>
      <c r="CT977" s="5">
        <v>40970</v>
      </c>
      <c r="CU977" s="5">
        <v>40967</v>
      </c>
      <c r="CV977" s="5">
        <v>40967</v>
      </c>
      <c r="CW977" s="5">
        <v>40967</v>
      </c>
      <c r="CX977" s="5">
        <v>40967</v>
      </c>
      <c r="CY977" s="5">
        <v>40973</v>
      </c>
      <c r="CZ977" s="5">
        <v>40983</v>
      </c>
      <c r="DA977" s="4"/>
      <c r="DB977" s="5">
        <v>40991</v>
      </c>
      <c r="DC977" s="4"/>
      <c r="DD977" s="4"/>
      <c r="DE977" s="4"/>
      <c r="DF977" s="4"/>
      <c r="DG977" s="4"/>
      <c r="DH977" s="4"/>
      <c r="DI977" s="5">
        <v>40966</v>
      </c>
      <c r="DJ977" s="4" t="b">
        <v>0</v>
      </c>
      <c r="DK977" s="4"/>
      <c r="DL977" s="4">
        <v>2847222</v>
      </c>
      <c r="DM977" s="4">
        <v>6184349</v>
      </c>
      <c r="DN977" s="4" t="s">
        <v>3028</v>
      </c>
      <c r="DO977" s="4"/>
      <c r="DP977" s="4"/>
      <c r="DQ977" s="4" t="s">
        <v>148</v>
      </c>
      <c r="DR977" s="4"/>
      <c r="DS977" s="4"/>
      <c r="DT977" s="5">
        <v>42150</v>
      </c>
      <c r="DU977" s="4"/>
      <c r="DV977" s="4"/>
      <c r="DW977" s="4"/>
      <c r="DX977" s="4"/>
      <c r="DY977" s="4"/>
      <c r="DZ977" s="4"/>
      <c r="EA977" s="4"/>
      <c r="EB977" s="4"/>
      <c r="EC977" s="4"/>
      <c r="ED977" s="4"/>
      <c r="EE977" s="4"/>
      <c r="EF977" s="4"/>
      <c r="EG977" s="5">
        <v>40989</v>
      </c>
      <c r="EH977" s="5">
        <v>40990</v>
      </c>
      <c r="EI977" s="4"/>
    </row>
    <row r="978" spans="1:139" hidden="1" x14ac:dyDescent="0.2">
      <c r="A978">
        <f>VLOOKUP(B978,Sheet1!$A$1:$B$18,2,FALSE)</f>
        <v>0</v>
      </c>
      <c r="B978" t="str">
        <f>LEFT(D978,3)</f>
        <v>HKB</v>
      </c>
      <c r="C978" s="2">
        <v>977</v>
      </c>
      <c r="D978" s="3" t="str">
        <f>HYPERLINK("https://sitebase.nzcomms.co.nz/spm/spmnominalview/HKB-031-018/","HKB-031-018")</f>
        <v>HKB-031-018</v>
      </c>
      <c r="E978" s="4" t="s">
        <v>3029</v>
      </c>
      <c r="F978" s="3" t="str">
        <f>HYPERLINK("https://sitebase.nzcomms.co.nz/spm/spmcandidateview/HKB-031-018-A/","HKB-031-018-A")</f>
        <v>HKB-031-018-A</v>
      </c>
      <c r="G978" s="4" t="s">
        <v>3030</v>
      </c>
      <c r="H978" s="4" t="s">
        <v>2974</v>
      </c>
      <c r="I978" s="4">
        <v>1</v>
      </c>
      <c r="J978" s="4" t="s">
        <v>1633</v>
      </c>
      <c r="K978" s="4" t="s">
        <v>141</v>
      </c>
      <c r="L978" s="4" t="s">
        <v>150</v>
      </c>
      <c r="M978" s="4" t="s">
        <v>190</v>
      </c>
      <c r="N978" s="4" t="s">
        <v>156</v>
      </c>
      <c r="O978" s="4" t="s">
        <v>144</v>
      </c>
      <c r="P978" s="4" t="s">
        <v>169</v>
      </c>
      <c r="Q978" s="4" t="s">
        <v>170</v>
      </c>
      <c r="R978" s="4">
        <v>24.5</v>
      </c>
      <c r="S978" s="4">
        <v>25</v>
      </c>
      <c r="T978" s="4">
        <v>1</v>
      </c>
      <c r="U978" s="4">
        <v>-39.473051060000003</v>
      </c>
      <c r="V978" s="4">
        <v>176.87308411999999</v>
      </c>
      <c r="W978" s="4"/>
      <c r="X978" s="4"/>
      <c r="Y978" s="4"/>
      <c r="Z978" s="4"/>
      <c r="AA978" s="4" t="s">
        <v>171</v>
      </c>
      <c r="AB978" s="3" t="str">
        <f>HYPERLINK("https://sitebase.nzcomms.co.nz/spm/spmcandidateview/HKB-031-015-B/","HKB-031-015-B")</f>
        <v>HKB-031-015-B</v>
      </c>
      <c r="AC978" s="4" t="b">
        <v>0</v>
      </c>
      <c r="AD978" s="4" t="b">
        <v>1</v>
      </c>
      <c r="AE978" s="4"/>
      <c r="AF978" s="4"/>
      <c r="AG978" s="4" t="b">
        <v>0</v>
      </c>
      <c r="AH978" s="4" t="s">
        <v>3031</v>
      </c>
      <c r="AI978" s="5">
        <v>40619</v>
      </c>
      <c r="AJ978" s="5">
        <v>40620</v>
      </c>
      <c r="AK978" s="5">
        <v>40625</v>
      </c>
      <c r="AL978" s="5">
        <v>40627</v>
      </c>
      <c r="AM978" s="5">
        <v>40652</v>
      </c>
      <c r="AN978" s="5">
        <v>40649</v>
      </c>
      <c r="AO978" s="4">
        <v>1</v>
      </c>
      <c r="AP978" s="5">
        <v>40652</v>
      </c>
      <c r="AQ978" s="5">
        <v>40649</v>
      </c>
      <c r="AR978" s="5">
        <v>40708</v>
      </c>
      <c r="AS978" s="5">
        <v>40674</v>
      </c>
      <c r="AT978" s="5">
        <v>40805</v>
      </c>
      <c r="AU978" s="5">
        <v>40751</v>
      </c>
      <c r="AV978" s="4">
        <v>1</v>
      </c>
      <c r="AW978" s="5">
        <v>40812</v>
      </c>
      <c r="AX978" s="5">
        <v>40877</v>
      </c>
      <c r="AY978" s="4" t="s">
        <v>183</v>
      </c>
      <c r="AZ978" s="5">
        <v>40756</v>
      </c>
      <c r="BA978" s="5">
        <v>40756</v>
      </c>
      <c r="BB978" s="5">
        <v>40844</v>
      </c>
      <c r="BC978" s="5">
        <v>40784</v>
      </c>
      <c r="BD978" s="4">
        <v>1</v>
      </c>
      <c r="BE978" s="5">
        <v>40851</v>
      </c>
      <c r="BF978" s="5">
        <v>40784</v>
      </c>
      <c r="BG978" s="4"/>
      <c r="BH978" s="4"/>
      <c r="BI978" s="5">
        <v>40877</v>
      </c>
      <c r="BJ978" s="5">
        <v>40899</v>
      </c>
      <c r="BK978" s="4">
        <v>1</v>
      </c>
      <c r="BL978" s="4"/>
      <c r="BM978" s="5">
        <v>40877</v>
      </c>
      <c r="BN978" s="5">
        <v>40899</v>
      </c>
      <c r="BO978" s="5">
        <v>40921</v>
      </c>
      <c r="BP978" s="4"/>
      <c r="BQ978" s="4"/>
      <c r="BR978" s="4"/>
      <c r="BS978" s="4"/>
      <c r="BT978" s="5">
        <v>40875</v>
      </c>
      <c r="BU978" s="5">
        <v>40875</v>
      </c>
      <c r="BV978" s="5">
        <v>40928</v>
      </c>
      <c r="BW978" s="5">
        <v>40922</v>
      </c>
      <c r="BX978" s="5">
        <v>40926</v>
      </c>
      <c r="BY978" s="5">
        <v>40957</v>
      </c>
      <c r="BZ978" s="5">
        <v>40954</v>
      </c>
      <c r="CA978" s="4"/>
      <c r="CB978" s="4"/>
      <c r="CC978" s="4"/>
      <c r="CD978" s="4"/>
      <c r="CE978" s="4"/>
      <c r="CF978" s="4"/>
      <c r="CG978" s="4"/>
      <c r="CH978" s="4"/>
      <c r="CI978" s="5">
        <v>40953</v>
      </c>
      <c r="CJ978" s="5">
        <v>40983</v>
      </c>
      <c r="CK978" s="5">
        <v>40966</v>
      </c>
      <c r="CL978" s="5">
        <v>40968</v>
      </c>
      <c r="CM978" s="5">
        <v>40982</v>
      </c>
      <c r="CN978" s="5">
        <v>41058</v>
      </c>
      <c r="CO978" s="5">
        <v>41152</v>
      </c>
      <c r="CP978" s="4" t="s">
        <v>3032</v>
      </c>
      <c r="CQ978" s="4"/>
      <c r="CR978" s="5">
        <v>40959</v>
      </c>
      <c r="CS978" s="5">
        <v>40862</v>
      </c>
      <c r="CT978" s="5">
        <v>40862</v>
      </c>
      <c r="CU978" s="5">
        <v>40877</v>
      </c>
      <c r="CV978" s="5">
        <v>40921</v>
      </c>
      <c r="CW978" s="5">
        <v>40868</v>
      </c>
      <c r="CX978" s="5">
        <v>40921</v>
      </c>
      <c r="CY978" s="5">
        <v>40934</v>
      </c>
      <c r="CZ978" s="5">
        <v>40939</v>
      </c>
      <c r="DA978" s="4"/>
      <c r="DB978" s="5">
        <v>40970</v>
      </c>
      <c r="DC978" s="4"/>
      <c r="DD978" s="4"/>
      <c r="DE978" s="4"/>
      <c r="DF978" s="4"/>
      <c r="DG978" s="4"/>
      <c r="DH978" s="4"/>
      <c r="DI978" s="5">
        <v>40926</v>
      </c>
      <c r="DJ978" s="4" t="b">
        <v>0</v>
      </c>
      <c r="DK978" s="4"/>
      <c r="DL978" s="4">
        <v>2843147</v>
      </c>
      <c r="DM978" s="4">
        <v>6185182</v>
      </c>
      <c r="DN978" s="4" t="s">
        <v>3033</v>
      </c>
      <c r="DO978" s="4"/>
      <c r="DP978" s="4"/>
      <c r="DQ978" s="4" t="s">
        <v>148</v>
      </c>
      <c r="DR978" s="4"/>
      <c r="DS978" s="4"/>
      <c r="DT978" s="5">
        <v>42150</v>
      </c>
      <c r="DU978" s="4"/>
      <c r="DV978" s="4"/>
      <c r="DW978" s="4"/>
      <c r="DX978" s="4"/>
      <c r="DY978" s="4"/>
      <c r="DZ978" s="4"/>
      <c r="EA978" s="4"/>
      <c r="EB978" s="4"/>
      <c r="EC978" s="4"/>
      <c r="ED978" s="4"/>
      <c r="EE978" s="4"/>
      <c r="EF978" s="4"/>
      <c r="EG978" s="5">
        <v>40967</v>
      </c>
      <c r="EH978" s="5">
        <v>40970</v>
      </c>
      <c r="EI978" s="4"/>
    </row>
    <row r="979" spans="1:139" hidden="1" x14ac:dyDescent="0.2">
      <c r="A979">
        <f>VLOOKUP(B979,Sheet1!$A$1:$B$18,2,FALSE)</f>
        <v>0</v>
      </c>
      <c r="B979" t="str">
        <f>LEFT(D979,3)</f>
        <v>HKB</v>
      </c>
      <c r="C979" s="2">
        <v>978</v>
      </c>
      <c r="D979" s="3" t="str">
        <f>HYPERLINK("https://sitebase.nzcomms.co.nz/spm/spmnominalview/HKB-031-019/","HKB-031-019")</f>
        <v>HKB-031-019</v>
      </c>
      <c r="E979" s="4" t="s">
        <v>3034</v>
      </c>
      <c r="F979" s="3" t="str">
        <f>HYPERLINK("https://sitebase.nzcomms.co.nz/spm/spmcandidateview/HKB-031-019-A/","HKB-031-019-A")</f>
        <v>HKB-031-019-A</v>
      </c>
      <c r="G979" s="4" t="s">
        <v>597</v>
      </c>
      <c r="H979" s="4" t="s">
        <v>2974</v>
      </c>
      <c r="I979" s="4"/>
      <c r="J979" s="4" t="s">
        <v>317</v>
      </c>
      <c r="K979" s="4" t="s">
        <v>141</v>
      </c>
      <c r="L979" s="4" t="s">
        <v>142</v>
      </c>
      <c r="M979" s="4" t="s">
        <v>324</v>
      </c>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t="s">
        <v>3035</v>
      </c>
      <c r="DO979" s="4"/>
      <c r="DP979" s="4"/>
      <c r="DQ979" s="4" t="s">
        <v>328</v>
      </c>
      <c r="DR979" s="4" t="s">
        <v>255</v>
      </c>
      <c r="DS979" s="4"/>
      <c r="DT979" s="4"/>
      <c r="DU979" s="4"/>
      <c r="DV979" s="4"/>
      <c r="DW979" s="4"/>
      <c r="DX979" s="4"/>
      <c r="DY979" s="4"/>
      <c r="DZ979" s="4"/>
      <c r="EA979" s="4"/>
      <c r="EB979" s="4"/>
      <c r="EC979" s="4"/>
      <c r="ED979" s="4"/>
      <c r="EE979" s="4"/>
      <c r="EF979" s="4"/>
      <c r="EG979" s="4"/>
      <c r="EH979" s="4"/>
      <c r="EI979" s="4"/>
    </row>
    <row r="980" spans="1:139" hidden="1" x14ac:dyDescent="0.2">
      <c r="A980">
        <f>VLOOKUP(B980,Sheet1!$A$1:$B$18,2,FALSE)</f>
        <v>0</v>
      </c>
      <c r="B980" t="str">
        <f>LEFT(D980,3)</f>
        <v>HKB</v>
      </c>
      <c r="C980" s="2">
        <v>979</v>
      </c>
      <c r="D980" s="3" t="str">
        <f>HYPERLINK("https://sitebase.nzcomms.co.nz/spm/spmnominalview/HKB-032-001/","HKB-032-001")</f>
        <v>HKB-032-001</v>
      </c>
      <c r="E980" s="4" t="s">
        <v>3036</v>
      </c>
      <c r="F980" s="3" t="str">
        <f>HYPERLINK("https://sitebase.nzcomms.co.nz/spm/spmcandidateview/HKB-032-001-A/","HKB-032-001-A")</f>
        <v>HKB-032-001-A</v>
      </c>
      <c r="G980" s="4" t="s">
        <v>3037</v>
      </c>
      <c r="H980" s="4" t="s">
        <v>3038</v>
      </c>
      <c r="I980" s="4">
        <v>24</v>
      </c>
      <c r="J980" s="4" t="s">
        <v>165</v>
      </c>
      <c r="K980" s="4" t="s">
        <v>141</v>
      </c>
      <c r="L980" s="4" t="s">
        <v>142</v>
      </c>
      <c r="M980" s="4" t="s">
        <v>166</v>
      </c>
      <c r="N980" s="4" t="s">
        <v>1986</v>
      </c>
      <c r="O980" s="4"/>
      <c r="P980" s="4" t="s">
        <v>169</v>
      </c>
      <c r="Q980" s="4" t="s">
        <v>142</v>
      </c>
      <c r="R980" s="4"/>
      <c r="S980" s="4"/>
      <c r="T980" s="4"/>
      <c r="U980" s="4">
        <v>-39.947768760000002</v>
      </c>
      <c r="V980" s="4">
        <v>176.34311905000001</v>
      </c>
      <c r="W980" s="4"/>
      <c r="X980" s="5">
        <v>42068</v>
      </c>
      <c r="Y980" s="4"/>
      <c r="Z980" s="5">
        <v>42109</v>
      </c>
      <c r="AA980" s="4" t="s">
        <v>152</v>
      </c>
      <c r="AB980" s="3" t="str">
        <f>HYPERLINK("https://sitebase.nzcomms.co.nz/spm/spmcandidateview/AKL-007-112-A/","AKL-007-112-A")</f>
        <v>AKL-007-112-A</v>
      </c>
      <c r="AC980" s="4" t="b">
        <v>0</v>
      </c>
      <c r="AD980" s="4" t="b">
        <v>0</v>
      </c>
      <c r="AE980" s="4"/>
      <c r="AF980" s="4"/>
      <c r="AG980" s="4" t="b">
        <v>0</v>
      </c>
      <c r="AH980" s="4"/>
      <c r="AI980" s="5">
        <v>40983</v>
      </c>
      <c r="AJ980" s="5">
        <v>42075</v>
      </c>
      <c r="AK980" s="5">
        <v>42094</v>
      </c>
      <c r="AL980" s="5">
        <v>42090</v>
      </c>
      <c r="AM980" s="5">
        <v>42111</v>
      </c>
      <c r="AN980" s="5">
        <v>42094</v>
      </c>
      <c r="AO980" s="4">
        <v>1</v>
      </c>
      <c r="AP980" s="5">
        <v>42102</v>
      </c>
      <c r="AQ980" s="5">
        <v>42094</v>
      </c>
      <c r="AR980" s="5">
        <v>42114</v>
      </c>
      <c r="AS980" s="5">
        <v>42114</v>
      </c>
      <c r="AT980" s="5">
        <v>42146</v>
      </c>
      <c r="AU980" s="5">
        <v>42115</v>
      </c>
      <c r="AV980" s="4"/>
      <c r="AW980" s="5">
        <v>42115</v>
      </c>
      <c r="AX980" s="5">
        <v>42115</v>
      </c>
      <c r="AY980" s="4" t="s">
        <v>247</v>
      </c>
      <c r="AZ980" s="5">
        <v>42155</v>
      </c>
      <c r="BA980" s="5">
        <v>42114</v>
      </c>
      <c r="BB980" s="5">
        <v>42185</v>
      </c>
      <c r="BC980" s="5">
        <v>42114</v>
      </c>
      <c r="BD980" s="4">
        <v>1</v>
      </c>
      <c r="BE980" s="4"/>
      <c r="BF980" s="5">
        <v>42114</v>
      </c>
      <c r="BG980" s="5">
        <v>42111</v>
      </c>
      <c r="BH980" s="5">
        <v>42090</v>
      </c>
      <c r="BI980" s="5">
        <v>42142</v>
      </c>
      <c r="BJ980" s="5">
        <v>42104</v>
      </c>
      <c r="BK980" s="4">
        <v>1</v>
      </c>
      <c r="BL980" s="4"/>
      <c r="BM980" s="5">
        <v>42104</v>
      </c>
      <c r="BN980" s="5">
        <v>42104</v>
      </c>
      <c r="BO980" s="4"/>
      <c r="BP980" s="4"/>
      <c r="BQ980" s="4"/>
      <c r="BR980" s="4"/>
      <c r="BS980" s="4"/>
      <c r="BT980" s="5">
        <v>42212</v>
      </c>
      <c r="BU980" s="5">
        <v>42213</v>
      </c>
      <c r="BV980" s="5">
        <v>42226</v>
      </c>
      <c r="BW980" s="5">
        <v>42222</v>
      </c>
      <c r="BX980" s="5">
        <v>42222</v>
      </c>
      <c r="BY980" s="5">
        <v>42237</v>
      </c>
      <c r="BZ980" s="5">
        <v>42233</v>
      </c>
      <c r="CA980" s="5">
        <v>42237</v>
      </c>
      <c r="CB980" s="5">
        <v>42229</v>
      </c>
      <c r="CC980" s="5">
        <v>42213</v>
      </c>
      <c r="CD980" s="5">
        <v>42213</v>
      </c>
      <c r="CE980" s="5">
        <v>42213</v>
      </c>
      <c r="CF980" s="5">
        <v>42213</v>
      </c>
      <c r="CG980" s="5">
        <v>42213</v>
      </c>
      <c r="CH980" s="5">
        <v>42213</v>
      </c>
      <c r="CI980" s="4"/>
      <c r="CJ980" s="5">
        <v>42268</v>
      </c>
      <c r="CK980" s="5">
        <v>42268</v>
      </c>
      <c r="CL980" s="4"/>
      <c r="CM980" s="5">
        <v>42299</v>
      </c>
      <c r="CN980" s="4"/>
      <c r="CO980" s="4"/>
      <c r="CP980" s="4" t="s">
        <v>3039</v>
      </c>
      <c r="CQ980" s="4" t="s">
        <v>1657</v>
      </c>
      <c r="CR980" s="4"/>
      <c r="CS980" s="4"/>
      <c r="CT980" s="4"/>
      <c r="CU980" s="4"/>
      <c r="CV980" s="4"/>
      <c r="CW980" s="4"/>
      <c r="CX980" s="4"/>
      <c r="CY980" s="4"/>
      <c r="CZ980" s="4"/>
      <c r="DA980" s="5">
        <v>42256</v>
      </c>
      <c r="DB980" s="5">
        <v>42256</v>
      </c>
      <c r="DC980" s="4"/>
      <c r="DD980" s="4"/>
      <c r="DE980" s="4" t="s">
        <v>2918</v>
      </c>
      <c r="DF980" s="5">
        <v>42234</v>
      </c>
      <c r="DG980" s="5">
        <v>42229</v>
      </c>
      <c r="DH980" s="4" t="s">
        <v>174</v>
      </c>
      <c r="DI980" s="5">
        <v>42222</v>
      </c>
      <c r="DJ980" s="4" t="b">
        <v>0</v>
      </c>
      <c r="DK980" s="4"/>
      <c r="DL980" s="4">
        <v>2795603</v>
      </c>
      <c r="DM980" s="4">
        <v>6134362</v>
      </c>
      <c r="DN980" s="4" t="s">
        <v>3040</v>
      </c>
      <c r="DO980" s="4"/>
      <c r="DP980" s="4"/>
      <c r="DQ980" s="4" t="s">
        <v>148</v>
      </c>
      <c r="DR980" s="4"/>
      <c r="DS980" s="4"/>
      <c r="DT980" s="4"/>
      <c r="DU980" s="4" t="s">
        <v>178</v>
      </c>
      <c r="DV980" s="4"/>
      <c r="DW980" s="4"/>
      <c r="DX980" s="5">
        <v>42089</v>
      </c>
      <c r="DY980" s="5">
        <v>42104</v>
      </c>
      <c r="DZ980" s="5">
        <v>42104</v>
      </c>
      <c r="EA980" s="4"/>
      <c r="EB980" s="4"/>
      <c r="EC980" s="4"/>
      <c r="ED980" s="4"/>
      <c r="EE980" s="5">
        <v>42138</v>
      </c>
      <c r="EF980" s="5">
        <v>42137</v>
      </c>
      <c r="EG980" s="4"/>
      <c r="EH980" s="4"/>
      <c r="EI980" s="5">
        <v>42090</v>
      </c>
    </row>
    <row r="981" spans="1:139" hidden="1" x14ac:dyDescent="0.2">
      <c r="A981">
        <f>VLOOKUP(B981,Sheet1!$A$1:$B$18,2,FALSE)</f>
        <v>0</v>
      </c>
      <c r="B981" t="str">
        <f>LEFT(D981,3)</f>
        <v>HKB</v>
      </c>
      <c r="C981" s="2">
        <v>980</v>
      </c>
      <c r="D981" s="3" t="str">
        <f>HYPERLINK("https://sitebase.nzcomms.co.nz/spm/spmnominalview/HKB-032-002/","HKB-032-002")</f>
        <v>HKB-032-002</v>
      </c>
      <c r="E981" s="4" t="s">
        <v>3041</v>
      </c>
      <c r="F981" s="3" t="str">
        <f>HYPERLINK("https://sitebase.nzcomms.co.nz/spm/spmcandidateview/HKB-032-002-A/","HKB-032-002-A")</f>
        <v>HKB-032-002-A</v>
      </c>
      <c r="G981" s="4" t="s">
        <v>3042</v>
      </c>
      <c r="H981" s="4" t="s">
        <v>3038</v>
      </c>
      <c r="I981" s="4">
        <v>21</v>
      </c>
      <c r="J981" s="4" t="s">
        <v>570</v>
      </c>
      <c r="K981" s="4" t="s">
        <v>141</v>
      </c>
      <c r="L981" s="4" t="s">
        <v>142</v>
      </c>
      <c r="M981" s="4" t="s">
        <v>190</v>
      </c>
      <c r="N981" s="4" t="s">
        <v>142</v>
      </c>
      <c r="O981" s="4"/>
      <c r="P981" s="4" t="s">
        <v>169</v>
      </c>
      <c r="Q981" s="4" t="s">
        <v>142</v>
      </c>
      <c r="R981" s="4"/>
      <c r="S981" s="4"/>
      <c r="T981" s="4">
        <v>1</v>
      </c>
      <c r="U981" s="4">
        <v>-39.993362310000002</v>
      </c>
      <c r="V981" s="4">
        <v>176.59491803</v>
      </c>
      <c r="W981" s="4"/>
      <c r="X981" s="4"/>
      <c r="Y981" s="4"/>
      <c r="Z981" s="4"/>
      <c r="AA981" s="4" t="s">
        <v>152</v>
      </c>
      <c r="AB981" s="3" t="str">
        <f>HYPERLINK("https://sitebase.nzcomms.co.nz/spm/spmcandidateview/HKB-030-001-A/","HKB-030-001-A")</f>
        <v>HKB-030-001-A</v>
      </c>
      <c r="AC981" s="4" t="b">
        <v>0</v>
      </c>
      <c r="AD981" s="4" t="b">
        <v>0</v>
      </c>
      <c r="AE981" s="4"/>
      <c r="AF981" s="4"/>
      <c r="AG981" s="4" t="b">
        <v>0</v>
      </c>
      <c r="AH981" s="4"/>
      <c r="AI981" s="5">
        <v>40974</v>
      </c>
      <c r="AJ981" s="5">
        <v>40974</v>
      </c>
      <c r="AK981" s="5">
        <v>40970</v>
      </c>
      <c r="AL981" s="5">
        <v>40970</v>
      </c>
      <c r="AM981" s="4"/>
      <c r="AN981" s="5">
        <v>40766</v>
      </c>
      <c r="AO981" s="4">
        <v>2</v>
      </c>
      <c r="AP981" s="4"/>
      <c r="AQ981" s="5">
        <v>41775</v>
      </c>
      <c r="AR981" s="5">
        <v>41901</v>
      </c>
      <c r="AS981" s="5">
        <v>41967</v>
      </c>
      <c r="AT981" s="5">
        <v>41901</v>
      </c>
      <c r="AU981" s="5">
        <v>42062</v>
      </c>
      <c r="AV981" s="4"/>
      <c r="AW981" s="5">
        <v>41901</v>
      </c>
      <c r="AX981" s="5">
        <v>42062</v>
      </c>
      <c r="AY981" s="4" t="s">
        <v>172</v>
      </c>
      <c r="AZ981" s="5">
        <v>41036</v>
      </c>
      <c r="BA981" s="5">
        <v>40799</v>
      </c>
      <c r="BB981" s="5">
        <v>41067</v>
      </c>
      <c r="BC981" s="5">
        <v>40816</v>
      </c>
      <c r="BD981" s="4">
        <v>1</v>
      </c>
      <c r="BE981" s="5">
        <v>41071</v>
      </c>
      <c r="BF981" s="5">
        <v>40816</v>
      </c>
      <c r="BG981" s="5">
        <v>41774</v>
      </c>
      <c r="BH981" s="5">
        <v>41774</v>
      </c>
      <c r="BI981" s="5">
        <v>41858</v>
      </c>
      <c r="BJ981" s="5">
        <v>41876</v>
      </c>
      <c r="BK981" s="4">
        <v>4</v>
      </c>
      <c r="BL981" s="4"/>
      <c r="BM981" s="5">
        <v>41866</v>
      </c>
      <c r="BN981" s="5">
        <v>41925</v>
      </c>
      <c r="BO981" s="4"/>
      <c r="BP981" s="4"/>
      <c r="BQ981" s="4"/>
      <c r="BR981" s="4"/>
      <c r="BS981" s="4"/>
      <c r="BT981" s="5">
        <v>41969</v>
      </c>
      <c r="BU981" s="5">
        <v>41974</v>
      </c>
      <c r="BV981" s="5">
        <v>42035</v>
      </c>
      <c r="BW981" s="5">
        <v>42036</v>
      </c>
      <c r="BX981" s="5">
        <v>41974</v>
      </c>
      <c r="BY981" s="5">
        <v>42051</v>
      </c>
      <c r="BZ981" s="5">
        <v>42052</v>
      </c>
      <c r="CA981" s="5">
        <v>42058</v>
      </c>
      <c r="CB981" s="5">
        <v>42062</v>
      </c>
      <c r="CC981" s="4"/>
      <c r="CD981" s="4"/>
      <c r="CE981" s="4"/>
      <c r="CF981" s="4"/>
      <c r="CG981" s="4"/>
      <c r="CH981" s="4"/>
      <c r="CI981" s="4"/>
      <c r="CJ981" s="5">
        <v>42111</v>
      </c>
      <c r="CK981" s="5">
        <v>42111</v>
      </c>
      <c r="CL981" s="4"/>
      <c r="CM981" s="4"/>
      <c r="CN981" s="4"/>
      <c r="CO981" s="4"/>
      <c r="CP981" s="4" t="s">
        <v>3043</v>
      </c>
      <c r="CQ981" s="4" t="s">
        <v>230</v>
      </c>
      <c r="CR981" s="4"/>
      <c r="CS981" s="4"/>
      <c r="CT981" s="4"/>
      <c r="CU981" s="4"/>
      <c r="CV981" s="4"/>
      <c r="CW981" s="4"/>
      <c r="CX981" s="4"/>
      <c r="CY981" s="4"/>
      <c r="CZ981" s="4"/>
      <c r="DA981" s="5">
        <v>42086</v>
      </c>
      <c r="DB981" s="5">
        <v>42090</v>
      </c>
      <c r="DC981" s="4"/>
      <c r="DD981" s="4"/>
      <c r="DE981" s="4" t="s">
        <v>2918</v>
      </c>
      <c r="DF981" s="5">
        <v>42058</v>
      </c>
      <c r="DG981" s="4"/>
      <c r="DH981" s="4" t="s">
        <v>174</v>
      </c>
      <c r="DI981" s="5">
        <v>41957</v>
      </c>
      <c r="DJ981" s="4" t="b">
        <v>0</v>
      </c>
      <c r="DK981" s="4"/>
      <c r="DL981" s="4">
        <v>2816900</v>
      </c>
      <c r="DM981" s="4">
        <v>6128463</v>
      </c>
      <c r="DN981" s="4" t="s">
        <v>3044</v>
      </c>
      <c r="DO981" s="4"/>
      <c r="DP981" s="4"/>
      <c r="DQ981" s="4" t="s">
        <v>148</v>
      </c>
      <c r="DR981" s="4"/>
      <c r="DS981" s="4"/>
      <c r="DT981" s="4"/>
      <c r="DU981" s="4" t="s">
        <v>577</v>
      </c>
      <c r="DV981" s="4"/>
      <c r="DW981" s="4"/>
      <c r="DX981" s="4"/>
      <c r="DY981" s="4"/>
      <c r="DZ981" s="4"/>
      <c r="EA981" s="4"/>
      <c r="EB981" s="4"/>
      <c r="EC981" s="4"/>
      <c r="ED981" s="4"/>
      <c r="EE981" s="4"/>
      <c r="EF981" s="4"/>
      <c r="EG981" s="4"/>
      <c r="EH981" s="4"/>
      <c r="EI981" s="4"/>
    </row>
    <row r="982" spans="1:139" hidden="1" x14ac:dyDescent="0.2">
      <c r="A982">
        <f>VLOOKUP(B982,Sheet1!$A$1:$B$18,2,FALSE)</f>
        <v>0</v>
      </c>
      <c r="B982" t="str">
        <f>LEFT(D982,3)</f>
        <v>HKB</v>
      </c>
      <c r="C982" s="2">
        <v>981</v>
      </c>
      <c r="D982" s="3" t="str">
        <f>HYPERLINK("https://sitebase.nzcomms.co.nz/spm/spmnominalview/HKB-032-003/","HKB-032-003")</f>
        <v>HKB-032-003</v>
      </c>
      <c r="E982" s="4" t="s">
        <v>3045</v>
      </c>
      <c r="F982" s="4"/>
      <c r="G982" s="4"/>
      <c r="H982" s="4" t="s">
        <v>3038</v>
      </c>
      <c r="I982" s="4">
        <v>6</v>
      </c>
      <c r="J982" s="4" t="s">
        <v>180</v>
      </c>
      <c r="K982" s="4"/>
      <c r="L982" s="4"/>
      <c r="M982" s="4"/>
      <c r="N982" s="4"/>
      <c r="O982" s="4"/>
      <c r="P982" s="4"/>
      <c r="Q982" s="4"/>
      <c r="R982" s="4"/>
      <c r="S982" s="4"/>
      <c r="T982" s="4"/>
      <c r="U982" s="4"/>
      <c r="V982" s="4"/>
      <c r="W982" s="4"/>
      <c r="X982" s="4"/>
      <c r="Y982" s="4"/>
      <c r="Z982" s="4"/>
      <c r="AA982" s="4"/>
      <c r="AB982" s="4"/>
      <c r="AC982" s="4"/>
      <c r="AD982" s="4"/>
      <c r="AE982" s="4"/>
      <c r="AF982" s="4"/>
      <c r="AG982" s="4" t="b">
        <v>0</v>
      </c>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t="s">
        <v>3046</v>
      </c>
      <c r="CQ982" s="4"/>
      <c r="CR982" s="4"/>
      <c r="CS982" s="4"/>
      <c r="CT982" s="4"/>
      <c r="CU982" s="4"/>
      <c r="CV982" s="4"/>
      <c r="CW982" s="4"/>
      <c r="CX982" s="4"/>
      <c r="CY982" s="4"/>
      <c r="CZ982" s="4"/>
      <c r="DA982" s="4"/>
      <c r="DB982" s="4"/>
      <c r="DC982" s="4"/>
      <c r="DD982" s="4"/>
      <c r="DE982" s="4" t="s">
        <v>2918</v>
      </c>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row>
    <row r="983" spans="1:139" hidden="1" x14ac:dyDescent="0.2">
      <c r="A983" t="str">
        <f>VLOOKUP(B983,Sheet1!$A$1:$B$18,2,FALSE)</f>
        <v>South Island</v>
      </c>
      <c r="B983" t="str">
        <f>LEFT(D983,3)</f>
        <v>MBN</v>
      </c>
      <c r="C983" s="2">
        <v>985</v>
      </c>
      <c r="D983" s="3" t="str">
        <f>HYPERLINK("https://sitebase.nzcomms.co.nz/spm/spmnominalview/MBN-051-004/","MBN-051-004")</f>
        <v>MBN-051-004</v>
      </c>
      <c r="E983" s="4" t="s">
        <v>3052</v>
      </c>
      <c r="F983" s="3" t="str">
        <f>HYPERLINK("https://sitebase.nzcomms.co.nz/spm/spmcandidateview/MBN-051-004-A/","MBN-051-004-A")</f>
        <v>MBN-051-004-A</v>
      </c>
      <c r="G983" s="4" t="s">
        <v>3053</v>
      </c>
      <c r="H983" s="4" t="s">
        <v>3047</v>
      </c>
      <c r="I983" s="4">
        <v>7</v>
      </c>
      <c r="J983" s="4" t="s">
        <v>180</v>
      </c>
      <c r="K983" s="4" t="s">
        <v>141</v>
      </c>
      <c r="L983" s="4" t="s">
        <v>722</v>
      </c>
      <c r="M983" s="4" t="s">
        <v>190</v>
      </c>
      <c r="N983" s="4" t="s">
        <v>142</v>
      </c>
      <c r="O983" s="4"/>
      <c r="P983" s="4" t="s">
        <v>169</v>
      </c>
      <c r="Q983" s="4" t="s">
        <v>142</v>
      </c>
      <c r="R983" s="4"/>
      <c r="S983" s="4"/>
      <c r="T983" s="4">
        <v>1</v>
      </c>
      <c r="U983" s="4">
        <v>-41.113849109999997</v>
      </c>
      <c r="V983" s="4">
        <v>173.01333751000001</v>
      </c>
      <c r="W983" s="4"/>
      <c r="X983" s="5">
        <v>40934</v>
      </c>
      <c r="Y983" s="4"/>
      <c r="Z983" s="4"/>
      <c r="AA983" s="4" t="s">
        <v>152</v>
      </c>
      <c r="AB983" s="3" t="str">
        <f>HYPERLINK("https://sitebase.nzcomms.co.nz/spm/spmcandidateview/MBN-052-003-B/","MBN-052-003-B")</f>
        <v>MBN-052-003-B</v>
      </c>
      <c r="AC983" s="4" t="b">
        <v>0</v>
      </c>
      <c r="AD983" s="4" t="b">
        <v>0</v>
      </c>
      <c r="AE983" s="4"/>
      <c r="AF983" s="4"/>
      <c r="AG983" s="4" t="b">
        <v>0</v>
      </c>
      <c r="AH983" s="4"/>
      <c r="AI983" s="5">
        <v>40996</v>
      </c>
      <c r="AJ983" s="5">
        <v>40995</v>
      </c>
      <c r="AK983" s="5">
        <v>41003</v>
      </c>
      <c r="AL983" s="5">
        <v>41012</v>
      </c>
      <c r="AM983" s="5">
        <v>41095</v>
      </c>
      <c r="AN983" s="5">
        <v>41096</v>
      </c>
      <c r="AO983" s="4">
        <v>2</v>
      </c>
      <c r="AP983" s="5">
        <v>41095</v>
      </c>
      <c r="AQ983" s="5">
        <v>41198</v>
      </c>
      <c r="AR983" s="5">
        <v>41164</v>
      </c>
      <c r="AS983" s="5">
        <v>41152</v>
      </c>
      <c r="AT983" s="5">
        <v>41201</v>
      </c>
      <c r="AU983" s="5">
        <v>41196</v>
      </c>
      <c r="AV983" s="4"/>
      <c r="AW983" s="5">
        <v>41418</v>
      </c>
      <c r="AX983" s="4"/>
      <c r="AY983" s="4" t="s">
        <v>183</v>
      </c>
      <c r="AZ983" s="5">
        <v>41128</v>
      </c>
      <c r="BA983" s="5">
        <v>41120</v>
      </c>
      <c r="BB983" s="5">
        <v>41170</v>
      </c>
      <c r="BC983" s="5">
        <v>41159</v>
      </c>
      <c r="BD983" s="4">
        <v>1</v>
      </c>
      <c r="BE983" s="5">
        <v>41250</v>
      </c>
      <c r="BF983" s="5">
        <v>41250</v>
      </c>
      <c r="BG983" s="5">
        <v>41207</v>
      </c>
      <c r="BH983" s="4"/>
      <c r="BI983" s="5">
        <v>41229</v>
      </c>
      <c r="BJ983" s="5">
        <v>41240</v>
      </c>
      <c r="BK983" s="4">
        <v>1</v>
      </c>
      <c r="BL983" s="4"/>
      <c r="BM983" s="5">
        <v>41229</v>
      </c>
      <c r="BN983" s="5">
        <v>41240</v>
      </c>
      <c r="BO983" s="4"/>
      <c r="BP983" s="4"/>
      <c r="BQ983" s="4"/>
      <c r="BR983" s="5">
        <v>41207</v>
      </c>
      <c r="BS983" s="4"/>
      <c r="BT983" s="5">
        <v>41243</v>
      </c>
      <c r="BU983" s="5">
        <v>41247</v>
      </c>
      <c r="BV983" s="5">
        <v>41299</v>
      </c>
      <c r="BW983" s="5">
        <v>41299</v>
      </c>
      <c r="BX983" s="5">
        <v>41246</v>
      </c>
      <c r="BY983" s="5">
        <v>41312</v>
      </c>
      <c r="BZ983" s="5">
        <v>41306</v>
      </c>
      <c r="CA983" s="4"/>
      <c r="CB983" s="4"/>
      <c r="CC983" s="4"/>
      <c r="CD983" s="4"/>
      <c r="CE983" s="4"/>
      <c r="CF983" s="4"/>
      <c r="CG983" s="4"/>
      <c r="CH983" s="4"/>
      <c r="CI983" s="5">
        <v>41306</v>
      </c>
      <c r="CJ983" s="5">
        <v>41320</v>
      </c>
      <c r="CK983" s="5">
        <v>41320</v>
      </c>
      <c r="CL983" s="5">
        <v>41337</v>
      </c>
      <c r="CM983" s="5">
        <v>41332</v>
      </c>
      <c r="CN983" s="5">
        <v>41516</v>
      </c>
      <c r="CO983" s="5">
        <v>41557</v>
      </c>
      <c r="CP983" s="4"/>
      <c r="CQ983" s="4" t="s">
        <v>205</v>
      </c>
      <c r="CR983" s="5">
        <v>41306</v>
      </c>
      <c r="CS983" s="4"/>
      <c r="CT983" s="4"/>
      <c r="CU983" s="4"/>
      <c r="CV983" s="4"/>
      <c r="CW983" s="4"/>
      <c r="CX983" s="4"/>
      <c r="CY983" s="5">
        <v>41297</v>
      </c>
      <c r="CZ983" s="5">
        <v>41299</v>
      </c>
      <c r="DA983" s="5">
        <v>41312</v>
      </c>
      <c r="DB983" s="5">
        <v>41316</v>
      </c>
      <c r="DC983" s="5">
        <v>41001</v>
      </c>
      <c r="DD983" s="4" t="s">
        <v>586</v>
      </c>
      <c r="DE983" s="4" t="s">
        <v>722</v>
      </c>
      <c r="DF983" s="5">
        <v>41292</v>
      </c>
      <c r="DG983" s="5">
        <v>41292</v>
      </c>
      <c r="DH983" s="4" t="s">
        <v>174</v>
      </c>
      <c r="DI983" s="5">
        <v>41250</v>
      </c>
      <c r="DJ983" s="4" t="b">
        <v>1</v>
      </c>
      <c r="DK983" s="5">
        <v>41200</v>
      </c>
      <c r="DL983" s="4">
        <v>2511106</v>
      </c>
      <c r="DM983" s="4">
        <v>6010313</v>
      </c>
      <c r="DN983" s="4" t="s">
        <v>3054</v>
      </c>
      <c r="DO983" s="4"/>
      <c r="DP983" s="4"/>
      <c r="DQ983" s="4" t="s">
        <v>148</v>
      </c>
      <c r="DR983" s="4"/>
      <c r="DS983" s="4"/>
      <c r="DT983" s="5">
        <v>42304</v>
      </c>
      <c r="DU983" s="4"/>
      <c r="DV983" s="4"/>
      <c r="DW983" s="4"/>
      <c r="DX983" s="4"/>
      <c r="DY983" s="4"/>
      <c r="DZ983" s="4"/>
      <c r="EA983" s="4"/>
      <c r="EB983" s="4"/>
      <c r="EC983" s="4"/>
      <c r="ED983" s="4"/>
      <c r="EE983" s="4"/>
      <c r="EF983" s="4"/>
      <c r="EG983" s="5">
        <v>41312</v>
      </c>
      <c r="EH983" s="5">
        <v>41313</v>
      </c>
      <c r="EI983" s="5">
        <v>41012</v>
      </c>
    </row>
    <row r="984" spans="1:139" hidden="1" x14ac:dyDescent="0.2">
      <c r="A984" t="str">
        <f>VLOOKUP(B984,Sheet1!$A$1:$B$18,2,FALSE)</f>
        <v>South Island</v>
      </c>
      <c r="B984" t="str">
        <f>LEFT(D984,3)</f>
        <v>MBN</v>
      </c>
      <c r="C984" s="2">
        <v>996</v>
      </c>
      <c r="D984" s="3" t="str">
        <f>HYPERLINK("https://sitebase.nzcomms.co.nz/spm/spmnominalview/MBN-051-016/","MBN-051-016")</f>
        <v>MBN-051-016</v>
      </c>
      <c r="E984" s="4" t="s">
        <v>3077</v>
      </c>
      <c r="F984" s="3" t="str">
        <f>HYPERLINK("https://sitebase.nzcomms.co.nz/spm/spmcandidateview/MBN-051-016-A/","MBN-051-016-A")</f>
        <v>MBN-051-016-A</v>
      </c>
      <c r="G984" s="4" t="s">
        <v>3077</v>
      </c>
      <c r="H984" s="4" t="s">
        <v>3047</v>
      </c>
      <c r="I984" s="4">
        <v>7</v>
      </c>
      <c r="J984" s="4" t="s">
        <v>180</v>
      </c>
      <c r="K984" s="4" t="s">
        <v>141</v>
      </c>
      <c r="L984" s="4" t="s">
        <v>142</v>
      </c>
      <c r="M984" s="4" t="s">
        <v>190</v>
      </c>
      <c r="N984" s="4" t="s">
        <v>142</v>
      </c>
      <c r="O984" s="4"/>
      <c r="P984" s="4" t="s">
        <v>169</v>
      </c>
      <c r="Q984" s="4" t="s">
        <v>142</v>
      </c>
      <c r="R984" s="4"/>
      <c r="S984" s="4">
        <v>63</v>
      </c>
      <c r="T984" s="4">
        <v>1</v>
      </c>
      <c r="U984" s="4">
        <v>-41.123782210000002</v>
      </c>
      <c r="V984" s="4">
        <v>172.85272183000001</v>
      </c>
      <c r="W984" s="4"/>
      <c r="X984" s="5">
        <v>40934</v>
      </c>
      <c r="Y984" s="4"/>
      <c r="Z984" s="4"/>
      <c r="AA984" s="4" t="s">
        <v>171</v>
      </c>
      <c r="AB984" s="3" t="str">
        <f>HYPERLINK("https://sitebase.nzcomms.co.nz/spm/spmcandidateview/MBN-051-004-A/","MBN-051-004-A")</f>
        <v>MBN-051-004-A</v>
      </c>
      <c r="AC984" s="4" t="b">
        <v>0</v>
      </c>
      <c r="AD984" s="4" t="b">
        <v>0</v>
      </c>
      <c r="AE984" s="4"/>
      <c r="AF984" s="4"/>
      <c r="AG984" s="4" t="b">
        <v>0</v>
      </c>
      <c r="AH984" s="4"/>
      <c r="AI984" s="5">
        <v>40996</v>
      </c>
      <c r="AJ984" s="5">
        <v>40995</v>
      </c>
      <c r="AK984" s="5">
        <v>41017</v>
      </c>
      <c r="AL984" s="5">
        <v>41019</v>
      </c>
      <c r="AM984" s="5">
        <v>41116</v>
      </c>
      <c r="AN984" s="5">
        <v>41121</v>
      </c>
      <c r="AO984" s="4">
        <v>4</v>
      </c>
      <c r="AP984" s="5">
        <v>41116</v>
      </c>
      <c r="AQ984" s="5">
        <v>42178</v>
      </c>
      <c r="AR984" s="5">
        <v>41163</v>
      </c>
      <c r="AS984" s="5">
        <v>41180</v>
      </c>
      <c r="AT984" s="5">
        <v>41180</v>
      </c>
      <c r="AU984" s="5">
        <v>41180</v>
      </c>
      <c r="AV984" s="4">
        <v>1</v>
      </c>
      <c r="AW984" s="5">
        <v>41180</v>
      </c>
      <c r="AX984" s="5">
        <v>41183</v>
      </c>
      <c r="AY984" s="4" t="s">
        <v>247</v>
      </c>
      <c r="AZ984" s="5">
        <v>41121</v>
      </c>
      <c r="BA984" s="5">
        <v>42199</v>
      </c>
      <c r="BB984" s="5">
        <v>41164</v>
      </c>
      <c r="BC984" s="5">
        <v>42228</v>
      </c>
      <c r="BD984" s="4">
        <v>4</v>
      </c>
      <c r="BE984" s="5">
        <v>41164</v>
      </c>
      <c r="BF984" s="5">
        <v>41151</v>
      </c>
      <c r="BG984" s="4"/>
      <c r="BH984" s="4"/>
      <c r="BI984" s="5">
        <v>41234</v>
      </c>
      <c r="BJ984" s="5">
        <v>41234</v>
      </c>
      <c r="BK984" s="4">
        <v>4</v>
      </c>
      <c r="BL984" s="4"/>
      <c r="BM984" s="5">
        <v>41234</v>
      </c>
      <c r="BN984" s="5">
        <v>42291</v>
      </c>
      <c r="BO984" s="5">
        <v>41246</v>
      </c>
      <c r="BP984" s="4"/>
      <c r="BQ984" s="4"/>
      <c r="BR984" s="4"/>
      <c r="BS984" s="4"/>
      <c r="BT984" s="5">
        <v>41281</v>
      </c>
      <c r="BU984" s="5">
        <v>41281</v>
      </c>
      <c r="BV984" s="5">
        <v>41318</v>
      </c>
      <c r="BW984" s="5">
        <v>41327</v>
      </c>
      <c r="BX984" s="5">
        <v>41284</v>
      </c>
      <c r="BY984" s="5">
        <v>41312</v>
      </c>
      <c r="BZ984" s="5">
        <v>41306</v>
      </c>
      <c r="CA984" s="4"/>
      <c r="CB984" s="4"/>
      <c r="CC984" s="4"/>
      <c r="CD984" s="4"/>
      <c r="CE984" s="4"/>
      <c r="CF984" s="4"/>
      <c r="CG984" s="4"/>
      <c r="CH984" s="4"/>
      <c r="CI984" s="5">
        <v>41307</v>
      </c>
      <c r="CJ984" s="5">
        <v>41320</v>
      </c>
      <c r="CK984" s="5">
        <v>41320</v>
      </c>
      <c r="CL984" s="5">
        <v>41338</v>
      </c>
      <c r="CM984" s="5">
        <v>41338</v>
      </c>
      <c r="CN984" s="5">
        <v>41527</v>
      </c>
      <c r="CO984" s="5">
        <v>41620</v>
      </c>
      <c r="CP984" s="4"/>
      <c r="CQ984" s="4" t="s">
        <v>205</v>
      </c>
      <c r="CR984" s="5">
        <v>41304</v>
      </c>
      <c r="CS984" s="4"/>
      <c r="CT984" s="4"/>
      <c r="CU984" s="5">
        <v>41246</v>
      </c>
      <c r="CV984" s="4"/>
      <c r="CW984" s="5">
        <v>41246</v>
      </c>
      <c r="CX984" s="5">
        <v>41246</v>
      </c>
      <c r="CY984" s="5">
        <v>41296</v>
      </c>
      <c r="CZ984" s="5">
        <v>41299</v>
      </c>
      <c r="DA984" s="5">
        <v>41312</v>
      </c>
      <c r="DB984" s="5">
        <v>41316</v>
      </c>
      <c r="DC984" s="5">
        <v>41001</v>
      </c>
      <c r="DD984" s="4" t="s">
        <v>586</v>
      </c>
      <c r="DE984" s="4" t="s">
        <v>3057</v>
      </c>
      <c r="DF984" s="4"/>
      <c r="DG984" s="4"/>
      <c r="DH984" s="4" t="s">
        <v>174</v>
      </c>
      <c r="DI984" s="5">
        <v>41282</v>
      </c>
      <c r="DJ984" s="4" t="b">
        <v>0</v>
      </c>
      <c r="DK984" s="4"/>
      <c r="DL984" s="4">
        <v>2497618</v>
      </c>
      <c r="DM984" s="4">
        <v>6009199</v>
      </c>
      <c r="DN984" s="4" t="s">
        <v>3078</v>
      </c>
      <c r="DO984" s="4"/>
      <c r="DP984" s="4"/>
      <c r="DQ984" s="4" t="s">
        <v>148</v>
      </c>
      <c r="DR984" s="4"/>
      <c r="DS984" s="4"/>
      <c r="DT984" s="4"/>
      <c r="DU984" s="4"/>
      <c r="DV984" s="4"/>
      <c r="DW984" s="4"/>
      <c r="DX984" s="4"/>
      <c r="DY984" s="4"/>
      <c r="DZ984" s="4"/>
      <c r="EA984" s="4"/>
      <c r="EB984" s="4"/>
      <c r="EC984" s="4"/>
      <c r="ED984" s="4"/>
      <c r="EE984" s="4"/>
      <c r="EF984" s="4"/>
      <c r="EG984" s="5">
        <v>41317</v>
      </c>
      <c r="EH984" s="5">
        <v>41325</v>
      </c>
      <c r="EI984" s="5">
        <v>41019</v>
      </c>
    </row>
    <row r="985" spans="1:139" hidden="1" x14ac:dyDescent="0.2">
      <c r="A985" t="str">
        <f>VLOOKUP(B985,Sheet1!$A$1:$B$18,2,FALSE)</f>
        <v>South Island</v>
      </c>
      <c r="B985" t="str">
        <f>LEFT(D985,3)</f>
        <v>WST</v>
      </c>
      <c r="C985" s="2">
        <v>1720</v>
      </c>
      <c r="D985" s="3" t="str">
        <f>HYPERLINK("https://sitebase.nzcomms.co.nz/spm/spmnominalview/WST-057-001/","WST-057-001")</f>
        <v>WST-057-001</v>
      </c>
      <c r="E985" s="4" t="s">
        <v>5184</v>
      </c>
      <c r="F985" s="3" t="str">
        <f>HYPERLINK("https://sitebase.nzcomms.co.nz/spm/spmcandidateview/WST-057-001-C/","WST-057-001-C")</f>
        <v>WST-057-001-C</v>
      </c>
      <c r="G985" s="4" t="s">
        <v>5185</v>
      </c>
      <c r="H985" s="4" t="s">
        <v>5186</v>
      </c>
      <c r="I985" s="4">
        <v>4</v>
      </c>
      <c r="J985" s="4" t="s">
        <v>180</v>
      </c>
      <c r="K985" s="4" t="s">
        <v>141</v>
      </c>
      <c r="L985" s="4" t="s">
        <v>150</v>
      </c>
      <c r="M985" s="4" t="s">
        <v>190</v>
      </c>
      <c r="N985" s="4" t="s">
        <v>346</v>
      </c>
      <c r="O985" s="4"/>
      <c r="P985" s="4" t="s">
        <v>182</v>
      </c>
      <c r="Q985" s="4" t="s">
        <v>170</v>
      </c>
      <c r="R985" s="4">
        <v>35</v>
      </c>
      <c r="S985" s="4">
        <v>35</v>
      </c>
      <c r="T985" s="4">
        <v>1</v>
      </c>
      <c r="U985" s="4">
        <v>-42.709991899999999</v>
      </c>
      <c r="V985" s="4">
        <v>170.97963196000001</v>
      </c>
      <c r="W985" s="4"/>
      <c r="X985" s="4"/>
      <c r="Y985" s="4"/>
      <c r="Z985" s="4"/>
      <c r="AA985" s="4" t="s">
        <v>145</v>
      </c>
      <c r="AB985" s="3" t="str">
        <f>HYPERLINK("https://sitebase.nzcomms.co.nz/spm/spmcandidateview/WST-056-004-A/","WST-056-004-A")</f>
        <v>WST-056-004-A</v>
      </c>
      <c r="AC985" s="4" t="b">
        <v>0</v>
      </c>
      <c r="AD985" s="4" t="b">
        <v>0</v>
      </c>
      <c r="AE985" s="4"/>
      <c r="AF985" s="4"/>
      <c r="AG985" s="4" t="b">
        <v>0</v>
      </c>
      <c r="AH985" s="4"/>
      <c r="AI985" s="5">
        <v>40974</v>
      </c>
      <c r="AJ985" s="5">
        <v>40974</v>
      </c>
      <c r="AK985" s="5">
        <v>41089</v>
      </c>
      <c r="AL985" s="5">
        <v>41089</v>
      </c>
      <c r="AM985" s="5">
        <v>41102</v>
      </c>
      <c r="AN985" s="5">
        <v>41127</v>
      </c>
      <c r="AO985" s="4">
        <v>2</v>
      </c>
      <c r="AP985" s="5">
        <v>41131</v>
      </c>
      <c r="AQ985" s="5">
        <v>41257</v>
      </c>
      <c r="AR985" s="5">
        <v>41138</v>
      </c>
      <c r="AS985" s="5">
        <v>41137</v>
      </c>
      <c r="AT985" s="5">
        <v>41166</v>
      </c>
      <c r="AU985" s="5">
        <v>41162</v>
      </c>
      <c r="AV985" s="4">
        <v>1</v>
      </c>
      <c r="AW985" s="4"/>
      <c r="AX985" s="5">
        <v>41358</v>
      </c>
      <c r="AY985" s="4" t="s">
        <v>183</v>
      </c>
      <c r="AZ985" s="5">
        <v>41169</v>
      </c>
      <c r="BA985" s="5">
        <v>41155</v>
      </c>
      <c r="BB985" s="5">
        <v>41197</v>
      </c>
      <c r="BC985" s="5">
        <v>41200</v>
      </c>
      <c r="BD985" s="4">
        <v>1</v>
      </c>
      <c r="BE985" s="4"/>
      <c r="BF985" s="4"/>
      <c r="BG985" s="4"/>
      <c r="BH985" s="4"/>
      <c r="BI985" s="5">
        <v>41243</v>
      </c>
      <c r="BJ985" s="5">
        <v>41289</v>
      </c>
      <c r="BK985" s="4">
        <v>1</v>
      </c>
      <c r="BL985" s="4"/>
      <c r="BM985" s="5">
        <v>41288</v>
      </c>
      <c r="BN985" s="5">
        <v>41289</v>
      </c>
      <c r="BO985" s="4"/>
      <c r="BP985" s="4"/>
      <c r="BQ985" s="4"/>
      <c r="BR985" s="5">
        <v>41166</v>
      </c>
      <c r="BS985" s="4"/>
      <c r="BT985" s="5">
        <v>41311</v>
      </c>
      <c r="BU985" s="5">
        <v>41309</v>
      </c>
      <c r="BV985" s="5">
        <v>41327</v>
      </c>
      <c r="BW985" s="5">
        <v>41334</v>
      </c>
      <c r="BX985" s="5">
        <v>41334</v>
      </c>
      <c r="BY985" s="5">
        <v>41333</v>
      </c>
      <c r="BZ985" s="5">
        <v>41344</v>
      </c>
      <c r="CA985" s="4"/>
      <c r="CB985" s="4"/>
      <c r="CC985" s="4"/>
      <c r="CD985" s="4"/>
      <c r="CE985" s="4"/>
      <c r="CF985" s="4"/>
      <c r="CG985" s="4"/>
      <c r="CH985" s="4"/>
      <c r="CI985" s="5">
        <v>41344</v>
      </c>
      <c r="CJ985" s="5">
        <v>41355</v>
      </c>
      <c r="CK985" s="5">
        <v>41351</v>
      </c>
      <c r="CL985" s="5">
        <v>41366</v>
      </c>
      <c r="CM985" s="5">
        <v>41361</v>
      </c>
      <c r="CN985" s="5">
        <v>41466</v>
      </c>
      <c r="CO985" s="5">
        <v>41453</v>
      </c>
      <c r="CP985" s="4" t="s">
        <v>5187</v>
      </c>
      <c r="CQ985" s="4"/>
      <c r="CR985" s="5">
        <v>41334</v>
      </c>
      <c r="CS985" s="5">
        <v>41156</v>
      </c>
      <c r="CT985" s="5">
        <v>41156</v>
      </c>
      <c r="CU985" s="5">
        <v>41218</v>
      </c>
      <c r="CV985" s="4"/>
      <c r="CW985" s="5">
        <v>41218</v>
      </c>
      <c r="CX985" s="4"/>
      <c r="CY985" s="5">
        <v>41331</v>
      </c>
      <c r="CZ985" s="5">
        <v>41337</v>
      </c>
      <c r="DA985" s="5">
        <v>41347</v>
      </c>
      <c r="DB985" s="5">
        <v>41347</v>
      </c>
      <c r="DC985" s="5">
        <v>41155</v>
      </c>
      <c r="DD985" s="4" t="s">
        <v>586</v>
      </c>
      <c r="DE985" s="4" t="s">
        <v>5151</v>
      </c>
      <c r="DF985" s="5">
        <v>41331</v>
      </c>
      <c r="DG985" s="5">
        <v>41338</v>
      </c>
      <c r="DH985" s="4" t="s">
        <v>174</v>
      </c>
      <c r="DI985" s="5">
        <v>41330</v>
      </c>
      <c r="DJ985" s="4" t="b">
        <v>1</v>
      </c>
      <c r="DK985" s="5">
        <v>41166</v>
      </c>
      <c r="DL985" s="4">
        <v>2344510</v>
      </c>
      <c r="DM985" s="4">
        <v>5831035</v>
      </c>
      <c r="DN985" s="4" t="s">
        <v>5188</v>
      </c>
      <c r="DO985" s="4"/>
      <c r="DP985" s="4" t="s">
        <v>5189</v>
      </c>
      <c r="DQ985" s="4" t="s">
        <v>148</v>
      </c>
      <c r="DR985" s="4"/>
      <c r="DS985" s="4"/>
      <c r="DT985" s="4"/>
      <c r="DU985" s="4"/>
      <c r="DV985" s="4"/>
      <c r="DW985" s="4"/>
      <c r="DX985" s="4"/>
      <c r="DY985" s="4"/>
      <c r="DZ985" s="4"/>
      <c r="EA985" s="4"/>
      <c r="EB985" s="4"/>
      <c r="EC985" s="4"/>
      <c r="ED985" s="4"/>
      <c r="EE985" s="4"/>
      <c r="EF985" s="4"/>
      <c r="EG985" s="5">
        <v>41348</v>
      </c>
      <c r="EH985" s="5">
        <v>41348</v>
      </c>
      <c r="EI985" s="4"/>
    </row>
    <row r="986" spans="1:139" hidden="1" x14ac:dyDescent="0.2">
      <c r="A986" t="str">
        <f>VLOOKUP(B986,Sheet1!$A$1:$B$18,2,FALSE)</f>
        <v>South Island</v>
      </c>
      <c r="B986" t="str">
        <f>LEFT(D986,3)</f>
        <v>WST</v>
      </c>
      <c r="C986" s="2">
        <v>1718</v>
      </c>
      <c r="D986" s="3" t="str">
        <f>HYPERLINK("https://sitebase.nzcomms.co.nz/spm/spmnominalview/WST-056-003/","WST-056-003")</f>
        <v>WST-056-003</v>
      </c>
      <c r="E986" s="4" t="s">
        <v>5175</v>
      </c>
      <c r="F986" s="3" t="str">
        <f>HYPERLINK("https://sitebase.nzcomms.co.nz/spm/spmcandidateview/WST-056-003-C/","WST-056-003-C")</f>
        <v>WST-056-003-C</v>
      </c>
      <c r="G986" s="4" t="s">
        <v>5176</v>
      </c>
      <c r="H986" s="4" t="s">
        <v>5167</v>
      </c>
      <c r="I986" s="4">
        <v>4</v>
      </c>
      <c r="J986" s="4" t="s">
        <v>180</v>
      </c>
      <c r="K986" s="4" t="s">
        <v>141</v>
      </c>
      <c r="L986" s="4" t="s">
        <v>150</v>
      </c>
      <c r="M986" s="4" t="s">
        <v>190</v>
      </c>
      <c r="N986" s="4" t="s">
        <v>5177</v>
      </c>
      <c r="O986" s="4"/>
      <c r="P986" s="4" t="s">
        <v>182</v>
      </c>
      <c r="Q986" s="4" t="s">
        <v>192</v>
      </c>
      <c r="R986" s="4">
        <v>20</v>
      </c>
      <c r="S986" s="4">
        <v>22.7</v>
      </c>
      <c r="T986" s="4"/>
      <c r="U986" s="4">
        <v>-42.468825780000003</v>
      </c>
      <c r="V986" s="4">
        <v>171.1899377</v>
      </c>
      <c r="W986" s="4"/>
      <c r="X986" s="4"/>
      <c r="Y986" s="4"/>
      <c r="Z986" s="4"/>
      <c r="AA986" s="4" t="s">
        <v>145</v>
      </c>
      <c r="AB986" s="3" t="str">
        <f>HYPERLINK("https://sitebase.nzcomms.co.nz/spm/spmcandidateview/CHC-060-114-A/","CHC-060-114-A")</f>
        <v>CHC-060-114-A</v>
      </c>
      <c r="AC986" s="4" t="b">
        <v>0</v>
      </c>
      <c r="AD986" s="4" t="b">
        <v>0</v>
      </c>
      <c r="AE986" s="4"/>
      <c r="AF986" s="4"/>
      <c r="AG986" s="4" t="b">
        <v>0</v>
      </c>
      <c r="AH986" s="4"/>
      <c r="AI986" s="5">
        <v>41051</v>
      </c>
      <c r="AJ986" s="5">
        <v>41051</v>
      </c>
      <c r="AK986" s="5">
        <v>41059</v>
      </c>
      <c r="AL986" s="5">
        <v>41059</v>
      </c>
      <c r="AM986" s="5">
        <v>41080</v>
      </c>
      <c r="AN986" s="5">
        <v>41087</v>
      </c>
      <c r="AO986" s="4">
        <v>1</v>
      </c>
      <c r="AP986" s="5">
        <v>41088</v>
      </c>
      <c r="AQ986" s="5">
        <v>41087</v>
      </c>
      <c r="AR986" s="4"/>
      <c r="AS986" s="5">
        <v>41075</v>
      </c>
      <c r="AT986" s="5">
        <v>41255</v>
      </c>
      <c r="AU986" s="5">
        <v>41254</v>
      </c>
      <c r="AV986" s="4">
        <v>1</v>
      </c>
      <c r="AW986" s="5">
        <v>41255</v>
      </c>
      <c r="AX986" s="5">
        <v>41254</v>
      </c>
      <c r="AY986" s="4" t="s">
        <v>172</v>
      </c>
      <c r="AZ986" s="5">
        <v>41201</v>
      </c>
      <c r="BA986" s="5">
        <v>41199</v>
      </c>
      <c r="BB986" s="5">
        <v>41232</v>
      </c>
      <c r="BC986" s="5">
        <v>41215</v>
      </c>
      <c r="BD986" s="4">
        <v>1</v>
      </c>
      <c r="BE986" s="4"/>
      <c r="BF986" s="4"/>
      <c r="BG986" s="5">
        <v>74160</v>
      </c>
      <c r="BH986" s="4"/>
      <c r="BI986" s="5">
        <v>41298</v>
      </c>
      <c r="BJ986" s="5">
        <v>41290</v>
      </c>
      <c r="BK986" s="4">
        <v>2</v>
      </c>
      <c r="BL986" s="4"/>
      <c r="BM986" s="4"/>
      <c r="BN986" s="5">
        <v>41312</v>
      </c>
      <c r="BO986" s="4"/>
      <c r="BP986" s="4"/>
      <c r="BQ986" s="4"/>
      <c r="BR986" s="5">
        <v>41248</v>
      </c>
      <c r="BS986" s="4"/>
      <c r="BT986" s="5">
        <v>41295</v>
      </c>
      <c r="BU986" s="5">
        <v>41295</v>
      </c>
      <c r="BV986" s="5">
        <v>41320</v>
      </c>
      <c r="BW986" s="5">
        <v>41348</v>
      </c>
      <c r="BX986" s="5">
        <v>41348</v>
      </c>
      <c r="BY986" s="5">
        <v>41346</v>
      </c>
      <c r="BZ986" s="5">
        <v>41348</v>
      </c>
      <c r="CA986" s="4"/>
      <c r="CB986" s="4"/>
      <c r="CC986" s="4"/>
      <c r="CD986" s="4"/>
      <c r="CE986" s="4"/>
      <c r="CF986" s="4"/>
      <c r="CG986" s="4"/>
      <c r="CH986" s="4"/>
      <c r="CI986" s="4"/>
      <c r="CJ986" s="5">
        <v>41369</v>
      </c>
      <c r="CK986" s="5">
        <v>41368</v>
      </c>
      <c r="CL986" s="5">
        <v>41380</v>
      </c>
      <c r="CM986" s="5">
        <v>41380</v>
      </c>
      <c r="CN986" s="5">
        <v>41519</v>
      </c>
      <c r="CO986" s="5">
        <v>41513</v>
      </c>
      <c r="CP986" s="4" t="s">
        <v>5178</v>
      </c>
      <c r="CQ986" s="4"/>
      <c r="CR986" s="5">
        <v>41324</v>
      </c>
      <c r="CS986" s="4"/>
      <c r="CT986" s="4"/>
      <c r="CU986" s="4"/>
      <c r="CV986" s="4"/>
      <c r="CW986" s="4"/>
      <c r="CX986" s="4"/>
      <c r="CY986" s="5">
        <v>41348</v>
      </c>
      <c r="CZ986" s="4"/>
      <c r="DA986" s="5">
        <v>41358</v>
      </c>
      <c r="DB986" s="5">
        <v>41366</v>
      </c>
      <c r="DC986" s="5">
        <v>41122</v>
      </c>
      <c r="DD986" s="4" t="s">
        <v>206</v>
      </c>
      <c r="DE986" s="4" t="s">
        <v>5151</v>
      </c>
      <c r="DF986" s="5">
        <v>41320</v>
      </c>
      <c r="DG986" s="5">
        <v>41355</v>
      </c>
      <c r="DH986" s="4" t="s">
        <v>174</v>
      </c>
      <c r="DI986" s="5">
        <v>41323</v>
      </c>
      <c r="DJ986" s="4" t="b">
        <v>1</v>
      </c>
      <c r="DK986" s="5">
        <v>41258</v>
      </c>
      <c r="DL986" s="4">
        <v>2361157</v>
      </c>
      <c r="DM986" s="4">
        <v>5858214</v>
      </c>
      <c r="DN986" s="4" t="s">
        <v>5179</v>
      </c>
      <c r="DO986" s="4"/>
      <c r="DP986" s="4"/>
      <c r="DQ986" s="4" t="s">
        <v>148</v>
      </c>
      <c r="DR986" s="4"/>
      <c r="DS986" s="4"/>
      <c r="DT986" s="4"/>
      <c r="DU986" s="4"/>
      <c r="DV986" s="4"/>
      <c r="DW986" s="4"/>
      <c r="DX986" s="4"/>
      <c r="DY986" s="4"/>
      <c r="DZ986" s="4"/>
      <c r="EA986" s="4"/>
      <c r="EB986" s="4"/>
      <c r="EC986" s="4"/>
      <c r="ED986" s="4"/>
      <c r="EE986" s="4"/>
      <c r="EF986" s="4"/>
      <c r="EG986" s="5">
        <v>41355</v>
      </c>
      <c r="EH986" s="5">
        <v>41368</v>
      </c>
      <c r="EI986" s="4"/>
    </row>
    <row r="987" spans="1:139" hidden="1" x14ac:dyDescent="0.2">
      <c r="A987" t="str">
        <f>VLOOKUP(B987,Sheet1!$A$1:$B$18,2,FALSE)</f>
        <v>South Island</v>
      </c>
      <c r="B987" t="str">
        <f>LEFT(D987,3)</f>
        <v>OTG</v>
      </c>
      <c r="C987" s="2">
        <v>1218</v>
      </c>
      <c r="D987" s="3" t="str">
        <f>HYPERLINK("https://sitebase.nzcomms.co.nz/spm/spmnominalview/OTG-070-011/","OTG-070-011")</f>
        <v>OTG-070-011</v>
      </c>
      <c r="E987" s="4" t="s">
        <v>3708</v>
      </c>
      <c r="F987" s="3" t="str">
        <f>HYPERLINK("https://sitebase.nzcomms.co.nz/spm/spmcandidateview/OTG-070-011-A/","OTG-070-011-A")</f>
        <v>OTG-070-011-A</v>
      </c>
      <c r="G987" s="4" t="s">
        <v>3709</v>
      </c>
      <c r="H987" s="4" t="s">
        <v>3682</v>
      </c>
      <c r="I987" s="4">
        <v>4</v>
      </c>
      <c r="J987" s="4" t="s">
        <v>180</v>
      </c>
      <c r="K987" s="4" t="s">
        <v>141</v>
      </c>
      <c r="L987" s="4" t="s">
        <v>142</v>
      </c>
      <c r="M987" s="4" t="s">
        <v>190</v>
      </c>
      <c r="N987" s="4" t="s">
        <v>142</v>
      </c>
      <c r="O987" s="4"/>
      <c r="P987" s="4" t="s">
        <v>182</v>
      </c>
      <c r="Q987" s="4" t="s">
        <v>142</v>
      </c>
      <c r="R987" s="4"/>
      <c r="S987" s="4"/>
      <c r="T987" s="4"/>
      <c r="U987" s="4">
        <v>-44.729988980000002</v>
      </c>
      <c r="V987" s="4">
        <v>169.11602268999999</v>
      </c>
      <c r="W987" s="4"/>
      <c r="X987" s="4"/>
      <c r="Y987" s="4"/>
      <c r="Z987" s="4"/>
      <c r="AA987" s="4" t="s">
        <v>145</v>
      </c>
      <c r="AB987" s="3" t="str">
        <f>HYPERLINK("https://sitebase.nzcomms.co.nz/spm/spmcandidateview/OTG-070-001-A/","OTG-070-001-A")</f>
        <v>OTG-070-001-A</v>
      </c>
      <c r="AC987" s="4" t="b">
        <v>0</v>
      </c>
      <c r="AD987" s="4" t="b">
        <v>0</v>
      </c>
      <c r="AE987" s="4"/>
      <c r="AF987" s="4"/>
      <c r="AG987" s="4" t="b">
        <v>0</v>
      </c>
      <c r="AH987" s="4"/>
      <c r="AI987" s="5">
        <v>41011</v>
      </c>
      <c r="AJ987" s="5">
        <v>41011</v>
      </c>
      <c r="AK987" s="5">
        <v>41030</v>
      </c>
      <c r="AL987" s="5">
        <v>41030</v>
      </c>
      <c r="AM987" s="5">
        <v>41068</v>
      </c>
      <c r="AN987" s="5">
        <v>41071</v>
      </c>
      <c r="AO987" s="4">
        <v>2</v>
      </c>
      <c r="AP987" s="5">
        <v>41071</v>
      </c>
      <c r="AQ987" s="5">
        <v>41085</v>
      </c>
      <c r="AR987" s="5">
        <v>41110</v>
      </c>
      <c r="AS987" s="5">
        <v>41116</v>
      </c>
      <c r="AT987" s="5">
        <v>41222</v>
      </c>
      <c r="AU987" s="5">
        <v>41227</v>
      </c>
      <c r="AV987" s="4"/>
      <c r="AW987" s="4"/>
      <c r="AX987" s="5">
        <v>41264</v>
      </c>
      <c r="AY987" s="4" t="s">
        <v>247</v>
      </c>
      <c r="AZ987" s="5">
        <v>41136</v>
      </c>
      <c r="BA987" s="5">
        <v>41130</v>
      </c>
      <c r="BB987" s="5">
        <v>41235</v>
      </c>
      <c r="BC987" s="5">
        <v>41221</v>
      </c>
      <c r="BD987" s="4">
        <v>2</v>
      </c>
      <c r="BE987" s="5">
        <v>41166</v>
      </c>
      <c r="BF987" s="4"/>
      <c r="BG987" s="5">
        <v>41289</v>
      </c>
      <c r="BH987" s="4"/>
      <c r="BI987" s="5">
        <v>41289</v>
      </c>
      <c r="BJ987" s="5">
        <v>41290</v>
      </c>
      <c r="BK987" s="4">
        <v>1</v>
      </c>
      <c r="BL987" s="4"/>
      <c r="BM987" s="4"/>
      <c r="BN987" s="5">
        <v>41290</v>
      </c>
      <c r="BO987" s="5">
        <v>41320</v>
      </c>
      <c r="BP987" s="5">
        <v>41289</v>
      </c>
      <c r="BQ987" s="4"/>
      <c r="BR987" s="4"/>
      <c r="BS987" s="4"/>
      <c r="BT987" s="5">
        <v>41316</v>
      </c>
      <c r="BU987" s="5">
        <v>41321</v>
      </c>
      <c r="BV987" s="5">
        <v>41330</v>
      </c>
      <c r="BW987" s="5">
        <v>41340</v>
      </c>
      <c r="BX987" s="5">
        <v>41324</v>
      </c>
      <c r="BY987" s="5">
        <v>41332</v>
      </c>
      <c r="BZ987" s="5">
        <v>41341</v>
      </c>
      <c r="CA987" s="4"/>
      <c r="CB987" s="4"/>
      <c r="CC987" s="4"/>
      <c r="CD987" s="4"/>
      <c r="CE987" s="4"/>
      <c r="CF987" s="4"/>
      <c r="CG987" s="4"/>
      <c r="CH987" s="4"/>
      <c r="CI987" s="5">
        <v>41341</v>
      </c>
      <c r="CJ987" s="5">
        <v>41375</v>
      </c>
      <c r="CK987" s="5">
        <v>41375</v>
      </c>
      <c r="CL987" s="5">
        <v>41384</v>
      </c>
      <c r="CM987" s="5">
        <v>41376</v>
      </c>
      <c r="CN987" s="5">
        <v>41530</v>
      </c>
      <c r="CO987" s="5">
        <v>41527</v>
      </c>
      <c r="CP987" s="4" t="s">
        <v>3710</v>
      </c>
      <c r="CQ987" s="4" t="s">
        <v>230</v>
      </c>
      <c r="CR987" s="5">
        <v>41341</v>
      </c>
      <c r="CS987" s="5">
        <v>41263</v>
      </c>
      <c r="CT987" s="5">
        <v>41263</v>
      </c>
      <c r="CU987" s="5">
        <v>41320</v>
      </c>
      <c r="CV987" s="5">
        <v>41320</v>
      </c>
      <c r="CW987" s="5">
        <v>41320</v>
      </c>
      <c r="CX987" s="5">
        <v>41320</v>
      </c>
      <c r="CY987" s="5">
        <v>41332</v>
      </c>
      <c r="CZ987" s="5">
        <v>41340</v>
      </c>
      <c r="DA987" s="5">
        <v>41346</v>
      </c>
      <c r="DB987" s="5">
        <v>41351</v>
      </c>
      <c r="DC987" s="4"/>
      <c r="DD987" s="4" t="s">
        <v>586</v>
      </c>
      <c r="DE987" s="4" t="s">
        <v>3657</v>
      </c>
      <c r="DF987" s="5">
        <v>41325</v>
      </c>
      <c r="DG987" s="5">
        <v>41332</v>
      </c>
      <c r="DH987" s="4" t="s">
        <v>174</v>
      </c>
      <c r="DI987" s="5">
        <v>41324</v>
      </c>
      <c r="DJ987" s="4" t="b">
        <v>0</v>
      </c>
      <c r="DK987" s="4"/>
      <c r="DL987" s="4">
        <v>2202425</v>
      </c>
      <c r="DM987" s="4">
        <v>5601423</v>
      </c>
      <c r="DN987" s="4" t="s">
        <v>3711</v>
      </c>
      <c r="DO987" s="4"/>
      <c r="DP987" s="4" t="s">
        <v>3712</v>
      </c>
      <c r="DQ987" s="4" t="s">
        <v>148</v>
      </c>
      <c r="DR987" s="4"/>
      <c r="DS987" s="4"/>
      <c r="DT987" s="4"/>
      <c r="DU987" s="4"/>
      <c r="DV987" s="4"/>
      <c r="DW987" s="4"/>
      <c r="DX987" s="4"/>
      <c r="DY987" s="4"/>
      <c r="DZ987" s="4"/>
      <c r="EA987" s="4"/>
      <c r="EB987" s="4"/>
      <c r="EC987" s="4"/>
      <c r="ED987" s="4"/>
      <c r="EE987" s="4"/>
      <c r="EF987" s="4"/>
      <c r="EG987" s="5">
        <v>41348</v>
      </c>
      <c r="EH987" s="5">
        <v>41352</v>
      </c>
      <c r="EI987" s="4"/>
    </row>
    <row r="988" spans="1:139" hidden="1" x14ac:dyDescent="0.2">
      <c r="A988" t="str">
        <f>VLOOKUP(B988,Sheet1!$A$1:$B$18,2,FALSE)</f>
        <v>South Island</v>
      </c>
      <c r="B988" t="str">
        <f>LEFT(D988,3)</f>
        <v>OTG</v>
      </c>
      <c r="C988" s="2">
        <v>1222</v>
      </c>
      <c r="D988" s="3" t="str">
        <f>HYPERLINK("https://sitebase.nzcomms.co.nz/spm/spmnominalview/OTG-070-015/","OTG-070-015")</f>
        <v>OTG-070-015</v>
      </c>
      <c r="E988" s="4" t="s">
        <v>3721</v>
      </c>
      <c r="F988" s="3" t="str">
        <f>HYPERLINK("https://sitebase.nzcomms.co.nz/spm/spmcandidateview/OTG-070-015-A/","OTG-070-015-A")</f>
        <v>OTG-070-015-A</v>
      </c>
      <c r="G988" s="4" t="s">
        <v>3722</v>
      </c>
      <c r="H988" s="4" t="s">
        <v>3682</v>
      </c>
      <c r="I988" s="4">
        <v>4</v>
      </c>
      <c r="J988" s="4" t="s">
        <v>180</v>
      </c>
      <c r="K988" s="4" t="s">
        <v>141</v>
      </c>
      <c r="L988" s="4" t="s">
        <v>142</v>
      </c>
      <c r="M988" s="4" t="s">
        <v>324</v>
      </c>
      <c r="N988" s="4"/>
      <c r="O988" s="4"/>
      <c r="P988" s="4"/>
      <c r="Q988" s="4" t="s">
        <v>142</v>
      </c>
      <c r="R988" s="4"/>
      <c r="S988" s="4"/>
      <c r="T988" s="4"/>
      <c r="U988" s="4">
        <v>-45.031857600000002</v>
      </c>
      <c r="V988" s="4">
        <v>168.66279981</v>
      </c>
      <c r="W988" s="4"/>
      <c r="X988" s="4"/>
      <c r="Y988" s="4"/>
      <c r="Z988" s="4"/>
      <c r="AA988" s="4"/>
      <c r="AB988" s="4"/>
      <c r="AC988" s="4" t="b">
        <v>0</v>
      </c>
      <c r="AD988" s="4" t="b">
        <v>0</v>
      </c>
      <c r="AE988" s="4"/>
      <c r="AF988" s="4"/>
      <c r="AG988" s="4" t="b">
        <v>0</v>
      </c>
      <c r="AH988" s="4"/>
      <c r="AI988" s="5">
        <v>41256</v>
      </c>
      <c r="AJ988" s="5">
        <v>41256</v>
      </c>
      <c r="AK988" s="5">
        <v>41256</v>
      </c>
      <c r="AL988" s="5">
        <v>41256</v>
      </c>
      <c r="AM988" s="5">
        <v>41256</v>
      </c>
      <c r="AN988" s="5">
        <v>41297</v>
      </c>
      <c r="AO988" s="4">
        <v>1</v>
      </c>
      <c r="AP988" s="5">
        <v>41256</v>
      </c>
      <c r="AQ988" s="5">
        <v>41297</v>
      </c>
      <c r="AR988" s="5">
        <v>41256</v>
      </c>
      <c r="AS988" s="5">
        <v>41256</v>
      </c>
      <c r="AT988" s="4"/>
      <c r="AU988" s="5">
        <v>41299</v>
      </c>
      <c r="AV988" s="4"/>
      <c r="AW988" s="4"/>
      <c r="AX988" s="5">
        <v>41299</v>
      </c>
      <c r="AY988" s="4" t="s">
        <v>172</v>
      </c>
      <c r="AZ988" s="5">
        <v>41313</v>
      </c>
      <c r="BA988" s="5">
        <v>41299</v>
      </c>
      <c r="BB988" s="5">
        <v>41313</v>
      </c>
      <c r="BC988" s="5">
        <v>41299</v>
      </c>
      <c r="BD988" s="4">
        <v>1</v>
      </c>
      <c r="BE988" s="4"/>
      <c r="BF988" s="4"/>
      <c r="BG988" s="4"/>
      <c r="BH988" s="4"/>
      <c r="BI988" s="5">
        <v>41313</v>
      </c>
      <c r="BJ988" s="5">
        <v>41316</v>
      </c>
      <c r="BK988" s="4">
        <v>1</v>
      </c>
      <c r="BL988" s="4"/>
      <c r="BM988" s="5">
        <v>41313</v>
      </c>
      <c r="BN988" s="5">
        <v>41316</v>
      </c>
      <c r="BO988" s="4"/>
      <c r="BP988" s="4"/>
      <c r="BQ988" s="4"/>
      <c r="BR988" s="4"/>
      <c r="BS988" s="4"/>
      <c r="BT988" s="5">
        <v>41299</v>
      </c>
      <c r="BU988" s="5">
        <v>41299</v>
      </c>
      <c r="BV988" s="5">
        <v>41327</v>
      </c>
      <c r="BW988" s="5">
        <v>41355</v>
      </c>
      <c r="BX988" s="5">
        <v>41299</v>
      </c>
      <c r="BY988" s="5">
        <v>41387</v>
      </c>
      <c r="BZ988" s="5">
        <v>41388</v>
      </c>
      <c r="CA988" s="4"/>
      <c r="CB988" s="4"/>
      <c r="CC988" s="4"/>
      <c r="CD988" s="4"/>
      <c r="CE988" s="4"/>
      <c r="CF988" s="4"/>
      <c r="CG988" s="4"/>
      <c r="CH988" s="4"/>
      <c r="CI988" s="4"/>
      <c r="CJ988" s="5">
        <v>41394</v>
      </c>
      <c r="CK988" s="5">
        <v>41394</v>
      </c>
      <c r="CL988" s="5">
        <v>41409</v>
      </c>
      <c r="CM988" s="5">
        <v>41409</v>
      </c>
      <c r="CN988" s="5">
        <v>41523</v>
      </c>
      <c r="CO988" s="5">
        <v>41523</v>
      </c>
      <c r="CP988" s="4" t="s">
        <v>3723</v>
      </c>
      <c r="CQ988" s="4"/>
      <c r="CR988" s="5">
        <v>41380</v>
      </c>
      <c r="CS988" s="4"/>
      <c r="CT988" s="4"/>
      <c r="CU988" s="5">
        <v>41337</v>
      </c>
      <c r="CV988" s="5">
        <v>41337</v>
      </c>
      <c r="CW988" s="4"/>
      <c r="CX988" s="4"/>
      <c r="CY988" s="5">
        <v>41379</v>
      </c>
      <c r="CZ988" s="5">
        <v>41379</v>
      </c>
      <c r="DA988" s="4"/>
      <c r="DB988" s="4"/>
      <c r="DC988" s="4"/>
      <c r="DD988" s="4"/>
      <c r="DE988" s="4" t="s">
        <v>1982</v>
      </c>
      <c r="DF988" s="4"/>
      <c r="DG988" s="4"/>
      <c r="DH988" s="4" t="s">
        <v>174</v>
      </c>
      <c r="DI988" s="5">
        <v>41299</v>
      </c>
      <c r="DJ988" s="4" t="b">
        <v>0</v>
      </c>
      <c r="DK988" s="4"/>
      <c r="DL988" s="4">
        <v>2168336</v>
      </c>
      <c r="DM988" s="4">
        <v>5566137</v>
      </c>
      <c r="DN988" s="4" t="s">
        <v>3724</v>
      </c>
      <c r="DO988" s="4"/>
      <c r="DP988" s="4"/>
      <c r="DQ988" s="4" t="s">
        <v>328</v>
      </c>
      <c r="DR988" s="4"/>
      <c r="DS988" s="4"/>
      <c r="DT988" s="4"/>
      <c r="DU988" s="4"/>
      <c r="DV988" s="4"/>
      <c r="DW988" s="4"/>
      <c r="DX988" s="4"/>
      <c r="DY988" s="4"/>
      <c r="DZ988" s="4"/>
      <c r="EA988" s="4"/>
      <c r="EB988" s="4"/>
      <c r="EC988" s="4"/>
      <c r="ED988" s="4"/>
      <c r="EE988" s="4"/>
      <c r="EF988" s="4"/>
      <c r="EG988" s="5">
        <v>41389</v>
      </c>
      <c r="EH988" s="5">
        <v>41400</v>
      </c>
      <c r="EI988" s="5">
        <v>41256</v>
      </c>
    </row>
    <row r="989" spans="1:139" hidden="1" x14ac:dyDescent="0.2">
      <c r="A989" t="str">
        <f>VLOOKUP(B989,Sheet1!$A$1:$B$18,2,FALSE)</f>
        <v>South Island</v>
      </c>
      <c r="B989" t="str">
        <f>LEFT(D989,3)</f>
        <v>MBN</v>
      </c>
      <c r="C989" s="2">
        <v>1034</v>
      </c>
      <c r="D989" s="3" t="str">
        <f>HYPERLINK("https://sitebase.nzcomms.co.nz/spm/spmnominalview/MBN-053-012/","MBN-053-012")</f>
        <v>MBN-053-012</v>
      </c>
      <c r="E989" s="4" t="s">
        <v>3173</v>
      </c>
      <c r="F989" s="3" t="str">
        <f>HYPERLINK("https://sitebase.nzcomms.co.nz/spm/spmcandidateview/MBN-053-012-D/","MBN-053-012-D")</f>
        <v>MBN-053-012-D</v>
      </c>
      <c r="G989" s="4" t="s">
        <v>3174</v>
      </c>
      <c r="H989" s="4" t="s">
        <v>3152</v>
      </c>
      <c r="I989" s="4">
        <v>6</v>
      </c>
      <c r="J989" s="4" t="s">
        <v>584</v>
      </c>
      <c r="K989" s="4" t="s">
        <v>141</v>
      </c>
      <c r="L989" s="4" t="s">
        <v>150</v>
      </c>
      <c r="M989" s="4" t="s">
        <v>190</v>
      </c>
      <c r="N989" s="4" t="s">
        <v>346</v>
      </c>
      <c r="O989" s="4" t="s">
        <v>168</v>
      </c>
      <c r="P989" s="4" t="s">
        <v>169</v>
      </c>
      <c r="Q989" s="4" t="s">
        <v>170</v>
      </c>
      <c r="R989" s="4">
        <v>10.6</v>
      </c>
      <c r="S989" s="4">
        <v>12.55</v>
      </c>
      <c r="T989" s="4"/>
      <c r="U989" s="4">
        <v>-41.545842780000001</v>
      </c>
      <c r="V989" s="4">
        <v>173.98461746000001</v>
      </c>
      <c r="W989" s="4"/>
      <c r="X989" s="5">
        <v>40919</v>
      </c>
      <c r="Y989" s="4"/>
      <c r="Z989" s="4"/>
      <c r="AA989" s="4" t="s">
        <v>171</v>
      </c>
      <c r="AB989" s="3" t="str">
        <f>HYPERLINK("https://sitebase.nzcomms.co.nz/spm/spmcandidateview/MBN-053-004-A/","MBN-053-004-A")</f>
        <v>MBN-053-004-A</v>
      </c>
      <c r="AC989" s="4" t="b">
        <v>0</v>
      </c>
      <c r="AD989" s="4" t="b">
        <v>0</v>
      </c>
      <c r="AE989" s="4"/>
      <c r="AF989" s="4"/>
      <c r="AG989" s="4" t="b">
        <v>0</v>
      </c>
      <c r="AH989" s="4"/>
      <c r="AI989" s="5">
        <v>40990</v>
      </c>
      <c r="AJ989" s="5">
        <v>40989</v>
      </c>
      <c r="AK989" s="5">
        <v>41001</v>
      </c>
      <c r="AL989" s="5">
        <v>41001</v>
      </c>
      <c r="AM989" s="5">
        <v>41073</v>
      </c>
      <c r="AN989" s="5">
        <v>41074</v>
      </c>
      <c r="AO989" s="4">
        <v>3</v>
      </c>
      <c r="AP989" s="5">
        <v>41073</v>
      </c>
      <c r="AQ989" s="5">
        <v>41746</v>
      </c>
      <c r="AR989" s="5">
        <v>41292</v>
      </c>
      <c r="AS989" s="5">
        <v>41292</v>
      </c>
      <c r="AT989" s="5">
        <v>41779</v>
      </c>
      <c r="AU989" s="5">
        <v>41779</v>
      </c>
      <c r="AV989" s="4"/>
      <c r="AW989" s="5">
        <v>41815</v>
      </c>
      <c r="AX989" s="5">
        <v>41810</v>
      </c>
      <c r="AY989" s="4" t="s">
        <v>172</v>
      </c>
      <c r="AZ989" s="5">
        <v>41080</v>
      </c>
      <c r="BA989" s="5">
        <v>41075</v>
      </c>
      <c r="BB989" s="5">
        <v>41122</v>
      </c>
      <c r="BC989" s="5">
        <v>41103</v>
      </c>
      <c r="BD989" s="4">
        <v>1</v>
      </c>
      <c r="BE989" s="5">
        <v>41122</v>
      </c>
      <c r="BF989" s="5">
        <v>41103</v>
      </c>
      <c r="BG989" s="5">
        <v>41696</v>
      </c>
      <c r="BH989" s="5">
        <v>41696</v>
      </c>
      <c r="BI989" s="5">
        <v>41805</v>
      </c>
      <c r="BJ989" s="5">
        <v>41746</v>
      </c>
      <c r="BK989" s="4">
        <v>1</v>
      </c>
      <c r="BL989" s="4"/>
      <c r="BM989" s="5">
        <v>41805</v>
      </c>
      <c r="BN989" s="5">
        <v>41746</v>
      </c>
      <c r="BO989" s="4"/>
      <c r="BP989" s="4"/>
      <c r="BQ989" s="4"/>
      <c r="BR989" s="4"/>
      <c r="BS989" s="4"/>
      <c r="BT989" s="5">
        <v>41835</v>
      </c>
      <c r="BU989" s="5">
        <v>41813</v>
      </c>
      <c r="BV989" s="5">
        <v>41866</v>
      </c>
      <c r="BW989" s="5">
        <v>41852</v>
      </c>
      <c r="BX989" s="5">
        <v>41835</v>
      </c>
      <c r="BY989" s="5">
        <v>41876</v>
      </c>
      <c r="BZ989" s="5">
        <v>41858</v>
      </c>
      <c r="CA989" s="4"/>
      <c r="CB989" s="5">
        <v>41858</v>
      </c>
      <c r="CC989" s="4"/>
      <c r="CD989" s="4"/>
      <c r="CE989" s="4"/>
      <c r="CF989" s="4"/>
      <c r="CG989" s="4"/>
      <c r="CH989" s="4"/>
      <c r="CI989" s="4"/>
      <c r="CJ989" s="5">
        <v>41881</v>
      </c>
      <c r="CK989" s="5">
        <v>41880</v>
      </c>
      <c r="CL989" s="4"/>
      <c r="CM989" s="4"/>
      <c r="CN989" s="4"/>
      <c r="CO989" s="4"/>
      <c r="CP989" s="4" t="s">
        <v>3175</v>
      </c>
      <c r="CQ989" s="4"/>
      <c r="CR989" s="4"/>
      <c r="CS989" s="4"/>
      <c r="CT989" s="4"/>
      <c r="CU989" s="4"/>
      <c r="CV989" s="4"/>
      <c r="CW989" s="4"/>
      <c r="CX989" s="4"/>
      <c r="CY989" s="4"/>
      <c r="CZ989" s="4"/>
      <c r="DA989" s="5">
        <v>41881</v>
      </c>
      <c r="DB989" s="5">
        <v>41857</v>
      </c>
      <c r="DC989" s="5">
        <v>41001</v>
      </c>
      <c r="DD989" s="4" t="s">
        <v>586</v>
      </c>
      <c r="DE989" s="4" t="s">
        <v>3155</v>
      </c>
      <c r="DF989" s="4"/>
      <c r="DG989" s="4"/>
      <c r="DH989" s="4" t="s">
        <v>174</v>
      </c>
      <c r="DI989" s="5">
        <v>41871</v>
      </c>
      <c r="DJ989" s="4" t="b">
        <v>0</v>
      </c>
      <c r="DK989" s="4"/>
      <c r="DL989" s="4">
        <v>2592135</v>
      </c>
      <c r="DM989" s="4">
        <v>5961878</v>
      </c>
      <c r="DN989" s="4" t="s">
        <v>3176</v>
      </c>
      <c r="DO989" s="4"/>
      <c r="DP989" s="4" t="s">
        <v>3177</v>
      </c>
      <c r="DQ989" s="4" t="s">
        <v>148</v>
      </c>
      <c r="DR989" s="4"/>
      <c r="DS989" s="4"/>
      <c r="DT989" s="5">
        <v>42101</v>
      </c>
      <c r="DU989" s="4"/>
      <c r="DV989" s="4"/>
      <c r="DW989" s="4"/>
      <c r="DX989" s="4"/>
      <c r="DY989" s="4"/>
      <c r="DZ989" s="4"/>
      <c r="EA989" s="4"/>
      <c r="EB989" s="4"/>
      <c r="EC989" s="4"/>
      <c r="ED989" s="4"/>
      <c r="EE989" s="4"/>
      <c r="EF989" s="4"/>
      <c r="EG989" s="4"/>
      <c r="EH989" s="4"/>
      <c r="EI989" s="5">
        <v>41001</v>
      </c>
    </row>
    <row r="990" spans="1:139" hidden="1" x14ac:dyDescent="0.2">
      <c r="A990" t="str">
        <f>VLOOKUP(B990,Sheet1!$A$1:$B$18,2,FALSE)</f>
        <v>South Island</v>
      </c>
      <c r="B990" t="str">
        <f>LEFT(D990,3)</f>
        <v>OTG</v>
      </c>
      <c r="C990" s="2">
        <v>1199</v>
      </c>
      <c r="D990" s="3" t="str">
        <f>HYPERLINK("https://sitebase.nzcomms.co.nz/spm/spmnominalview/OTG-069-003/","OTG-069-003")</f>
        <v>OTG-069-003</v>
      </c>
      <c r="E990" s="4" t="s">
        <v>3654</v>
      </c>
      <c r="F990" s="3" t="str">
        <f>HYPERLINK("https://sitebase.nzcomms.co.nz/spm/spmcandidateview/OTG-069-003-A/","OTG-069-003-A")</f>
        <v>OTG-069-003-A</v>
      </c>
      <c r="G990" s="4" t="s">
        <v>3655</v>
      </c>
      <c r="H990" s="4" t="s">
        <v>3653</v>
      </c>
      <c r="I990" s="4">
        <v>21</v>
      </c>
      <c r="J990" s="4" t="s">
        <v>165</v>
      </c>
      <c r="K990" s="4" t="s">
        <v>141</v>
      </c>
      <c r="L990" s="4" t="s">
        <v>150</v>
      </c>
      <c r="M990" s="4" t="s">
        <v>190</v>
      </c>
      <c r="N990" s="4"/>
      <c r="O990" s="4"/>
      <c r="P990" s="4" t="s">
        <v>182</v>
      </c>
      <c r="Q990" s="4" t="s">
        <v>170</v>
      </c>
      <c r="R990" s="4">
        <v>15</v>
      </c>
      <c r="S990" s="4">
        <v>15</v>
      </c>
      <c r="T990" s="4"/>
      <c r="U990" s="4">
        <v>-45.186457859999997</v>
      </c>
      <c r="V990" s="4">
        <v>169.30043151999999</v>
      </c>
      <c r="W990" s="4"/>
      <c r="X990" s="4"/>
      <c r="Y990" s="4"/>
      <c r="Z990" s="4"/>
      <c r="AA990" s="4"/>
      <c r="AB990" s="4"/>
      <c r="AC990" s="4" t="b">
        <v>0</v>
      </c>
      <c r="AD990" s="4" t="b">
        <v>0</v>
      </c>
      <c r="AE990" s="4"/>
      <c r="AF990" s="4"/>
      <c r="AG990" s="4" t="b">
        <v>0</v>
      </c>
      <c r="AH990" s="4"/>
      <c r="AI990" s="5">
        <v>41011</v>
      </c>
      <c r="AJ990" s="5">
        <v>41011</v>
      </c>
      <c r="AK990" s="5">
        <v>41032</v>
      </c>
      <c r="AL990" s="5">
        <v>41032</v>
      </c>
      <c r="AM990" s="5">
        <v>41061</v>
      </c>
      <c r="AN990" s="5">
        <v>41066</v>
      </c>
      <c r="AO990" s="4">
        <v>2</v>
      </c>
      <c r="AP990" s="5">
        <v>41061</v>
      </c>
      <c r="AQ990" s="5">
        <v>42150</v>
      </c>
      <c r="AR990" s="5">
        <v>41095</v>
      </c>
      <c r="AS990" s="5">
        <v>41092</v>
      </c>
      <c r="AT990" s="5">
        <v>41138</v>
      </c>
      <c r="AU990" s="5">
        <v>41138</v>
      </c>
      <c r="AV990" s="4">
        <v>1</v>
      </c>
      <c r="AW990" s="4"/>
      <c r="AX990" s="5">
        <v>41141</v>
      </c>
      <c r="AY990" s="4" t="s">
        <v>172</v>
      </c>
      <c r="AZ990" s="5">
        <v>41136</v>
      </c>
      <c r="BA990" s="5">
        <v>41103</v>
      </c>
      <c r="BB990" s="5">
        <v>41164</v>
      </c>
      <c r="BC990" s="5">
        <v>41124</v>
      </c>
      <c r="BD990" s="4">
        <v>1</v>
      </c>
      <c r="BE990" s="4"/>
      <c r="BF990" s="5">
        <v>41124</v>
      </c>
      <c r="BG990" s="5">
        <v>41950</v>
      </c>
      <c r="BH990" s="5">
        <v>41950</v>
      </c>
      <c r="BI990" s="5">
        <v>42122</v>
      </c>
      <c r="BJ990" s="5">
        <v>42058</v>
      </c>
      <c r="BK990" s="4">
        <v>2</v>
      </c>
      <c r="BL990" s="4"/>
      <c r="BM990" s="4"/>
      <c r="BN990" s="5">
        <v>42200</v>
      </c>
      <c r="BO990" s="5">
        <v>42165</v>
      </c>
      <c r="BP990" s="4"/>
      <c r="BQ990" s="4"/>
      <c r="BR990" s="4"/>
      <c r="BS990" s="4"/>
      <c r="BT990" s="5">
        <v>42143</v>
      </c>
      <c r="BU990" s="5">
        <v>42142</v>
      </c>
      <c r="BV990" s="5">
        <v>42181</v>
      </c>
      <c r="BW990" s="5">
        <v>42186</v>
      </c>
      <c r="BX990" s="5">
        <v>42163</v>
      </c>
      <c r="BY990" s="5">
        <v>42195</v>
      </c>
      <c r="BZ990" s="5">
        <v>42198</v>
      </c>
      <c r="CA990" s="5">
        <v>42187</v>
      </c>
      <c r="CB990" s="4"/>
      <c r="CC990" s="4"/>
      <c r="CD990" s="4"/>
      <c r="CE990" s="4"/>
      <c r="CF990" s="4"/>
      <c r="CG990" s="4"/>
      <c r="CH990" s="4"/>
      <c r="CI990" s="5">
        <v>42198</v>
      </c>
      <c r="CJ990" s="5">
        <v>42209</v>
      </c>
      <c r="CK990" s="5">
        <v>42215</v>
      </c>
      <c r="CL990" s="4"/>
      <c r="CM990" s="5">
        <v>42229</v>
      </c>
      <c r="CN990" s="4"/>
      <c r="CO990" s="4"/>
      <c r="CP990" s="4" t="s">
        <v>3656</v>
      </c>
      <c r="CQ990" s="4" t="s">
        <v>230</v>
      </c>
      <c r="CR990" s="5">
        <v>42195</v>
      </c>
      <c r="CS990" s="4"/>
      <c r="CT990" s="4"/>
      <c r="CU990" s="5">
        <v>42132</v>
      </c>
      <c r="CV990" s="5">
        <v>42151</v>
      </c>
      <c r="CW990" s="5">
        <v>42153</v>
      </c>
      <c r="CX990" s="5">
        <v>42165</v>
      </c>
      <c r="CY990" s="5">
        <v>42181</v>
      </c>
      <c r="CZ990" s="5">
        <v>42186</v>
      </c>
      <c r="DA990" s="5">
        <v>42205</v>
      </c>
      <c r="DB990" s="5">
        <v>42200</v>
      </c>
      <c r="DC990" s="5">
        <v>41080</v>
      </c>
      <c r="DD990" s="4" t="s">
        <v>586</v>
      </c>
      <c r="DE990" s="4" t="s">
        <v>3657</v>
      </c>
      <c r="DF990" s="5">
        <v>42139</v>
      </c>
      <c r="DG990" s="4"/>
      <c r="DH990" s="4" t="s">
        <v>174</v>
      </c>
      <c r="DI990" s="5">
        <v>42170</v>
      </c>
      <c r="DJ990" s="4" t="b">
        <v>0</v>
      </c>
      <c r="DK990" s="4"/>
      <c r="DL990" s="4">
        <v>2219287</v>
      </c>
      <c r="DM990" s="4">
        <v>5551422</v>
      </c>
      <c r="DN990" s="4" t="s">
        <v>3658</v>
      </c>
      <c r="DO990" s="4"/>
      <c r="DP990" s="4" t="s">
        <v>3659</v>
      </c>
      <c r="DQ990" s="4" t="s">
        <v>148</v>
      </c>
      <c r="DR990" s="4"/>
      <c r="DS990" s="4"/>
      <c r="DT990" s="4"/>
      <c r="DU990" s="4" t="s">
        <v>178</v>
      </c>
      <c r="DV990" s="4"/>
      <c r="DW990" s="5">
        <v>42076</v>
      </c>
      <c r="DX990" s="5">
        <v>42039</v>
      </c>
      <c r="DY990" s="5">
        <v>42093</v>
      </c>
      <c r="DZ990" s="5">
        <v>42090</v>
      </c>
      <c r="EA990" s="4"/>
      <c r="EB990" s="4"/>
      <c r="EC990" s="4"/>
      <c r="ED990" s="4"/>
      <c r="EE990" s="5">
        <v>42137</v>
      </c>
      <c r="EF990" s="5">
        <v>42137</v>
      </c>
      <c r="EG990" s="5">
        <v>42201</v>
      </c>
      <c r="EH990" s="5">
        <v>42208</v>
      </c>
      <c r="EI990" s="5">
        <v>41032</v>
      </c>
    </row>
    <row r="991" spans="1:139" hidden="1" x14ac:dyDescent="0.2">
      <c r="A991" t="str">
        <f>VLOOKUP(B991,Sheet1!$A$1:$B$18,2,FALSE)</f>
        <v>South Island</v>
      </c>
      <c r="B991" t="str">
        <f>LEFT(D991,3)</f>
        <v>STH</v>
      </c>
      <c r="C991" s="2">
        <v>1297</v>
      </c>
      <c r="D991" s="3" t="str">
        <f>HYPERLINK("https://sitebase.nzcomms.co.nz/spm/spmnominalview/STH-073-020/","STH-073-020")</f>
        <v>STH-073-020</v>
      </c>
      <c r="E991" s="4" t="s">
        <v>3892</v>
      </c>
      <c r="F991" s="3" t="str">
        <f>HYPERLINK("https://sitebase.nzcomms.co.nz/spm/spmcandidateview/STH-073-020-A/","STH-073-020-A")</f>
        <v>STH-073-020-A</v>
      </c>
      <c r="G991" s="4" t="s">
        <v>3893</v>
      </c>
      <c r="H991" s="4" t="s">
        <v>3879</v>
      </c>
      <c r="I991" s="4">
        <v>21</v>
      </c>
      <c r="J991" s="4" t="s">
        <v>165</v>
      </c>
      <c r="K991" s="4" t="s">
        <v>141</v>
      </c>
      <c r="L991" s="4" t="s">
        <v>150</v>
      </c>
      <c r="M991" s="4" t="s">
        <v>190</v>
      </c>
      <c r="N991" s="4" t="s">
        <v>291</v>
      </c>
      <c r="O991" s="4"/>
      <c r="P991" s="4" t="s">
        <v>182</v>
      </c>
      <c r="Q991" s="4" t="s">
        <v>192</v>
      </c>
      <c r="R991" s="4"/>
      <c r="S991" s="4"/>
      <c r="T991" s="4"/>
      <c r="U991" s="4">
        <v>-45.411857390000002</v>
      </c>
      <c r="V991" s="4">
        <v>167.73022409000001</v>
      </c>
      <c r="W991" s="4"/>
      <c r="X991" s="4"/>
      <c r="Y991" s="4"/>
      <c r="Z991" s="4"/>
      <c r="AA991" s="4"/>
      <c r="AB991" s="4"/>
      <c r="AC991" s="4" t="b">
        <v>0</v>
      </c>
      <c r="AD991" s="4" t="b">
        <v>0</v>
      </c>
      <c r="AE991" s="4"/>
      <c r="AF991" s="4"/>
      <c r="AG991" s="4" t="b">
        <v>0</v>
      </c>
      <c r="AH991" s="4"/>
      <c r="AI991" s="5">
        <v>41012</v>
      </c>
      <c r="AJ991" s="5">
        <v>40997</v>
      </c>
      <c r="AK991" s="5">
        <v>41004</v>
      </c>
      <c r="AL991" s="5">
        <v>41004</v>
      </c>
      <c r="AM991" s="5">
        <v>41051</v>
      </c>
      <c r="AN991" s="5">
        <v>41050</v>
      </c>
      <c r="AO991" s="4">
        <v>1</v>
      </c>
      <c r="AP991" s="5">
        <v>41051</v>
      </c>
      <c r="AQ991" s="5">
        <v>41050</v>
      </c>
      <c r="AR991" s="4"/>
      <c r="AS991" s="5">
        <v>41001</v>
      </c>
      <c r="AT991" s="5">
        <v>41080</v>
      </c>
      <c r="AU991" s="5">
        <v>41071</v>
      </c>
      <c r="AV991" s="4">
        <v>1</v>
      </c>
      <c r="AW991" s="4"/>
      <c r="AX991" s="5">
        <v>41071</v>
      </c>
      <c r="AY991" s="4" t="s">
        <v>172</v>
      </c>
      <c r="AZ991" s="5">
        <v>41073</v>
      </c>
      <c r="BA991" s="5">
        <v>41075</v>
      </c>
      <c r="BB991" s="5">
        <v>41103</v>
      </c>
      <c r="BC991" s="5">
        <v>41101</v>
      </c>
      <c r="BD991" s="4">
        <v>1</v>
      </c>
      <c r="BE991" s="4"/>
      <c r="BF991" s="5">
        <v>41101</v>
      </c>
      <c r="BG991" s="5">
        <v>41950</v>
      </c>
      <c r="BH991" s="5">
        <v>41950</v>
      </c>
      <c r="BI991" s="5">
        <v>42034</v>
      </c>
      <c r="BJ991" s="5">
        <v>42025</v>
      </c>
      <c r="BK991" s="4">
        <v>1</v>
      </c>
      <c r="BL991" s="4"/>
      <c r="BM991" s="4"/>
      <c r="BN991" s="5">
        <v>42025</v>
      </c>
      <c r="BO991" s="4"/>
      <c r="BP991" s="4"/>
      <c r="BQ991" s="4"/>
      <c r="BR991" s="5">
        <v>42094</v>
      </c>
      <c r="BS991" s="4"/>
      <c r="BT991" s="5">
        <v>42135</v>
      </c>
      <c r="BU991" s="5">
        <v>42135</v>
      </c>
      <c r="BV991" s="5">
        <v>42170</v>
      </c>
      <c r="BW991" s="5">
        <v>42174</v>
      </c>
      <c r="BX991" s="5">
        <v>42165</v>
      </c>
      <c r="BY991" s="5">
        <v>42172</v>
      </c>
      <c r="BZ991" s="5">
        <v>42188</v>
      </c>
      <c r="CA991" s="5">
        <v>42186</v>
      </c>
      <c r="CB991" s="4"/>
      <c r="CC991" s="4"/>
      <c r="CD991" s="4"/>
      <c r="CE991" s="4"/>
      <c r="CF991" s="4"/>
      <c r="CG991" s="4"/>
      <c r="CH991" s="4"/>
      <c r="CI991" s="5">
        <v>42193</v>
      </c>
      <c r="CJ991" s="5">
        <v>42209</v>
      </c>
      <c r="CK991" s="5">
        <v>42215</v>
      </c>
      <c r="CL991" s="4"/>
      <c r="CM991" s="5">
        <v>42233</v>
      </c>
      <c r="CN991" s="4"/>
      <c r="CO991" s="4"/>
      <c r="CP991" s="4" t="s">
        <v>3894</v>
      </c>
      <c r="CQ991" s="4"/>
      <c r="CR991" s="5">
        <v>42193</v>
      </c>
      <c r="CS991" s="4"/>
      <c r="CT991" s="4"/>
      <c r="CU991" s="5">
        <v>42146</v>
      </c>
      <c r="CV991" s="5">
        <v>42157</v>
      </c>
      <c r="CW991" s="5">
        <v>42146</v>
      </c>
      <c r="CX991" s="4"/>
      <c r="CY991" s="5">
        <v>42167</v>
      </c>
      <c r="CZ991" s="5">
        <v>42174</v>
      </c>
      <c r="DA991" s="5">
        <v>42207</v>
      </c>
      <c r="DB991" s="5">
        <v>42194</v>
      </c>
      <c r="DC991" s="5">
        <v>41007</v>
      </c>
      <c r="DD991" s="4" t="s">
        <v>206</v>
      </c>
      <c r="DE991" s="4" t="s">
        <v>3886</v>
      </c>
      <c r="DF991" s="5">
        <v>42165</v>
      </c>
      <c r="DG991" s="4"/>
      <c r="DH991" s="4" t="s">
        <v>174</v>
      </c>
      <c r="DI991" s="5">
        <v>42165</v>
      </c>
      <c r="DJ991" s="4" t="b">
        <v>1</v>
      </c>
      <c r="DK991" s="5">
        <v>42094</v>
      </c>
      <c r="DL991" s="4">
        <v>2097691</v>
      </c>
      <c r="DM991" s="4">
        <v>5519702</v>
      </c>
      <c r="DN991" s="4" t="s">
        <v>3895</v>
      </c>
      <c r="DO991" s="4"/>
      <c r="DP991" s="4"/>
      <c r="DQ991" s="4" t="s">
        <v>148</v>
      </c>
      <c r="DR991" s="4"/>
      <c r="DS991" s="4"/>
      <c r="DT991" s="4"/>
      <c r="DU991" s="4" t="s">
        <v>178</v>
      </c>
      <c r="DV991" s="4"/>
      <c r="DW991" s="5">
        <v>42076</v>
      </c>
      <c r="DX991" s="5">
        <v>42039</v>
      </c>
      <c r="DY991" s="5">
        <v>42096</v>
      </c>
      <c r="DZ991" s="5">
        <v>42096</v>
      </c>
      <c r="EA991" s="4"/>
      <c r="EB991" s="4"/>
      <c r="EC991" s="4"/>
      <c r="ED991" s="4"/>
      <c r="EE991" s="4"/>
      <c r="EF991" s="5">
        <v>42131</v>
      </c>
      <c r="EG991" s="5">
        <v>42209</v>
      </c>
      <c r="EH991" s="4"/>
      <c r="EI991" s="5">
        <v>41004</v>
      </c>
    </row>
    <row r="992" spans="1:139" hidden="1" x14ac:dyDescent="0.2">
      <c r="A992" t="str">
        <f>VLOOKUP(B992,Sheet1!$A$1:$B$18,2,FALSE)</f>
        <v>South Island</v>
      </c>
      <c r="B992" t="str">
        <f>LEFT(D992,3)</f>
        <v>OTG</v>
      </c>
      <c r="C992" s="2">
        <v>1273</v>
      </c>
      <c r="D992" s="3" t="str">
        <f>HYPERLINK("https://sitebase.nzcomms.co.nz/spm/spmnominalview/OTG-072-003/","OTG-072-003")</f>
        <v>OTG-072-003</v>
      </c>
      <c r="E992" s="4" t="s">
        <v>3870</v>
      </c>
      <c r="F992" s="3" t="str">
        <f>HYPERLINK("https://sitebase.nzcomms.co.nz/spm/spmcandidateview/OTG-072-003-B/","OTG-072-003-B")</f>
        <v>OTG-072-003-B</v>
      </c>
      <c r="G992" s="4" t="s">
        <v>3871</v>
      </c>
      <c r="H992" s="4" t="s">
        <v>3865</v>
      </c>
      <c r="I992" s="4">
        <v>21</v>
      </c>
      <c r="J992" s="4" t="s">
        <v>165</v>
      </c>
      <c r="K992" s="4" t="s">
        <v>141</v>
      </c>
      <c r="L992" s="4" t="s">
        <v>150</v>
      </c>
      <c r="M992" s="4" t="s">
        <v>190</v>
      </c>
      <c r="N992" s="4"/>
      <c r="O992" s="4"/>
      <c r="P992" s="4" t="s">
        <v>182</v>
      </c>
      <c r="Q992" s="4" t="s">
        <v>170</v>
      </c>
      <c r="R992" s="4"/>
      <c r="S992" s="4"/>
      <c r="T992" s="4"/>
      <c r="U992" s="4">
        <v>-46.062342370000003</v>
      </c>
      <c r="V992" s="4">
        <v>170.00528528999999</v>
      </c>
      <c r="W992" s="4"/>
      <c r="X992" s="4"/>
      <c r="Y992" s="4"/>
      <c r="Z992" s="4"/>
      <c r="AA992" s="4" t="s">
        <v>171</v>
      </c>
      <c r="AB992" s="3" t="str">
        <f>HYPERLINK("https://sitebase.nzcomms.co.nz/spm/spmcandidateview/OTG-071-001-C/","OTG-071-001-C")</f>
        <v>OTG-071-001-C</v>
      </c>
      <c r="AC992" s="4" t="b">
        <v>0</v>
      </c>
      <c r="AD992" s="4" t="b">
        <v>0</v>
      </c>
      <c r="AE992" s="4"/>
      <c r="AF992" s="4"/>
      <c r="AG992" s="4" t="b">
        <v>0</v>
      </c>
      <c r="AH992" s="4"/>
      <c r="AI992" s="5">
        <v>40989</v>
      </c>
      <c r="AJ992" s="5">
        <v>40990</v>
      </c>
      <c r="AK992" s="5">
        <v>40995</v>
      </c>
      <c r="AL992" s="5">
        <v>40995</v>
      </c>
      <c r="AM992" s="5">
        <v>41043</v>
      </c>
      <c r="AN992" s="5">
        <v>41045</v>
      </c>
      <c r="AO992" s="4">
        <v>1</v>
      </c>
      <c r="AP992" s="5">
        <v>41043</v>
      </c>
      <c r="AQ992" s="5">
        <v>41045</v>
      </c>
      <c r="AR992" s="5">
        <v>41059</v>
      </c>
      <c r="AS992" s="5">
        <v>41075</v>
      </c>
      <c r="AT992" s="5">
        <v>41113</v>
      </c>
      <c r="AU992" s="5">
        <v>41109</v>
      </c>
      <c r="AV992" s="4">
        <v>1</v>
      </c>
      <c r="AW992" s="4"/>
      <c r="AX992" s="4"/>
      <c r="AY992" s="4" t="s">
        <v>172</v>
      </c>
      <c r="AZ992" s="5">
        <v>41075</v>
      </c>
      <c r="BA992" s="5">
        <v>41075</v>
      </c>
      <c r="BB992" s="5">
        <v>41103</v>
      </c>
      <c r="BC992" s="5">
        <v>41080</v>
      </c>
      <c r="BD992" s="4">
        <v>1</v>
      </c>
      <c r="BE992" s="4"/>
      <c r="BF992" s="5">
        <v>41080</v>
      </c>
      <c r="BG992" s="5">
        <v>42041</v>
      </c>
      <c r="BH992" s="5">
        <v>42040</v>
      </c>
      <c r="BI992" s="5">
        <v>42083</v>
      </c>
      <c r="BJ992" s="5">
        <v>42087</v>
      </c>
      <c r="BK992" s="4">
        <v>1</v>
      </c>
      <c r="BL992" s="4"/>
      <c r="BM992" s="4"/>
      <c r="BN992" s="5">
        <v>42087</v>
      </c>
      <c r="BO992" s="5">
        <v>42179</v>
      </c>
      <c r="BP992" s="4"/>
      <c r="BQ992" s="4"/>
      <c r="BR992" s="4"/>
      <c r="BS992" s="4"/>
      <c r="BT992" s="5">
        <v>42144</v>
      </c>
      <c r="BU992" s="5">
        <v>42144</v>
      </c>
      <c r="BV992" s="5">
        <v>42186</v>
      </c>
      <c r="BW992" s="5">
        <v>42186</v>
      </c>
      <c r="BX992" s="5">
        <v>42179</v>
      </c>
      <c r="BY992" s="5">
        <v>42195</v>
      </c>
      <c r="BZ992" s="5">
        <v>42201</v>
      </c>
      <c r="CA992" s="5">
        <v>42181</v>
      </c>
      <c r="CB992" s="4"/>
      <c r="CC992" s="4"/>
      <c r="CD992" s="4"/>
      <c r="CE992" s="4"/>
      <c r="CF992" s="4"/>
      <c r="CG992" s="4"/>
      <c r="CH992" s="4"/>
      <c r="CI992" s="5">
        <v>42206</v>
      </c>
      <c r="CJ992" s="5">
        <v>42216</v>
      </c>
      <c r="CK992" s="5">
        <v>42222</v>
      </c>
      <c r="CL992" s="4"/>
      <c r="CM992" s="5">
        <v>42271</v>
      </c>
      <c r="CN992" s="4"/>
      <c r="CO992" s="4"/>
      <c r="CP992" s="4" t="s">
        <v>3872</v>
      </c>
      <c r="CQ992" s="4"/>
      <c r="CR992" s="5">
        <v>42205</v>
      </c>
      <c r="CS992" s="4"/>
      <c r="CT992" s="4"/>
      <c r="CU992" s="4"/>
      <c r="CV992" s="4"/>
      <c r="CW992" s="5">
        <v>42179</v>
      </c>
      <c r="CX992" s="5">
        <v>42179</v>
      </c>
      <c r="CY992" s="5">
        <v>42186</v>
      </c>
      <c r="CZ992" s="5">
        <v>42186</v>
      </c>
      <c r="DA992" s="5">
        <v>42210</v>
      </c>
      <c r="DB992" s="5">
        <v>42208</v>
      </c>
      <c r="DC992" s="5">
        <v>41007</v>
      </c>
      <c r="DD992" s="4" t="s">
        <v>586</v>
      </c>
      <c r="DE992" s="4" t="s">
        <v>3657</v>
      </c>
      <c r="DF992" s="4"/>
      <c r="DG992" s="4"/>
      <c r="DH992" s="4" t="s">
        <v>174</v>
      </c>
      <c r="DI992" s="5">
        <v>42179</v>
      </c>
      <c r="DJ992" s="4" t="b">
        <v>0</v>
      </c>
      <c r="DK992" s="4"/>
      <c r="DL992" s="4">
        <v>2278135</v>
      </c>
      <c r="DM992" s="4">
        <v>5456377</v>
      </c>
      <c r="DN992" s="4" t="s">
        <v>3873</v>
      </c>
      <c r="DO992" s="4"/>
      <c r="DP992" s="4"/>
      <c r="DQ992" s="4" t="s">
        <v>148</v>
      </c>
      <c r="DR992" s="4"/>
      <c r="DS992" s="4"/>
      <c r="DT992" s="4"/>
      <c r="DU992" s="4" t="s">
        <v>178</v>
      </c>
      <c r="DV992" s="4"/>
      <c r="DW992" s="5">
        <v>42076</v>
      </c>
      <c r="DX992" s="5">
        <v>42039</v>
      </c>
      <c r="DY992" s="5">
        <v>42096</v>
      </c>
      <c r="DZ992" s="5">
        <v>42096</v>
      </c>
      <c r="EA992" s="4"/>
      <c r="EB992" s="4"/>
      <c r="EC992" s="4"/>
      <c r="ED992" s="4"/>
      <c r="EE992" s="4"/>
      <c r="EF992" s="5">
        <v>42137</v>
      </c>
      <c r="EG992" s="5">
        <v>42251</v>
      </c>
      <c r="EH992" s="5">
        <v>42254</v>
      </c>
      <c r="EI992" s="5">
        <v>40995</v>
      </c>
    </row>
    <row r="993" spans="1:139" hidden="1" x14ac:dyDescent="0.2">
      <c r="A993" t="str">
        <f>VLOOKUP(B993,Sheet1!$A$1:$B$18,2,FALSE)</f>
        <v>South Island</v>
      </c>
      <c r="B993" t="str">
        <f>LEFT(D993,3)</f>
        <v>CAN</v>
      </c>
      <c r="C993" s="2">
        <v>665</v>
      </c>
      <c r="D993" s="3" t="str">
        <f>HYPERLINK("https://sitebase.nzcomms.co.nz/spm/spmnominalview/CAN-062-011/","CAN-062-011")</f>
        <v>CAN-062-011</v>
      </c>
      <c r="E993" s="4" t="s">
        <v>2155</v>
      </c>
      <c r="F993" s="3" t="str">
        <f>HYPERLINK("https://sitebase.nzcomms.co.nz/spm/spmcandidateview/CAN-062-011-C/","CAN-062-011-C")</f>
        <v>CAN-062-011-C</v>
      </c>
      <c r="G993" s="4" t="s">
        <v>2156</v>
      </c>
      <c r="H993" s="4" t="s">
        <v>2111</v>
      </c>
      <c r="I993" s="4">
        <v>21</v>
      </c>
      <c r="J993" s="4" t="s">
        <v>165</v>
      </c>
      <c r="K993" s="4" t="s">
        <v>141</v>
      </c>
      <c r="L993" s="4" t="s">
        <v>181</v>
      </c>
      <c r="M993" s="4" t="s">
        <v>166</v>
      </c>
      <c r="N993" s="4"/>
      <c r="O993" s="4"/>
      <c r="P993" s="4"/>
      <c r="Q993" s="4" t="s">
        <v>170</v>
      </c>
      <c r="R993" s="4"/>
      <c r="S993" s="4"/>
      <c r="T993" s="4"/>
      <c r="U993" s="4">
        <v>-43.643219139999999</v>
      </c>
      <c r="V993" s="4">
        <v>172.46977053000001</v>
      </c>
      <c r="W993" s="4"/>
      <c r="X993" s="4"/>
      <c r="Y993" s="4"/>
      <c r="Z993" s="4"/>
      <c r="AA993" s="4" t="s">
        <v>145</v>
      </c>
      <c r="AB993" s="4"/>
      <c r="AC993" s="4" t="b">
        <v>0</v>
      </c>
      <c r="AD993" s="4" t="b">
        <v>0</v>
      </c>
      <c r="AE993" s="4"/>
      <c r="AF993" s="4"/>
      <c r="AG993" s="4" t="b">
        <v>0</v>
      </c>
      <c r="AH993" s="4"/>
      <c r="AI993" s="5">
        <v>40998</v>
      </c>
      <c r="AJ993" s="5">
        <v>40995</v>
      </c>
      <c r="AK993" s="5">
        <v>41004</v>
      </c>
      <c r="AL993" s="5">
        <v>40997</v>
      </c>
      <c r="AM993" s="5">
        <v>41192</v>
      </c>
      <c r="AN993" s="5">
        <v>41295</v>
      </c>
      <c r="AO993" s="4">
        <v>4</v>
      </c>
      <c r="AP993" s="5">
        <v>42020</v>
      </c>
      <c r="AQ993" s="5">
        <v>42048</v>
      </c>
      <c r="AR993" s="5">
        <v>41942</v>
      </c>
      <c r="AS993" s="5">
        <v>41942</v>
      </c>
      <c r="AT993" s="5">
        <v>42154</v>
      </c>
      <c r="AU993" s="5">
        <v>42177</v>
      </c>
      <c r="AV993" s="4"/>
      <c r="AW993" s="4"/>
      <c r="AX993" s="4"/>
      <c r="AY993" s="4" t="s">
        <v>172</v>
      </c>
      <c r="AZ993" s="5">
        <v>42034</v>
      </c>
      <c r="BA993" s="5">
        <v>42034</v>
      </c>
      <c r="BB993" s="5">
        <v>42069</v>
      </c>
      <c r="BC993" s="5">
        <v>42034</v>
      </c>
      <c r="BD993" s="4">
        <v>3</v>
      </c>
      <c r="BE993" s="5">
        <v>42069</v>
      </c>
      <c r="BF993" s="5">
        <v>42034</v>
      </c>
      <c r="BG993" s="5">
        <v>41974</v>
      </c>
      <c r="BH993" s="5">
        <v>41964</v>
      </c>
      <c r="BI993" s="5">
        <v>42090</v>
      </c>
      <c r="BJ993" s="5">
        <v>42124</v>
      </c>
      <c r="BK993" s="4">
        <v>1</v>
      </c>
      <c r="BL993" s="4"/>
      <c r="BM993" s="4"/>
      <c r="BN993" s="5">
        <v>42124</v>
      </c>
      <c r="BO993" s="5">
        <v>42185</v>
      </c>
      <c r="BP993" s="4"/>
      <c r="BQ993" s="4"/>
      <c r="BR993" s="5">
        <v>42125</v>
      </c>
      <c r="BS993" s="4"/>
      <c r="BT993" s="5">
        <v>42179</v>
      </c>
      <c r="BU993" s="5">
        <v>42179</v>
      </c>
      <c r="BV993" s="5">
        <v>42188</v>
      </c>
      <c r="BW993" s="5">
        <v>42192</v>
      </c>
      <c r="BX993" s="5">
        <v>42187</v>
      </c>
      <c r="BY993" s="5">
        <v>42193</v>
      </c>
      <c r="BZ993" s="5">
        <v>42206</v>
      </c>
      <c r="CA993" s="5">
        <v>42198</v>
      </c>
      <c r="CB993" s="4"/>
      <c r="CC993" s="4"/>
      <c r="CD993" s="4"/>
      <c r="CE993" s="4"/>
      <c r="CF993" s="4"/>
      <c r="CG993" s="4"/>
      <c r="CH993" s="4"/>
      <c r="CI993" s="5">
        <v>42209</v>
      </c>
      <c r="CJ993" s="5">
        <v>42223</v>
      </c>
      <c r="CK993" s="5">
        <v>42222</v>
      </c>
      <c r="CL993" s="4"/>
      <c r="CM993" s="5">
        <v>42277</v>
      </c>
      <c r="CN993" s="4"/>
      <c r="CO993" s="4"/>
      <c r="CP993" s="4" t="s">
        <v>2157</v>
      </c>
      <c r="CQ993" s="4"/>
      <c r="CR993" s="5">
        <v>42209</v>
      </c>
      <c r="CS993" s="4"/>
      <c r="CT993" s="4"/>
      <c r="CU993" s="5">
        <v>42153</v>
      </c>
      <c r="CV993" s="5">
        <v>42157</v>
      </c>
      <c r="CW993" s="5">
        <v>42160</v>
      </c>
      <c r="CX993" s="5">
        <v>42185</v>
      </c>
      <c r="CY993" s="5">
        <v>42184</v>
      </c>
      <c r="CZ993" s="5">
        <v>42192</v>
      </c>
      <c r="DA993" s="5">
        <v>42212</v>
      </c>
      <c r="DB993" s="5">
        <v>42219</v>
      </c>
      <c r="DC993" s="5">
        <v>41347</v>
      </c>
      <c r="DD993" s="4" t="s">
        <v>586</v>
      </c>
      <c r="DE993" s="4" t="s">
        <v>2054</v>
      </c>
      <c r="DF993" s="5">
        <v>42167</v>
      </c>
      <c r="DG993" s="4"/>
      <c r="DH993" s="4" t="s">
        <v>174</v>
      </c>
      <c r="DI993" s="5">
        <v>42188</v>
      </c>
      <c r="DJ993" s="4" t="b">
        <v>1</v>
      </c>
      <c r="DK993" s="5">
        <v>42125</v>
      </c>
      <c r="DL993" s="4">
        <v>2467230</v>
      </c>
      <c r="DM993" s="4">
        <v>5729224</v>
      </c>
      <c r="DN993" s="4" t="s">
        <v>2158</v>
      </c>
      <c r="DO993" s="4"/>
      <c r="DP993" s="4"/>
      <c r="DQ993" s="4" t="s">
        <v>148</v>
      </c>
      <c r="DR993" s="4"/>
      <c r="DS993" s="4"/>
      <c r="DT993" s="4"/>
      <c r="DU993" s="4" t="s">
        <v>178</v>
      </c>
      <c r="DV993" s="4"/>
      <c r="DW993" s="4"/>
      <c r="DX993" s="5">
        <v>42082</v>
      </c>
      <c r="DY993" s="5">
        <v>42124</v>
      </c>
      <c r="DZ993" s="5">
        <v>42125</v>
      </c>
      <c r="EA993" s="4"/>
      <c r="EB993" s="4"/>
      <c r="EC993" s="4"/>
      <c r="ED993" s="4"/>
      <c r="EE993" s="5">
        <v>42153</v>
      </c>
      <c r="EF993" s="5">
        <v>42164</v>
      </c>
      <c r="EG993" s="5">
        <v>42251</v>
      </c>
      <c r="EH993" s="5">
        <v>42257</v>
      </c>
      <c r="EI993" s="5">
        <v>41004</v>
      </c>
    </row>
    <row r="994" spans="1:139" hidden="1" x14ac:dyDescent="0.2">
      <c r="A994" t="str">
        <f>VLOOKUP(B994,Sheet1!$A$1:$B$18,2,FALSE)</f>
        <v>South Island</v>
      </c>
      <c r="B994" t="str">
        <f>LEFT(D994,3)</f>
        <v>MBN</v>
      </c>
      <c r="C994" s="2">
        <v>1003</v>
      </c>
      <c r="D994" s="3" t="str">
        <f>HYPERLINK("https://sitebase.nzcomms.co.nz/spm/spmnominalview/MBN-051-023/","MBN-051-023")</f>
        <v>MBN-051-023</v>
      </c>
      <c r="E994" s="4" t="s">
        <v>3089</v>
      </c>
      <c r="F994" s="3" t="str">
        <f>HYPERLINK("https://sitebase.nzcomms.co.nz/spm/spmcandidateview/MBN-051-023-A/","MBN-051-023-A")</f>
        <v>MBN-051-023-A</v>
      </c>
      <c r="G994" s="4" t="s">
        <v>3090</v>
      </c>
      <c r="H994" s="4" t="s">
        <v>3047</v>
      </c>
      <c r="I994" s="4">
        <v>21</v>
      </c>
      <c r="J994" s="4" t="s">
        <v>165</v>
      </c>
      <c r="K994" s="4" t="s">
        <v>141</v>
      </c>
      <c r="L994" s="4" t="s">
        <v>722</v>
      </c>
      <c r="M994" s="4" t="s">
        <v>166</v>
      </c>
      <c r="N994" s="4" t="s">
        <v>142</v>
      </c>
      <c r="O994" s="4"/>
      <c r="P994" s="4" t="s">
        <v>169</v>
      </c>
      <c r="Q994" s="4" t="s">
        <v>142</v>
      </c>
      <c r="R994" s="4">
        <v>25</v>
      </c>
      <c r="S994" s="4">
        <v>25</v>
      </c>
      <c r="T994" s="4"/>
      <c r="U994" s="4">
        <v>-40.826949079999999</v>
      </c>
      <c r="V994" s="4">
        <v>172.78697284</v>
      </c>
      <c r="W994" s="4"/>
      <c r="X994" s="4"/>
      <c r="Y994" s="4"/>
      <c r="Z994" s="4"/>
      <c r="AA994" s="4"/>
      <c r="AB994" s="4"/>
      <c r="AC994" s="4" t="b">
        <v>0</v>
      </c>
      <c r="AD994" s="4" t="b">
        <v>0</v>
      </c>
      <c r="AE994" s="4"/>
      <c r="AF994" s="4"/>
      <c r="AG994" s="4" t="b">
        <v>0</v>
      </c>
      <c r="AH994" s="4"/>
      <c r="AI994" s="5">
        <v>42108</v>
      </c>
      <c r="AJ994" s="5">
        <v>42108</v>
      </c>
      <c r="AK994" s="5">
        <v>42145</v>
      </c>
      <c r="AL994" s="5">
        <v>42146</v>
      </c>
      <c r="AM994" s="5">
        <v>42146</v>
      </c>
      <c r="AN994" s="5">
        <v>42145</v>
      </c>
      <c r="AO994" s="4">
        <v>1</v>
      </c>
      <c r="AP994" s="5">
        <v>42145</v>
      </c>
      <c r="AQ994" s="5">
        <v>42145</v>
      </c>
      <c r="AR994" s="5">
        <v>42181</v>
      </c>
      <c r="AS994" s="5">
        <v>42178</v>
      </c>
      <c r="AT994" s="5">
        <v>42202</v>
      </c>
      <c r="AU994" s="5">
        <v>42178</v>
      </c>
      <c r="AV994" s="4"/>
      <c r="AW994" s="5">
        <v>42195</v>
      </c>
      <c r="AX994" s="5">
        <v>42195</v>
      </c>
      <c r="AY994" s="4" t="s">
        <v>172</v>
      </c>
      <c r="AZ994" s="5">
        <v>42146</v>
      </c>
      <c r="BA994" s="5">
        <v>42153</v>
      </c>
      <c r="BB994" s="5">
        <v>42160</v>
      </c>
      <c r="BC994" s="5">
        <v>42180</v>
      </c>
      <c r="BD994" s="4">
        <v>1</v>
      </c>
      <c r="BE994" s="5">
        <v>42160</v>
      </c>
      <c r="BF994" s="5">
        <v>42180</v>
      </c>
      <c r="BG994" s="5">
        <v>42145</v>
      </c>
      <c r="BH994" s="5">
        <v>42145</v>
      </c>
      <c r="BI994" s="5">
        <v>42150</v>
      </c>
      <c r="BJ994" s="5">
        <v>42167</v>
      </c>
      <c r="BK994" s="4">
        <v>2</v>
      </c>
      <c r="BL994" s="4"/>
      <c r="BM994" s="5">
        <v>42139</v>
      </c>
      <c r="BN994" s="5">
        <v>42170</v>
      </c>
      <c r="BO994" s="5">
        <v>42207</v>
      </c>
      <c r="BP994" s="4"/>
      <c r="BQ994" s="4"/>
      <c r="BR994" s="4"/>
      <c r="BS994" s="4"/>
      <c r="BT994" s="5">
        <v>42206</v>
      </c>
      <c r="BU994" s="5">
        <v>42205</v>
      </c>
      <c r="BV994" s="5">
        <v>42208</v>
      </c>
      <c r="BW994" s="5">
        <v>42207</v>
      </c>
      <c r="BX994" s="5">
        <v>42206</v>
      </c>
      <c r="BY994" s="5">
        <v>42213</v>
      </c>
      <c r="BZ994" s="5">
        <v>42213</v>
      </c>
      <c r="CA994" s="5">
        <v>42207</v>
      </c>
      <c r="CB994" s="5">
        <v>42207</v>
      </c>
      <c r="CC994" s="5">
        <v>42195</v>
      </c>
      <c r="CD994" s="5">
        <v>42207</v>
      </c>
      <c r="CE994" s="5">
        <v>42195</v>
      </c>
      <c r="CF994" s="5">
        <v>42195</v>
      </c>
      <c r="CG994" s="5">
        <v>42188</v>
      </c>
      <c r="CH994" s="5">
        <v>42208</v>
      </c>
      <c r="CI994" s="5">
        <v>42215</v>
      </c>
      <c r="CJ994" s="5">
        <v>42229</v>
      </c>
      <c r="CK994" s="5">
        <v>42229</v>
      </c>
      <c r="CL994" s="4"/>
      <c r="CM994" s="5">
        <v>42244</v>
      </c>
      <c r="CN994" s="4"/>
      <c r="CO994" s="4"/>
      <c r="CP994" s="4" t="s">
        <v>3091</v>
      </c>
      <c r="CQ994" s="4" t="s">
        <v>230</v>
      </c>
      <c r="CR994" s="5">
        <v>42216</v>
      </c>
      <c r="CS994" s="5">
        <v>42207</v>
      </c>
      <c r="CT994" s="5">
        <v>42207</v>
      </c>
      <c r="CU994" s="5">
        <v>42200</v>
      </c>
      <c r="CV994" s="5">
        <v>42200</v>
      </c>
      <c r="CW994" s="5">
        <v>42207</v>
      </c>
      <c r="CX994" s="5">
        <v>42207</v>
      </c>
      <c r="CY994" s="5">
        <v>42216</v>
      </c>
      <c r="CZ994" s="5">
        <v>42226</v>
      </c>
      <c r="DA994" s="5">
        <v>42228</v>
      </c>
      <c r="DB994" s="5">
        <v>42228</v>
      </c>
      <c r="DC994" s="4"/>
      <c r="DD994" s="4"/>
      <c r="DE994" s="4"/>
      <c r="DF994" s="5">
        <v>42207</v>
      </c>
      <c r="DG994" s="5">
        <v>42202</v>
      </c>
      <c r="DH994" s="4" t="s">
        <v>174</v>
      </c>
      <c r="DI994" s="5">
        <v>42205</v>
      </c>
      <c r="DJ994" s="4" t="b">
        <v>0</v>
      </c>
      <c r="DK994" s="4"/>
      <c r="DL994" s="4">
        <v>2492016</v>
      </c>
      <c r="DM994" s="4">
        <v>6042152</v>
      </c>
      <c r="DN994" s="4" t="s">
        <v>3092</v>
      </c>
      <c r="DO994" s="4"/>
      <c r="DP994" s="4"/>
      <c r="DQ994" s="4" t="s">
        <v>148</v>
      </c>
      <c r="DR994" s="4"/>
      <c r="DS994" s="4"/>
      <c r="DT994" s="4"/>
      <c r="DU994" s="4" t="s">
        <v>178</v>
      </c>
      <c r="DV994" s="4"/>
      <c r="DW994" s="4"/>
      <c r="DX994" s="5">
        <v>42167</v>
      </c>
      <c r="DY994" s="5">
        <v>42144</v>
      </c>
      <c r="DZ994" s="5">
        <v>42145</v>
      </c>
      <c r="EA994" s="5">
        <v>42142</v>
      </c>
      <c r="EB994" s="5">
        <v>42142</v>
      </c>
      <c r="EC994" s="5">
        <v>42158</v>
      </c>
      <c r="ED994" s="5">
        <v>42158</v>
      </c>
      <c r="EE994" s="5">
        <v>42185</v>
      </c>
      <c r="EF994" s="5">
        <v>42184</v>
      </c>
      <c r="EG994" s="5">
        <v>42255</v>
      </c>
      <c r="EH994" s="5">
        <v>42234</v>
      </c>
      <c r="EI994" s="5">
        <v>42145</v>
      </c>
    </row>
    <row r="995" spans="1:139" hidden="1" x14ac:dyDescent="0.2">
      <c r="A995" t="str">
        <f>VLOOKUP(B995,Sheet1!$A$1:$B$18,2,FALSE)</f>
        <v>South Island</v>
      </c>
      <c r="B995" t="str">
        <f>LEFT(D995,3)</f>
        <v>OTG</v>
      </c>
      <c r="C995" s="2">
        <v>1270</v>
      </c>
      <c r="D995" s="3" t="str">
        <f>HYPERLINK("https://sitebase.nzcomms.co.nz/spm/spmnominalview/OTG-071-049/","OTG-071-049")</f>
        <v>OTG-071-049</v>
      </c>
      <c r="E995" s="4" t="s">
        <v>3836</v>
      </c>
      <c r="F995" s="3" t="str">
        <f>HYPERLINK("https://sitebase.nzcomms.co.nz/spm/spmcandidateview/OTG-071-049-B/","OTG-071-049-B")</f>
        <v>OTG-071-049-B</v>
      </c>
      <c r="G995" s="4" t="s">
        <v>3861</v>
      </c>
      <c r="H995" s="4" t="s">
        <v>3727</v>
      </c>
      <c r="I995" s="4">
        <v>21</v>
      </c>
      <c r="J995" s="4" t="s">
        <v>165</v>
      </c>
      <c r="K995" s="4" t="s">
        <v>141</v>
      </c>
      <c r="L995" s="4" t="s">
        <v>150</v>
      </c>
      <c r="M995" s="4" t="s">
        <v>190</v>
      </c>
      <c r="N995" s="4" t="s">
        <v>224</v>
      </c>
      <c r="O995" s="4"/>
      <c r="P995" s="4" t="s">
        <v>182</v>
      </c>
      <c r="Q995" s="4" t="s">
        <v>170</v>
      </c>
      <c r="R995" s="4"/>
      <c r="S995" s="4">
        <v>16</v>
      </c>
      <c r="T995" s="4"/>
      <c r="U995" s="4">
        <v>-45.574905110000003</v>
      </c>
      <c r="V995" s="4">
        <v>170.66607422000001</v>
      </c>
      <c r="W995" s="4"/>
      <c r="X995" s="4"/>
      <c r="Y995" s="4"/>
      <c r="Z995" s="4"/>
      <c r="AA995" s="4" t="s">
        <v>171</v>
      </c>
      <c r="AB995" s="3" t="str">
        <f>HYPERLINK("https://sitebase.nzcomms.co.nz/spm/spmcandidateview/OTG-071-015-A/","OTG-071-015-A")</f>
        <v>OTG-071-015-A</v>
      </c>
      <c r="AC995" s="4" t="b">
        <v>0</v>
      </c>
      <c r="AD995" s="4" t="b">
        <v>0</v>
      </c>
      <c r="AE995" s="4"/>
      <c r="AF995" s="4"/>
      <c r="AG995" s="4" t="b">
        <v>0</v>
      </c>
      <c r="AH995" s="4" t="s">
        <v>3862</v>
      </c>
      <c r="AI995" s="5">
        <v>40989</v>
      </c>
      <c r="AJ995" s="5">
        <v>40990</v>
      </c>
      <c r="AK995" s="5">
        <v>41004</v>
      </c>
      <c r="AL995" s="5">
        <v>40995</v>
      </c>
      <c r="AM995" s="5">
        <v>41043</v>
      </c>
      <c r="AN995" s="5">
        <v>41039</v>
      </c>
      <c r="AO995" s="4">
        <v>2</v>
      </c>
      <c r="AP995" s="5">
        <v>41043</v>
      </c>
      <c r="AQ995" s="5">
        <v>42151</v>
      </c>
      <c r="AR995" s="5">
        <v>41026</v>
      </c>
      <c r="AS995" s="5">
        <v>41015</v>
      </c>
      <c r="AT995" s="5">
        <v>41102</v>
      </c>
      <c r="AU995" s="5">
        <v>41103</v>
      </c>
      <c r="AV995" s="4"/>
      <c r="AW995" s="4"/>
      <c r="AX995" s="4"/>
      <c r="AY995" s="4" t="s">
        <v>247</v>
      </c>
      <c r="AZ995" s="5">
        <v>41068</v>
      </c>
      <c r="BA995" s="5">
        <v>41067</v>
      </c>
      <c r="BB995" s="5">
        <v>41103</v>
      </c>
      <c r="BC995" s="5">
        <v>41102</v>
      </c>
      <c r="BD995" s="4">
        <v>1</v>
      </c>
      <c r="BE995" s="4"/>
      <c r="BF995" s="5">
        <v>42233</v>
      </c>
      <c r="BG995" s="5">
        <v>42038</v>
      </c>
      <c r="BH995" s="5">
        <v>42038</v>
      </c>
      <c r="BI995" s="5">
        <v>42088</v>
      </c>
      <c r="BJ995" s="5">
        <v>42081</v>
      </c>
      <c r="BK995" s="4">
        <v>1</v>
      </c>
      <c r="BL995" s="4"/>
      <c r="BM995" s="4"/>
      <c r="BN995" s="5">
        <v>42081</v>
      </c>
      <c r="BO995" s="5">
        <v>42144</v>
      </c>
      <c r="BP995" s="4"/>
      <c r="BQ995" s="4"/>
      <c r="BR995" s="4"/>
      <c r="BS995" s="4"/>
      <c r="BT995" s="5">
        <v>42143</v>
      </c>
      <c r="BU995" s="5">
        <v>42143</v>
      </c>
      <c r="BV995" s="5">
        <v>42186</v>
      </c>
      <c r="BW995" s="5">
        <v>42192</v>
      </c>
      <c r="BX995" s="5">
        <v>42186</v>
      </c>
      <c r="BY995" s="5">
        <v>42212</v>
      </c>
      <c r="BZ995" s="5">
        <v>42212</v>
      </c>
      <c r="CA995" s="5">
        <v>42164</v>
      </c>
      <c r="CB995" s="4"/>
      <c r="CC995" s="4"/>
      <c r="CD995" s="4"/>
      <c r="CE995" s="4"/>
      <c r="CF995" s="4"/>
      <c r="CG995" s="4"/>
      <c r="CH995" s="4"/>
      <c r="CI995" s="5">
        <v>42223</v>
      </c>
      <c r="CJ995" s="5">
        <v>42230</v>
      </c>
      <c r="CK995" s="5">
        <v>42229</v>
      </c>
      <c r="CL995" s="4"/>
      <c r="CM995" s="5">
        <v>42268</v>
      </c>
      <c r="CN995" s="4"/>
      <c r="CO995" s="4"/>
      <c r="CP995" s="4" t="s">
        <v>3863</v>
      </c>
      <c r="CQ995" s="4"/>
      <c r="CR995" s="5">
        <v>42200</v>
      </c>
      <c r="CS995" s="4"/>
      <c r="CT995" s="4"/>
      <c r="CU995" s="5">
        <v>42144</v>
      </c>
      <c r="CV995" s="5">
        <v>42144</v>
      </c>
      <c r="CW995" s="5">
        <v>42144</v>
      </c>
      <c r="CX995" s="5">
        <v>42144</v>
      </c>
      <c r="CY995" s="5">
        <v>42191</v>
      </c>
      <c r="CZ995" s="5">
        <v>42192</v>
      </c>
      <c r="DA995" s="5">
        <v>42212</v>
      </c>
      <c r="DB995" s="5">
        <v>42223</v>
      </c>
      <c r="DC995" s="5">
        <v>42237</v>
      </c>
      <c r="DD995" s="4" t="s">
        <v>586</v>
      </c>
      <c r="DE995" s="4" t="s">
        <v>3657</v>
      </c>
      <c r="DF995" s="5">
        <v>42160</v>
      </c>
      <c r="DG995" s="4"/>
      <c r="DH995" s="4" t="s">
        <v>174</v>
      </c>
      <c r="DI995" s="5">
        <v>42181</v>
      </c>
      <c r="DJ995" s="4" t="b">
        <v>0</v>
      </c>
      <c r="DK995" s="4"/>
      <c r="DL995" s="4">
        <v>2327738</v>
      </c>
      <c r="DM995" s="4">
        <v>5512166</v>
      </c>
      <c r="DN995" s="4" t="s">
        <v>3864</v>
      </c>
      <c r="DO995" s="4"/>
      <c r="DP995" s="4"/>
      <c r="DQ995" s="4" t="s">
        <v>148</v>
      </c>
      <c r="DR995" s="4"/>
      <c r="DS995" s="4"/>
      <c r="DT995" s="4"/>
      <c r="DU995" s="4" t="s">
        <v>178</v>
      </c>
      <c r="DV995" s="4"/>
      <c r="DW995" s="5">
        <v>42076</v>
      </c>
      <c r="DX995" s="5">
        <v>42039</v>
      </c>
      <c r="DY995" s="5">
        <v>42096</v>
      </c>
      <c r="DZ995" s="5">
        <v>42096</v>
      </c>
      <c r="EA995" s="4"/>
      <c r="EB995" s="4"/>
      <c r="EC995" s="4"/>
      <c r="ED995" s="4"/>
      <c r="EE995" s="5">
        <v>42137</v>
      </c>
      <c r="EF995" s="5">
        <v>42137</v>
      </c>
      <c r="EG995" s="5">
        <v>42251</v>
      </c>
      <c r="EH995" s="5">
        <v>42255</v>
      </c>
      <c r="EI995" s="5">
        <v>40995</v>
      </c>
    </row>
    <row r="996" spans="1:139" hidden="1" x14ac:dyDescent="0.2">
      <c r="A996" t="str">
        <f>VLOOKUP(B996,Sheet1!$A$1:$B$18,2,FALSE)</f>
        <v>South Island</v>
      </c>
      <c r="B996" t="str">
        <f>LEFT(D996,3)</f>
        <v>CAN</v>
      </c>
      <c r="C996" s="2">
        <v>669</v>
      </c>
      <c r="D996" s="3" t="str">
        <f>HYPERLINK("https://sitebase.nzcomms.co.nz/spm/spmnominalview/CAN-062-015/","CAN-062-015")</f>
        <v>CAN-062-015</v>
      </c>
      <c r="E996" s="4" t="s">
        <v>2175</v>
      </c>
      <c r="F996" s="3" t="str">
        <f>HYPERLINK("https://sitebase.nzcomms.co.nz/spm/spmcandidateview/CAN-062-015-A/","CAN-062-015-A")</f>
        <v>CAN-062-015-A</v>
      </c>
      <c r="G996" s="4" t="s">
        <v>722</v>
      </c>
      <c r="H996" s="4" t="s">
        <v>2111</v>
      </c>
      <c r="I996" s="4">
        <v>21</v>
      </c>
      <c r="J996" s="4" t="s">
        <v>165</v>
      </c>
      <c r="K996" s="4" t="s">
        <v>141</v>
      </c>
      <c r="L996" s="4" t="s">
        <v>722</v>
      </c>
      <c r="M996" s="4" t="s">
        <v>166</v>
      </c>
      <c r="N996" s="4" t="s">
        <v>1689</v>
      </c>
      <c r="O996" s="4"/>
      <c r="P996" s="4" t="s">
        <v>169</v>
      </c>
      <c r="Q996" s="4" t="s">
        <v>142</v>
      </c>
      <c r="R996" s="4">
        <v>25</v>
      </c>
      <c r="S996" s="4">
        <v>25</v>
      </c>
      <c r="T996" s="4"/>
      <c r="U996" s="4">
        <v>-43.513976669999998</v>
      </c>
      <c r="V996" s="4">
        <v>172.37511584999999</v>
      </c>
      <c r="W996" s="4"/>
      <c r="X996" s="4"/>
      <c r="Y996" s="4"/>
      <c r="Z996" s="4"/>
      <c r="AA996" s="4" t="s">
        <v>145</v>
      </c>
      <c r="AB996" s="4"/>
      <c r="AC996" s="4" t="b">
        <v>0</v>
      </c>
      <c r="AD996" s="4" t="b">
        <v>0</v>
      </c>
      <c r="AE996" s="4"/>
      <c r="AF996" s="4"/>
      <c r="AG996" s="4" t="b">
        <v>0</v>
      </c>
      <c r="AH996" s="4"/>
      <c r="AI996" s="5">
        <v>42090</v>
      </c>
      <c r="AJ996" s="5">
        <v>42093</v>
      </c>
      <c r="AK996" s="5">
        <v>42108</v>
      </c>
      <c r="AL996" s="5">
        <v>42109</v>
      </c>
      <c r="AM996" s="5">
        <v>42125</v>
      </c>
      <c r="AN996" s="5">
        <v>42109</v>
      </c>
      <c r="AO996" s="4">
        <v>1</v>
      </c>
      <c r="AP996" s="5">
        <v>42109</v>
      </c>
      <c r="AQ996" s="5">
        <v>42109</v>
      </c>
      <c r="AR996" s="5">
        <v>42181</v>
      </c>
      <c r="AS996" s="5">
        <v>42179</v>
      </c>
      <c r="AT996" s="5">
        <v>42181</v>
      </c>
      <c r="AU996" s="5">
        <v>42179</v>
      </c>
      <c r="AV996" s="4"/>
      <c r="AW996" s="5">
        <v>42188</v>
      </c>
      <c r="AX996" s="5">
        <v>42179</v>
      </c>
      <c r="AY996" s="4" t="s">
        <v>172</v>
      </c>
      <c r="AZ996" s="5">
        <v>42132</v>
      </c>
      <c r="BA996" s="5">
        <v>42109</v>
      </c>
      <c r="BB996" s="5">
        <v>42160</v>
      </c>
      <c r="BC996" s="5">
        <v>42109</v>
      </c>
      <c r="BD996" s="4">
        <v>1</v>
      </c>
      <c r="BE996" s="5">
        <v>42167</v>
      </c>
      <c r="BF996" s="5">
        <v>42109</v>
      </c>
      <c r="BG996" s="5">
        <v>42153</v>
      </c>
      <c r="BH996" s="5">
        <v>42111</v>
      </c>
      <c r="BI996" s="5">
        <v>42153</v>
      </c>
      <c r="BJ996" s="5">
        <v>42116</v>
      </c>
      <c r="BK996" s="4">
        <v>2</v>
      </c>
      <c r="BL996" s="4"/>
      <c r="BM996" s="4"/>
      <c r="BN996" s="5">
        <v>42180</v>
      </c>
      <c r="BO996" s="4"/>
      <c r="BP996" s="4"/>
      <c r="BQ996" s="4"/>
      <c r="BR996" s="5">
        <v>42174</v>
      </c>
      <c r="BS996" s="4"/>
      <c r="BT996" s="5">
        <v>42212</v>
      </c>
      <c r="BU996" s="5">
        <v>42212</v>
      </c>
      <c r="BV996" s="5">
        <v>42218</v>
      </c>
      <c r="BW996" s="5">
        <v>42212</v>
      </c>
      <c r="BX996" s="5">
        <v>42215</v>
      </c>
      <c r="BY996" s="5">
        <v>42221</v>
      </c>
      <c r="BZ996" s="5">
        <v>42221</v>
      </c>
      <c r="CA996" s="5">
        <v>42227</v>
      </c>
      <c r="CB996" s="4"/>
      <c r="CC996" s="4"/>
      <c r="CD996" s="4"/>
      <c r="CE996" s="4"/>
      <c r="CF996" s="4"/>
      <c r="CG996" s="4"/>
      <c r="CH996" s="4"/>
      <c r="CI996" s="5">
        <v>42220</v>
      </c>
      <c r="CJ996" s="5">
        <v>42242</v>
      </c>
      <c r="CK996" s="5">
        <v>42244</v>
      </c>
      <c r="CL996" s="4"/>
      <c r="CM996" s="5">
        <v>42264</v>
      </c>
      <c r="CN996" s="4"/>
      <c r="CO996" s="4"/>
      <c r="CP996" s="4" t="s">
        <v>2176</v>
      </c>
      <c r="CQ996" s="4" t="s">
        <v>230</v>
      </c>
      <c r="CR996" s="5">
        <v>42222</v>
      </c>
      <c r="CS996" s="4"/>
      <c r="CT996" s="4"/>
      <c r="CU996" s="5">
        <v>42195</v>
      </c>
      <c r="CV996" s="5">
        <v>42199</v>
      </c>
      <c r="CW996" s="4"/>
      <c r="CX996" s="4"/>
      <c r="CY996" s="5">
        <v>42229</v>
      </c>
      <c r="CZ996" s="4"/>
      <c r="DA996" s="5">
        <v>42231</v>
      </c>
      <c r="DB996" s="5">
        <v>42221</v>
      </c>
      <c r="DC996" s="5">
        <v>42055</v>
      </c>
      <c r="DD996" s="4" t="s">
        <v>586</v>
      </c>
      <c r="DE996" s="4"/>
      <c r="DF996" s="4"/>
      <c r="DG996" s="4"/>
      <c r="DH996" s="4" t="s">
        <v>174</v>
      </c>
      <c r="DI996" s="5">
        <v>42216</v>
      </c>
      <c r="DJ996" s="4" t="b">
        <v>1</v>
      </c>
      <c r="DK996" s="5">
        <v>42174</v>
      </c>
      <c r="DL996" s="4">
        <v>2459486</v>
      </c>
      <c r="DM996" s="4">
        <v>5743530</v>
      </c>
      <c r="DN996" s="4" t="s">
        <v>2177</v>
      </c>
      <c r="DO996" s="4"/>
      <c r="DP996" s="4" t="s">
        <v>2178</v>
      </c>
      <c r="DQ996" s="4" t="s">
        <v>148</v>
      </c>
      <c r="DR996" s="4"/>
      <c r="DS996" s="4"/>
      <c r="DT996" s="4"/>
      <c r="DU996" s="4" t="s">
        <v>178</v>
      </c>
      <c r="DV996" s="4"/>
      <c r="DW996" s="4"/>
      <c r="DX996" s="5">
        <v>42159</v>
      </c>
      <c r="DY996" s="5">
        <v>42146</v>
      </c>
      <c r="DZ996" s="5">
        <v>42135</v>
      </c>
      <c r="EA996" s="4"/>
      <c r="EB996" s="4"/>
      <c r="EC996" s="4"/>
      <c r="ED996" s="4"/>
      <c r="EE996" s="5">
        <v>42177</v>
      </c>
      <c r="EF996" s="5">
        <v>42167</v>
      </c>
      <c r="EG996" s="5">
        <v>42247</v>
      </c>
      <c r="EH996" s="4"/>
      <c r="EI996" s="5">
        <v>42109</v>
      </c>
    </row>
    <row r="997" spans="1:139" hidden="1" x14ac:dyDescent="0.2">
      <c r="A997" t="str">
        <f>VLOOKUP(B997,Sheet1!$A$1:$B$18,2,FALSE)</f>
        <v>South Island</v>
      </c>
      <c r="B997" t="str">
        <f>LEFT(D997,3)</f>
        <v>WST</v>
      </c>
      <c r="C997" s="2">
        <v>1716</v>
      </c>
      <c r="D997" s="3" t="str">
        <f>HYPERLINK("https://sitebase.nzcomms.co.nz/spm/spmnominalview/WST-056-001/","WST-056-001")</f>
        <v>WST-056-001</v>
      </c>
      <c r="E997" s="4" t="s">
        <v>5165</v>
      </c>
      <c r="F997" s="3" t="str">
        <f>HYPERLINK("https://sitebase.nzcomms.co.nz/spm/spmcandidateview/WST-056-001-C/","WST-056-001-C")</f>
        <v>WST-056-001-C</v>
      </c>
      <c r="G997" s="4" t="s">
        <v>5166</v>
      </c>
      <c r="H997" s="4" t="s">
        <v>5167</v>
      </c>
      <c r="I997" s="4">
        <v>21</v>
      </c>
      <c r="J997" s="4" t="s">
        <v>165</v>
      </c>
      <c r="K997" s="4" t="s">
        <v>141</v>
      </c>
      <c r="L997" s="4" t="s">
        <v>142</v>
      </c>
      <c r="M997" s="4" t="s">
        <v>190</v>
      </c>
      <c r="N997" s="4" t="s">
        <v>142</v>
      </c>
      <c r="O997" s="4"/>
      <c r="P997" s="4" t="s">
        <v>182</v>
      </c>
      <c r="Q997" s="4" t="s">
        <v>142</v>
      </c>
      <c r="R997" s="4"/>
      <c r="S997" s="4">
        <v>10</v>
      </c>
      <c r="T997" s="4"/>
      <c r="U997" s="4">
        <v>-42.407989319999999</v>
      </c>
      <c r="V997" s="4">
        <v>171.34253151999999</v>
      </c>
      <c r="W997" s="4"/>
      <c r="X997" s="4"/>
      <c r="Y997" s="4"/>
      <c r="Z997" s="4"/>
      <c r="AA997" s="4" t="s">
        <v>171</v>
      </c>
      <c r="AB997" s="3" t="str">
        <f>HYPERLINK("https://sitebase.nzcomms.co.nz/spm/spmcandidateview/WST-056-002-B/","WST-056-002-B")</f>
        <v>WST-056-002-B</v>
      </c>
      <c r="AC997" s="4" t="b">
        <v>0</v>
      </c>
      <c r="AD997" s="4" t="b">
        <v>0</v>
      </c>
      <c r="AE997" s="4"/>
      <c r="AF997" s="4"/>
      <c r="AG997" s="4" t="b">
        <v>0</v>
      </c>
      <c r="AH997" s="4"/>
      <c r="AI997" s="5">
        <v>42074</v>
      </c>
      <c r="AJ997" s="5">
        <v>42074</v>
      </c>
      <c r="AK997" s="5">
        <v>42095</v>
      </c>
      <c r="AL997" s="5">
        <v>42093</v>
      </c>
      <c r="AM997" s="5">
        <v>42123</v>
      </c>
      <c r="AN997" s="5">
        <v>41058</v>
      </c>
      <c r="AO997" s="4">
        <v>4</v>
      </c>
      <c r="AP997" s="5">
        <v>42093</v>
      </c>
      <c r="AQ997" s="5">
        <v>42122</v>
      </c>
      <c r="AR997" s="5">
        <v>42153</v>
      </c>
      <c r="AS997" s="5">
        <v>42138</v>
      </c>
      <c r="AT997" s="5">
        <v>42223</v>
      </c>
      <c r="AU997" s="5">
        <v>42220</v>
      </c>
      <c r="AV997" s="4"/>
      <c r="AW997" s="5">
        <v>42230</v>
      </c>
      <c r="AX997" s="5">
        <v>42226</v>
      </c>
      <c r="AY997" s="4" t="s">
        <v>172</v>
      </c>
      <c r="AZ997" s="5">
        <v>42132</v>
      </c>
      <c r="BA997" s="5">
        <v>41250</v>
      </c>
      <c r="BB997" s="5">
        <v>42160</v>
      </c>
      <c r="BC997" s="5">
        <v>41263</v>
      </c>
      <c r="BD997" s="4">
        <v>3</v>
      </c>
      <c r="BE997" s="4"/>
      <c r="BF997" s="5">
        <v>42240</v>
      </c>
      <c r="BG997" s="5">
        <v>42167</v>
      </c>
      <c r="BH997" s="5">
        <v>42139</v>
      </c>
      <c r="BI997" s="5">
        <v>42195</v>
      </c>
      <c r="BJ997" s="5">
        <v>42174</v>
      </c>
      <c r="BK997" s="4">
        <v>1</v>
      </c>
      <c r="BL997" s="4"/>
      <c r="BM997" s="4"/>
      <c r="BN997" s="5">
        <v>42174</v>
      </c>
      <c r="BO997" s="5">
        <v>42243</v>
      </c>
      <c r="BP997" s="4"/>
      <c r="BQ997" s="4"/>
      <c r="BR997" s="4"/>
      <c r="BS997" s="4"/>
      <c r="BT997" s="5">
        <v>42240</v>
      </c>
      <c r="BU997" s="5">
        <v>42243</v>
      </c>
      <c r="BV997" s="5">
        <v>42255</v>
      </c>
      <c r="BW997" s="5">
        <v>42256</v>
      </c>
      <c r="BX997" s="5">
        <v>42250</v>
      </c>
      <c r="BY997" s="5">
        <v>42251</v>
      </c>
      <c r="BZ997" s="5">
        <v>42276</v>
      </c>
      <c r="CA997" s="5">
        <v>42270</v>
      </c>
      <c r="CB997" s="4"/>
      <c r="CC997" s="4"/>
      <c r="CD997" s="4"/>
      <c r="CE997" s="4"/>
      <c r="CF997" s="4"/>
      <c r="CG997" s="4"/>
      <c r="CH997" s="4"/>
      <c r="CI997" s="5">
        <v>42286</v>
      </c>
      <c r="CJ997" s="5">
        <v>42303</v>
      </c>
      <c r="CK997" s="5">
        <v>42293</v>
      </c>
      <c r="CL997" s="4"/>
      <c r="CM997" s="4"/>
      <c r="CN997" s="4"/>
      <c r="CO997" s="4"/>
      <c r="CP997" s="4" t="s">
        <v>5168</v>
      </c>
      <c r="CQ997" s="4" t="s">
        <v>230</v>
      </c>
      <c r="CR997" s="5">
        <v>42277</v>
      </c>
      <c r="CS997" s="5">
        <v>42226</v>
      </c>
      <c r="CT997" s="5">
        <v>42226</v>
      </c>
      <c r="CU997" s="5">
        <v>42226</v>
      </c>
      <c r="CV997" s="5">
        <v>42226</v>
      </c>
      <c r="CW997" s="5">
        <v>42230</v>
      </c>
      <c r="CX997" s="5">
        <v>42243</v>
      </c>
      <c r="CY997" s="5">
        <v>42259</v>
      </c>
      <c r="CZ997" s="5">
        <v>42276</v>
      </c>
      <c r="DA997" s="5">
        <v>42279</v>
      </c>
      <c r="DB997" s="5">
        <v>42286</v>
      </c>
      <c r="DC997" s="5">
        <v>41007</v>
      </c>
      <c r="DD997" s="4" t="s">
        <v>586</v>
      </c>
      <c r="DE997" s="4" t="s">
        <v>5151</v>
      </c>
      <c r="DF997" s="4"/>
      <c r="DG997" s="4"/>
      <c r="DH997" s="4" t="s">
        <v>174</v>
      </c>
      <c r="DI997" s="5">
        <v>42256</v>
      </c>
      <c r="DJ997" s="4" t="b">
        <v>0</v>
      </c>
      <c r="DK997" s="4"/>
      <c r="DL997" s="4">
        <v>2373571</v>
      </c>
      <c r="DM997" s="4">
        <v>5865230</v>
      </c>
      <c r="DN997" s="4" t="s">
        <v>5169</v>
      </c>
      <c r="DO997" s="4"/>
      <c r="DP997" s="4"/>
      <c r="DQ997" s="4" t="s">
        <v>148</v>
      </c>
      <c r="DR997" s="4"/>
      <c r="DS997" s="4"/>
      <c r="DT997" s="4"/>
      <c r="DU997" s="4" t="s">
        <v>178</v>
      </c>
      <c r="DV997" s="4"/>
      <c r="DW997" s="4"/>
      <c r="DX997" s="5">
        <v>42151</v>
      </c>
      <c r="DY997" s="5">
        <v>42209</v>
      </c>
      <c r="DZ997" s="5">
        <v>42136</v>
      </c>
      <c r="EA997" s="4"/>
      <c r="EB997" s="4"/>
      <c r="EC997" s="4"/>
      <c r="ED997" s="4"/>
      <c r="EE997" s="5">
        <v>42209</v>
      </c>
      <c r="EF997" s="5">
        <v>42212</v>
      </c>
      <c r="EG997" s="5">
        <v>42312</v>
      </c>
      <c r="EH997" s="4"/>
      <c r="EI997" s="5">
        <v>42093</v>
      </c>
    </row>
    <row r="998" spans="1:139" hidden="1" x14ac:dyDescent="0.2">
      <c r="A998" t="str">
        <f>VLOOKUP(B998,Sheet1!$A$1:$B$18,2,FALSE)</f>
        <v>South Island</v>
      </c>
      <c r="B998" t="str">
        <f>LEFT(D998,3)</f>
        <v>OTG</v>
      </c>
      <c r="C998" s="2">
        <v>1200</v>
      </c>
      <c r="D998" s="3" t="str">
        <f>HYPERLINK("https://sitebase.nzcomms.co.nz/spm/spmnominalview/OTG-069-004/","OTG-069-004")</f>
        <v>OTG-069-004</v>
      </c>
      <c r="E998" s="4" t="s">
        <v>3660</v>
      </c>
      <c r="F998" s="3" t="str">
        <f>HYPERLINK("https://sitebase.nzcomms.co.nz/spm/spmcandidateview/OTG-069-004-A/","OTG-069-004-A")</f>
        <v>OTG-069-004-A</v>
      </c>
      <c r="G998" s="4" t="s">
        <v>3661</v>
      </c>
      <c r="H998" s="4" t="s">
        <v>3653</v>
      </c>
      <c r="I998" s="4">
        <v>21</v>
      </c>
      <c r="J998" s="4" t="s">
        <v>165</v>
      </c>
      <c r="K998" s="4" t="s">
        <v>141</v>
      </c>
      <c r="L998" s="4" t="s">
        <v>142</v>
      </c>
      <c r="M998" s="4" t="s">
        <v>190</v>
      </c>
      <c r="N998" s="4" t="s">
        <v>142</v>
      </c>
      <c r="O998" s="4"/>
      <c r="P998" s="4" t="s">
        <v>182</v>
      </c>
      <c r="Q998" s="4" t="s">
        <v>142</v>
      </c>
      <c r="R998" s="4"/>
      <c r="S998" s="4"/>
      <c r="T998" s="4"/>
      <c r="U998" s="4">
        <v>-45.231567550000001</v>
      </c>
      <c r="V998" s="4">
        <v>169.41541386</v>
      </c>
      <c r="W998" s="4"/>
      <c r="X998" s="4"/>
      <c r="Y998" s="4"/>
      <c r="Z998" s="4"/>
      <c r="AA998" s="4"/>
      <c r="AB998" s="4"/>
      <c r="AC998" s="4" t="b">
        <v>0</v>
      </c>
      <c r="AD998" s="4" t="b">
        <v>0</v>
      </c>
      <c r="AE998" s="5">
        <v>41989</v>
      </c>
      <c r="AF998" s="4"/>
      <c r="AG998" s="4" t="b">
        <v>1</v>
      </c>
      <c r="AH998" s="4"/>
      <c r="AI998" s="5">
        <v>41012</v>
      </c>
      <c r="AJ998" s="5">
        <v>41011</v>
      </c>
      <c r="AK998" s="5">
        <v>41030</v>
      </c>
      <c r="AL998" s="5">
        <v>41025</v>
      </c>
      <c r="AM998" s="5">
        <v>41057</v>
      </c>
      <c r="AN998" s="5">
        <v>41058</v>
      </c>
      <c r="AO998" s="4">
        <v>4</v>
      </c>
      <c r="AP998" s="5">
        <v>42090</v>
      </c>
      <c r="AQ998" s="5">
        <v>42123</v>
      </c>
      <c r="AR998" s="5">
        <v>42177</v>
      </c>
      <c r="AS998" s="5">
        <v>42180</v>
      </c>
      <c r="AT998" s="5">
        <v>42223</v>
      </c>
      <c r="AU998" s="5">
        <v>42222</v>
      </c>
      <c r="AV998" s="4"/>
      <c r="AW998" s="5">
        <v>42223</v>
      </c>
      <c r="AX998" s="4"/>
      <c r="AY998" s="4" t="s">
        <v>172</v>
      </c>
      <c r="AZ998" s="5">
        <v>41151</v>
      </c>
      <c r="BA998" s="5">
        <v>42139</v>
      </c>
      <c r="BB998" s="5">
        <v>41179</v>
      </c>
      <c r="BC998" s="5">
        <v>42139</v>
      </c>
      <c r="BD998" s="4">
        <v>4</v>
      </c>
      <c r="BE998" s="4"/>
      <c r="BF998" s="5">
        <v>41127</v>
      </c>
      <c r="BG998" s="5">
        <v>42139</v>
      </c>
      <c r="BH998" s="5">
        <v>42139</v>
      </c>
      <c r="BI998" s="5">
        <v>42202</v>
      </c>
      <c r="BJ998" s="5">
        <v>42206</v>
      </c>
      <c r="BK998" s="4">
        <v>2</v>
      </c>
      <c r="BL998" s="4"/>
      <c r="BM998" s="4"/>
      <c r="BN998" s="5">
        <v>42220</v>
      </c>
      <c r="BO998" s="5">
        <v>42256</v>
      </c>
      <c r="BP998" s="4"/>
      <c r="BQ998" s="4"/>
      <c r="BR998" s="5">
        <v>42216</v>
      </c>
      <c r="BS998" s="4"/>
      <c r="BT998" s="5">
        <v>42247</v>
      </c>
      <c r="BU998" s="5">
        <v>42255</v>
      </c>
      <c r="BV998" s="5">
        <v>42286</v>
      </c>
      <c r="BW998" s="5">
        <v>42289</v>
      </c>
      <c r="BX998" s="5">
        <v>42269</v>
      </c>
      <c r="BY998" s="5">
        <v>42284</v>
      </c>
      <c r="BZ998" s="5">
        <v>42291</v>
      </c>
      <c r="CA998" s="5">
        <v>42256</v>
      </c>
      <c r="CB998" s="4"/>
      <c r="CC998" s="4"/>
      <c r="CD998" s="4"/>
      <c r="CE998" s="4"/>
      <c r="CF998" s="4"/>
      <c r="CG998" s="4"/>
      <c r="CH998" s="4"/>
      <c r="CI998" s="5">
        <v>42292</v>
      </c>
      <c r="CJ998" s="5">
        <v>42307</v>
      </c>
      <c r="CK998" s="5">
        <v>42303</v>
      </c>
      <c r="CL998" s="4"/>
      <c r="CM998" s="4"/>
      <c r="CN998" s="4"/>
      <c r="CO998" s="4"/>
      <c r="CP998" s="4" t="s">
        <v>3662</v>
      </c>
      <c r="CQ998" s="4" t="s">
        <v>230</v>
      </c>
      <c r="CR998" s="5">
        <v>42295</v>
      </c>
      <c r="CS998" s="4"/>
      <c r="CT998" s="4"/>
      <c r="CU998" s="5">
        <v>42235</v>
      </c>
      <c r="CV998" s="5">
        <v>42235</v>
      </c>
      <c r="CW998" s="5">
        <v>42256</v>
      </c>
      <c r="CX998" s="5">
        <v>42256</v>
      </c>
      <c r="CY998" s="5">
        <v>42265</v>
      </c>
      <c r="CZ998" s="5">
        <v>42268</v>
      </c>
      <c r="DA998" s="5">
        <v>42298</v>
      </c>
      <c r="DB998" s="5">
        <v>42300</v>
      </c>
      <c r="DC998" s="5">
        <v>41081</v>
      </c>
      <c r="DD998" s="4" t="s">
        <v>206</v>
      </c>
      <c r="DE998" s="4" t="s">
        <v>3657</v>
      </c>
      <c r="DF998" s="4"/>
      <c r="DG998" s="4"/>
      <c r="DH998" s="4" t="s">
        <v>174</v>
      </c>
      <c r="DI998" s="5">
        <v>42261</v>
      </c>
      <c r="DJ998" s="4" t="b">
        <v>1</v>
      </c>
      <c r="DK998" s="5">
        <v>42205</v>
      </c>
      <c r="DL998" s="4">
        <v>2228531</v>
      </c>
      <c r="DM998" s="4">
        <v>5546812</v>
      </c>
      <c r="DN998" s="4" t="s">
        <v>3663</v>
      </c>
      <c r="DO998" s="4"/>
      <c r="DP998" s="4" t="s">
        <v>3664</v>
      </c>
      <c r="DQ998" s="4" t="s">
        <v>148</v>
      </c>
      <c r="DR998" s="4"/>
      <c r="DS998" s="4"/>
      <c r="DT998" s="4"/>
      <c r="DU998" s="4" t="s">
        <v>178</v>
      </c>
      <c r="DV998" s="4"/>
      <c r="DW998" s="4"/>
      <c r="DX998" s="5">
        <v>42142</v>
      </c>
      <c r="DY998" s="5">
        <v>42167</v>
      </c>
      <c r="DZ998" s="5">
        <v>42167</v>
      </c>
      <c r="EA998" s="4"/>
      <c r="EB998" s="4"/>
      <c r="EC998" s="4"/>
      <c r="ED998" s="4"/>
      <c r="EE998" s="5">
        <v>42195</v>
      </c>
      <c r="EF998" s="5">
        <v>42188</v>
      </c>
      <c r="EG998" s="5">
        <v>42303</v>
      </c>
      <c r="EH998" s="4"/>
      <c r="EI998" s="5">
        <v>41025</v>
      </c>
    </row>
    <row r="999" spans="1:139" hidden="1" x14ac:dyDescent="0.2">
      <c r="A999" t="str">
        <f>VLOOKUP(B999,Sheet1!$A$1:$B$18,2,FALSE)</f>
        <v>South Island</v>
      </c>
      <c r="B999" t="str">
        <f>LEFT(D999,3)</f>
        <v>CAN</v>
      </c>
      <c r="C999" s="2">
        <v>700</v>
      </c>
      <c r="D999" s="3" t="str">
        <f>HYPERLINK("https://sitebase.nzcomms.co.nz/spm/spmnominalview/CAN-065-001/","CAN-065-001")</f>
        <v>CAN-065-001</v>
      </c>
      <c r="E999" s="4" t="s">
        <v>2299</v>
      </c>
      <c r="F999" s="3" t="str">
        <f>HYPERLINK("https://sitebase.nzcomms.co.nz/spm/spmcandidateview/CAN-065-001-B/","CAN-065-001-B")</f>
        <v>CAN-065-001-B</v>
      </c>
      <c r="G999" s="4" t="s">
        <v>2300</v>
      </c>
      <c r="H999" s="4" t="s">
        <v>2301</v>
      </c>
      <c r="I999" s="4">
        <v>21</v>
      </c>
      <c r="J999" s="4" t="s">
        <v>165</v>
      </c>
      <c r="K999" s="4" t="s">
        <v>141</v>
      </c>
      <c r="L999" s="4" t="s">
        <v>150</v>
      </c>
      <c r="M999" s="4" t="s">
        <v>190</v>
      </c>
      <c r="N999" s="4" t="s">
        <v>167</v>
      </c>
      <c r="O999" s="4"/>
      <c r="P999" s="4" t="s">
        <v>182</v>
      </c>
      <c r="Q999" s="4" t="s">
        <v>192</v>
      </c>
      <c r="R999" s="4">
        <v>20</v>
      </c>
      <c r="S999" s="4">
        <v>20</v>
      </c>
      <c r="T999" s="4">
        <v>2</v>
      </c>
      <c r="U999" s="4">
        <v>-44.047180650000001</v>
      </c>
      <c r="V999" s="4">
        <v>170.87413434999999</v>
      </c>
      <c r="W999" s="4"/>
      <c r="X999" s="5">
        <v>40931</v>
      </c>
      <c r="Y999" s="4"/>
      <c r="Z999" s="4"/>
      <c r="AA999" s="4"/>
      <c r="AB999" s="4"/>
      <c r="AC999" s="4" t="b">
        <v>0</v>
      </c>
      <c r="AD999" s="4" t="b">
        <v>0</v>
      </c>
      <c r="AE999" s="4"/>
      <c r="AF999" s="4"/>
      <c r="AG999" s="4" t="b">
        <v>0</v>
      </c>
      <c r="AH999" s="4"/>
      <c r="AI999" s="5">
        <v>40962</v>
      </c>
      <c r="AJ999" s="5">
        <v>40962</v>
      </c>
      <c r="AK999" s="5">
        <v>40997</v>
      </c>
      <c r="AL999" s="5">
        <v>40995</v>
      </c>
      <c r="AM999" s="5">
        <v>41044</v>
      </c>
      <c r="AN999" s="5">
        <v>41045</v>
      </c>
      <c r="AO999" s="4">
        <v>2</v>
      </c>
      <c r="AP999" s="5">
        <v>41044</v>
      </c>
      <c r="AQ999" s="5">
        <v>42146</v>
      </c>
      <c r="AR999" s="5">
        <v>42188</v>
      </c>
      <c r="AS999" s="5">
        <v>42198</v>
      </c>
      <c r="AT999" s="5">
        <v>42216</v>
      </c>
      <c r="AU999" s="5">
        <v>42214</v>
      </c>
      <c r="AV999" s="4">
        <v>1</v>
      </c>
      <c r="AW999" s="5">
        <v>42230</v>
      </c>
      <c r="AX999" s="5">
        <v>42227</v>
      </c>
      <c r="AY999" s="4" t="s">
        <v>172</v>
      </c>
      <c r="AZ999" s="5">
        <v>42149</v>
      </c>
      <c r="BA999" s="5">
        <v>42150</v>
      </c>
      <c r="BB999" s="5">
        <v>42209</v>
      </c>
      <c r="BC999" s="5">
        <v>42209</v>
      </c>
      <c r="BD999" s="4">
        <v>2</v>
      </c>
      <c r="BE999" s="5">
        <v>42174</v>
      </c>
      <c r="BF999" s="5">
        <v>42233</v>
      </c>
      <c r="BG999" s="5">
        <v>42146</v>
      </c>
      <c r="BH999" s="5">
        <v>42146</v>
      </c>
      <c r="BI999" s="5">
        <v>42209</v>
      </c>
      <c r="BJ999" s="5">
        <v>42222</v>
      </c>
      <c r="BK999" s="4">
        <v>1</v>
      </c>
      <c r="BL999" s="4"/>
      <c r="BM999" s="4"/>
      <c r="BN999" s="5">
        <v>42222</v>
      </c>
      <c r="BO999" s="5">
        <v>42300</v>
      </c>
      <c r="BP999" s="4"/>
      <c r="BQ999" s="4"/>
      <c r="BR999" s="4"/>
      <c r="BS999" s="4"/>
      <c r="BT999" s="5">
        <v>42289</v>
      </c>
      <c r="BU999" s="5">
        <v>42289</v>
      </c>
      <c r="BV999" s="5">
        <v>42311</v>
      </c>
      <c r="BW999" s="5">
        <v>42311</v>
      </c>
      <c r="BX999" s="5">
        <v>42298</v>
      </c>
      <c r="BY999" s="5">
        <v>42321</v>
      </c>
      <c r="BZ999" s="5">
        <v>42311</v>
      </c>
      <c r="CA999" s="5">
        <v>42244</v>
      </c>
      <c r="CB999" s="4"/>
      <c r="CC999" s="4"/>
      <c r="CD999" s="4"/>
      <c r="CE999" s="4"/>
      <c r="CF999" s="4"/>
      <c r="CG999" s="4"/>
      <c r="CH999" s="4"/>
      <c r="CI999" s="5">
        <v>42317</v>
      </c>
      <c r="CJ999" s="5">
        <v>42323</v>
      </c>
      <c r="CK999" s="5">
        <v>42320</v>
      </c>
      <c r="CL999" s="4"/>
      <c r="CM999" s="4"/>
      <c r="CN999" s="4"/>
      <c r="CO999" s="4"/>
      <c r="CP999" s="4" t="s">
        <v>2302</v>
      </c>
      <c r="CQ999" s="4"/>
      <c r="CR999" s="5">
        <v>42318</v>
      </c>
      <c r="CS999" s="4"/>
      <c r="CT999" s="4"/>
      <c r="CU999" s="5">
        <v>42276</v>
      </c>
      <c r="CV999" s="5">
        <v>42276</v>
      </c>
      <c r="CW999" s="5">
        <v>42299</v>
      </c>
      <c r="CX999" s="5">
        <v>42300</v>
      </c>
      <c r="CY999" s="5">
        <v>42311</v>
      </c>
      <c r="CZ999" s="5">
        <v>42305</v>
      </c>
      <c r="DA999" s="5">
        <v>42319</v>
      </c>
      <c r="DB999" s="5">
        <v>42317</v>
      </c>
      <c r="DC999" s="5">
        <v>40947</v>
      </c>
      <c r="DD999" s="4" t="s">
        <v>586</v>
      </c>
      <c r="DE999" s="4" t="s">
        <v>2217</v>
      </c>
      <c r="DF999" s="4"/>
      <c r="DG999" s="4"/>
      <c r="DH999" s="4" t="s">
        <v>174</v>
      </c>
      <c r="DI999" s="5">
        <v>42303</v>
      </c>
      <c r="DJ999" s="4" t="b">
        <v>0</v>
      </c>
      <c r="DK999" s="4"/>
      <c r="DL999" s="4">
        <v>2339656</v>
      </c>
      <c r="DM999" s="4">
        <v>5682312</v>
      </c>
      <c r="DN999" s="4" t="s">
        <v>2303</v>
      </c>
      <c r="DO999" s="4"/>
      <c r="DP999" s="4" t="s">
        <v>2304</v>
      </c>
      <c r="DQ999" s="4" t="s">
        <v>148</v>
      </c>
      <c r="DR999" s="4"/>
      <c r="DS999" s="4"/>
      <c r="DT999" s="4"/>
      <c r="DU999" s="4" t="s">
        <v>178</v>
      </c>
      <c r="DV999" s="4"/>
      <c r="DW999" s="5">
        <v>42129</v>
      </c>
      <c r="DX999" s="5">
        <v>42132</v>
      </c>
      <c r="DY999" s="5">
        <v>42195</v>
      </c>
      <c r="DZ999" s="5">
        <v>42180</v>
      </c>
      <c r="EA999" s="4"/>
      <c r="EB999" s="4"/>
      <c r="EC999" s="4"/>
      <c r="ED999" s="4"/>
      <c r="EE999" s="5">
        <v>42251</v>
      </c>
      <c r="EF999" s="5">
        <v>42250</v>
      </c>
      <c r="EG999" s="5">
        <v>42328</v>
      </c>
      <c r="EH999" s="4"/>
      <c r="EI999" s="5">
        <v>40995</v>
      </c>
    </row>
    <row r="1000" spans="1:139" hidden="1" x14ac:dyDescent="0.2">
      <c r="A1000" t="str">
        <f>VLOOKUP(B1000,Sheet1!$A$1:$B$18,2,FALSE)</f>
        <v>South Island</v>
      </c>
      <c r="B1000" t="str">
        <f>LEFT(D1000,3)</f>
        <v>CAN</v>
      </c>
      <c r="C1000" s="2">
        <v>705</v>
      </c>
      <c r="D1000" s="3" t="str">
        <f>HYPERLINK("https://sitebase.nzcomms.co.nz/spm/spmnominalview/CAN-065-006/","CAN-065-006")</f>
        <v>CAN-065-006</v>
      </c>
      <c r="E1000" s="4" t="s">
        <v>2305</v>
      </c>
      <c r="F1000" s="3" t="str">
        <f>HYPERLINK("https://sitebase.nzcomms.co.nz/spm/spmcandidateview/CAN-065-006-A/","CAN-065-006-A")</f>
        <v>CAN-065-006-A</v>
      </c>
      <c r="G1000" s="4" t="s">
        <v>2306</v>
      </c>
      <c r="H1000" s="4" t="s">
        <v>2301</v>
      </c>
      <c r="I1000" s="4">
        <v>21</v>
      </c>
      <c r="J1000" s="4" t="s">
        <v>165</v>
      </c>
      <c r="K1000" s="4" t="s">
        <v>141</v>
      </c>
      <c r="L1000" s="4" t="s">
        <v>142</v>
      </c>
      <c r="M1000" s="4" t="s">
        <v>324</v>
      </c>
      <c r="N1000" s="4" t="s">
        <v>142</v>
      </c>
      <c r="O1000" s="4"/>
      <c r="P1000" s="4"/>
      <c r="Q1000" s="4" t="s">
        <v>142</v>
      </c>
      <c r="R1000" s="4"/>
      <c r="S1000" s="4"/>
      <c r="T1000" s="4"/>
      <c r="U1000" s="4"/>
      <c r="V1000" s="4"/>
      <c r="W1000" s="4"/>
      <c r="X1000" s="4"/>
      <c r="Y1000" s="4"/>
      <c r="Z1000" s="4"/>
      <c r="AA1000" s="4"/>
      <c r="AB1000" s="4"/>
      <c r="AC1000" s="4" t="b">
        <v>0</v>
      </c>
      <c r="AD1000" s="4" t="b">
        <v>0</v>
      </c>
      <c r="AE1000" s="4"/>
      <c r="AF1000" s="4"/>
      <c r="AG1000" s="4" t="b">
        <v>0</v>
      </c>
      <c r="AH1000" s="4"/>
      <c r="AI1000" s="5">
        <v>42054</v>
      </c>
      <c r="AJ1000" s="5">
        <v>42054</v>
      </c>
      <c r="AK1000" s="5">
        <v>42160</v>
      </c>
      <c r="AL1000" s="5">
        <v>42159</v>
      </c>
      <c r="AM1000" s="5">
        <v>42181</v>
      </c>
      <c r="AN1000" s="5">
        <v>42177</v>
      </c>
      <c r="AO1000" s="4">
        <v>1</v>
      </c>
      <c r="AP1000" s="4"/>
      <c r="AQ1000" s="5">
        <v>42177</v>
      </c>
      <c r="AR1000" s="5">
        <v>42195</v>
      </c>
      <c r="AS1000" s="5">
        <v>42186</v>
      </c>
      <c r="AT1000" s="5">
        <v>42216</v>
      </c>
      <c r="AU1000" s="5">
        <v>42186</v>
      </c>
      <c r="AV1000" s="4"/>
      <c r="AW1000" s="5">
        <v>42230</v>
      </c>
      <c r="AX1000" s="4"/>
      <c r="AY1000" s="4" t="s">
        <v>172</v>
      </c>
      <c r="AZ1000" s="5">
        <v>42185</v>
      </c>
      <c r="BA1000" s="5">
        <v>42185</v>
      </c>
      <c r="BB1000" s="5">
        <v>42213</v>
      </c>
      <c r="BC1000" s="5">
        <v>42207</v>
      </c>
      <c r="BD1000" s="4">
        <v>1</v>
      </c>
      <c r="BE1000" s="5">
        <v>42213</v>
      </c>
      <c r="BF1000" s="5">
        <v>42233</v>
      </c>
      <c r="BG1000" s="5">
        <v>42209</v>
      </c>
      <c r="BH1000" s="5">
        <v>42205</v>
      </c>
      <c r="BI1000" s="5">
        <v>42250</v>
      </c>
      <c r="BJ1000" s="5">
        <v>42254</v>
      </c>
      <c r="BK1000" s="4">
        <v>1</v>
      </c>
      <c r="BL1000" s="4"/>
      <c r="BM1000" s="4"/>
      <c r="BN1000" s="5">
        <v>42254</v>
      </c>
      <c r="BO1000" s="4"/>
      <c r="BP1000" s="4"/>
      <c r="BQ1000" s="4"/>
      <c r="BR1000" s="4"/>
      <c r="BS1000" s="4"/>
      <c r="BT1000" s="5">
        <v>42289</v>
      </c>
      <c r="BU1000" s="5">
        <v>42311</v>
      </c>
      <c r="BV1000" s="5">
        <v>42302</v>
      </c>
      <c r="BW1000" s="5">
        <v>42311</v>
      </c>
      <c r="BX1000" s="5">
        <v>42311</v>
      </c>
      <c r="BY1000" s="5">
        <v>42305</v>
      </c>
      <c r="BZ1000" s="5">
        <v>42311</v>
      </c>
      <c r="CA1000" s="5">
        <v>42244</v>
      </c>
      <c r="CB1000" s="4"/>
      <c r="CC1000" s="4"/>
      <c r="CD1000" s="4"/>
      <c r="CE1000" s="4"/>
      <c r="CF1000" s="4"/>
      <c r="CG1000" s="4"/>
      <c r="CH1000" s="4"/>
      <c r="CI1000" s="4"/>
      <c r="CJ1000" s="5">
        <v>42323</v>
      </c>
      <c r="CK1000" s="5">
        <v>42320</v>
      </c>
      <c r="CL1000" s="4"/>
      <c r="CM1000" s="4"/>
      <c r="CN1000" s="4"/>
      <c r="CO1000" s="4"/>
      <c r="CP1000" s="4" t="s">
        <v>2307</v>
      </c>
      <c r="CQ1000" s="4"/>
      <c r="CR1000" s="4"/>
      <c r="CS1000" s="4"/>
      <c r="CT1000" s="4"/>
      <c r="CU1000" s="4"/>
      <c r="CV1000" s="4"/>
      <c r="CW1000" s="4"/>
      <c r="CX1000" s="4"/>
      <c r="CY1000" s="5">
        <v>42302</v>
      </c>
      <c r="CZ1000" s="5">
        <v>42312</v>
      </c>
      <c r="DA1000" s="5">
        <v>42314</v>
      </c>
      <c r="DB1000" s="5">
        <v>42320</v>
      </c>
      <c r="DC1000" s="5">
        <v>42207</v>
      </c>
      <c r="DD1000" s="4" t="s">
        <v>586</v>
      </c>
      <c r="DE1000" s="4" t="s">
        <v>1982</v>
      </c>
      <c r="DF1000" s="5">
        <v>42223</v>
      </c>
      <c r="DG1000" s="4"/>
      <c r="DH1000" s="4" t="s">
        <v>174</v>
      </c>
      <c r="DI1000" s="5">
        <v>42302</v>
      </c>
      <c r="DJ1000" s="4" t="b">
        <v>0</v>
      </c>
      <c r="DK1000" s="4"/>
      <c r="DL1000" s="4"/>
      <c r="DM1000" s="4"/>
      <c r="DN1000" s="4" t="s">
        <v>2299</v>
      </c>
      <c r="DO1000" s="4"/>
      <c r="DP1000" s="4"/>
      <c r="DQ1000" s="4" t="s">
        <v>328</v>
      </c>
      <c r="DR1000" s="4"/>
      <c r="DS1000" s="4"/>
      <c r="DT1000" s="4"/>
      <c r="DU1000" s="4" t="s">
        <v>178</v>
      </c>
      <c r="DV1000" s="4"/>
      <c r="DW1000" s="4"/>
      <c r="DX1000" s="5">
        <v>42132</v>
      </c>
      <c r="DY1000" s="5">
        <v>42243</v>
      </c>
      <c r="DZ1000" s="5">
        <v>42243</v>
      </c>
      <c r="EA1000" s="4"/>
      <c r="EB1000" s="4"/>
      <c r="EC1000" s="4"/>
      <c r="ED1000" s="4"/>
      <c r="EE1000" s="5">
        <v>42251</v>
      </c>
      <c r="EF1000" s="5">
        <v>42251</v>
      </c>
      <c r="EG1000" s="4"/>
      <c r="EH1000" s="4"/>
      <c r="EI1000" s="5">
        <v>42159</v>
      </c>
    </row>
    <row r="1001" spans="1:139" hidden="1" x14ac:dyDescent="0.2">
      <c r="A1001" t="str">
        <f>VLOOKUP(B1001,Sheet1!$A$1:$B$18,2,FALSE)</f>
        <v>South Island</v>
      </c>
      <c r="B1001" t="str">
        <f>LEFT(D1001,3)</f>
        <v>CAN</v>
      </c>
      <c r="C1001" s="2">
        <v>715</v>
      </c>
      <c r="D1001" s="3" t="str">
        <f>HYPERLINK("https://sitebase.nzcomms.co.nz/spm/spmnominalview/CAN-066-007/","CAN-066-007")</f>
        <v>CAN-066-007</v>
      </c>
      <c r="E1001" s="4" t="s">
        <v>2332</v>
      </c>
      <c r="F1001" s="3" t="str">
        <f>HYPERLINK("https://sitebase.nzcomms.co.nz/spm/spmcandidateview/CAN-066-007-A/","CAN-066-007-A")</f>
        <v>CAN-066-007-A</v>
      </c>
      <c r="G1001" s="4" t="s">
        <v>2332</v>
      </c>
      <c r="H1001" s="4" t="s">
        <v>2319</v>
      </c>
      <c r="I1001" s="4">
        <v>21</v>
      </c>
      <c r="J1001" s="4" t="s">
        <v>165</v>
      </c>
      <c r="K1001" s="4" t="s">
        <v>141</v>
      </c>
      <c r="L1001" s="4" t="s">
        <v>722</v>
      </c>
      <c r="M1001" s="4" t="s">
        <v>166</v>
      </c>
      <c r="N1001" s="4"/>
      <c r="O1001" s="4"/>
      <c r="P1001" s="4"/>
      <c r="Q1001" s="4" t="s">
        <v>142</v>
      </c>
      <c r="R1001" s="4">
        <v>25</v>
      </c>
      <c r="S1001" s="4">
        <v>25</v>
      </c>
      <c r="T1001" s="4"/>
      <c r="U1001" s="4">
        <v>-44.500553609999997</v>
      </c>
      <c r="V1001" s="4">
        <v>171.16498730999999</v>
      </c>
      <c r="W1001" s="4"/>
      <c r="X1001" s="4"/>
      <c r="Y1001" s="4"/>
      <c r="Z1001" s="4"/>
      <c r="AA1001" s="4"/>
      <c r="AB1001" s="4"/>
      <c r="AC1001" s="4" t="b">
        <v>0</v>
      </c>
      <c r="AD1001" s="4" t="b">
        <v>0</v>
      </c>
      <c r="AE1001" s="4"/>
      <c r="AF1001" s="4"/>
      <c r="AG1001" s="4" t="b">
        <v>0</v>
      </c>
      <c r="AH1001" s="4"/>
      <c r="AI1001" s="5">
        <v>42197</v>
      </c>
      <c r="AJ1001" s="5">
        <v>42197</v>
      </c>
      <c r="AK1001" s="5">
        <v>42215</v>
      </c>
      <c r="AL1001" s="5">
        <v>42209</v>
      </c>
      <c r="AM1001" s="5">
        <v>42216</v>
      </c>
      <c r="AN1001" s="5">
        <v>42234</v>
      </c>
      <c r="AO1001" s="4">
        <v>1</v>
      </c>
      <c r="AP1001" s="4"/>
      <c r="AQ1001" s="5">
        <v>42234</v>
      </c>
      <c r="AR1001" s="5">
        <v>42237</v>
      </c>
      <c r="AS1001" s="5">
        <v>42221</v>
      </c>
      <c r="AT1001" s="5">
        <v>42254</v>
      </c>
      <c r="AU1001" s="5">
        <v>42243</v>
      </c>
      <c r="AV1001" s="4"/>
      <c r="AW1001" s="5">
        <v>42255</v>
      </c>
      <c r="AX1001" s="4"/>
      <c r="AY1001" s="4" t="s">
        <v>172</v>
      </c>
      <c r="AZ1001" s="5">
        <v>42223</v>
      </c>
      <c r="BA1001" s="5">
        <v>42235</v>
      </c>
      <c r="BB1001" s="5">
        <v>42234</v>
      </c>
      <c r="BC1001" s="5">
        <v>42235</v>
      </c>
      <c r="BD1001" s="4">
        <v>1</v>
      </c>
      <c r="BE1001" s="5">
        <v>42237</v>
      </c>
      <c r="BF1001" s="5">
        <v>42229</v>
      </c>
      <c r="BG1001" s="5">
        <v>42212</v>
      </c>
      <c r="BH1001" s="5">
        <v>42212</v>
      </c>
      <c r="BI1001" s="5">
        <v>42243</v>
      </c>
      <c r="BJ1001" s="5">
        <v>42243</v>
      </c>
      <c r="BK1001" s="4">
        <v>1</v>
      </c>
      <c r="BL1001" s="4"/>
      <c r="BM1001" s="4"/>
      <c r="BN1001" s="5">
        <v>42243</v>
      </c>
      <c r="BO1001" s="4"/>
      <c r="BP1001" s="4"/>
      <c r="BQ1001" s="4"/>
      <c r="BR1001" s="4"/>
      <c r="BS1001" s="4"/>
      <c r="BT1001" s="5">
        <v>42317</v>
      </c>
      <c r="BU1001" s="5">
        <v>42312</v>
      </c>
      <c r="BV1001" s="5">
        <v>42321</v>
      </c>
      <c r="BW1001" s="5">
        <v>42312</v>
      </c>
      <c r="BX1001" s="4"/>
      <c r="BY1001" s="5">
        <v>42321</v>
      </c>
      <c r="BZ1001" s="5">
        <v>42319</v>
      </c>
      <c r="CA1001" s="5">
        <v>42265</v>
      </c>
      <c r="CB1001" s="4"/>
      <c r="CC1001" s="5">
        <v>42251</v>
      </c>
      <c r="CD1001" s="4"/>
      <c r="CE1001" s="4"/>
      <c r="CF1001" s="4"/>
      <c r="CG1001" s="4"/>
      <c r="CH1001" s="4"/>
      <c r="CI1001" s="5">
        <v>42325</v>
      </c>
      <c r="CJ1001" s="5">
        <v>42332</v>
      </c>
      <c r="CK1001" s="5">
        <v>42332</v>
      </c>
      <c r="CL1001" s="4"/>
      <c r="CM1001" s="4"/>
      <c r="CN1001" s="4"/>
      <c r="CO1001" s="4"/>
      <c r="CP1001" s="4" t="s">
        <v>2333</v>
      </c>
      <c r="CQ1001" s="4" t="s">
        <v>230</v>
      </c>
      <c r="CR1001" s="5">
        <v>42320</v>
      </c>
      <c r="CS1001" s="4"/>
      <c r="CT1001" s="4"/>
      <c r="CU1001" s="4"/>
      <c r="CV1001" s="4"/>
      <c r="CW1001" s="4"/>
      <c r="CX1001" s="4"/>
      <c r="CY1001" s="5">
        <v>42322</v>
      </c>
      <c r="CZ1001" s="5">
        <v>42322</v>
      </c>
      <c r="DA1001" s="5">
        <v>42326</v>
      </c>
      <c r="DB1001" s="5">
        <v>42325</v>
      </c>
      <c r="DC1001" s="5">
        <v>42235</v>
      </c>
      <c r="DD1001" s="4" t="s">
        <v>586</v>
      </c>
      <c r="DE1001" s="4"/>
      <c r="DF1001" s="5">
        <v>42268</v>
      </c>
      <c r="DG1001" s="4"/>
      <c r="DH1001" s="4" t="s">
        <v>174</v>
      </c>
      <c r="DI1001" s="4"/>
      <c r="DJ1001" s="4" t="b">
        <v>0</v>
      </c>
      <c r="DK1001" s="4"/>
      <c r="DL1001" s="4">
        <v>2364064</v>
      </c>
      <c r="DM1001" s="4">
        <v>5632503</v>
      </c>
      <c r="DN1001" s="4" t="s">
        <v>2334</v>
      </c>
      <c r="DO1001" s="4"/>
      <c r="DP1001" s="4"/>
      <c r="DQ1001" s="4" t="s">
        <v>148</v>
      </c>
      <c r="DR1001" s="4"/>
      <c r="DS1001" s="4"/>
      <c r="DT1001" s="4"/>
      <c r="DU1001" s="4" t="s">
        <v>178</v>
      </c>
      <c r="DV1001" s="4"/>
      <c r="DW1001" s="4"/>
      <c r="DX1001" s="5">
        <v>42216</v>
      </c>
      <c r="DY1001" s="5">
        <v>42228</v>
      </c>
      <c r="DZ1001" s="5">
        <v>42228</v>
      </c>
      <c r="EA1001" s="5">
        <v>42205</v>
      </c>
      <c r="EB1001" s="5">
        <v>42206</v>
      </c>
      <c r="EC1001" s="5">
        <v>42216</v>
      </c>
      <c r="ED1001" s="5">
        <v>42221</v>
      </c>
      <c r="EE1001" s="5">
        <v>42258</v>
      </c>
      <c r="EF1001" s="5">
        <v>42262</v>
      </c>
      <c r="EG1001" s="5">
        <v>42335</v>
      </c>
      <c r="EH1001" s="5">
        <v>42328</v>
      </c>
      <c r="EI1001" s="5">
        <v>42209</v>
      </c>
    </row>
    <row r="1002" spans="1:139" hidden="1" x14ac:dyDescent="0.2">
      <c r="A1002" t="str">
        <f>VLOOKUP(B1002,Sheet1!$A$1:$B$18,2,FALSE)</f>
        <v>South Island</v>
      </c>
      <c r="B1002" t="str">
        <f>LEFT(D1002,3)</f>
        <v>CAN</v>
      </c>
      <c r="C1002" s="2">
        <v>650</v>
      </c>
      <c r="D1002" s="3" t="str">
        <f>HYPERLINK("https://sitebase.nzcomms.co.nz/spm/spmnominalview/CAN-059-013/","CAN-059-013")</f>
        <v>CAN-059-013</v>
      </c>
      <c r="E1002" s="4" t="s">
        <v>2093</v>
      </c>
      <c r="F1002" s="3" t="str">
        <f>HYPERLINK("https://sitebase.nzcomms.co.nz/spm/spmcandidateview/CAN-059-013-A/","CAN-059-013-A")</f>
        <v>CAN-059-013-A</v>
      </c>
      <c r="G1002" s="4" t="s">
        <v>2093</v>
      </c>
      <c r="H1002" s="4" t="s">
        <v>2053</v>
      </c>
      <c r="I1002" s="4">
        <v>21</v>
      </c>
      <c r="J1002" s="4" t="s">
        <v>165</v>
      </c>
      <c r="K1002" s="4" t="s">
        <v>141</v>
      </c>
      <c r="L1002" s="4" t="s">
        <v>722</v>
      </c>
      <c r="M1002" s="4" t="s">
        <v>166</v>
      </c>
      <c r="N1002" s="4"/>
      <c r="O1002" s="4"/>
      <c r="P1002" s="4"/>
      <c r="Q1002" s="4" t="s">
        <v>142</v>
      </c>
      <c r="R1002" s="4">
        <v>28</v>
      </c>
      <c r="S1002" s="4">
        <v>28</v>
      </c>
      <c r="T1002" s="4"/>
      <c r="U1002" s="4">
        <v>-43.280447670000001</v>
      </c>
      <c r="V1002" s="4">
        <v>172.69710087999999</v>
      </c>
      <c r="W1002" s="4"/>
      <c r="X1002" s="4"/>
      <c r="Y1002" s="4"/>
      <c r="Z1002" s="4"/>
      <c r="AA1002" s="4"/>
      <c r="AB1002" s="4"/>
      <c r="AC1002" s="4" t="b">
        <v>0</v>
      </c>
      <c r="AD1002" s="4" t="b">
        <v>0</v>
      </c>
      <c r="AE1002" s="4"/>
      <c r="AF1002" s="4"/>
      <c r="AG1002" s="4" t="b">
        <v>0</v>
      </c>
      <c r="AH1002" s="4"/>
      <c r="AI1002" s="5">
        <v>42197</v>
      </c>
      <c r="AJ1002" s="5">
        <v>42197</v>
      </c>
      <c r="AK1002" s="5">
        <v>42219</v>
      </c>
      <c r="AL1002" s="5">
        <v>42223</v>
      </c>
      <c r="AM1002" s="5">
        <v>42223</v>
      </c>
      <c r="AN1002" s="5">
        <v>42234</v>
      </c>
      <c r="AO1002" s="4">
        <v>1</v>
      </c>
      <c r="AP1002" s="5">
        <v>42227</v>
      </c>
      <c r="AQ1002" s="5">
        <v>42234</v>
      </c>
      <c r="AR1002" s="5">
        <v>42230</v>
      </c>
      <c r="AS1002" s="5">
        <v>42216</v>
      </c>
      <c r="AT1002" s="5">
        <v>42268</v>
      </c>
      <c r="AU1002" s="5">
        <v>42243</v>
      </c>
      <c r="AV1002" s="4"/>
      <c r="AW1002" s="5">
        <v>42268</v>
      </c>
      <c r="AX1002" s="4"/>
      <c r="AY1002" s="4" t="s">
        <v>172</v>
      </c>
      <c r="AZ1002" s="5">
        <v>42229</v>
      </c>
      <c r="BA1002" s="5">
        <v>42235</v>
      </c>
      <c r="BB1002" s="5">
        <v>42236</v>
      </c>
      <c r="BC1002" s="5">
        <v>42235</v>
      </c>
      <c r="BD1002" s="4">
        <v>1</v>
      </c>
      <c r="BE1002" s="5">
        <v>42236</v>
      </c>
      <c r="BF1002" s="5">
        <v>42235</v>
      </c>
      <c r="BG1002" s="5">
        <v>42237</v>
      </c>
      <c r="BH1002" s="5">
        <v>42213</v>
      </c>
      <c r="BI1002" s="5">
        <v>42242</v>
      </c>
      <c r="BJ1002" s="5">
        <v>42227</v>
      </c>
      <c r="BK1002" s="4">
        <v>1</v>
      </c>
      <c r="BL1002" s="4"/>
      <c r="BM1002" s="5">
        <v>42229</v>
      </c>
      <c r="BN1002" s="5">
        <v>42227</v>
      </c>
      <c r="BO1002" s="4"/>
      <c r="BP1002" s="4"/>
      <c r="BQ1002" s="4"/>
      <c r="BR1002" s="4"/>
      <c r="BS1002" s="4"/>
      <c r="BT1002" s="5">
        <v>42305</v>
      </c>
      <c r="BU1002" s="5">
        <v>42305</v>
      </c>
      <c r="BV1002" s="5">
        <v>42314</v>
      </c>
      <c r="BW1002" s="5">
        <v>42311</v>
      </c>
      <c r="BX1002" s="5">
        <v>42311</v>
      </c>
      <c r="BY1002" s="5">
        <v>42329</v>
      </c>
      <c r="BZ1002" s="5">
        <v>42328</v>
      </c>
      <c r="CA1002" s="5">
        <v>42269</v>
      </c>
      <c r="CB1002" s="4"/>
      <c r="CC1002" s="5">
        <v>42258</v>
      </c>
      <c r="CD1002" s="4"/>
      <c r="CE1002" s="5">
        <v>42272</v>
      </c>
      <c r="CF1002" s="5">
        <v>42311</v>
      </c>
      <c r="CG1002" s="5">
        <v>42258</v>
      </c>
      <c r="CH1002" s="5">
        <v>42311</v>
      </c>
      <c r="CI1002" s="4"/>
      <c r="CJ1002" s="5">
        <v>42344</v>
      </c>
      <c r="CK1002" s="5">
        <v>42344</v>
      </c>
      <c r="CL1002" s="4"/>
      <c r="CM1002" s="4"/>
      <c r="CN1002" s="4"/>
      <c r="CO1002" s="4"/>
      <c r="CP1002" s="4" t="s">
        <v>2094</v>
      </c>
      <c r="CQ1002" s="4" t="s">
        <v>230</v>
      </c>
      <c r="CR1002" s="5">
        <v>42334</v>
      </c>
      <c r="CS1002" s="4"/>
      <c r="CT1002" s="4"/>
      <c r="CU1002" s="4"/>
      <c r="CV1002" s="4"/>
      <c r="CW1002" s="4"/>
      <c r="CX1002" s="4"/>
      <c r="CY1002" s="5">
        <v>42312</v>
      </c>
      <c r="CZ1002" s="5">
        <v>42324</v>
      </c>
      <c r="DA1002" s="5">
        <v>42342</v>
      </c>
      <c r="DB1002" s="5">
        <v>42341</v>
      </c>
      <c r="DC1002" s="5">
        <v>42235</v>
      </c>
      <c r="DD1002" s="4" t="s">
        <v>586</v>
      </c>
      <c r="DE1002" s="4"/>
      <c r="DF1002" s="5">
        <v>42244</v>
      </c>
      <c r="DG1002" s="4"/>
      <c r="DH1002" s="4" t="s">
        <v>174</v>
      </c>
      <c r="DI1002" s="5">
        <v>42311</v>
      </c>
      <c r="DJ1002" s="4" t="b">
        <v>0</v>
      </c>
      <c r="DK1002" s="4"/>
      <c r="DL1002" s="4">
        <v>2485426</v>
      </c>
      <c r="DM1002" s="4">
        <v>5769619</v>
      </c>
      <c r="DN1002" s="4" t="s">
        <v>2095</v>
      </c>
      <c r="DO1002" s="4"/>
      <c r="DP1002" s="4"/>
      <c r="DQ1002" s="4" t="s">
        <v>148</v>
      </c>
      <c r="DR1002" s="4"/>
      <c r="DS1002" s="4"/>
      <c r="DT1002" s="4"/>
      <c r="DU1002" s="4" t="s">
        <v>178</v>
      </c>
      <c r="DV1002" s="4"/>
      <c r="DW1002" s="4"/>
      <c r="DX1002" s="5">
        <v>42289</v>
      </c>
      <c r="DY1002" s="5">
        <v>42228</v>
      </c>
      <c r="DZ1002" s="5">
        <v>42226</v>
      </c>
      <c r="EA1002" s="5">
        <v>42205</v>
      </c>
      <c r="EB1002" s="5">
        <v>42205</v>
      </c>
      <c r="EC1002" s="5">
        <v>42216</v>
      </c>
      <c r="ED1002" s="5">
        <v>42220</v>
      </c>
      <c r="EE1002" s="5">
        <v>42258</v>
      </c>
      <c r="EF1002" s="5">
        <v>42262</v>
      </c>
      <c r="EG1002" s="5">
        <v>42340</v>
      </c>
      <c r="EH1002" s="4"/>
      <c r="EI1002" s="5">
        <v>42208</v>
      </c>
    </row>
    <row r="1003" spans="1:139" hidden="1" x14ac:dyDescent="0.2">
      <c r="A1003" t="str">
        <f>VLOOKUP(B1003,Sheet1!$A$1:$B$18,2,FALSE)</f>
        <v>South Island</v>
      </c>
      <c r="B1003" t="str">
        <f>LEFT(D1003,3)</f>
        <v>CAN</v>
      </c>
      <c r="C1003" s="2">
        <v>663</v>
      </c>
      <c r="D1003" s="3" t="str">
        <f>HYPERLINK("https://sitebase.nzcomms.co.nz/spm/spmnominalview/CAN-062-009/","CAN-062-009")</f>
        <v>CAN-062-009</v>
      </c>
      <c r="E1003" s="4" t="s">
        <v>2147</v>
      </c>
      <c r="F1003" s="3" t="str">
        <f>HYPERLINK("https://sitebase.nzcomms.co.nz/spm/spmcandidateview/CAN-062-009-A/","CAN-062-009-A")</f>
        <v>CAN-062-009-A</v>
      </c>
      <c r="G1003" s="4" t="s">
        <v>2148</v>
      </c>
      <c r="H1003" s="4" t="s">
        <v>2111</v>
      </c>
      <c r="I1003" s="4">
        <v>21</v>
      </c>
      <c r="J1003" s="4" t="s">
        <v>165</v>
      </c>
      <c r="K1003" s="4" t="s">
        <v>141</v>
      </c>
      <c r="L1003" s="4" t="s">
        <v>142</v>
      </c>
      <c r="M1003" s="4" t="s">
        <v>190</v>
      </c>
      <c r="N1003" s="4" t="s">
        <v>142</v>
      </c>
      <c r="O1003" s="4"/>
      <c r="P1003" s="4" t="s">
        <v>182</v>
      </c>
      <c r="Q1003" s="4" t="s">
        <v>142</v>
      </c>
      <c r="R1003" s="4"/>
      <c r="S1003" s="4"/>
      <c r="T1003" s="4">
        <v>1</v>
      </c>
      <c r="U1003" s="4">
        <v>-43.675927059999999</v>
      </c>
      <c r="V1003" s="4">
        <v>172.55753149</v>
      </c>
      <c r="W1003" s="4"/>
      <c r="X1003" s="4"/>
      <c r="Y1003" s="4"/>
      <c r="Z1003" s="4"/>
      <c r="AA1003" s="4" t="s">
        <v>171</v>
      </c>
      <c r="AB1003" s="3" t="str">
        <f>HYPERLINK("https://sitebase.nzcomms.co.nz/spm/spmcandidateview/CAN-062-011-C/","CAN-062-011-C")</f>
        <v>CAN-062-011-C</v>
      </c>
      <c r="AC1003" s="4" t="b">
        <v>0</v>
      </c>
      <c r="AD1003" s="4" t="b">
        <v>0</v>
      </c>
      <c r="AE1003" s="4"/>
      <c r="AF1003" s="4"/>
      <c r="AG1003" s="4" t="b">
        <v>0</v>
      </c>
      <c r="AH1003" s="4"/>
      <c r="AI1003" s="5">
        <v>41051</v>
      </c>
      <c r="AJ1003" s="5">
        <v>41051</v>
      </c>
      <c r="AK1003" s="5">
        <v>41057</v>
      </c>
      <c r="AL1003" s="5">
        <v>41057</v>
      </c>
      <c r="AM1003" s="4"/>
      <c r="AN1003" s="5">
        <v>40771</v>
      </c>
      <c r="AO1003" s="4">
        <v>3</v>
      </c>
      <c r="AP1003" s="5">
        <v>41061</v>
      </c>
      <c r="AQ1003" s="5">
        <v>42202</v>
      </c>
      <c r="AR1003" s="5">
        <v>42131</v>
      </c>
      <c r="AS1003" s="5">
        <v>42139</v>
      </c>
      <c r="AT1003" s="5">
        <v>42230</v>
      </c>
      <c r="AU1003" s="5">
        <v>42234</v>
      </c>
      <c r="AV1003" s="4">
        <v>2</v>
      </c>
      <c r="AW1003" s="5">
        <v>42230</v>
      </c>
      <c r="AX1003" s="5">
        <v>42234</v>
      </c>
      <c r="AY1003" s="4" t="s">
        <v>183</v>
      </c>
      <c r="AZ1003" s="4"/>
      <c r="BA1003" s="5">
        <v>40787</v>
      </c>
      <c r="BB1003" s="4"/>
      <c r="BC1003" s="5">
        <v>40926</v>
      </c>
      <c r="BD1003" s="4">
        <v>2</v>
      </c>
      <c r="BE1003" s="4"/>
      <c r="BF1003" s="5">
        <v>40926</v>
      </c>
      <c r="BG1003" s="5">
        <v>42132</v>
      </c>
      <c r="BH1003" s="5">
        <v>42115</v>
      </c>
      <c r="BI1003" s="5">
        <v>42237</v>
      </c>
      <c r="BJ1003" s="5">
        <v>42236</v>
      </c>
      <c r="BK1003" s="4">
        <v>2</v>
      </c>
      <c r="BL1003" s="4"/>
      <c r="BM1003" s="4"/>
      <c r="BN1003" s="5">
        <v>42256</v>
      </c>
      <c r="BO1003" s="4"/>
      <c r="BP1003" s="4"/>
      <c r="BQ1003" s="4"/>
      <c r="BR1003" s="4"/>
      <c r="BS1003" s="4"/>
      <c r="BT1003" s="5">
        <v>42310</v>
      </c>
      <c r="BU1003" s="5">
        <v>42312</v>
      </c>
      <c r="BV1003" s="5">
        <v>42327</v>
      </c>
      <c r="BW1003" s="5">
        <v>42328</v>
      </c>
      <c r="BX1003" s="5">
        <v>42312</v>
      </c>
      <c r="BY1003" s="5">
        <v>42328</v>
      </c>
      <c r="BZ1003" s="5">
        <v>42334</v>
      </c>
      <c r="CA1003" s="5">
        <v>42272</v>
      </c>
      <c r="CB1003" s="4"/>
      <c r="CC1003" s="4"/>
      <c r="CD1003" s="4"/>
      <c r="CE1003" s="4"/>
      <c r="CF1003" s="4"/>
      <c r="CG1003" s="4"/>
      <c r="CH1003" s="4"/>
      <c r="CI1003" s="5">
        <v>42339</v>
      </c>
      <c r="CJ1003" s="5">
        <v>42347</v>
      </c>
      <c r="CK1003" s="5">
        <v>42347</v>
      </c>
      <c r="CL1003" s="4"/>
      <c r="CM1003" s="4"/>
      <c r="CN1003" s="4"/>
      <c r="CO1003" s="4"/>
      <c r="CP1003" s="4" t="s">
        <v>2149</v>
      </c>
      <c r="CQ1003" s="4" t="s">
        <v>230</v>
      </c>
      <c r="CR1003" s="5">
        <v>42334</v>
      </c>
      <c r="CS1003" s="5">
        <v>41156</v>
      </c>
      <c r="CT1003" s="5">
        <v>41156</v>
      </c>
      <c r="CU1003" s="4"/>
      <c r="CV1003" s="4"/>
      <c r="CW1003" s="4"/>
      <c r="CX1003" s="4"/>
      <c r="CY1003" s="5">
        <v>42325</v>
      </c>
      <c r="CZ1003" s="5">
        <v>42332</v>
      </c>
      <c r="DA1003" s="5">
        <v>42342</v>
      </c>
      <c r="DB1003" s="5">
        <v>42347</v>
      </c>
      <c r="DC1003" s="4"/>
      <c r="DD1003" s="4"/>
      <c r="DE1003" s="4" t="s">
        <v>2054</v>
      </c>
      <c r="DF1003" s="4"/>
      <c r="DG1003" s="4"/>
      <c r="DH1003" s="4" t="s">
        <v>174</v>
      </c>
      <c r="DI1003" s="5">
        <v>42318</v>
      </c>
      <c r="DJ1003" s="4" t="b">
        <v>0</v>
      </c>
      <c r="DK1003" s="4"/>
      <c r="DL1003" s="4">
        <v>2474330</v>
      </c>
      <c r="DM1003" s="4">
        <v>5725631</v>
      </c>
      <c r="DN1003" s="4" t="s">
        <v>2150</v>
      </c>
      <c r="DO1003" s="4" t="s">
        <v>2151</v>
      </c>
      <c r="DP1003" s="4" t="s">
        <v>2152</v>
      </c>
      <c r="DQ1003" s="4" t="s">
        <v>148</v>
      </c>
      <c r="DR1003" s="4"/>
      <c r="DS1003" s="4"/>
      <c r="DT1003" s="4"/>
      <c r="DU1003" s="4" t="s">
        <v>178</v>
      </c>
      <c r="DV1003" s="4"/>
      <c r="DW1003" s="4"/>
      <c r="DX1003" s="5">
        <v>42132</v>
      </c>
      <c r="DY1003" s="5">
        <v>42139</v>
      </c>
      <c r="DZ1003" s="5">
        <v>42135</v>
      </c>
      <c r="EA1003" s="4"/>
      <c r="EB1003" s="4"/>
      <c r="EC1003" s="4"/>
      <c r="ED1003" s="4"/>
      <c r="EE1003" s="5">
        <v>42272</v>
      </c>
      <c r="EF1003" s="5">
        <v>42278</v>
      </c>
      <c r="EG1003" s="5">
        <v>42341</v>
      </c>
      <c r="EH1003" s="4"/>
      <c r="EI1003" s="5">
        <v>41057</v>
      </c>
    </row>
    <row r="1004" spans="1:139" hidden="1" x14ac:dyDescent="0.2">
      <c r="A1004" t="str">
        <f>VLOOKUP(B1004,Sheet1!$A$1:$B$18,2,FALSE)</f>
        <v>South Island</v>
      </c>
      <c r="B1004" t="str">
        <f>LEFT(D1004,3)</f>
        <v>STH</v>
      </c>
      <c r="C1004" s="2">
        <v>1301</v>
      </c>
      <c r="D1004" s="3" t="str">
        <f>HYPERLINK("https://sitebase.nzcomms.co.nz/spm/spmnominalview/STH-074-001/","STH-074-001")</f>
        <v>STH-074-001</v>
      </c>
      <c r="E1004" s="4" t="s">
        <v>3903</v>
      </c>
      <c r="F1004" s="3" t="str">
        <f>HYPERLINK("https://sitebase.nzcomms.co.nz/spm/spmcandidateview/STH-074-001-B/","STH-074-001-B")</f>
        <v>STH-074-001-B</v>
      </c>
      <c r="G1004" s="4" t="s">
        <v>3904</v>
      </c>
      <c r="H1004" s="4" t="s">
        <v>3905</v>
      </c>
      <c r="I1004" s="4">
        <v>21</v>
      </c>
      <c r="J1004" s="4" t="s">
        <v>165</v>
      </c>
      <c r="K1004" s="4" t="s">
        <v>141</v>
      </c>
      <c r="L1004" s="4" t="s">
        <v>150</v>
      </c>
      <c r="M1004" s="4" t="s">
        <v>166</v>
      </c>
      <c r="N1004" s="4"/>
      <c r="O1004" s="4"/>
      <c r="P1004" s="4" t="s">
        <v>169</v>
      </c>
      <c r="Q1004" s="4" t="s">
        <v>170</v>
      </c>
      <c r="R1004" s="4"/>
      <c r="S1004" s="4">
        <v>20</v>
      </c>
      <c r="T1004" s="4"/>
      <c r="U1004" s="4">
        <v>-46.102220889999998</v>
      </c>
      <c r="V1004" s="4">
        <v>168.98880718999999</v>
      </c>
      <c r="W1004" s="4"/>
      <c r="X1004" s="4"/>
      <c r="Y1004" s="4"/>
      <c r="Z1004" s="4"/>
      <c r="AA1004" s="4"/>
      <c r="AB1004" s="4"/>
      <c r="AC1004" s="4" t="b">
        <v>0</v>
      </c>
      <c r="AD1004" s="4" t="b">
        <v>0</v>
      </c>
      <c r="AE1004" s="4"/>
      <c r="AF1004" s="4"/>
      <c r="AG1004" s="4" t="b">
        <v>0</v>
      </c>
      <c r="AH1004" s="4"/>
      <c r="AI1004" s="5">
        <v>42103</v>
      </c>
      <c r="AJ1004" s="5">
        <v>42102</v>
      </c>
      <c r="AK1004" s="5">
        <v>42111</v>
      </c>
      <c r="AL1004" s="5">
        <v>42111</v>
      </c>
      <c r="AM1004" s="5">
        <v>42170</v>
      </c>
      <c r="AN1004" s="5">
        <v>42170</v>
      </c>
      <c r="AO1004" s="4">
        <v>1</v>
      </c>
      <c r="AP1004" s="4"/>
      <c r="AQ1004" s="5">
        <v>42170</v>
      </c>
      <c r="AR1004" s="5">
        <v>42174</v>
      </c>
      <c r="AS1004" s="5">
        <v>42125</v>
      </c>
      <c r="AT1004" s="5">
        <v>42223</v>
      </c>
      <c r="AU1004" s="5">
        <v>42222</v>
      </c>
      <c r="AV1004" s="4"/>
      <c r="AW1004" s="5">
        <v>42230</v>
      </c>
      <c r="AX1004" s="4"/>
      <c r="AY1004" s="4" t="s">
        <v>172</v>
      </c>
      <c r="AZ1004" s="5">
        <v>42174</v>
      </c>
      <c r="BA1004" s="5">
        <v>42172</v>
      </c>
      <c r="BB1004" s="5">
        <v>42202</v>
      </c>
      <c r="BC1004" s="5">
        <v>42200</v>
      </c>
      <c r="BD1004" s="4">
        <v>1</v>
      </c>
      <c r="BE1004" s="5">
        <v>42209</v>
      </c>
      <c r="BF1004" s="5">
        <v>42233</v>
      </c>
      <c r="BG1004" s="5">
        <v>42181</v>
      </c>
      <c r="BH1004" s="5">
        <v>42180</v>
      </c>
      <c r="BI1004" s="5">
        <v>42251</v>
      </c>
      <c r="BJ1004" s="5">
        <v>42268</v>
      </c>
      <c r="BK1004" s="4">
        <v>1</v>
      </c>
      <c r="BL1004" s="4"/>
      <c r="BM1004" s="4"/>
      <c r="BN1004" s="5">
        <v>42268</v>
      </c>
      <c r="BO1004" s="4"/>
      <c r="BP1004" s="4"/>
      <c r="BQ1004" s="4"/>
      <c r="BR1004" s="4"/>
      <c r="BS1004" s="4"/>
      <c r="BT1004" s="5">
        <v>42299</v>
      </c>
      <c r="BU1004" s="5">
        <v>42300</v>
      </c>
      <c r="BV1004" s="5">
        <v>42338</v>
      </c>
      <c r="BW1004" s="5">
        <v>42339</v>
      </c>
      <c r="BX1004" s="5">
        <v>42311</v>
      </c>
      <c r="BY1004" s="5">
        <v>42340</v>
      </c>
      <c r="BZ1004" s="5">
        <v>42339</v>
      </c>
      <c r="CA1004" s="5">
        <v>42293</v>
      </c>
      <c r="CB1004" s="4"/>
      <c r="CC1004" s="4"/>
      <c r="CD1004" s="4"/>
      <c r="CE1004" s="4"/>
      <c r="CF1004" s="4"/>
      <c r="CG1004" s="4"/>
      <c r="CH1004" s="4"/>
      <c r="CI1004" s="5">
        <v>42341</v>
      </c>
      <c r="CJ1004" s="5">
        <v>42351</v>
      </c>
      <c r="CK1004" s="5">
        <v>42348</v>
      </c>
      <c r="CL1004" s="4"/>
      <c r="CM1004" s="4"/>
      <c r="CN1004" s="4"/>
      <c r="CO1004" s="4"/>
      <c r="CP1004" s="4" t="s">
        <v>3906</v>
      </c>
      <c r="CQ1004" s="4"/>
      <c r="CR1004" s="5">
        <v>42317</v>
      </c>
      <c r="CS1004" s="4"/>
      <c r="CT1004" s="4"/>
      <c r="CU1004" s="4"/>
      <c r="CV1004" s="4"/>
      <c r="CW1004" s="4"/>
      <c r="CX1004" s="4"/>
      <c r="CY1004" s="5">
        <v>42314</v>
      </c>
      <c r="CZ1004" s="5">
        <v>42341</v>
      </c>
      <c r="DA1004" s="5">
        <v>42349</v>
      </c>
      <c r="DB1004" s="5">
        <v>42348</v>
      </c>
      <c r="DC1004" s="5">
        <v>41007</v>
      </c>
      <c r="DD1004" s="4" t="s">
        <v>206</v>
      </c>
      <c r="DE1004" s="4" t="s">
        <v>3886</v>
      </c>
      <c r="DF1004" s="4"/>
      <c r="DG1004" s="4"/>
      <c r="DH1004" s="4" t="s">
        <v>174</v>
      </c>
      <c r="DI1004" s="5">
        <v>42313</v>
      </c>
      <c r="DJ1004" s="4" t="b">
        <v>0</v>
      </c>
      <c r="DK1004" s="4"/>
      <c r="DL1004" s="4">
        <v>2199772</v>
      </c>
      <c r="DM1004" s="4">
        <v>5448628</v>
      </c>
      <c r="DN1004" s="4" t="s">
        <v>3907</v>
      </c>
      <c r="DO1004" s="4"/>
      <c r="DP1004" s="4"/>
      <c r="DQ1004" s="4" t="s">
        <v>148</v>
      </c>
      <c r="DR1004" s="4"/>
      <c r="DS1004" s="4"/>
      <c r="DT1004" s="4"/>
      <c r="DU1004" s="4" t="s">
        <v>178</v>
      </c>
      <c r="DV1004" s="4"/>
      <c r="DW1004" s="5">
        <v>42250</v>
      </c>
      <c r="DX1004" s="5">
        <v>42159</v>
      </c>
      <c r="DY1004" s="5">
        <v>42188</v>
      </c>
      <c r="DZ1004" s="5">
        <v>42180</v>
      </c>
      <c r="EA1004" s="4"/>
      <c r="EB1004" s="4"/>
      <c r="EC1004" s="4"/>
      <c r="ED1004" s="4"/>
      <c r="EE1004" s="5">
        <v>42265</v>
      </c>
      <c r="EF1004" s="5">
        <v>42268</v>
      </c>
      <c r="EG1004" s="5">
        <v>42349</v>
      </c>
      <c r="EH1004" s="4"/>
      <c r="EI1004" s="5">
        <v>42111</v>
      </c>
    </row>
    <row r="1005" spans="1:139" hidden="1" x14ac:dyDescent="0.2">
      <c r="A1005" t="str">
        <f>VLOOKUP(B1005,Sheet1!$A$1:$B$18,2,FALSE)</f>
        <v>South Island</v>
      </c>
      <c r="B1005" t="str">
        <f>LEFT(D1005,3)</f>
        <v>STH</v>
      </c>
      <c r="C1005" s="2">
        <v>1302</v>
      </c>
      <c r="D1005" s="3" t="str">
        <f>HYPERLINK("https://sitebase.nzcomms.co.nz/spm/spmnominalview/STH-074-002/","STH-074-002")</f>
        <v>STH-074-002</v>
      </c>
      <c r="E1005" s="4" t="s">
        <v>3908</v>
      </c>
      <c r="F1005" s="3" t="str">
        <f>HYPERLINK("https://sitebase.nzcomms.co.nz/spm/spmcandidateview/STH-074-002-A/","STH-074-002-A")</f>
        <v>STH-074-002-A</v>
      </c>
      <c r="G1005" s="4" t="s">
        <v>3909</v>
      </c>
      <c r="H1005" s="4" t="s">
        <v>3905</v>
      </c>
      <c r="I1005" s="4">
        <v>21</v>
      </c>
      <c r="J1005" s="4" t="s">
        <v>165</v>
      </c>
      <c r="K1005" s="4" t="s">
        <v>141</v>
      </c>
      <c r="L1005" s="4" t="s">
        <v>181</v>
      </c>
      <c r="M1005" s="4" t="s">
        <v>324</v>
      </c>
      <c r="N1005" s="4" t="s">
        <v>142</v>
      </c>
      <c r="O1005" s="4"/>
      <c r="P1005" s="4"/>
      <c r="Q1005" s="4" t="s">
        <v>142</v>
      </c>
      <c r="R1005" s="4"/>
      <c r="S1005" s="4"/>
      <c r="T1005" s="4"/>
      <c r="U1005" s="4">
        <v>-46.101694389999999</v>
      </c>
      <c r="V1005" s="4">
        <v>168.94367618000001</v>
      </c>
      <c r="W1005" s="4"/>
      <c r="X1005" s="4"/>
      <c r="Y1005" s="4"/>
      <c r="Z1005" s="4"/>
      <c r="AA1005" s="4"/>
      <c r="AB1005" s="4"/>
      <c r="AC1005" s="4" t="b">
        <v>0</v>
      </c>
      <c r="AD1005" s="4" t="b">
        <v>0</v>
      </c>
      <c r="AE1005" s="4"/>
      <c r="AF1005" s="4"/>
      <c r="AG1005" s="4" t="b">
        <v>0</v>
      </c>
      <c r="AH1005" s="4"/>
      <c r="AI1005" s="5">
        <v>42103</v>
      </c>
      <c r="AJ1005" s="5">
        <v>42103</v>
      </c>
      <c r="AK1005" s="5">
        <v>42170</v>
      </c>
      <c r="AL1005" s="5">
        <v>42177</v>
      </c>
      <c r="AM1005" s="5">
        <v>42181</v>
      </c>
      <c r="AN1005" s="5">
        <v>42262</v>
      </c>
      <c r="AO1005" s="4">
        <v>1</v>
      </c>
      <c r="AP1005" s="4"/>
      <c r="AQ1005" s="5">
        <v>42262</v>
      </c>
      <c r="AR1005" s="5">
        <v>42195</v>
      </c>
      <c r="AS1005" s="5">
        <v>42250</v>
      </c>
      <c r="AT1005" s="5">
        <v>42216</v>
      </c>
      <c r="AU1005" s="5">
        <v>42268</v>
      </c>
      <c r="AV1005" s="4"/>
      <c r="AW1005" s="5">
        <v>42216</v>
      </c>
      <c r="AX1005" s="5">
        <v>41147</v>
      </c>
      <c r="AY1005" s="4" t="s">
        <v>172</v>
      </c>
      <c r="AZ1005" s="5">
        <v>42185</v>
      </c>
      <c r="BA1005" s="5">
        <v>42146</v>
      </c>
      <c r="BB1005" s="5">
        <v>42214</v>
      </c>
      <c r="BC1005" s="5">
        <v>42146</v>
      </c>
      <c r="BD1005" s="4">
        <v>1</v>
      </c>
      <c r="BE1005" s="5">
        <v>42216</v>
      </c>
      <c r="BF1005" s="5">
        <v>42146</v>
      </c>
      <c r="BG1005" s="5">
        <v>42229</v>
      </c>
      <c r="BH1005" s="5">
        <v>42229</v>
      </c>
      <c r="BI1005" s="5">
        <v>42251</v>
      </c>
      <c r="BJ1005" s="5">
        <v>42282</v>
      </c>
      <c r="BK1005" s="4">
        <v>2</v>
      </c>
      <c r="BL1005" s="4"/>
      <c r="BM1005" s="4"/>
      <c r="BN1005" s="5">
        <v>42311</v>
      </c>
      <c r="BO1005" s="4"/>
      <c r="BP1005" s="4"/>
      <c r="BQ1005" s="4"/>
      <c r="BR1005" s="4"/>
      <c r="BS1005" s="4"/>
      <c r="BT1005" s="5">
        <v>42296</v>
      </c>
      <c r="BU1005" s="5">
        <v>42311</v>
      </c>
      <c r="BV1005" s="5">
        <v>42324</v>
      </c>
      <c r="BW1005" s="5">
        <v>42318</v>
      </c>
      <c r="BX1005" s="5">
        <v>42311</v>
      </c>
      <c r="BY1005" s="5">
        <v>42348</v>
      </c>
      <c r="BZ1005" s="5">
        <v>42345</v>
      </c>
      <c r="CA1005" s="5">
        <v>42300</v>
      </c>
      <c r="CB1005" s="4"/>
      <c r="CC1005" s="4"/>
      <c r="CD1005" s="4"/>
      <c r="CE1005" s="4"/>
      <c r="CF1005" s="4"/>
      <c r="CG1005" s="4"/>
      <c r="CH1005" s="4"/>
      <c r="CI1005" s="4"/>
      <c r="CJ1005" s="5">
        <v>42351</v>
      </c>
      <c r="CK1005" s="5">
        <v>42348</v>
      </c>
      <c r="CL1005" s="4"/>
      <c r="CM1005" s="4"/>
      <c r="CN1005" s="4"/>
      <c r="CO1005" s="4"/>
      <c r="CP1005" s="4" t="s">
        <v>3910</v>
      </c>
      <c r="CQ1005" s="4"/>
      <c r="CR1005" s="4"/>
      <c r="CS1005" s="4"/>
      <c r="CT1005" s="4"/>
      <c r="CU1005" s="4"/>
      <c r="CV1005" s="4"/>
      <c r="CW1005" s="4"/>
      <c r="CX1005" s="4"/>
      <c r="CY1005" s="5">
        <v>42307</v>
      </c>
      <c r="CZ1005" s="4"/>
      <c r="DA1005" s="5">
        <v>42349</v>
      </c>
      <c r="DB1005" s="5">
        <v>42348</v>
      </c>
      <c r="DC1005" s="5">
        <v>42146</v>
      </c>
      <c r="DD1005" s="4" t="s">
        <v>586</v>
      </c>
      <c r="DE1005" s="4" t="s">
        <v>1982</v>
      </c>
      <c r="DF1005" s="5">
        <v>42265</v>
      </c>
      <c r="DG1005" s="4"/>
      <c r="DH1005" s="4" t="s">
        <v>174</v>
      </c>
      <c r="DI1005" s="5">
        <v>42307</v>
      </c>
      <c r="DJ1005" s="4" t="b">
        <v>0</v>
      </c>
      <c r="DK1005" s="4"/>
      <c r="DL1005" s="4">
        <v>2196284</v>
      </c>
      <c r="DM1005" s="4">
        <v>5448503</v>
      </c>
      <c r="DN1005" s="4" t="s">
        <v>3911</v>
      </c>
      <c r="DO1005" s="4"/>
      <c r="DP1005" s="4"/>
      <c r="DQ1005" s="4" t="s">
        <v>328</v>
      </c>
      <c r="DR1005" s="4"/>
      <c r="DS1005" s="4"/>
      <c r="DT1005" s="4"/>
      <c r="DU1005" s="4" t="s">
        <v>178</v>
      </c>
      <c r="DV1005" s="4"/>
      <c r="DW1005" s="4"/>
      <c r="DX1005" s="5">
        <v>42142</v>
      </c>
      <c r="DY1005" s="5">
        <v>42263</v>
      </c>
      <c r="DZ1005" s="5">
        <v>42244</v>
      </c>
      <c r="EA1005" s="4"/>
      <c r="EB1005" s="4"/>
      <c r="EC1005" s="4"/>
      <c r="ED1005" s="4"/>
      <c r="EE1005" s="5">
        <v>42279</v>
      </c>
      <c r="EF1005" s="5">
        <v>42292</v>
      </c>
      <c r="EG1005" s="4"/>
      <c r="EH1005" s="4"/>
      <c r="EI1005" s="5">
        <v>42177</v>
      </c>
    </row>
    <row r="1006" spans="1:139" hidden="1" x14ac:dyDescent="0.2">
      <c r="A1006" t="str">
        <f>VLOOKUP(B1006,Sheet1!$A$1:$B$18,2,FALSE)</f>
        <v>South Island</v>
      </c>
      <c r="B1006" t="str">
        <f>LEFT(D1006,3)</f>
        <v>STH</v>
      </c>
      <c r="C1006" s="2">
        <v>1303</v>
      </c>
      <c r="D1006" s="3" t="str">
        <f>HYPERLINK("https://sitebase.nzcomms.co.nz/spm/spmnominalview/STH-074-003/","STH-074-003")</f>
        <v>STH-074-003</v>
      </c>
      <c r="E1006" s="4" t="s">
        <v>3912</v>
      </c>
      <c r="F1006" s="3" t="str">
        <f>HYPERLINK("https://sitebase.nzcomms.co.nz/spm/spmcandidateview/STH-074-003-B/","STH-074-003-B")</f>
        <v>STH-074-003-B</v>
      </c>
      <c r="G1006" s="4" t="s">
        <v>3913</v>
      </c>
      <c r="H1006" s="4" t="s">
        <v>3905</v>
      </c>
      <c r="I1006" s="4">
        <v>21</v>
      </c>
      <c r="J1006" s="4" t="s">
        <v>165</v>
      </c>
      <c r="K1006" s="4" t="s">
        <v>141</v>
      </c>
      <c r="L1006" s="4" t="s">
        <v>142</v>
      </c>
      <c r="M1006" s="4" t="s">
        <v>166</v>
      </c>
      <c r="N1006" s="4" t="s">
        <v>142</v>
      </c>
      <c r="O1006" s="4"/>
      <c r="P1006" s="4" t="s">
        <v>182</v>
      </c>
      <c r="Q1006" s="4" t="s">
        <v>142</v>
      </c>
      <c r="R1006" s="4"/>
      <c r="S1006" s="4"/>
      <c r="T1006" s="4"/>
      <c r="U1006" s="4">
        <v>-46.228355370000003</v>
      </c>
      <c r="V1006" s="4">
        <v>168.87665491999999</v>
      </c>
      <c r="W1006" s="4"/>
      <c r="X1006" s="4"/>
      <c r="Y1006" s="4"/>
      <c r="Z1006" s="4"/>
      <c r="AA1006" s="4"/>
      <c r="AB1006" s="4"/>
      <c r="AC1006" s="4" t="b">
        <v>0</v>
      </c>
      <c r="AD1006" s="4" t="b">
        <v>0</v>
      </c>
      <c r="AE1006" s="4"/>
      <c r="AF1006" s="4"/>
      <c r="AG1006" s="4" t="b">
        <v>0</v>
      </c>
      <c r="AH1006" s="4"/>
      <c r="AI1006" s="5">
        <v>41963</v>
      </c>
      <c r="AJ1006" s="5">
        <v>41964</v>
      </c>
      <c r="AK1006" s="5">
        <v>41970</v>
      </c>
      <c r="AL1006" s="5">
        <v>41964</v>
      </c>
      <c r="AM1006" s="5">
        <v>42097</v>
      </c>
      <c r="AN1006" s="5">
        <v>42110</v>
      </c>
      <c r="AO1006" s="4">
        <v>1</v>
      </c>
      <c r="AP1006" s="4"/>
      <c r="AQ1006" s="5">
        <v>42110</v>
      </c>
      <c r="AR1006" s="5">
        <v>42188</v>
      </c>
      <c r="AS1006" s="5">
        <v>42198</v>
      </c>
      <c r="AT1006" s="5">
        <v>42230</v>
      </c>
      <c r="AU1006" s="5">
        <v>42242</v>
      </c>
      <c r="AV1006" s="4"/>
      <c r="AW1006" s="5">
        <v>42230</v>
      </c>
      <c r="AX1006" s="5">
        <v>42242</v>
      </c>
      <c r="AY1006" s="4" t="s">
        <v>172</v>
      </c>
      <c r="AZ1006" s="5">
        <v>42111</v>
      </c>
      <c r="BA1006" s="5">
        <v>42115</v>
      </c>
      <c r="BB1006" s="5">
        <v>42139</v>
      </c>
      <c r="BC1006" s="5">
        <v>42139</v>
      </c>
      <c r="BD1006" s="4">
        <v>1</v>
      </c>
      <c r="BE1006" s="5">
        <v>42139</v>
      </c>
      <c r="BF1006" s="5">
        <v>42139</v>
      </c>
      <c r="BG1006" s="5">
        <v>42146</v>
      </c>
      <c r="BH1006" s="5">
        <v>42139</v>
      </c>
      <c r="BI1006" s="5">
        <v>42181</v>
      </c>
      <c r="BJ1006" s="5">
        <v>42202</v>
      </c>
      <c r="BK1006" s="4">
        <v>2</v>
      </c>
      <c r="BL1006" s="4"/>
      <c r="BM1006" s="5">
        <v>42181</v>
      </c>
      <c r="BN1006" s="5">
        <v>42247</v>
      </c>
      <c r="BO1006" s="5">
        <v>42289</v>
      </c>
      <c r="BP1006" s="4"/>
      <c r="BQ1006" s="4"/>
      <c r="BR1006" s="4"/>
      <c r="BS1006" s="4"/>
      <c r="BT1006" s="5">
        <v>42278</v>
      </c>
      <c r="BU1006" s="5">
        <v>42257</v>
      </c>
      <c r="BV1006" s="5">
        <v>42314</v>
      </c>
      <c r="BW1006" s="5">
        <v>42313</v>
      </c>
      <c r="BX1006" s="5">
        <v>42293</v>
      </c>
      <c r="BY1006" s="5">
        <v>42335</v>
      </c>
      <c r="BZ1006" s="5">
        <v>42341</v>
      </c>
      <c r="CA1006" s="5">
        <v>42293</v>
      </c>
      <c r="CB1006" s="4"/>
      <c r="CC1006" s="4"/>
      <c r="CD1006" s="4"/>
      <c r="CE1006" s="4"/>
      <c r="CF1006" s="4"/>
      <c r="CG1006" s="4"/>
      <c r="CH1006" s="4"/>
      <c r="CI1006" s="4"/>
      <c r="CJ1006" s="5">
        <v>42351</v>
      </c>
      <c r="CK1006" s="5">
        <v>42348</v>
      </c>
      <c r="CL1006" s="4"/>
      <c r="CM1006" s="4"/>
      <c r="CN1006" s="4"/>
      <c r="CO1006" s="4"/>
      <c r="CP1006" s="4" t="s">
        <v>3914</v>
      </c>
      <c r="CQ1006" s="4"/>
      <c r="CR1006" s="5">
        <v>42341</v>
      </c>
      <c r="CS1006" s="4"/>
      <c r="CT1006" s="4"/>
      <c r="CU1006" s="5">
        <v>42289</v>
      </c>
      <c r="CV1006" s="5">
        <v>42289</v>
      </c>
      <c r="CW1006" s="5">
        <v>42289</v>
      </c>
      <c r="CX1006" s="5">
        <v>42289</v>
      </c>
      <c r="CY1006" s="5">
        <v>42297</v>
      </c>
      <c r="CZ1006" s="5">
        <v>42293</v>
      </c>
      <c r="DA1006" s="5">
        <v>42349</v>
      </c>
      <c r="DB1006" s="5">
        <v>42348</v>
      </c>
      <c r="DC1006" s="5">
        <v>41007</v>
      </c>
      <c r="DD1006" s="4" t="s">
        <v>586</v>
      </c>
      <c r="DE1006" s="4" t="s">
        <v>3886</v>
      </c>
      <c r="DF1006" s="4"/>
      <c r="DG1006" s="4"/>
      <c r="DH1006" s="4" t="s">
        <v>174</v>
      </c>
      <c r="DI1006" s="5">
        <v>42292</v>
      </c>
      <c r="DJ1006" s="4" t="b">
        <v>0</v>
      </c>
      <c r="DK1006" s="4"/>
      <c r="DL1006" s="4">
        <v>2191812</v>
      </c>
      <c r="DM1006" s="4">
        <v>5434199</v>
      </c>
      <c r="DN1006" s="4" t="s">
        <v>3915</v>
      </c>
      <c r="DO1006" s="4"/>
      <c r="DP1006" s="4"/>
      <c r="DQ1006" s="4" t="s">
        <v>148</v>
      </c>
      <c r="DR1006" s="4"/>
      <c r="DS1006" s="4"/>
      <c r="DT1006" s="4"/>
      <c r="DU1006" s="4" t="s">
        <v>178</v>
      </c>
      <c r="DV1006" s="4"/>
      <c r="DW1006" s="4"/>
      <c r="DX1006" s="5">
        <v>42142</v>
      </c>
      <c r="DY1006" s="5">
        <v>42181</v>
      </c>
      <c r="DZ1006" s="5">
        <v>42180</v>
      </c>
      <c r="EA1006" s="4"/>
      <c r="EB1006" s="4"/>
      <c r="EC1006" s="4"/>
      <c r="ED1006" s="4"/>
      <c r="EE1006" s="5">
        <v>42250</v>
      </c>
      <c r="EF1006" s="5">
        <v>42255</v>
      </c>
      <c r="EG1006" s="5">
        <v>42327</v>
      </c>
      <c r="EH1006" s="4"/>
      <c r="EI1006" s="5">
        <v>41964</v>
      </c>
    </row>
    <row r="1007" spans="1:139" hidden="1" x14ac:dyDescent="0.2">
      <c r="A1007" t="str">
        <f>VLOOKUP(B1007,Sheet1!$A$1:$B$18,2,FALSE)</f>
        <v>South Island</v>
      </c>
      <c r="B1007" t="str">
        <f>LEFT(D1007,3)</f>
        <v>CAN</v>
      </c>
      <c r="C1007" s="2">
        <v>706</v>
      </c>
      <c r="D1007" s="3" t="str">
        <f>HYPERLINK("https://sitebase.nzcomms.co.nz/spm/spmnominalview/CAN-065-007/","CAN-065-007")</f>
        <v>CAN-065-007</v>
      </c>
      <c r="E1007" s="4" t="s">
        <v>2308</v>
      </c>
      <c r="F1007" s="3" t="str">
        <f>HYPERLINK("https://sitebase.nzcomms.co.nz/spm/spmcandidateview/CAN-065-007-A/","CAN-065-007-A")</f>
        <v>CAN-065-007-A</v>
      </c>
      <c r="G1007" s="4" t="s">
        <v>1890</v>
      </c>
      <c r="H1007" s="4" t="s">
        <v>2301</v>
      </c>
      <c r="I1007" s="4">
        <v>21</v>
      </c>
      <c r="J1007" s="4" t="s">
        <v>165</v>
      </c>
      <c r="K1007" s="4" t="s">
        <v>141</v>
      </c>
      <c r="L1007" s="4" t="s">
        <v>142</v>
      </c>
      <c r="M1007" s="4" t="s">
        <v>190</v>
      </c>
      <c r="N1007" s="4" t="s">
        <v>142</v>
      </c>
      <c r="O1007" s="4"/>
      <c r="P1007" s="4" t="s">
        <v>182</v>
      </c>
      <c r="Q1007" s="4" t="s">
        <v>142</v>
      </c>
      <c r="R1007" s="4"/>
      <c r="S1007" s="4"/>
      <c r="T1007" s="4"/>
      <c r="U1007" s="4">
        <v>-44.403885760000001</v>
      </c>
      <c r="V1007" s="4">
        <v>170.03321252999999</v>
      </c>
      <c r="W1007" s="4"/>
      <c r="X1007" s="4"/>
      <c r="Y1007" s="4"/>
      <c r="Z1007" s="4"/>
      <c r="AA1007" s="4"/>
      <c r="AB1007" s="4"/>
      <c r="AC1007" s="4" t="b">
        <v>0</v>
      </c>
      <c r="AD1007" s="4" t="b">
        <v>0</v>
      </c>
      <c r="AE1007" s="4"/>
      <c r="AF1007" s="4"/>
      <c r="AG1007" s="4" t="b">
        <v>0</v>
      </c>
      <c r="AH1007" s="4"/>
      <c r="AI1007" s="5">
        <v>41978</v>
      </c>
      <c r="AJ1007" s="5">
        <v>41975</v>
      </c>
      <c r="AK1007" s="5">
        <v>42048</v>
      </c>
      <c r="AL1007" s="5">
        <v>42040</v>
      </c>
      <c r="AM1007" s="5">
        <v>42083</v>
      </c>
      <c r="AN1007" s="5">
        <v>42083</v>
      </c>
      <c r="AO1007" s="4">
        <v>2</v>
      </c>
      <c r="AP1007" s="5">
        <v>42083</v>
      </c>
      <c r="AQ1007" s="5">
        <v>42283</v>
      </c>
      <c r="AR1007" s="5">
        <v>42146</v>
      </c>
      <c r="AS1007" s="5">
        <v>42145</v>
      </c>
      <c r="AT1007" s="5">
        <v>42216</v>
      </c>
      <c r="AU1007" s="5">
        <v>42222</v>
      </c>
      <c r="AV1007" s="4"/>
      <c r="AW1007" s="5">
        <v>42223</v>
      </c>
      <c r="AX1007" s="4"/>
      <c r="AY1007" s="4" t="s">
        <v>247</v>
      </c>
      <c r="AZ1007" s="5">
        <v>42090</v>
      </c>
      <c r="BA1007" s="5">
        <v>42090</v>
      </c>
      <c r="BB1007" s="5">
        <v>42124</v>
      </c>
      <c r="BC1007" s="5">
        <v>42118</v>
      </c>
      <c r="BD1007" s="4">
        <v>1</v>
      </c>
      <c r="BE1007" s="5">
        <v>42124</v>
      </c>
      <c r="BF1007" s="5">
        <v>42118</v>
      </c>
      <c r="BG1007" s="5">
        <v>42132</v>
      </c>
      <c r="BH1007" s="5">
        <v>42139</v>
      </c>
      <c r="BI1007" s="5">
        <v>42250</v>
      </c>
      <c r="BJ1007" s="5">
        <v>42254</v>
      </c>
      <c r="BK1007" s="4">
        <v>3</v>
      </c>
      <c r="BL1007" s="4"/>
      <c r="BM1007" s="4"/>
      <c r="BN1007" s="5">
        <v>42326</v>
      </c>
      <c r="BO1007" s="4"/>
      <c r="BP1007" s="4"/>
      <c r="BQ1007" s="4"/>
      <c r="BR1007" s="4"/>
      <c r="BS1007" s="4"/>
      <c r="BT1007" s="5">
        <v>42331</v>
      </c>
      <c r="BU1007" s="5">
        <v>42333</v>
      </c>
      <c r="BV1007" s="5">
        <v>42337</v>
      </c>
      <c r="BW1007" s="5">
        <v>42339</v>
      </c>
      <c r="BX1007" s="5">
        <v>42333</v>
      </c>
      <c r="BY1007" s="5">
        <v>42342</v>
      </c>
      <c r="BZ1007" s="5">
        <v>42348</v>
      </c>
      <c r="CA1007" s="5">
        <v>42293</v>
      </c>
      <c r="CB1007" s="4"/>
      <c r="CC1007" s="4"/>
      <c r="CD1007" s="4"/>
      <c r="CE1007" s="4"/>
      <c r="CF1007" s="4"/>
      <c r="CG1007" s="4"/>
      <c r="CH1007" s="4"/>
      <c r="CI1007" s="5">
        <v>42348</v>
      </c>
      <c r="CJ1007" s="5">
        <v>42355</v>
      </c>
      <c r="CK1007" s="5">
        <v>42353</v>
      </c>
      <c r="CL1007" s="4"/>
      <c r="CM1007" s="4"/>
      <c r="CN1007" s="4"/>
      <c r="CO1007" s="4"/>
      <c r="CP1007" s="4" t="s">
        <v>2309</v>
      </c>
      <c r="CQ1007" s="4" t="s">
        <v>230</v>
      </c>
      <c r="CR1007" s="5">
        <v>42310</v>
      </c>
      <c r="CS1007" s="4"/>
      <c r="CT1007" s="4"/>
      <c r="CU1007" s="5">
        <v>42328</v>
      </c>
      <c r="CV1007" s="5">
        <v>42328</v>
      </c>
      <c r="CW1007" s="4"/>
      <c r="CX1007" s="4"/>
      <c r="CY1007" s="5">
        <v>42338</v>
      </c>
      <c r="CZ1007" s="5">
        <v>42341</v>
      </c>
      <c r="DA1007" s="5">
        <v>42352</v>
      </c>
      <c r="DB1007" s="5">
        <v>42353</v>
      </c>
      <c r="DC1007" s="5">
        <v>42055</v>
      </c>
      <c r="DD1007" s="4" t="s">
        <v>586</v>
      </c>
      <c r="DE1007" s="4"/>
      <c r="DF1007" s="4"/>
      <c r="DG1007" s="4"/>
      <c r="DH1007" s="4" t="s">
        <v>174</v>
      </c>
      <c r="DI1007" s="5">
        <v>42333</v>
      </c>
      <c r="DJ1007" s="4" t="b">
        <v>0</v>
      </c>
      <c r="DK1007" s="4"/>
      <c r="DL1007" s="4">
        <v>2273716</v>
      </c>
      <c r="DM1007" s="4">
        <v>5640641</v>
      </c>
      <c r="DN1007" s="4" t="s">
        <v>2310</v>
      </c>
      <c r="DO1007" s="4"/>
      <c r="DP1007" s="4" t="s">
        <v>2311</v>
      </c>
      <c r="DQ1007" s="4" t="s">
        <v>148</v>
      </c>
      <c r="DR1007" s="4"/>
      <c r="DS1007" s="4"/>
      <c r="DT1007" s="4"/>
      <c r="DU1007" s="4" t="s">
        <v>178</v>
      </c>
      <c r="DV1007" s="4"/>
      <c r="DW1007" s="4"/>
      <c r="DX1007" s="5">
        <v>42136</v>
      </c>
      <c r="DY1007" s="5">
        <v>42230</v>
      </c>
      <c r="DZ1007" s="5">
        <v>42230</v>
      </c>
      <c r="EA1007" s="4"/>
      <c r="EB1007" s="4"/>
      <c r="EC1007" s="4"/>
      <c r="ED1007" s="4"/>
      <c r="EE1007" s="5">
        <v>42300</v>
      </c>
      <c r="EF1007" s="5">
        <v>42306</v>
      </c>
      <c r="EG1007" s="5">
        <v>42356</v>
      </c>
      <c r="EH1007" s="4"/>
      <c r="EI1007" s="5">
        <v>42040</v>
      </c>
    </row>
    <row r="1008" spans="1:139" hidden="1" x14ac:dyDescent="0.2">
      <c r="A1008" t="str">
        <f>VLOOKUP(B1008,Sheet1!$A$1:$B$18,2,FALSE)</f>
        <v>South Island</v>
      </c>
      <c r="B1008" t="str">
        <f>LEFT(D1008,3)</f>
        <v>MBN</v>
      </c>
      <c r="C1008" s="2">
        <v>1030</v>
      </c>
      <c r="D1008" s="3" t="str">
        <f>HYPERLINK("https://sitebase.nzcomms.co.nz/spm/spmnominalview/MBN-053-008/","MBN-053-008")</f>
        <v>MBN-053-008</v>
      </c>
      <c r="E1008" s="4" t="s">
        <v>3169</v>
      </c>
      <c r="F1008" s="3" t="str">
        <f>HYPERLINK("https://sitebase.nzcomms.co.nz/spm/spmcandidateview/MBN-053-008-A/","MBN-053-008-A")</f>
        <v>MBN-053-008-A</v>
      </c>
      <c r="G1008" s="4" t="s">
        <v>3170</v>
      </c>
      <c r="H1008" s="4" t="s">
        <v>3152</v>
      </c>
      <c r="I1008" s="4">
        <v>21</v>
      </c>
      <c r="J1008" s="4" t="s">
        <v>165</v>
      </c>
      <c r="K1008" s="4" t="s">
        <v>141</v>
      </c>
      <c r="L1008" s="4" t="s">
        <v>142</v>
      </c>
      <c r="M1008" s="4" t="s">
        <v>324</v>
      </c>
      <c r="N1008" s="4" t="s">
        <v>142</v>
      </c>
      <c r="O1008" s="4"/>
      <c r="P1008" s="4"/>
      <c r="Q1008" s="4" t="s">
        <v>142</v>
      </c>
      <c r="R1008" s="4"/>
      <c r="S1008" s="4"/>
      <c r="T1008" s="4"/>
      <c r="U1008" s="4">
        <v>-41.290863999999999</v>
      </c>
      <c r="V1008" s="4">
        <v>174.007586</v>
      </c>
      <c r="W1008" s="4"/>
      <c r="X1008" s="4"/>
      <c r="Y1008" s="4"/>
      <c r="Z1008" s="4"/>
      <c r="AA1008" s="4"/>
      <c r="AB1008" s="4"/>
      <c r="AC1008" s="4" t="b">
        <v>0</v>
      </c>
      <c r="AD1008" s="4" t="b">
        <v>0</v>
      </c>
      <c r="AE1008" s="4"/>
      <c r="AF1008" s="4"/>
      <c r="AG1008" s="4" t="b">
        <v>0</v>
      </c>
      <c r="AH1008" s="4"/>
      <c r="AI1008" s="5">
        <v>42041</v>
      </c>
      <c r="AJ1008" s="5">
        <v>42069</v>
      </c>
      <c r="AK1008" s="5">
        <v>42083</v>
      </c>
      <c r="AL1008" s="5">
        <v>42080</v>
      </c>
      <c r="AM1008" s="5">
        <v>42122</v>
      </c>
      <c r="AN1008" s="5">
        <v>42123</v>
      </c>
      <c r="AO1008" s="4">
        <v>1</v>
      </c>
      <c r="AP1008" s="4"/>
      <c r="AQ1008" s="5">
        <v>42123</v>
      </c>
      <c r="AR1008" s="5">
        <v>42146</v>
      </c>
      <c r="AS1008" s="5">
        <v>42158</v>
      </c>
      <c r="AT1008" s="5">
        <v>42153</v>
      </c>
      <c r="AU1008" s="5">
        <v>42158</v>
      </c>
      <c r="AV1008" s="4"/>
      <c r="AW1008" s="5">
        <v>42160</v>
      </c>
      <c r="AX1008" s="5">
        <v>42212</v>
      </c>
      <c r="AY1008" s="4" t="s">
        <v>172</v>
      </c>
      <c r="AZ1008" s="5">
        <v>42125</v>
      </c>
      <c r="BA1008" s="5">
        <v>42125</v>
      </c>
      <c r="BB1008" s="5">
        <v>42153</v>
      </c>
      <c r="BC1008" s="5">
        <v>42144</v>
      </c>
      <c r="BD1008" s="4">
        <v>1</v>
      </c>
      <c r="BE1008" s="5">
        <v>42153</v>
      </c>
      <c r="BF1008" s="5">
        <v>42144</v>
      </c>
      <c r="BG1008" s="5">
        <v>42128</v>
      </c>
      <c r="BH1008" s="5">
        <v>42130</v>
      </c>
      <c r="BI1008" s="5">
        <v>42146</v>
      </c>
      <c r="BJ1008" s="5">
        <v>42153</v>
      </c>
      <c r="BK1008" s="4">
        <v>1</v>
      </c>
      <c r="BL1008" s="4"/>
      <c r="BM1008" s="4"/>
      <c r="BN1008" s="5">
        <v>42153</v>
      </c>
      <c r="BO1008" s="4"/>
      <c r="BP1008" s="4"/>
      <c r="BQ1008" s="4"/>
      <c r="BR1008" s="4"/>
      <c r="BS1008" s="4"/>
      <c r="BT1008" s="5">
        <v>42304</v>
      </c>
      <c r="BU1008" s="5">
        <v>42345</v>
      </c>
      <c r="BV1008" s="5">
        <v>42319</v>
      </c>
      <c r="BW1008" s="5">
        <v>42345</v>
      </c>
      <c r="BX1008" s="4"/>
      <c r="BY1008" s="5">
        <v>42319</v>
      </c>
      <c r="BZ1008" s="5">
        <v>42345</v>
      </c>
      <c r="CA1008" s="5">
        <v>42174</v>
      </c>
      <c r="CB1008" s="4"/>
      <c r="CC1008" s="4"/>
      <c r="CD1008" s="4"/>
      <c r="CE1008" s="4"/>
      <c r="CF1008" s="4"/>
      <c r="CG1008" s="4"/>
      <c r="CH1008" s="4"/>
      <c r="CI1008" s="4"/>
      <c r="CJ1008" s="5">
        <v>42355</v>
      </c>
      <c r="CK1008" s="5">
        <v>42355</v>
      </c>
      <c r="CL1008" s="4"/>
      <c r="CM1008" s="4"/>
      <c r="CN1008" s="4"/>
      <c r="CO1008" s="4"/>
      <c r="CP1008" s="4" t="s">
        <v>3171</v>
      </c>
      <c r="CQ1008" s="4"/>
      <c r="CR1008" s="4"/>
      <c r="CS1008" s="4"/>
      <c r="CT1008" s="4"/>
      <c r="CU1008" s="4"/>
      <c r="CV1008" s="4"/>
      <c r="CW1008" s="4"/>
      <c r="CX1008" s="4"/>
      <c r="CY1008" s="5">
        <v>42319</v>
      </c>
      <c r="CZ1008" s="4"/>
      <c r="DA1008" s="5">
        <v>42323</v>
      </c>
      <c r="DB1008" s="5">
        <v>42355</v>
      </c>
      <c r="DC1008" s="5">
        <v>42055</v>
      </c>
      <c r="DD1008" s="4" t="s">
        <v>586</v>
      </c>
      <c r="DE1008" s="4"/>
      <c r="DF1008" s="5">
        <v>42163</v>
      </c>
      <c r="DG1008" s="4"/>
      <c r="DH1008" s="4" t="s">
        <v>174</v>
      </c>
      <c r="DI1008" s="4"/>
      <c r="DJ1008" s="4" t="b">
        <v>0</v>
      </c>
      <c r="DK1008" s="4"/>
      <c r="DL1008" s="4">
        <v>2594378</v>
      </c>
      <c r="DM1008" s="4">
        <v>5990170</v>
      </c>
      <c r="DN1008" s="4" t="s">
        <v>3172</v>
      </c>
      <c r="DO1008" s="4"/>
      <c r="DP1008" s="4"/>
      <c r="DQ1008" s="4" t="s">
        <v>328</v>
      </c>
      <c r="DR1008" s="4"/>
      <c r="DS1008" s="4"/>
      <c r="DT1008" s="4"/>
      <c r="DU1008" s="4" t="s">
        <v>178</v>
      </c>
      <c r="DV1008" s="4"/>
      <c r="DW1008" s="4"/>
      <c r="DX1008" s="5">
        <v>42044</v>
      </c>
      <c r="DY1008" s="5">
        <v>42160</v>
      </c>
      <c r="DZ1008" s="5">
        <v>42160</v>
      </c>
      <c r="EA1008" s="4"/>
      <c r="EB1008" s="4"/>
      <c r="EC1008" s="4"/>
      <c r="ED1008" s="4"/>
      <c r="EE1008" s="4"/>
      <c r="EF1008" s="5">
        <v>42318</v>
      </c>
      <c r="EG1008" s="4"/>
      <c r="EH1008" s="4"/>
      <c r="EI1008" s="5">
        <v>42080</v>
      </c>
    </row>
    <row r="1009" spans="1:139" hidden="1" x14ac:dyDescent="0.2">
      <c r="A1009" t="str">
        <f>VLOOKUP(B1009,Sheet1!$A$1:$B$18,2,FALSE)</f>
        <v>South Island</v>
      </c>
      <c r="B1009" t="str">
        <f>LEFT(D1009,3)</f>
        <v>CAN</v>
      </c>
      <c r="C1009" s="2">
        <v>708</v>
      </c>
      <c r="D1009" s="3" t="str">
        <f>HYPERLINK("https://sitebase.nzcomms.co.nz/spm/spmnominalview/CAN-065-009/","CAN-065-009")</f>
        <v>CAN-065-009</v>
      </c>
      <c r="E1009" s="4" t="s">
        <v>2316</v>
      </c>
      <c r="F1009" s="3" t="str">
        <f>HYPERLINK("https://sitebase.nzcomms.co.nz/spm/spmcandidateview/CAN-065-009-A/","CAN-065-009-A")</f>
        <v>CAN-065-009-A</v>
      </c>
      <c r="G1009" s="4" t="s">
        <v>2317</v>
      </c>
      <c r="H1009" s="4" t="s">
        <v>2301</v>
      </c>
      <c r="I1009" s="4">
        <v>21</v>
      </c>
      <c r="J1009" s="4" t="s">
        <v>165</v>
      </c>
      <c r="K1009" s="4" t="s">
        <v>141</v>
      </c>
      <c r="L1009" s="4" t="s">
        <v>142</v>
      </c>
      <c r="M1009" s="4" t="s">
        <v>324</v>
      </c>
      <c r="N1009" s="4"/>
      <c r="O1009" s="4"/>
      <c r="P1009" s="4"/>
      <c r="Q1009" s="4" t="s">
        <v>142</v>
      </c>
      <c r="R1009" s="4"/>
      <c r="S1009" s="4"/>
      <c r="T1009" s="4"/>
      <c r="U1009" s="4"/>
      <c r="V1009" s="4"/>
      <c r="W1009" s="4"/>
      <c r="X1009" s="4"/>
      <c r="Y1009" s="4"/>
      <c r="Z1009" s="4"/>
      <c r="AA1009" s="4"/>
      <c r="AB1009" s="4"/>
      <c r="AC1009" s="4" t="b">
        <v>0</v>
      </c>
      <c r="AD1009" s="4" t="b">
        <v>0</v>
      </c>
      <c r="AE1009" s="4"/>
      <c r="AF1009" s="4"/>
      <c r="AG1009" s="4" t="b">
        <v>0</v>
      </c>
      <c r="AH1009" s="4"/>
      <c r="AI1009" s="5">
        <v>41978</v>
      </c>
      <c r="AJ1009" s="5">
        <v>41975</v>
      </c>
      <c r="AK1009" s="5">
        <v>42160</v>
      </c>
      <c r="AL1009" s="5">
        <v>42159</v>
      </c>
      <c r="AM1009" s="5">
        <v>42202</v>
      </c>
      <c r="AN1009" s="5">
        <v>42205</v>
      </c>
      <c r="AO1009" s="4">
        <v>1</v>
      </c>
      <c r="AP1009" s="4"/>
      <c r="AQ1009" s="5">
        <v>42205</v>
      </c>
      <c r="AR1009" s="5">
        <v>42209</v>
      </c>
      <c r="AS1009" s="5">
        <v>42201</v>
      </c>
      <c r="AT1009" s="5">
        <v>42223</v>
      </c>
      <c r="AU1009" s="5">
        <v>42201</v>
      </c>
      <c r="AV1009" s="4"/>
      <c r="AW1009" s="5">
        <v>42223</v>
      </c>
      <c r="AX1009" s="4"/>
      <c r="AY1009" s="4" t="s">
        <v>183</v>
      </c>
      <c r="AZ1009" s="5">
        <v>42206</v>
      </c>
      <c r="BA1009" s="5">
        <v>42212</v>
      </c>
      <c r="BB1009" s="5">
        <v>42234</v>
      </c>
      <c r="BC1009" s="5">
        <v>42237</v>
      </c>
      <c r="BD1009" s="4">
        <v>1</v>
      </c>
      <c r="BE1009" s="5">
        <v>42241</v>
      </c>
      <c r="BF1009" s="5">
        <v>42237</v>
      </c>
      <c r="BG1009" s="5">
        <v>42206</v>
      </c>
      <c r="BH1009" s="5">
        <v>42205</v>
      </c>
      <c r="BI1009" s="5">
        <v>42250</v>
      </c>
      <c r="BJ1009" s="5">
        <v>42261</v>
      </c>
      <c r="BK1009" s="4">
        <v>1</v>
      </c>
      <c r="BL1009" s="4"/>
      <c r="BM1009" s="4"/>
      <c r="BN1009" s="5">
        <v>42261</v>
      </c>
      <c r="BO1009" s="4"/>
      <c r="BP1009" s="4"/>
      <c r="BQ1009" s="4"/>
      <c r="BR1009" s="4"/>
      <c r="BS1009" s="4"/>
      <c r="BT1009" s="5">
        <v>42324</v>
      </c>
      <c r="BU1009" s="5">
        <v>42345</v>
      </c>
      <c r="BV1009" s="5">
        <v>42328</v>
      </c>
      <c r="BW1009" s="5">
        <v>42345</v>
      </c>
      <c r="BX1009" s="5">
        <v>42328</v>
      </c>
      <c r="BY1009" s="5">
        <v>42342</v>
      </c>
      <c r="BZ1009" s="5">
        <v>42345</v>
      </c>
      <c r="CA1009" s="5">
        <v>42286</v>
      </c>
      <c r="CB1009" s="4"/>
      <c r="CC1009" s="4"/>
      <c r="CD1009" s="4"/>
      <c r="CE1009" s="4"/>
      <c r="CF1009" s="4"/>
      <c r="CG1009" s="4"/>
      <c r="CH1009" s="4"/>
      <c r="CI1009" s="4"/>
      <c r="CJ1009" s="5">
        <v>42358</v>
      </c>
      <c r="CK1009" s="5">
        <v>42353</v>
      </c>
      <c r="CL1009" s="4"/>
      <c r="CM1009" s="4"/>
      <c r="CN1009" s="4"/>
      <c r="CO1009" s="4"/>
      <c r="CP1009" s="4" t="s">
        <v>2318</v>
      </c>
      <c r="CQ1009" s="4"/>
      <c r="CR1009" s="4"/>
      <c r="CS1009" s="4"/>
      <c r="CT1009" s="4"/>
      <c r="CU1009" s="4"/>
      <c r="CV1009" s="4"/>
      <c r="CW1009" s="4"/>
      <c r="CX1009" s="4"/>
      <c r="CY1009" s="5">
        <v>42328</v>
      </c>
      <c r="CZ1009" s="4"/>
      <c r="DA1009" s="5">
        <v>42347</v>
      </c>
      <c r="DB1009" s="5">
        <v>42353</v>
      </c>
      <c r="DC1009" s="5">
        <v>42237</v>
      </c>
      <c r="DD1009" s="4" t="s">
        <v>586</v>
      </c>
      <c r="DE1009" s="4"/>
      <c r="DF1009" s="4"/>
      <c r="DG1009" s="4"/>
      <c r="DH1009" s="4" t="s">
        <v>240</v>
      </c>
      <c r="DI1009" s="5">
        <v>42328</v>
      </c>
      <c r="DJ1009" s="4" t="b">
        <v>0</v>
      </c>
      <c r="DK1009" s="4"/>
      <c r="DL1009" s="4"/>
      <c r="DM1009" s="4"/>
      <c r="DN1009" s="4"/>
      <c r="DO1009" s="4"/>
      <c r="DP1009" s="4"/>
      <c r="DQ1009" s="4" t="s">
        <v>328</v>
      </c>
      <c r="DR1009" s="4"/>
      <c r="DS1009" s="4"/>
      <c r="DT1009" s="4"/>
      <c r="DU1009" s="4" t="s">
        <v>178</v>
      </c>
      <c r="DV1009" s="4"/>
      <c r="DW1009" s="4"/>
      <c r="DX1009" s="5">
        <v>42132</v>
      </c>
      <c r="DY1009" s="5">
        <v>42242</v>
      </c>
      <c r="DZ1009" s="5">
        <v>42243</v>
      </c>
      <c r="EA1009" s="4"/>
      <c r="EB1009" s="4"/>
      <c r="EC1009" s="4"/>
      <c r="ED1009" s="4"/>
      <c r="EE1009" s="5">
        <v>42300</v>
      </c>
      <c r="EF1009" s="5">
        <v>42321</v>
      </c>
      <c r="EG1009" s="5">
        <v>42348</v>
      </c>
      <c r="EH1009" s="4"/>
      <c r="EI1009" s="5">
        <v>42159</v>
      </c>
    </row>
    <row r="1010" spans="1:139" hidden="1" x14ac:dyDescent="0.2">
      <c r="A1010" t="str">
        <f>VLOOKUP(B1010,Sheet1!$A$1:$B$18,2,FALSE)</f>
        <v>South Island</v>
      </c>
      <c r="B1010" t="str">
        <f>LEFT(D1010,3)</f>
        <v>MBN</v>
      </c>
      <c r="C1010" s="2">
        <v>1029</v>
      </c>
      <c r="D1010" s="3" t="str">
        <f>HYPERLINK("https://sitebase.nzcomms.co.nz/spm/spmnominalview/MBN-053-007/","MBN-053-007")</f>
        <v>MBN-053-007</v>
      </c>
      <c r="E1010" s="4" t="s">
        <v>3164</v>
      </c>
      <c r="F1010" s="3" t="str">
        <f>HYPERLINK("https://sitebase.nzcomms.co.nz/spm/spmcandidateview/MBN-053-007-B/","MBN-053-007-B")</f>
        <v>MBN-053-007-B</v>
      </c>
      <c r="G1010" s="4" t="s">
        <v>3165</v>
      </c>
      <c r="H1010" s="4" t="s">
        <v>3152</v>
      </c>
      <c r="I1010" s="4">
        <v>21</v>
      </c>
      <c r="J1010" s="4" t="s">
        <v>165</v>
      </c>
      <c r="K1010" s="4" t="s">
        <v>141</v>
      </c>
      <c r="L1010" s="4" t="s">
        <v>150</v>
      </c>
      <c r="M1010" s="4" t="s">
        <v>190</v>
      </c>
      <c r="N1010" s="4" t="s">
        <v>224</v>
      </c>
      <c r="O1010" s="4"/>
      <c r="P1010" s="4" t="s">
        <v>169</v>
      </c>
      <c r="Q1010" s="4" t="s">
        <v>170</v>
      </c>
      <c r="R1010" s="4">
        <v>11.7</v>
      </c>
      <c r="S1010" s="4">
        <v>13.7</v>
      </c>
      <c r="T1010" s="4"/>
      <c r="U1010" s="4">
        <v>-41.296289639999998</v>
      </c>
      <c r="V1010" s="4">
        <v>173.97665785999999</v>
      </c>
      <c r="W1010" s="4"/>
      <c r="X1010" s="4"/>
      <c r="Y1010" s="4"/>
      <c r="Z1010" s="4"/>
      <c r="AA1010" s="4" t="s">
        <v>171</v>
      </c>
      <c r="AB1010" s="3" t="str">
        <f>HYPERLINK("https://sitebase.nzcomms.co.nz/spm/spmcandidateview/MBN-053-013-A/","MBN-053-013-A")</f>
        <v>MBN-053-013-A</v>
      </c>
      <c r="AC1010" s="4" t="b">
        <v>0</v>
      </c>
      <c r="AD1010" s="4" t="b">
        <v>0</v>
      </c>
      <c r="AE1010" s="4"/>
      <c r="AF1010" s="4"/>
      <c r="AG1010" s="4" t="b">
        <v>0</v>
      </c>
      <c r="AH1010" s="4"/>
      <c r="AI1010" s="5">
        <v>40990</v>
      </c>
      <c r="AJ1010" s="5">
        <v>40989</v>
      </c>
      <c r="AK1010" s="5">
        <v>41001</v>
      </c>
      <c r="AL1010" s="5">
        <v>41001</v>
      </c>
      <c r="AM1010" s="5">
        <v>41094</v>
      </c>
      <c r="AN1010" s="5">
        <v>41100</v>
      </c>
      <c r="AO1010" s="4">
        <v>2</v>
      </c>
      <c r="AP1010" s="5">
        <v>41094</v>
      </c>
      <c r="AQ1010" s="5">
        <v>41374</v>
      </c>
      <c r="AR1010" s="5">
        <v>41130</v>
      </c>
      <c r="AS1010" s="5">
        <v>41128</v>
      </c>
      <c r="AT1010" s="5">
        <v>41250</v>
      </c>
      <c r="AU1010" s="5">
        <v>41247</v>
      </c>
      <c r="AV1010" s="4">
        <v>1</v>
      </c>
      <c r="AW1010" s="5">
        <v>41250</v>
      </c>
      <c r="AX1010" s="5">
        <v>41247</v>
      </c>
      <c r="AY1010" s="4" t="s">
        <v>172</v>
      </c>
      <c r="AZ1010" s="5">
        <v>41108</v>
      </c>
      <c r="BA1010" s="5">
        <v>41107</v>
      </c>
      <c r="BB1010" s="5">
        <v>41150</v>
      </c>
      <c r="BC1010" s="5">
        <v>41131</v>
      </c>
      <c r="BD1010" s="4">
        <v>1</v>
      </c>
      <c r="BE1010" s="5">
        <v>41150</v>
      </c>
      <c r="BF1010" s="5">
        <v>41135</v>
      </c>
      <c r="BG1010" s="5">
        <v>41950</v>
      </c>
      <c r="BH1010" s="5">
        <v>41950</v>
      </c>
      <c r="BI1010" s="5">
        <v>42048</v>
      </c>
      <c r="BJ1010" s="5">
        <v>42054</v>
      </c>
      <c r="BK1010" s="4">
        <v>1</v>
      </c>
      <c r="BL1010" s="4"/>
      <c r="BM1010" s="4"/>
      <c r="BN1010" s="5">
        <v>42054</v>
      </c>
      <c r="BO1010" s="5">
        <v>42250</v>
      </c>
      <c r="BP1010" s="4"/>
      <c r="BQ1010" s="4"/>
      <c r="BR1010" s="4"/>
      <c r="BS1010" s="4"/>
      <c r="BT1010" s="5">
        <v>42314</v>
      </c>
      <c r="BU1010" s="5">
        <v>42311</v>
      </c>
      <c r="BV1010" s="5">
        <v>42338</v>
      </c>
      <c r="BW1010" s="5">
        <v>42345</v>
      </c>
      <c r="BX1010" s="5">
        <v>42304</v>
      </c>
      <c r="BY1010" s="5">
        <v>42341</v>
      </c>
      <c r="BZ1010" s="5">
        <v>42345</v>
      </c>
      <c r="CA1010" s="5">
        <v>42192</v>
      </c>
      <c r="CB1010" s="4"/>
      <c r="CC1010" s="4"/>
      <c r="CD1010" s="4"/>
      <c r="CE1010" s="4"/>
      <c r="CF1010" s="4"/>
      <c r="CG1010" s="4"/>
      <c r="CH1010" s="4"/>
      <c r="CI1010" s="4"/>
      <c r="CJ1010" s="5">
        <v>42358</v>
      </c>
      <c r="CK1010" s="5">
        <v>42355</v>
      </c>
      <c r="CL1010" s="4"/>
      <c r="CM1010" s="4"/>
      <c r="CN1010" s="4"/>
      <c r="CO1010" s="4"/>
      <c r="CP1010" s="4" t="s">
        <v>3166</v>
      </c>
      <c r="CQ1010" s="4"/>
      <c r="CR1010" s="5">
        <v>42324</v>
      </c>
      <c r="CS1010" s="4"/>
      <c r="CT1010" s="4"/>
      <c r="CU1010" s="5">
        <v>42152</v>
      </c>
      <c r="CV1010" s="5">
        <v>42138</v>
      </c>
      <c r="CW1010" s="5">
        <v>42152</v>
      </c>
      <c r="CX1010" s="5">
        <v>42250</v>
      </c>
      <c r="CY1010" s="5">
        <v>42320</v>
      </c>
      <c r="CZ1010" s="4"/>
      <c r="DA1010" s="5">
        <v>42355</v>
      </c>
      <c r="DB1010" s="5">
        <v>42355</v>
      </c>
      <c r="DC1010" s="5">
        <v>41001</v>
      </c>
      <c r="DD1010" s="4" t="s">
        <v>586</v>
      </c>
      <c r="DE1010" s="4" t="s">
        <v>3155</v>
      </c>
      <c r="DF1010" s="4"/>
      <c r="DG1010" s="4"/>
      <c r="DH1010" s="4" t="s">
        <v>174</v>
      </c>
      <c r="DI1010" s="5">
        <v>42318</v>
      </c>
      <c r="DJ1010" s="4" t="b">
        <v>0</v>
      </c>
      <c r="DK1010" s="4"/>
      <c r="DL1010" s="4">
        <v>2591781</v>
      </c>
      <c r="DM1010" s="4">
        <v>5989597</v>
      </c>
      <c r="DN1010" s="4" t="s">
        <v>3167</v>
      </c>
      <c r="DO1010" s="4"/>
      <c r="DP1010" s="4" t="s">
        <v>3168</v>
      </c>
      <c r="DQ1010" s="4" t="s">
        <v>148</v>
      </c>
      <c r="DR1010" s="4"/>
      <c r="DS1010" s="4"/>
      <c r="DT1010" s="4"/>
      <c r="DU1010" s="4" t="s">
        <v>178</v>
      </c>
      <c r="DV1010" s="4"/>
      <c r="DW1010" s="5">
        <v>42076</v>
      </c>
      <c r="DX1010" s="5">
        <v>42044</v>
      </c>
      <c r="DY1010" s="5">
        <v>42093</v>
      </c>
      <c r="DZ1010" s="5">
        <v>42093</v>
      </c>
      <c r="EA1010" s="4"/>
      <c r="EB1010" s="4"/>
      <c r="EC1010" s="4"/>
      <c r="ED1010" s="4"/>
      <c r="EE1010" s="4"/>
      <c r="EF1010" s="5">
        <v>42137</v>
      </c>
      <c r="EG1010" s="5">
        <v>42339</v>
      </c>
      <c r="EH1010" s="4"/>
      <c r="EI1010" s="5">
        <v>41001</v>
      </c>
    </row>
    <row r="1011" spans="1:139" hidden="1" x14ac:dyDescent="0.2">
      <c r="A1011" t="str">
        <f>VLOOKUP(B1011,Sheet1!$A$1:$B$18,2,FALSE)</f>
        <v>South Island</v>
      </c>
      <c r="B1011" t="str">
        <f>LEFT(D1011,3)</f>
        <v>OTG</v>
      </c>
      <c r="C1011" s="2">
        <v>1207</v>
      </c>
      <c r="D1011" s="3" t="str">
        <f>HYPERLINK("https://sitebase.nzcomms.co.nz/spm/spmnominalview/OTG-069-011/","OTG-069-011")</f>
        <v>OTG-069-011</v>
      </c>
      <c r="E1011" s="4" t="s">
        <v>3677</v>
      </c>
      <c r="F1011" s="3" t="str">
        <f>HYPERLINK("https://sitebase.nzcomms.co.nz/spm/spmcandidateview/OTG-069-011-B/","OTG-069-011-B")</f>
        <v>OTG-069-011-B</v>
      </c>
      <c r="G1011" s="4" t="s">
        <v>2878</v>
      </c>
      <c r="H1011" s="4" t="s">
        <v>3653</v>
      </c>
      <c r="I1011" s="4">
        <v>21</v>
      </c>
      <c r="J1011" s="4" t="s">
        <v>165</v>
      </c>
      <c r="K1011" s="4" t="s">
        <v>141</v>
      </c>
      <c r="L1011" s="4" t="s">
        <v>142</v>
      </c>
      <c r="M1011" s="4" t="s">
        <v>166</v>
      </c>
      <c r="N1011" s="4" t="s">
        <v>142</v>
      </c>
      <c r="O1011" s="4"/>
      <c r="P1011" s="4"/>
      <c r="Q1011" s="4" t="s">
        <v>142</v>
      </c>
      <c r="R1011" s="4">
        <v>25</v>
      </c>
      <c r="S1011" s="4"/>
      <c r="T1011" s="4"/>
      <c r="U1011" s="4">
        <v>-44.957506459999998</v>
      </c>
      <c r="V1011" s="4">
        <v>170.06502979000001</v>
      </c>
      <c r="W1011" s="4"/>
      <c r="X1011" s="4"/>
      <c r="Y1011" s="4"/>
      <c r="Z1011" s="4"/>
      <c r="AA1011" s="4"/>
      <c r="AB1011" s="4"/>
      <c r="AC1011" s="4" t="b">
        <v>0</v>
      </c>
      <c r="AD1011" s="4" t="b">
        <v>0</v>
      </c>
      <c r="AE1011" s="4"/>
      <c r="AF1011" s="4"/>
      <c r="AG1011" s="4" t="b">
        <v>0</v>
      </c>
      <c r="AH1011" s="4"/>
      <c r="AI1011" s="5">
        <v>42088</v>
      </c>
      <c r="AJ1011" s="5">
        <v>42088</v>
      </c>
      <c r="AK1011" s="5">
        <v>42100</v>
      </c>
      <c r="AL1011" s="5">
        <v>42100</v>
      </c>
      <c r="AM1011" s="5">
        <v>42132</v>
      </c>
      <c r="AN1011" s="5">
        <v>42143</v>
      </c>
      <c r="AO1011" s="4">
        <v>1</v>
      </c>
      <c r="AP1011" s="4"/>
      <c r="AQ1011" s="5">
        <v>42143</v>
      </c>
      <c r="AR1011" s="5">
        <v>42160</v>
      </c>
      <c r="AS1011" s="5">
        <v>42152</v>
      </c>
      <c r="AT1011" s="5">
        <v>42174</v>
      </c>
      <c r="AU1011" s="5">
        <v>42152</v>
      </c>
      <c r="AV1011" s="4"/>
      <c r="AW1011" s="5">
        <v>42174</v>
      </c>
      <c r="AX1011" s="5">
        <v>42179</v>
      </c>
      <c r="AY1011" s="4" t="s">
        <v>1901</v>
      </c>
      <c r="AZ1011" s="5">
        <v>42132</v>
      </c>
      <c r="BA1011" s="5">
        <v>42143</v>
      </c>
      <c r="BB1011" s="5">
        <v>42160</v>
      </c>
      <c r="BC1011" s="5">
        <v>42143</v>
      </c>
      <c r="BD1011" s="4">
        <v>1</v>
      </c>
      <c r="BE1011" s="5">
        <v>42160</v>
      </c>
      <c r="BF1011" s="5">
        <v>42233</v>
      </c>
      <c r="BG1011" s="5">
        <v>42202</v>
      </c>
      <c r="BH1011" s="5">
        <v>42215</v>
      </c>
      <c r="BI1011" s="5">
        <v>42209</v>
      </c>
      <c r="BJ1011" s="5">
        <v>42215</v>
      </c>
      <c r="BK1011" s="4">
        <v>1</v>
      </c>
      <c r="BL1011" s="4"/>
      <c r="BM1011" s="4"/>
      <c r="BN1011" s="5">
        <v>42215</v>
      </c>
      <c r="BO1011" s="4"/>
      <c r="BP1011" s="4"/>
      <c r="BQ1011" s="4"/>
      <c r="BR1011" s="4"/>
      <c r="BS1011" s="4"/>
      <c r="BT1011" s="5">
        <v>42331</v>
      </c>
      <c r="BU1011" s="5">
        <v>42311</v>
      </c>
      <c r="BV1011" s="5">
        <v>42336</v>
      </c>
      <c r="BW1011" s="5">
        <v>42311</v>
      </c>
      <c r="BX1011" s="5">
        <v>42311</v>
      </c>
      <c r="BY1011" s="5">
        <v>42334</v>
      </c>
      <c r="BZ1011" s="5">
        <v>42348</v>
      </c>
      <c r="CA1011" s="5">
        <v>42258</v>
      </c>
      <c r="CB1011" s="4"/>
      <c r="CC1011" s="4"/>
      <c r="CD1011" s="4"/>
      <c r="CE1011" s="4"/>
      <c r="CF1011" s="4"/>
      <c r="CG1011" s="4"/>
      <c r="CH1011" s="4"/>
      <c r="CI1011" s="5">
        <v>42348</v>
      </c>
      <c r="CJ1011" s="5">
        <v>42359</v>
      </c>
      <c r="CK1011" s="5">
        <v>42359</v>
      </c>
      <c r="CL1011" s="4"/>
      <c r="CM1011" s="4"/>
      <c r="CN1011" s="4"/>
      <c r="CO1011" s="4"/>
      <c r="CP1011" s="4" t="s">
        <v>3678</v>
      </c>
      <c r="CQ1011" s="4"/>
      <c r="CR1011" s="5">
        <v>42340</v>
      </c>
      <c r="CS1011" s="4"/>
      <c r="CT1011" s="4"/>
      <c r="CU1011" s="4"/>
      <c r="CV1011" s="4"/>
      <c r="CW1011" s="4"/>
      <c r="CX1011" s="4"/>
      <c r="CY1011" s="5">
        <v>42337</v>
      </c>
      <c r="CZ1011" s="5">
        <v>42327</v>
      </c>
      <c r="DA1011" s="5">
        <v>42356</v>
      </c>
      <c r="DB1011" s="5">
        <v>42359</v>
      </c>
      <c r="DC1011" s="5">
        <v>42143</v>
      </c>
      <c r="DD1011" s="4" t="s">
        <v>586</v>
      </c>
      <c r="DE1011" s="4"/>
      <c r="DF1011" s="4"/>
      <c r="DG1011" s="4"/>
      <c r="DH1011" s="4" t="s">
        <v>174</v>
      </c>
      <c r="DI1011" s="5">
        <v>42335</v>
      </c>
      <c r="DJ1011" s="4" t="b">
        <v>0</v>
      </c>
      <c r="DK1011" s="4"/>
      <c r="DL1011" s="4">
        <v>2278424</v>
      </c>
      <c r="DM1011" s="4">
        <v>5579254</v>
      </c>
      <c r="DN1011" s="4" t="s">
        <v>3679</v>
      </c>
      <c r="DO1011" s="4"/>
      <c r="DP1011" s="4" t="s">
        <v>3680</v>
      </c>
      <c r="DQ1011" s="4" t="s">
        <v>148</v>
      </c>
      <c r="DR1011" s="4"/>
      <c r="DS1011" s="4"/>
      <c r="DT1011" s="4"/>
      <c r="DU1011" s="4" t="s">
        <v>178</v>
      </c>
      <c r="DV1011" s="4"/>
      <c r="DW1011" s="4"/>
      <c r="DX1011" s="5">
        <v>42219</v>
      </c>
      <c r="DY1011" s="5">
        <v>42208</v>
      </c>
      <c r="DZ1011" s="5">
        <v>42208</v>
      </c>
      <c r="EA1011" s="4"/>
      <c r="EB1011" s="4"/>
      <c r="EC1011" s="4"/>
      <c r="ED1011" s="4"/>
      <c r="EE1011" s="5">
        <v>42230</v>
      </c>
      <c r="EF1011" s="5">
        <v>42219</v>
      </c>
      <c r="EG1011" s="5">
        <v>42356</v>
      </c>
      <c r="EH1011" s="4"/>
      <c r="EI1011" s="5">
        <v>42100</v>
      </c>
    </row>
    <row r="1012" spans="1:139" hidden="1" x14ac:dyDescent="0.2">
      <c r="A1012" t="str">
        <f>VLOOKUP(B1012,Sheet1!$A$1:$B$18,2,FALSE)</f>
        <v>South Island</v>
      </c>
      <c r="B1012" t="str">
        <f>LEFT(D1012,3)</f>
        <v>MBN</v>
      </c>
      <c r="C1012" s="2">
        <v>988</v>
      </c>
      <c r="D1012" s="3" t="str">
        <f>HYPERLINK("https://sitebase.nzcomms.co.nz/spm/spmnominalview/MBN-051-007/","MBN-051-007")</f>
        <v>MBN-051-007</v>
      </c>
      <c r="E1012" s="4" t="s">
        <v>3055</v>
      </c>
      <c r="F1012" s="3" t="str">
        <f>HYPERLINK("https://sitebase.nzcomms.co.nz/spm/spmcandidateview/MBN-051-007-A/","MBN-051-007-A")</f>
        <v>MBN-051-007-A</v>
      </c>
      <c r="G1012" s="4" t="s">
        <v>2225</v>
      </c>
      <c r="H1012" s="4" t="s">
        <v>3047</v>
      </c>
      <c r="I1012" s="4">
        <v>21</v>
      </c>
      <c r="J1012" s="4" t="s">
        <v>165</v>
      </c>
      <c r="K1012" s="4" t="s">
        <v>141</v>
      </c>
      <c r="L1012" s="4" t="s">
        <v>142</v>
      </c>
      <c r="M1012" s="4" t="s">
        <v>166</v>
      </c>
      <c r="N1012" s="4" t="s">
        <v>142</v>
      </c>
      <c r="O1012" s="4"/>
      <c r="P1012" s="4" t="s">
        <v>169</v>
      </c>
      <c r="Q1012" s="4" t="s">
        <v>142</v>
      </c>
      <c r="R1012" s="4"/>
      <c r="S1012" s="4"/>
      <c r="T1012" s="4"/>
      <c r="U1012" s="4">
        <v>-40.639044990000002</v>
      </c>
      <c r="V1012" s="4">
        <v>172.64073687999999</v>
      </c>
      <c r="W1012" s="4"/>
      <c r="X1012" s="5">
        <v>40934</v>
      </c>
      <c r="Y1012" s="4"/>
      <c r="Z1012" s="4"/>
      <c r="AA1012" s="4"/>
      <c r="AB1012" s="4"/>
      <c r="AC1012" s="4" t="b">
        <v>0</v>
      </c>
      <c r="AD1012" s="4" t="b">
        <v>0</v>
      </c>
      <c r="AE1012" s="4"/>
      <c r="AF1012" s="4"/>
      <c r="AG1012" s="4" t="b">
        <v>0</v>
      </c>
      <c r="AH1012" s="4"/>
      <c r="AI1012" s="5">
        <v>40996</v>
      </c>
      <c r="AJ1012" s="5">
        <v>40996</v>
      </c>
      <c r="AK1012" s="5">
        <v>42076</v>
      </c>
      <c r="AL1012" s="5">
        <v>42075</v>
      </c>
      <c r="AM1012" s="5">
        <v>42174</v>
      </c>
      <c r="AN1012" s="5">
        <v>42143</v>
      </c>
      <c r="AO1012" s="4">
        <v>1</v>
      </c>
      <c r="AP1012" s="4"/>
      <c r="AQ1012" s="5">
        <v>42143</v>
      </c>
      <c r="AR1012" s="5">
        <v>42174</v>
      </c>
      <c r="AS1012" s="5">
        <v>42171</v>
      </c>
      <c r="AT1012" s="5">
        <v>42209</v>
      </c>
      <c r="AU1012" s="5">
        <v>42208</v>
      </c>
      <c r="AV1012" s="4"/>
      <c r="AW1012" s="5">
        <v>42209</v>
      </c>
      <c r="AX1012" s="4"/>
      <c r="AY1012" s="4" t="s">
        <v>1901</v>
      </c>
      <c r="AZ1012" s="5">
        <v>42132</v>
      </c>
      <c r="BA1012" s="5">
        <v>42143</v>
      </c>
      <c r="BB1012" s="5">
        <v>42160</v>
      </c>
      <c r="BC1012" s="5">
        <v>42143</v>
      </c>
      <c r="BD1012" s="4">
        <v>1</v>
      </c>
      <c r="BE1012" s="5">
        <v>42160</v>
      </c>
      <c r="BF1012" s="5">
        <v>42143</v>
      </c>
      <c r="BG1012" s="5">
        <v>42202</v>
      </c>
      <c r="BH1012" s="5">
        <v>42215</v>
      </c>
      <c r="BI1012" s="5">
        <v>42216</v>
      </c>
      <c r="BJ1012" s="5">
        <v>42215</v>
      </c>
      <c r="BK1012" s="4">
        <v>1</v>
      </c>
      <c r="BL1012" s="4"/>
      <c r="BM1012" s="4"/>
      <c r="BN1012" s="5">
        <v>42215</v>
      </c>
      <c r="BO1012" s="4"/>
      <c r="BP1012" s="4"/>
      <c r="BQ1012" s="4"/>
      <c r="BR1012" s="4"/>
      <c r="BS1012" s="4"/>
      <c r="BT1012" s="5">
        <v>42310</v>
      </c>
      <c r="BU1012" s="5">
        <v>42310</v>
      </c>
      <c r="BV1012" s="5">
        <v>42324</v>
      </c>
      <c r="BW1012" s="5">
        <v>42311</v>
      </c>
      <c r="BX1012" s="5">
        <v>42311</v>
      </c>
      <c r="BY1012" s="5">
        <v>42349</v>
      </c>
      <c r="BZ1012" s="4"/>
      <c r="CA1012" s="5">
        <v>42272</v>
      </c>
      <c r="CB1012" s="4"/>
      <c r="CC1012" s="4"/>
      <c r="CD1012" s="4"/>
      <c r="CE1012" s="4"/>
      <c r="CF1012" s="4"/>
      <c r="CG1012" s="4"/>
      <c r="CH1012" s="4"/>
      <c r="CI1012" s="4"/>
      <c r="CJ1012" s="5">
        <v>42360</v>
      </c>
      <c r="CK1012" s="5">
        <v>42359</v>
      </c>
      <c r="CL1012" s="4"/>
      <c r="CM1012" s="4"/>
      <c r="CN1012" s="4"/>
      <c r="CO1012" s="4"/>
      <c r="CP1012" s="4" t="s">
        <v>3056</v>
      </c>
      <c r="CQ1012" s="4" t="s">
        <v>1657</v>
      </c>
      <c r="CR1012" s="5">
        <v>42330</v>
      </c>
      <c r="CS1012" s="4"/>
      <c r="CT1012" s="4"/>
      <c r="CU1012" s="4"/>
      <c r="CV1012" s="4"/>
      <c r="CW1012" s="4"/>
      <c r="CX1012" s="4"/>
      <c r="CY1012" s="5">
        <v>42324</v>
      </c>
      <c r="CZ1012" s="4"/>
      <c r="DA1012" s="5">
        <v>42355</v>
      </c>
      <c r="DB1012" s="5">
        <v>42359</v>
      </c>
      <c r="DC1012" s="5">
        <v>41001</v>
      </c>
      <c r="DD1012" s="4" t="s">
        <v>586</v>
      </c>
      <c r="DE1012" s="4" t="s">
        <v>3057</v>
      </c>
      <c r="DF1012" s="4"/>
      <c r="DG1012" s="4"/>
      <c r="DH1012" s="4" t="s">
        <v>174</v>
      </c>
      <c r="DI1012" s="5">
        <v>42321</v>
      </c>
      <c r="DJ1012" s="4" t="b">
        <v>0</v>
      </c>
      <c r="DK1012" s="4"/>
      <c r="DL1012" s="4">
        <v>2479595</v>
      </c>
      <c r="DM1012" s="4">
        <v>6062980</v>
      </c>
      <c r="DN1012" s="4" t="s">
        <v>3058</v>
      </c>
      <c r="DO1012" s="4"/>
      <c r="DP1012" s="4" t="s">
        <v>3059</v>
      </c>
      <c r="DQ1012" s="4" t="s">
        <v>148</v>
      </c>
      <c r="DR1012" s="4"/>
      <c r="DS1012" s="4"/>
      <c r="DT1012" s="4"/>
      <c r="DU1012" s="4" t="s">
        <v>178</v>
      </c>
      <c r="DV1012" s="4"/>
      <c r="DW1012" s="4"/>
      <c r="DX1012" s="5">
        <v>42142</v>
      </c>
      <c r="DY1012" s="5">
        <v>42208</v>
      </c>
      <c r="DZ1012" s="5">
        <v>42208</v>
      </c>
      <c r="EA1012" s="4"/>
      <c r="EB1012" s="4"/>
      <c r="EC1012" s="4"/>
      <c r="ED1012" s="4"/>
      <c r="EE1012" s="5">
        <v>42219</v>
      </c>
      <c r="EF1012" s="5">
        <v>42219</v>
      </c>
      <c r="EG1012" s="5">
        <v>42338</v>
      </c>
      <c r="EH1012" s="4"/>
      <c r="EI1012" s="5">
        <v>42075</v>
      </c>
    </row>
    <row r="1013" spans="1:139" hidden="1" x14ac:dyDescent="0.2">
      <c r="A1013" t="str">
        <f>VLOOKUP(B1013,Sheet1!$A$1:$B$18,2,FALSE)</f>
        <v>South Island</v>
      </c>
      <c r="B1013" t="str">
        <f>LEFT(D1013,3)</f>
        <v>CAN</v>
      </c>
      <c r="C1013" s="2">
        <v>711</v>
      </c>
      <c r="D1013" s="3" t="str">
        <f>HYPERLINK("https://sitebase.nzcomms.co.nz/spm/spmnominalview/CAN-066-003/","CAN-066-003")</f>
        <v>CAN-066-003</v>
      </c>
      <c r="E1013" s="4" t="s">
        <v>2320</v>
      </c>
      <c r="F1013" s="3" t="str">
        <f>HYPERLINK("https://sitebase.nzcomms.co.nz/spm/spmcandidateview/CAN-066-003-C/","CAN-066-003-C")</f>
        <v>CAN-066-003-C</v>
      </c>
      <c r="G1013" s="4" t="s">
        <v>2321</v>
      </c>
      <c r="H1013" s="4" t="s">
        <v>2319</v>
      </c>
      <c r="I1013" s="4">
        <v>21</v>
      </c>
      <c r="J1013" s="4" t="s">
        <v>165</v>
      </c>
      <c r="K1013" s="4" t="s">
        <v>141</v>
      </c>
      <c r="L1013" s="4" t="s">
        <v>150</v>
      </c>
      <c r="M1013" s="4" t="s">
        <v>190</v>
      </c>
      <c r="N1013" s="4"/>
      <c r="O1013" s="4"/>
      <c r="P1013" s="4"/>
      <c r="Q1013" s="4" t="s">
        <v>170</v>
      </c>
      <c r="R1013" s="4"/>
      <c r="S1013" s="4"/>
      <c r="T1013" s="4"/>
      <c r="U1013" s="4">
        <v>-44.656901640000001</v>
      </c>
      <c r="V1013" s="4">
        <v>170.92415366</v>
      </c>
      <c r="W1013" s="4"/>
      <c r="X1013" s="4"/>
      <c r="Y1013" s="4"/>
      <c r="Z1013" s="4"/>
      <c r="AA1013" s="4" t="s">
        <v>171</v>
      </c>
      <c r="AB1013" s="3" t="str">
        <f>HYPERLINK("https://sitebase.nzcomms.co.nz/spm/spmcandidateview/CAN-068-004-A/","CAN-068-004-A")</f>
        <v>CAN-068-004-A</v>
      </c>
      <c r="AC1013" s="4" t="b">
        <v>0</v>
      </c>
      <c r="AD1013" s="4" t="b">
        <v>0</v>
      </c>
      <c r="AE1013" s="4"/>
      <c r="AF1013" s="4"/>
      <c r="AG1013" s="4" t="b">
        <v>0</v>
      </c>
      <c r="AH1013" s="4"/>
      <c r="AI1013" s="5">
        <v>41976</v>
      </c>
      <c r="AJ1013" s="5">
        <v>41976</v>
      </c>
      <c r="AK1013" s="5">
        <v>42069</v>
      </c>
      <c r="AL1013" s="5">
        <v>42060</v>
      </c>
      <c r="AM1013" s="5">
        <v>42097</v>
      </c>
      <c r="AN1013" s="5">
        <v>42109</v>
      </c>
      <c r="AO1013" s="4">
        <v>1</v>
      </c>
      <c r="AP1013" s="4"/>
      <c r="AQ1013" s="5">
        <v>42109</v>
      </c>
      <c r="AR1013" s="5">
        <v>42139</v>
      </c>
      <c r="AS1013" s="5">
        <v>42139</v>
      </c>
      <c r="AT1013" s="5">
        <v>42272</v>
      </c>
      <c r="AU1013" s="5">
        <v>42279</v>
      </c>
      <c r="AV1013" s="4"/>
      <c r="AW1013" s="5">
        <v>42279</v>
      </c>
      <c r="AX1013" s="4"/>
      <c r="AY1013" s="4" t="s">
        <v>247</v>
      </c>
      <c r="AZ1013" s="5">
        <v>42108</v>
      </c>
      <c r="BA1013" s="5">
        <v>42117</v>
      </c>
      <c r="BB1013" s="5">
        <v>42153</v>
      </c>
      <c r="BC1013" s="5">
        <v>42129</v>
      </c>
      <c r="BD1013" s="4">
        <v>1</v>
      </c>
      <c r="BE1013" s="5">
        <v>42160</v>
      </c>
      <c r="BF1013" s="5">
        <v>42137</v>
      </c>
      <c r="BG1013" s="5">
        <v>42167</v>
      </c>
      <c r="BH1013" s="5">
        <v>42167</v>
      </c>
      <c r="BI1013" s="5">
        <v>42272</v>
      </c>
      <c r="BJ1013" s="5">
        <v>42277</v>
      </c>
      <c r="BK1013" s="4">
        <v>3</v>
      </c>
      <c r="BL1013" s="4"/>
      <c r="BM1013" s="4"/>
      <c r="BN1013" s="5">
        <v>42396</v>
      </c>
      <c r="BO1013" s="4"/>
      <c r="BP1013" s="4"/>
      <c r="BQ1013" s="4"/>
      <c r="BR1013" s="4"/>
      <c r="BS1013" s="4"/>
      <c r="BT1013" s="5">
        <v>42317</v>
      </c>
      <c r="BU1013" s="5">
        <v>42317</v>
      </c>
      <c r="BV1013" s="5">
        <v>42342</v>
      </c>
      <c r="BW1013" s="4"/>
      <c r="BX1013" s="5">
        <v>42328</v>
      </c>
      <c r="BY1013" s="5">
        <v>42349</v>
      </c>
      <c r="BZ1013" s="4"/>
      <c r="CA1013" s="5">
        <v>42296</v>
      </c>
      <c r="CB1013" s="4"/>
      <c r="CC1013" s="4"/>
      <c r="CD1013" s="4"/>
      <c r="CE1013" s="4"/>
      <c r="CF1013" s="4"/>
      <c r="CG1013" s="4"/>
      <c r="CH1013" s="4"/>
      <c r="CI1013" s="4"/>
      <c r="CJ1013" s="5">
        <v>42361</v>
      </c>
      <c r="CK1013" s="5">
        <v>42361</v>
      </c>
      <c r="CL1013" s="4"/>
      <c r="CM1013" s="4"/>
      <c r="CN1013" s="4"/>
      <c r="CO1013" s="4"/>
      <c r="CP1013" s="4" t="s">
        <v>2322</v>
      </c>
      <c r="CQ1013" s="4"/>
      <c r="CR1013" s="5">
        <v>42332</v>
      </c>
      <c r="CS1013" s="4"/>
      <c r="CT1013" s="4"/>
      <c r="CU1013" s="4"/>
      <c r="CV1013" s="4"/>
      <c r="CW1013" s="4"/>
      <c r="CX1013" s="4"/>
      <c r="CY1013" s="5">
        <v>42342</v>
      </c>
      <c r="CZ1013" s="4"/>
      <c r="DA1013" s="5">
        <v>42353</v>
      </c>
      <c r="DB1013" s="5">
        <v>42361</v>
      </c>
      <c r="DC1013" s="4"/>
      <c r="DD1013" s="4" t="s">
        <v>586</v>
      </c>
      <c r="DE1013" s="4"/>
      <c r="DF1013" s="4"/>
      <c r="DG1013" s="4"/>
      <c r="DH1013" s="4" t="s">
        <v>174</v>
      </c>
      <c r="DI1013" s="5">
        <v>42328</v>
      </c>
      <c r="DJ1013" s="4" t="b">
        <v>0</v>
      </c>
      <c r="DK1013" s="4"/>
      <c r="DL1013" s="4">
        <v>2345349</v>
      </c>
      <c r="DM1013" s="4">
        <v>5614687</v>
      </c>
      <c r="DN1013" s="4" t="s">
        <v>2323</v>
      </c>
      <c r="DO1013" s="4" t="s">
        <v>2324</v>
      </c>
      <c r="DP1013" s="4" t="s">
        <v>2325</v>
      </c>
      <c r="DQ1013" s="4" t="s">
        <v>148</v>
      </c>
      <c r="DR1013" s="4"/>
      <c r="DS1013" s="4"/>
      <c r="DT1013" s="4"/>
      <c r="DU1013" s="4" t="s">
        <v>178</v>
      </c>
      <c r="DV1013" s="4"/>
      <c r="DW1013" s="5">
        <v>42193</v>
      </c>
      <c r="DX1013" s="5">
        <v>42219</v>
      </c>
      <c r="DY1013" s="5">
        <v>42209</v>
      </c>
      <c r="DZ1013" s="5">
        <v>42180</v>
      </c>
      <c r="EA1013" s="4"/>
      <c r="EB1013" s="4"/>
      <c r="EC1013" s="4"/>
      <c r="ED1013" s="4"/>
      <c r="EE1013" s="5">
        <v>42300</v>
      </c>
      <c r="EF1013" s="5">
        <v>42304</v>
      </c>
      <c r="EG1013" s="5">
        <v>42351</v>
      </c>
      <c r="EH1013" s="4"/>
      <c r="EI1013" s="5">
        <v>42060</v>
      </c>
    </row>
    <row r="1014" spans="1:139" s="7" customFormat="1" x14ac:dyDescent="0.2">
      <c r="A1014" s="7" t="str">
        <f>VLOOKUP(B1014,Sheet1!$A$1:$B$18,2,FALSE)</f>
        <v>South Island</v>
      </c>
      <c r="B1014" s="7" t="str">
        <f>LEFT(D1014,3)</f>
        <v>CAN</v>
      </c>
      <c r="C1014" s="8">
        <v>707</v>
      </c>
      <c r="D1014" s="9" t="str">
        <f>HYPERLINK("https://sitebase.nzcomms.co.nz/spm/spmnominalview/CAN-065-008/","CAN-065-008")</f>
        <v>CAN-065-008</v>
      </c>
      <c r="E1014" s="10" t="s">
        <v>2312</v>
      </c>
      <c r="F1014" s="9" t="str">
        <f>HYPERLINK("https://sitebase.nzcomms.co.nz/spm/spmcandidateview/CAN-065-008-A/","CAN-065-008-A")</f>
        <v>CAN-065-008-A</v>
      </c>
      <c r="G1014" s="10" t="s">
        <v>2313</v>
      </c>
      <c r="H1014" s="10" t="s">
        <v>2301</v>
      </c>
      <c r="I1014" s="10">
        <v>21</v>
      </c>
      <c r="J1014" s="10" t="s">
        <v>165</v>
      </c>
      <c r="K1014" s="10" t="s">
        <v>141</v>
      </c>
      <c r="L1014" s="10" t="s">
        <v>150</v>
      </c>
      <c r="M1014" s="10" t="s">
        <v>166</v>
      </c>
      <c r="N1014" s="10" t="s">
        <v>346</v>
      </c>
      <c r="O1014" s="10"/>
      <c r="P1014" s="10" t="s">
        <v>182</v>
      </c>
      <c r="Q1014" s="10" t="s">
        <v>170</v>
      </c>
      <c r="R1014" s="10"/>
      <c r="S1014" s="10"/>
      <c r="T1014" s="10"/>
      <c r="U1014" s="10">
        <v>-43.985505799999999</v>
      </c>
      <c r="V1014" s="10">
        <v>170.46483215999999</v>
      </c>
      <c r="W1014" s="10"/>
      <c r="X1014" s="10"/>
      <c r="Y1014" s="10"/>
      <c r="Z1014" s="10"/>
      <c r="AA1014" s="10" t="s">
        <v>145</v>
      </c>
      <c r="AB1014" s="10"/>
      <c r="AC1014" s="10" t="b">
        <v>0</v>
      </c>
      <c r="AD1014" s="10" t="b">
        <v>0</v>
      </c>
      <c r="AE1014" s="10"/>
      <c r="AF1014" s="10"/>
      <c r="AG1014" s="10" t="b">
        <v>0</v>
      </c>
      <c r="AH1014" s="10"/>
      <c r="AI1014" s="11">
        <v>41950</v>
      </c>
      <c r="AJ1014" s="11">
        <v>41949</v>
      </c>
      <c r="AK1014" s="11">
        <v>41964</v>
      </c>
      <c r="AL1014" s="11">
        <v>41963</v>
      </c>
      <c r="AM1014" s="11">
        <v>42125</v>
      </c>
      <c r="AN1014" s="11">
        <v>42124</v>
      </c>
      <c r="AO1014" s="10">
        <v>7</v>
      </c>
      <c r="AP1014" s="10"/>
      <c r="AQ1014" s="11">
        <v>42263</v>
      </c>
      <c r="AR1014" s="11">
        <v>42090</v>
      </c>
      <c r="AS1014" s="11">
        <v>42076</v>
      </c>
      <c r="AT1014" s="11">
        <v>42300</v>
      </c>
      <c r="AU1014" s="11">
        <v>42306</v>
      </c>
      <c r="AV1014" s="10"/>
      <c r="AW1014" s="11">
        <v>42300</v>
      </c>
      <c r="AX1014" s="10"/>
      <c r="AY1014" s="10" t="s">
        <v>247</v>
      </c>
      <c r="AZ1014" s="11">
        <v>42130</v>
      </c>
      <c r="BA1014" s="11">
        <v>42139</v>
      </c>
      <c r="BB1014" s="11">
        <v>42244</v>
      </c>
      <c r="BC1014" s="11">
        <v>42241</v>
      </c>
      <c r="BD1014" s="10">
        <v>6</v>
      </c>
      <c r="BE1014" s="11">
        <v>42247</v>
      </c>
      <c r="BF1014" s="11">
        <v>42241</v>
      </c>
      <c r="BG1014" s="11">
        <v>42181</v>
      </c>
      <c r="BH1014" s="11">
        <v>42180</v>
      </c>
      <c r="BI1014" s="11">
        <v>42271</v>
      </c>
      <c r="BJ1014" s="11">
        <v>42271</v>
      </c>
      <c r="BK1014" s="10">
        <v>1</v>
      </c>
      <c r="BL1014" s="10"/>
      <c r="BM1014" s="10"/>
      <c r="BN1014" s="11">
        <v>42271</v>
      </c>
      <c r="BO1014" s="10"/>
      <c r="BP1014" s="10"/>
      <c r="BQ1014" s="10"/>
      <c r="BR1014" s="10"/>
      <c r="BS1014" s="10"/>
      <c r="BT1014" s="11">
        <v>42324</v>
      </c>
      <c r="BU1014" s="10"/>
      <c r="BV1014" s="11">
        <v>42349</v>
      </c>
      <c r="BW1014" s="10"/>
      <c r="BX1014" s="10"/>
      <c r="BY1014" s="11">
        <v>42384</v>
      </c>
      <c r="BZ1014" s="10"/>
      <c r="CA1014" s="11">
        <v>42307</v>
      </c>
      <c r="CB1014" s="10"/>
      <c r="CC1014" s="10"/>
      <c r="CD1014" s="10"/>
      <c r="CE1014" s="10"/>
      <c r="CF1014" s="10"/>
      <c r="CG1014" s="10"/>
      <c r="CH1014" s="10"/>
      <c r="CI1014" s="10"/>
      <c r="CJ1014" s="11">
        <v>42383</v>
      </c>
      <c r="CK1014" s="10"/>
      <c r="CL1014" s="10"/>
      <c r="CM1014" s="10"/>
      <c r="CN1014" s="10"/>
      <c r="CO1014" s="10"/>
      <c r="CP1014" s="10" t="s">
        <v>2314</v>
      </c>
      <c r="CQ1014" s="10"/>
      <c r="CR1014" s="11">
        <v>42292</v>
      </c>
      <c r="CS1014" s="10"/>
      <c r="CT1014" s="10"/>
      <c r="CU1014" s="10"/>
      <c r="CV1014" s="10"/>
      <c r="CW1014" s="10"/>
      <c r="CX1014" s="10"/>
      <c r="CY1014" s="10"/>
      <c r="CZ1014" s="10"/>
      <c r="DA1014" s="11">
        <v>42377</v>
      </c>
      <c r="DB1014" s="10"/>
      <c r="DC1014" s="11">
        <v>42139</v>
      </c>
      <c r="DD1014" s="10" t="s">
        <v>586</v>
      </c>
      <c r="DE1014" s="10"/>
      <c r="DF1014" s="10"/>
      <c r="DG1014" s="10"/>
      <c r="DH1014" s="10" t="s">
        <v>1521</v>
      </c>
      <c r="DI1014" s="11">
        <v>42305</v>
      </c>
      <c r="DJ1014" s="10" t="b">
        <v>0</v>
      </c>
      <c r="DK1014" s="10"/>
      <c r="DL1014" s="10">
        <v>2306660</v>
      </c>
      <c r="DM1014" s="10">
        <v>5688243</v>
      </c>
      <c r="DN1014" s="10" t="s">
        <v>2315</v>
      </c>
      <c r="DO1014" s="10"/>
      <c r="DP1014" s="10"/>
      <c r="DQ1014" s="10" t="s">
        <v>148</v>
      </c>
      <c r="DR1014" s="10" t="s">
        <v>255</v>
      </c>
      <c r="DS1014" s="10"/>
      <c r="DT1014" s="10"/>
      <c r="DU1014" s="10" t="s">
        <v>178</v>
      </c>
      <c r="DV1014" s="10"/>
      <c r="DW1014" s="10"/>
      <c r="DX1014" s="10"/>
      <c r="DY1014" s="11">
        <v>42254</v>
      </c>
      <c r="DZ1014" s="11">
        <v>42261</v>
      </c>
      <c r="EA1014" s="10"/>
      <c r="EB1014" s="10"/>
      <c r="EC1014" s="10"/>
      <c r="ED1014" s="10"/>
      <c r="EE1014" s="11">
        <v>42300</v>
      </c>
      <c r="EF1014" s="10"/>
      <c r="EG1014" s="11">
        <v>42299</v>
      </c>
      <c r="EH1014" s="10"/>
      <c r="EI1014" s="11">
        <v>41963</v>
      </c>
    </row>
    <row r="1015" spans="1:139" s="7" customFormat="1" x14ac:dyDescent="0.2">
      <c r="A1015" s="7" t="str">
        <f>VLOOKUP(B1015,Sheet1!$A$1:$B$18,2,FALSE)</f>
        <v>South Island</v>
      </c>
      <c r="B1015" s="7" t="str">
        <f>LEFT(D1015,3)</f>
        <v>MBN</v>
      </c>
      <c r="C1015" s="8">
        <v>998</v>
      </c>
      <c r="D1015" s="9" t="str">
        <f>HYPERLINK("https://sitebase.nzcomms.co.nz/spm/spmnominalview/MBN-051-018/","MBN-051-018")</f>
        <v>MBN-051-018</v>
      </c>
      <c r="E1015" s="10" t="s">
        <v>3082</v>
      </c>
      <c r="F1015" s="9" t="str">
        <f>HYPERLINK("https://sitebase.nzcomms.co.nz/spm/spmcandidateview/MBN-051-018-A/","MBN-051-018-A")</f>
        <v>MBN-051-018-A</v>
      </c>
      <c r="G1015" s="10" t="s">
        <v>3083</v>
      </c>
      <c r="H1015" s="10" t="s">
        <v>3047</v>
      </c>
      <c r="I1015" s="10">
        <v>21</v>
      </c>
      <c r="J1015" s="10" t="s">
        <v>196</v>
      </c>
      <c r="K1015" s="10" t="s">
        <v>141</v>
      </c>
      <c r="L1015" s="10"/>
      <c r="M1015" s="10"/>
      <c r="N1015" s="10"/>
      <c r="O1015" s="10"/>
      <c r="P1015" s="10"/>
      <c r="Q1015" s="10"/>
      <c r="R1015" s="10"/>
      <c r="S1015" s="10"/>
      <c r="T1015" s="10"/>
      <c r="U1015" s="10"/>
      <c r="V1015" s="10"/>
      <c r="W1015" s="10"/>
      <c r="X1015" s="10"/>
      <c r="Y1015" s="10"/>
      <c r="Z1015" s="10"/>
      <c r="AA1015" s="10"/>
      <c r="AB1015" s="10"/>
      <c r="AC1015" s="10" t="b">
        <v>0</v>
      </c>
      <c r="AD1015" s="10" t="b">
        <v>0</v>
      </c>
      <c r="AE1015" s="10"/>
      <c r="AF1015" s="10"/>
      <c r="AG1015" s="10" t="b">
        <v>0</v>
      </c>
      <c r="AH1015" s="10"/>
      <c r="AI1015" s="11">
        <v>42209</v>
      </c>
      <c r="AJ1015" s="10"/>
      <c r="AK1015" s="11">
        <v>42216</v>
      </c>
      <c r="AL1015" s="10"/>
      <c r="AM1015" s="11">
        <v>42244</v>
      </c>
      <c r="AN1015" s="10"/>
      <c r="AO1015" s="10"/>
      <c r="AP1015" s="10"/>
      <c r="AQ1015" s="10"/>
      <c r="AR1015" s="11">
        <v>42265</v>
      </c>
      <c r="AS1015" s="10"/>
      <c r="AT1015" s="11">
        <v>42307</v>
      </c>
      <c r="AU1015" s="10"/>
      <c r="AV1015" s="10"/>
      <c r="AW1015" s="11">
        <v>42314</v>
      </c>
      <c r="AX1015" s="10"/>
      <c r="AY1015" s="10"/>
      <c r="AZ1015" s="11">
        <v>42251</v>
      </c>
      <c r="BA1015" s="10"/>
      <c r="BB1015" s="11">
        <v>42279</v>
      </c>
      <c r="BC1015" s="10"/>
      <c r="BD1015" s="10"/>
      <c r="BE1015" s="10"/>
      <c r="BF1015" s="10"/>
      <c r="BG1015" s="11">
        <v>42268</v>
      </c>
      <c r="BH1015" s="10"/>
      <c r="BI1015" s="11">
        <v>42307</v>
      </c>
      <c r="BJ1015" s="10"/>
      <c r="BK1015" s="10"/>
      <c r="BL1015" s="10"/>
      <c r="BM1015" s="10"/>
      <c r="BN1015" s="10"/>
      <c r="BO1015" s="10"/>
      <c r="BP1015" s="10"/>
      <c r="BQ1015" s="10"/>
      <c r="BR1015" s="10"/>
      <c r="BS1015" s="10"/>
      <c r="BT1015" s="11">
        <v>42339</v>
      </c>
      <c r="BU1015" s="10"/>
      <c r="BV1015" s="11">
        <v>42370</v>
      </c>
      <c r="BW1015" s="10"/>
      <c r="BX1015" s="10"/>
      <c r="BY1015" s="11">
        <v>42396</v>
      </c>
      <c r="BZ1015" s="10"/>
      <c r="CA1015" s="10"/>
      <c r="CB1015" s="10"/>
      <c r="CC1015" s="10"/>
      <c r="CD1015" s="10"/>
      <c r="CE1015" s="10"/>
      <c r="CF1015" s="10"/>
      <c r="CG1015" s="10"/>
      <c r="CH1015" s="10"/>
      <c r="CI1015" s="10"/>
      <c r="CJ1015" s="11">
        <v>42391</v>
      </c>
      <c r="CK1015" s="10"/>
      <c r="CL1015" s="10"/>
      <c r="CM1015" s="10"/>
      <c r="CN1015" s="10"/>
      <c r="CO1015" s="10"/>
      <c r="CP1015" s="10" t="s">
        <v>3084</v>
      </c>
      <c r="CQ1015" s="10"/>
      <c r="CR1015" s="11">
        <v>42397</v>
      </c>
      <c r="CS1015" s="10"/>
      <c r="CT1015" s="10"/>
      <c r="CU1015" s="10"/>
      <c r="CV1015" s="10"/>
      <c r="CW1015" s="10"/>
      <c r="CX1015" s="10"/>
      <c r="CY1015" s="10"/>
      <c r="CZ1015" s="10"/>
      <c r="DA1015" s="11">
        <v>42401</v>
      </c>
      <c r="DB1015" s="10"/>
      <c r="DC1015" s="10"/>
      <c r="DD1015" s="10"/>
      <c r="DE1015" s="10"/>
      <c r="DF1015" s="11">
        <v>42349</v>
      </c>
      <c r="DG1015" s="10"/>
      <c r="DH1015" s="10" t="s">
        <v>240</v>
      </c>
      <c r="DI1015" s="11">
        <v>42370</v>
      </c>
      <c r="DJ1015" s="10" t="b">
        <v>0</v>
      </c>
      <c r="DK1015" s="10"/>
      <c r="DL1015" s="10"/>
      <c r="DM1015" s="10"/>
      <c r="DN1015" s="10"/>
      <c r="DO1015" s="10"/>
      <c r="DP1015" s="10"/>
      <c r="DQ1015" s="10" t="s">
        <v>148</v>
      </c>
      <c r="DR1015" s="10" t="s">
        <v>255</v>
      </c>
      <c r="DS1015" s="10"/>
      <c r="DT1015" s="10"/>
      <c r="DU1015" s="10" t="s">
        <v>577</v>
      </c>
      <c r="DV1015" s="10"/>
      <c r="DW1015" s="10"/>
      <c r="DX1015" s="10"/>
      <c r="DY1015" s="10"/>
      <c r="DZ1015" s="10"/>
      <c r="EA1015" s="10"/>
      <c r="EB1015" s="10"/>
      <c r="EC1015" s="10"/>
      <c r="ED1015" s="10"/>
      <c r="EE1015" s="10"/>
      <c r="EF1015" s="10"/>
      <c r="EG1015" s="11">
        <v>42404</v>
      </c>
      <c r="EH1015" s="10"/>
      <c r="EI1015" s="10"/>
    </row>
    <row r="1016" spans="1:139" s="7" customFormat="1" x14ac:dyDescent="0.2">
      <c r="A1016" s="7" t="str">
        <f>VLOOKUP(B1016,Sheet1!$A$1:$B$18,2,FALSE)</f>
        <v>South Island</v>
      </c>
      <c r="B1016" s="7" t="str">
        <f>LEFT(D1016,3)</f>
        <v>MBN</v>
      </c>
      <c r="C1016" s="8">
        <v>1040</v>
      </c>
      <c r="D1016" s="9" t="str">
        <f>HYPERLINK("https://sitebase.nzcomms.co.nz/spm/spmnominalview/MBN-053-018/","MBN-053-018")</f>
        <v>MBN-053-018</v>
      </c>
      <c r="E1016" s="10" t="s">
        <v>3194</v>
      </c>
      <c r="F1016" s="9" t="str">
        <f>HYPERLINK("https://sitebase.nzcomms.co.nz/spm/spmcandidateview/MBN-053-018-A/","MBN-053-018-A")</f>
        <v>MBN-053-018-A</v>
      </c>
      <c r="G1016" s="10" t="s">
        <v>566</v>
      </c>
      <c r="H1016" s="10" t="s">
        <v>3152</v>
      </c>
      <c r="I1016" s="10">
        <v>21</v>
      </c>
      <c r="J1016" s="10" t="s">
        <v>165</v>
      </c>
      <c r="K1016" s="10" t="s">
        <v>141</v>
      </c>
      <c r="L1016" s="10" t="s">
        <v>142</v>
      </c>
      <c r="M1016" s="10" t="s">
        <v>324</v>
      </c>
      <c r="N1016" s="10"/>
      <c r="O1016" s="10"/>
      <c r="P1016" s="10"/>
      <c r="Q1016" s="10" t="s">
        <v>142</v>
      </c>
      <c r="R1016" s="10"/>
      <c r="S1016" s="10"/>
      <c r="T1016" s="10"/>
      <c r="U1016" s="10"/>
      <c r="V1016" s="10"/>
      <c r="W1016" s="10"/>
      <c r="X1016" s="10"/>
      <c r="Y1016" s="10"/>
      <c r="Z1016" s="10"/>
      <c r="AA1016" s="10" t="s">
        <v>145</v>
      </c>
      <c r="AB1016" s="9" t="str">
        <f>HYPERLINK("https://sitebase.nzcomms.co.nz/spm/spmcandidateview/WLG-047-071-A/","WLG-047-071-A")</f>
        <v>WLG-047-071-A</v>
      </c>
      <c r="AC1016" s="10" t="b">
        <v>0</v>
      </c>
      <c r="AD1016" s="10" t="b">
        <v>0</v>
      </c>
      <c r="AE1016" s="10"/>
      <c r="AF1016" s="10"/>
      <c r="AG1016" s="10" t="b">
        <v>0</v>
      </c>
      <c r="AH1016" s="10"/>
      <c r="AI1016" s="11">
        <v>42067</v>
      </c>
      <c r="AJ1016" s="11">
        <v>42067</v>
      </c>
      <c r="AK1016" s="11">
        <v>42177</v>
      </c>
      <c r="AL1016" s="11">
        <v>42179</v>
      </c>
      <c r="AM1016" s="11">
        <v>42237</v>
      </c>
      <c r="AN1016" s="11">
        <v>42230</v>
      </c>
      <c r="AO1016" s="10">
        <v>1</v>
      </c>
      <c r="AP1016" s="10"/>
      <c r="AQ1016" s="11">
        <v>42230</v>
      </c>
      <c r="AR1016" s="11">
        <v>42244</v>
      </c>
      <c r="AS1016" s="11">
        <v>42240</v>
      </c>
      <c r="AT1016" s="11">
        <v>42247</v>
      </c>
      <c r="AU1016" s="11">
        <v>42240</v>
      </c>
      <c r="AV1016" s="10"/>
      <c r="AW1016" s="11">
        <v>42251</v>
      </c>
      <c r="AX1016" s="10"/>
      <c r="AY1016" s="10" t="s">
        <v>172</v>
      </c>
      <c r="AZ1016" s="11">
        <v>42242</v>
      </c>
      <c r="BA1016" s="11">
        <v>42235</v>
      </c>
      <c r="BB1016" s="11">
        <v>42270</v>
      </c>
      <c r="BC1016" s="11">
        <v>42257</v>
      </c>
      <c r="BD1016" s="10">
        <v>1</v>
      </c>
      <c r="BE1016" s="11">
        <v>42272</v>
      </c>
      <c r="BF1016" s="11">
        <v>42262</v>
      </c>
      <c r="BG1016" s="11">
        <v>42240</v>
      </c>
      <c r="BH1016" s="11">
        <v>42240</v>
      </c>
      <c r="BI1016" s="11">
        <v>42258</v>
      </c>
      <c r="BJ1016" s="10"/>
      <c r="BK1016" s="10"/>
      <c r="BL1016" s="10"/>
      <c r="BM1016" s="10"/>
      <c r="BN1016" s="10"/>
      <c r="BO1016" s="10"/>
      <c r="BP1016" s="10"/>
      <c r="BQ1016" s="10"/>
      <c r="BR1016" s="10"/>
      <c r="BS1016" s="10"/>
      <c r="BT1016" s="11">
        <v>42352</v>
      </c>
      <c r="BU1016" s="10"/>
      <c r="BV1016" s="11">
        <v>42356</v>
      </c>
      <c r="BW1016" s="10"/>
      <c r="BX1016" s="10"/>
      <c r="BY1016" s="11">
        <v>42377</v>
      </c>
      <c r="BZ1016" s="10"/>
      <c r="CA1016" s="11">
        <v>42314</v>
      </c>
      <c r="CB1016" s="10"/>
      <c r="CC1016" s="10"/>
      <c r="CD1016" s="10"/>
      <c r="CE1016" s="10"/>
      <c r="CF1016" s="10"/>
      <c r="CG1016" s="10"/>
      <c r="CH1016" s="10"/>
      <c r="CI1016" s="10"/>
      <c r="CJ1016" s="11">
        <v>42398</v>
      </c>
      <c r="CK1016" s="10"/>
      <c r="CL1016" s="10"/>
      <c r="CM1016" s="10"/>
      <c r="CN1016" s="10"/>
      <c r="CO1016" s="10"/>
      <c r="CP1016" s="10" t="s">
        <v>3195</v>
      </c>
      <c r="CQ1016" s="10"/>
      <c r="CR1016" s="10"/>
      <c r="CS1016" s="10"/>
      <c r="CT1016" s="10"/>
      <c r="CU1016" s="10"/>
      <c r="CV1016" s="10"/>
      <c r="CW1016" s="10"/>
      <c r="CX1016" s="10"/>
      <c r="CY1016" s="10"/>
      <c r="CZ1016" s="10"/>
      <c r="DA1016" s="11">
        <v>42391</v>
      </c>
      <c r="DB1016" s="10"/>
      <c r="DC1016" s="11">
        <v>42235</v>
      </c>
      <c r="DD1016" s="10" t="s">
        <v>586</v>
      </c>
      <c r="DE1016" s="10" t="s">
        <v>1982</v>
      </c>
      <c r="DF1016" s="11">
        <v>42293</v>
      </c>
      <c r="DG1016" s="10"/>
      <c r="DH1016" s="10" t="s">
        <v>240</v>
      </c>
      <c r="DI1016" s="10"/>
      <c r="DJ1016" s="10" t="b">
        <v>0</v>
      </c>
      <c r="DK1016" s="10"/>
      <c r="DL1016" s="10"/>
      <c r="DM1016" s="10"/>
      <c r="DN1016" s="10" t="s">
        <v>3196</v>
      </c>
      <c r="DO1016" s="10"/>
      <c r="DP1016" s="10"/>
      <c r="DQ1016" s="10" t="s">
        <v>328</v>
      </c>
      <c r="DR1016" s="10" t="s">
        <v>255</v>
      </c>
      <c r="DS1016" s="10"/>
      <c r="DT1016" s="10"/>
      <c r="DU1016" s="10" t="s">
        <v>178</v>
      </c>
      <c r="DV1016" s="10"/>
      <c r="DW1016" s="10"/>
      <c r="DX1016" s="10"/>
      <c r="DY1016" s="11">
        <v>42307</v>
      </c>
      <c r="DZ1016" s="10"/>
      <c r="EA1016" s="10"/>
      <c r="EB1016" s="10"/>
      <c r="EC1016" s="10"/>
      <c r="ED1016" s="10"/>
      <c r="EE1016" s="11">
        <v>42335</v>
      </c>
      <c r="EF1016" s="10"/>
      <c r="EG1016" s="10"/>
      <c r="EH1016" s="10"/>
      <c r="EI1016" s="11">
        <v>42179</v>
      </c>
    </row>
    <row r="1017" spans="1:139" s="7" customFormat="1" x14ac:dyDescent="0.2">
      <c r="A1017" s="7" t="str">
        <f>VLOOKUP(B1017,Sheet1!$A$1:$B$18,2,FALSE)</f>
        <v>South Island</v>
      </c>
      <c r="B1017" s="7" t="str">
        <f>LEFT(D1017,3)</f>
        <v>MBN</v>
      </c>
      <c r="C1017" s="8">
        <v>1039</v>
      </c>
      <c r="D1017" s="9" t="str">
        <f>HYPERLINK("https://sitebase.nzcomms.co.nz/spm/spmnominalview/MBN-053-017/","MBN-053-017")</f>
        <v>MBN-053-017</v>
      </c>
      <c r="E1017" s="10" t="s">
        <v>3189</v>
      </c>
      <c r="F1017" s="9" t="str">
        <f>HYPERLINK("https://sitebase.nzcomms.co.nz/spm/spmcandidateview/MBN-053-017-B/","MBN-053-017-B")</f>
        <v>MBN-053-017-B</v>
      </c>
      <c r="G1017" s="10" t="s">
        <v>3190</v>
      </c>
      <c r="H1017" s="10" t="s">
        <v>3152</v>
      </c>
      <c r="I1017" s="10">
        <v>21</v>
      </c>
      <c r="J1017" s="10" t="s">
        <v>165</v>
      </c>
      <c r="K1017" s="10" t="s">
        <v>141</v>
      </c>
      <c r="L1017" s="10" t="s">
        <v>142</v>
      </c>
      <c r="M1017" s="10" t="s">
        <v>166</v>
      </c>
      <c r="N1017" s="10"/>
      <c r="O1017" s="10"/>
      <c r="P1017" s="10"/>
      <c r="Q1017" s="10" t="s">
        <v>142</v>
      </c>
      <c r="R1017" s="10"/>
      <c r="S1017" s="10"/>
      <c r="T1017" s="10"/>
      <c r="U1017" s="10">
        <v>-41.689497170000003</v>
      </c>
      <c r="V1017" s="10">
        <v>174.0497173</v>
      </c>
      <c r="W1017" s="10"/>
      <c r="X1017" s="10"/>
      <c r="Y1017" s="10"/>
      <c r="Z1017" s="10"/>
      <c r="AA1017" s="10"/>
      <c r="AB1017" s="10"/>
      <c r="AC1017" s="10" t="b">
        <v>0</v>
      </c>
      <c r="AD1017" s="10" t="b">
        <v>0</v>
      </c>
      <c r="AE1017" s="10"/>
      <c r="AF1017" s="10"/>
      <c r="AG1017" s="10" t="b">
        <v>0</v>
      </c>
      <c r="AH1017" s="10"/>
      <c r="AI1017" s="11">
        <v>42104</v>
      </c>
      <c r="AJ1017" s="11">
        <v>42067</v>
      </c>
      <c r="AK1017" s="11">
        <v>42111</v>
      </c>
      <c r="AL1017" s="11">
        <v>42096</v>
      </c>
      <c r="AM1017" s="11">
        <v>42139</v>
      </c>
      <c r="AN1017" s="11">
        <v>42128</v>
      </c>
      <c r="AO1017" s="10">
        <v>1</v>
      </c>
      <c r="AP1017" s="10"/>
      <c r="AQ1017" s="11">
        <v>42128</v>
      </c>
      <c r="AR1017" s="11">
        <v>42214</v>
      </c>
      <c r="AS1017" s="11">
        <v>42213</v>
      </c>
      <c r="AT1017" s="11">
        <v>42335</v>
      </c>
      <c r="AU1017" s="10"/>
      <c r="AV1017" s="10"/>
      <c r="AW1017" s="11">
        <v>42335</v>
      </c>
      <c r="AX1017" s="10"/>
      <c r="AY1017" s="10" t="s">
        <v>172</v>
      </c>
      <c r="AZ1017" s="11">
        <v>42132</v>
      </c>
      <c r="BA1017" s="11">
        <v>42132</v>
      </c>
      <c r="BB1017" s="11">
        <v>42160</v>
      </c>
      <c r="BC1017" s="11">
        <v>42151</v>
      </c>
      <c r="BD1017" s="10">
        <v>1</v>
      </c>
      <c r="BE1017" s="11">
        <v>42167</v>
      </c>
      <c r="BF1017" s="11">
        <v>42163</v>
      </c>
      <c r="BG1017" s="11">
        <v>42202</v>
      </c>
      <c r="BH1017" s="11">
        <v>42200</v>
      </c>
      <c r="BI1017" s="11">
        <v>42235</v>
      </c>
      <c r="BJ1017" s="11">
        <v>42229</v>
      </c>
      <c r="BK1017" s="10">
        <v>1</v>
      </c>
      <c r="BL1017" s="10"/>
      <c r="BM1017" s="10"/>
      <c r="BN1017" s="11">
        <v>42229</v>
      </c>
      <c r="BO1017" s="10"/>
      <c r="BP1017" s="10"/>
      <c r="BQ1017" s="10"/>
      <c r="BR1017" s="10"/>
      <c r="BS1017" s="10"/>
      <c r="BT1017" s="11">
        <v>42338</v>
      </c>
      <c r="BU1017" s="10"/>
      <c r="BV1017" s="11">
        <v>42356</v>
      </c>
      <c r="BW1017" s="10"/>
      <c r="BX1017" s="10"/>
      <c r="BY1017" s="11">
        <v>42391</v>
      </c>
      <c r="BZ1017" s="10"/>
      <c r="CA1017" s="11">
        <v>42291</v>
      </c>
      <c r="CB1017" s="10"/>
      <c r="CC1017" s="10"/>
      <c r="CD1017" s="10"/>
      <c r="CE1017" s="10"/>
      <c r="CF1017" s="10"/>
      <c r="CG1017" s="10"/>
      <c r="CH1017" s="10"/>
      <c r="CI1017" s="10"/>
      <c r="CJ1017" s="11">
        <v>42403</v>
      </c>
      <c r="CK1017" s="10"/>
      <c r="CL1017" s="10"/>
      <c r="CM1017" s="10"/>
      <c r="CN1017" s="10"/>
      <c r="CO1017" s="10"/>
      <c r="CP1017" s="10" t="s">
        <v>3191</v>
      </c>
      <c r="CQ1017" s="10" t="s">
        <v>230</v>
      </c>
      <c r="CR1017" s="11">
        <v>42329</v>
      </c>
      <c r="CS1017" s="10"/>
      <c r="CT1017" s="10"/>
      <c r="CU1017" s="10"/>
      <c r="CV1017" s="10"/>
      <c r="CW1017" s="10"/>
      <c r="CX1017" s="10"/>
      <c r="CY1017" s="10"/>
      <c r="CZ1017" s="10"/>
      <c r="DA1017" s="11">
        <v>42397</v>
      </c>
      <c r="DB1017" s="10"/>
      <c r="DC1017" s="11">
        <v>42055</v>
      </c>
      <c r="DD1017" s="10" t="s">
        <v>586</v>
      </c>
      <c r="DE1017" s="10"/>
      <c r="DF1017" s="10"/>
      <c r="DG1017" s="10"/>
      <c r="DH1017" s="10" t="s">
        <v>1521</v>
      </c>
      <c r="DI1017" s="11">
        <v>42338</v>
      </c>
      <c r="DJ1017" s="10" t="b">
        <v>0</v>
      </c>
      <c r="DK1017" s="10"/>
      <c r="DL1017" s="10">
        <v>2597374</v>
      </c>
      <c r="DM1017" s="10">
        <v>5945862</v>
      </c>
      <c r="DN1017" s="10" t="s">
        <v>3192</v>
      </c>
      <c r="DO1017" s="10"/>
      <c r="DP1017" s="10" t="s">
        <v>3193</v>
      </c>
      <c r="DQ1017" s="10" t="s">
        <v>148</v>
      </c>
      <c r="DR1017" s="10" t="s">
        <v>255</v>
      </c>
      <c r="DS1017" s="10"/>
      <c r="DT1017" s="10"/>
      <c r="DU1017" s="10" t="s">
        <v>178</v>
      </c>
      <c r="DV1017" s="10"/>
      <c r="DW1017" s="10"/>
      <c r="DX1017" s="10"/>
      <c r="DY1017" s="11">
        <v>42202</v>
      </c>
      <c r="DZ1017" s="10"/>
      <c r="EA1017" s="10"/>
      <c r="EB1017" s="10"/>
      <c r="EC1017" s="10"/>
      <c r="ED1017" s="10"/>
      <c r="EE1017" s="11">
        <v>42307</v>
      </c>
      <c r="EF1017" s="10"/>
      <c r="EG1017" s="11">
        <v>42337</v>
      </c>
      <c r="EH1017" s="10"/>
      <c r="EI1017" s="11">
        <v>42096</v>
      </c>
    </row>
    <row r="1018" spans="1:139" s="7" customFormat="1" x14ac:dyDescent="0.2">
      <c r="A1018" s="7" t="str">
        <f>VLOOKUP(B1018,Sheet1!$A$1:$B$18,2,FALSE)</f>
        <v>South Island</v>
      </c>
      <c r="B1018" s="7" t="str">
        <f>LEFT(D1018,3)</f>
        <v>CAN</v>
      </c>
      <c r="C1018" s="8">
        <v>671</v>
      </c>
      <c r="D1018" s="9" t="str">
        <f>HYPERLINK("https://sitebase.nzcomms.co.nz/spm/spmnominalview/CAN-062-017/","CAN-062-017")</f>
        <v>CAN-062-017</v>
      </c>
      <c r="E1018" s="10" t="s">
        <v>2180</v>
      </c>
      <c r="F1018" s="9" t="str">
        <f>HYPERLINK("https://sitebase.nzcomms.co.nz/spm/spmcandidateview/CAN-062-017-B/","CAN-062-017-B")</f>
        <v>CAN-062-017-B</v>
      </c>
      <c r="G1018" s="10" t="s">
        <v>2181</v>
      </c>
      <c r="H1018" s="10" t="s">
        <v>2111</v>
      </c>
      <c r="I1018" s="10">
        <v>21</v>
      </c>
      <c r="J1018" s="10" t="s">
        <v>570</v>
      </c>
      <c r="K1018" s="10" t="s">
        <v>141</v>
      </c>
      <c r="L1018" s="10" t="s">
        <v>189</v>
      </c>
      <c r="M1018" s="10" t="s">
        <v>190</v>
      </c>
      <c r="N1018" s="10" t="s">
        <v>2058</v>
      </c>
      <c r="O1018" s="10"/>
      <c r="P1018" s="10" t="s">
        <v>182</v>
      </c>
      <c r="Q1018" s="10"/>
      <c r="R1018" s="10">
        <v>16</v>
      </c>
      <c r="S1018" s="10">
        <v>16</v>
      </c>
      <c r="T1018" s="10">
        <v>1</v>
      </c>
      <c r="U1018" s="10">
        <v>-43.60761703</v>
      </c>
      <c r="V1018" s="10">
        <v>172.35737026000001</v>
      </c>
      <c r="W1018" s="10"/>
      <c r="X1018" s="11">
        <v>41828</v>
      </c>
      <c r="Y1018" s="10"/>
      <c r="Z1018" s="10"/>
      <c r="AA1018" s="10"/>
      <c r="AB1018" s="10"/>
      <c r="AC1018" s="10" t="b">
        <v>0</v>
      </c>
      <c r="AD1018" s="10" t="b">
        <v>0</v>
      </c>
      <c r="AE1018" s="10"/>
      <c r="AF1018" s="10"/>
      <c r="AG1018" s="10" t="b">
        <v>0</v>
      </c>
      <c r="AH1018" s="10"/>
      <c r="AI1018" s="11">
        <v>41095</v>
      </c>
      <c r="AJ1018" s="11">
        <v>41095</v>
      </c>
      <c r="AK1018" s="11">
        <v>41101</v>
      </c>
      <c r="AL1018" s="11">
        <v>41100</v>
      </c>
      <c r="AM1018" s="11">
        <v>42277</v>
      </c>
      <c r="AN1018" s="11">
        <v>41170</v>
      </c>
      <c r="AO1018" s="10">
        <v>2</v>
      </c>
      <c r="AP1018" s="10"/>
      <c r="AQ1018" s="11">
        <v>42160</v>
      </c>
      <c r="AR1018" s="11">
        <v>41131</v>
      </c>
      <c r="AS1018" s="11">
        <v>41099</v>
      </c>
      <c r="AT1018" s="11">
        <v>41194</v>
      </c>
      <c r="AU1018" s="11">
        <v>41199</v>
      </c>
      <c r="AV1018" s="10"/>
      <c r="AW1018" s="11">
        <v>42306</v>
      </c>
      <c r="AX1018" s="10"/>
      <c r="AY1018" s="10" t="s">
        <v>183</v>
      </c>
      <c r="AZ1018" s="11">
        <v>42163</v>
      </c>
      <c r="BA1018" s="11">
        <v>41199</v>
      </c>
      <c r="BB1018" s="11">
        <v>42191</v>
      </c>
      <c r="BC1018" s="11">
        <v>41219</v>
      </c>
      <c r="BD1018" s="10">
        <v>1</v>
      </c>
      <c r="BE1018" s="11">
        <v>42307</v>
      </c>
      <c r="BF1018" s="10"/>
      <c r="BG1018" s="11">
        <v>42111</v>
      </c>
      <c r="BH1018" s="11">
        <v>42109</v>
      </c>
      <c r="BI1018" s="11">
        <v>42320</v>
      </c>
      <c r="BJ1018" s="10"/>
      <c r="BK1018" s="10">
        <v>1</v>
      </c>
      <c r="BL1018" s="10"/>
      <c r="BM1018" s="10"/>
      <c r="BN1018" s="10"/>
      <c r="BO1018" s="10"/>
      <c r="BP1018" s="10"/>
      <c r="BQ1018" s="10"/>
      <c r="BR1018" s="10"/>
      <c r="BS1018" s="10"/>
      <c r="BT1018" s="11">
        <v>42380</v>
      </c>
      <c r="BU1018" s="10"/>
      <c r="BV1018" s="11">
        <v>42412</v>
      </c>
      <c r="BW1018" s="10"/>
      <c r="BX1018" s="10"/>
      <c r="BY1018" s="11">
        <v>42426</v>
      </c>
      <c r="BZ1018" s="10"/>
      <c r="CA1018" s="11">
        <v>42419</v>
      </c>
      <c r="CB1018" s="10"/>
      <c r="CC1018" s="10"/>
      <c r="CD1018" s="10"/>
      <c r="CE1018" s="10"/>
      <c r="CF1018" s="10"/>
      <c r="CG1018" s="10"/>
      <c r="CH1018" s="10"/>
      <c r="CI1018" s="10"/>
      <c r="CJ1018" s="11">
        <v>42411</v>
      </c>
      <c r="CK1018" s="10"/>
      <c r="CL1018" s="10"/>
      <c r="CM1018" s="10"/>
      <c r="CN1018" s="10"/>
      <c r="CO1018" s="10"/>
      <c r="CP1018" s="10" t="s">
        <v>2182</v>
      </c>
      <c r="CQ1018" s="10"/>
      <c r="CR1018" s="10"/>
      <c r="CS1018" s="10"/>
      <c r="CT1018" s="10"/>
      <c r="CU1018" s="10"/>
      <c r="CV1018" s="10"/>
      <c r="CW1018" s="10"/>
      <c r="CX1018" s="10"/>
      <c r="CY1018" s="10"/>
      <c r="CZ1018" s="10"/>
      <c r="DA1018" s="11">
        <v>42433</v>
      </c>
      <c r="DB1018" s="10"/>
      <c r="DC1018" s="11">
        <v>41156</v>
      </c>
      <c r="DD1018" s="10" t="s">
        <v>206</v>
      </c>
      <c r="DE1018" s="10" t="s">
        <v>194</v>
      </c>
      <c r="DF1018" s="10"/>
      <c r="DG1018" s="10"/>
      <c r="DH1018" s="10" t="s">
        <v>1521</v>
      </c>
      <c r="DI1018" s="11">
        <v>42387</v>
      </c>
      <c r="DJ1018" s="10" t="b">
        <v>1</v>
      </c>
      <c r="DK1018" s="11">
        <v>42349</v>
      </c>
      <c r="DL1018" s="10">
        <v>2458131</v>
      </c>
      <c r="DM1018" s="10">
        <v>5733116</v>
      </c>
      <c r="DN1018" s="10" t="s">
        <v>2183</v>
      </c>
      <c r="DO1018" s="10"/>
      <c r="DP1018" s="10" t="s">
        <v>2184</v>
      </c>
      <c r="DQ1018" s="10" t="s">
        <v>148</v>
      </c>
      <c r="DR1018" s="10" t="s">
        <v>255</v>
      </c>
      <c r="DS1018" s="10"/>
      <c r="DT1018" s="10"/>
      <c r="DU1018" s="10" t="s">
        <v>577</v>
      </c>
      <c r="DV1018" s="10"/>
      <c r="DW1018" s="10"/>
      <c r="DX1018" s="10"/>
      <c r="DY1018" s="10"/>
      <c r="DZ1018" s="10"/>
      <c r="EA1018" s="10"/>
      <c r="EB1018" s="10"/>
      <c r="EC1018" s="10"/>
      <c r="ED1018" s="10"/>
      <c r="EE1018" s="11">
        <v>42349</v>
      </c>
      <c r="EF1018" s="10"/>
      <c r="EG1018" s="11">
        <v>42248</v>
      </c>
      <c r="EH1018" s="10"/>
      <c r="EI1018" s="10"/>
    </row>
    <row r="1019" spans="1:139" s="7" customFormat="1" x14ac:dyDescent="0.2">
      <c r="A1019" s="7" t="str">
        <f>VLOOKUP(B1019,Sheet1!$A$1:$B$18,2,FALSE)</f>
        <v>South Island</v>
      </c>
      <c r="B1019" s="7" t="str">
        <f>LEFT(D1019,3)</f>
        <v>WST</v>
      </c>
      <c r="C1019" s="8">
        <v>1713</v>
      </c>
      <c r="D1019" s="9" t="str">
        <f>HYPERLINK("https://sitebase.nzcomms.co.nz/spm/spmnominalview/WST-055-004/","WST-055-004")</f>
        <v>WST-055-004</v>
      </c>
      <c r="E1019" s="10" t="s">
        <v>5154</v>
      </c>
      <c r="F1019" s="9" t="str">
        <f>HYPERLINK("https://sitebase.nzcomms.co.nz/spm/spmcandidateview/WST-055-004-A/","WST-055-004-A")</f>
        <v>WST-055-004-A</v>
      </c>
      <c r="G1019" s="10" t="s">
        <v>2878</v>
      </c>
      <c r="H1019" s="10" t="s">
        <v>5149</v>
      </c>
      <c r="I1019" s="10">
        <v>21</v>
      </c>
      <c r="J1019" s="10" t="s">
        <v>165</v>
      </c>
      <c r="K1019" s="10" t="s">
        <v>141</v>
      </c>
      <c r="L1019" s="10" t="s">
        <v>142</v>
      </c>
      <c r="M1019" s="10" t="s">
        <v>166</v>
      </c>
      <c r="N1019" s="10"/>
      <c r="O1019" s="10"/>
      <c r="P1019" s="10" t="s">
        <v>182</v>
      </c>
      <c r="Q1019" s="10" t="s">
        <v>142</v>
      </c>
      <c r="R1019" s="10">
        <v>20</v>
      </c>
      <c r="S1019" s="10">
        <v>45</v>
      </c>
      <c r="T1019" s="10">
        <v>1</v>
      </c>
      <c r="U1019" s="10">
        <v>-41.778847980000002</v>
      </c>
      <c r="V1019" s="10">
        <v>171.74055279999999</v>
      </c>
      <c r="W1019" s="10"/>
      <c r="X1019" s="11">
        <v>42061</v>
      </c>
      <c r="Y1019" s="10"/>
      <c r="Z1019" s="10"/>
      <c r="AA1019" s="10"/>
      <c r="AB1019" s="10"/>
      <c r="AC1019" s="10" t="b">
        <v>0</v>
      </c>
      <c r="AD1019" s="10" t="b">
        <v>0</v>
      </c>
      <c r="AE1019" s="10"/>
      <c r="AF1019" s="10"/>
      <c r="AG1019" s="10" t="b">
        <v>0</v>
      </c>
      <c r="AH1019" s="10"/>
      <c r="AI1019" s="11">
        <v>40976</v>
      </c>
      <c r="AJ1019" s="11">
        <v>40976</v>
      </c>
      <c r="AK1019" s="11">
        <v>42080</v>
      </c>
      <c r="AL1019" s="11">
        <v>42079</v>
      </c>
      <c r="AM1019" s="11">
        <v>42177</v>
      </c>
      <c r="AN1019" s="11">
        <v>42215</v>
      </c>
      <c r="AO1019" s="10">
        <v>1</v>
      </c>
      <c r="AP1019" s="10"/>
      <c r="AQ1019" s="11">
        <v>42215</v>
      </c>
      <c r="AR1019" s="11">
        <v>42153</v>
      </c>
      <c r="AS1019" s="11">
        <v>42152</v>
      </c>
      <c r="AT1019" s="11">
        <v>42160</v>
      </c>
      <c r="AU1019" s="11">
        <v>42152</v>
      </c>
      <c r="AV1019" s="10"/>
      <c r="AW1019" s="11">
        <v>42244</v>
      </c>
      <c r="AX1019" s="10"/>
      <c r="AY1019" s="10" t="s">
        <v>172</v>
      </c>
      <c r="AZ1019" s="11">
        <v>42146</v>
      </c>
      <c r="BA1019" s="11">
        <v>42229</v>
      </c>
      <c r="BB1019" s="11">
        <v>42153</v>
      </c>
      <c r="BC1019" s="11">
        <v>42229</v>
      </c>
      <c r="BD1019" s="10">
        <v>1</v>
      </c>
      <c r="BE1019" s="11">
        <v>42153</v>
      </c>
      <c r="BF1019" s="11">
        <v>42229</v>
      </c>
      <c r="BG1019" s="11">
        <v>42202</v>
      </c>
      <c r="BH1019" s="11">
        <v>42215</v>
      </c>
      <c r="BI1019" s="11">
        <v>42244</v>
      </c>
      <c r="BJ1019" s="11">
        <v>42215</v>
      </c>
      <c r="BK1019" s="10">
        <v>1</v>
      </c>
      <c r="BL1019" s="10"/>
      <c r="BM1019" s="10"/>
      <c r="BN1019" s="11">
        <v>42215</v>
      </c>
      <c r="BO1019" s="10"/>
      <c r="BP1019" s="10"/>
      <c r="BQ1019" s="10"/>
      <c r="BR1019" s="10"/>
      <c r="BS1019" s="10"/>
      <c r="BT1019" s="11">
        <v>42352</v>
      </c>
      <c r="BU1019" s="10"/>
      <c r="BV1019" s="11">
        <v>42398</v>
      </c>
      <c r="BW1019" s="10"/>
      <c r="BX1019" s="10"/>
      <c r="BY1019" s="11">
        <v>42412</v>
      </c>
      <c r="BZ1019" s="10"/>
      <c r="CA1019" s="11">
        <v>42293</v>
      </c>
      <c r="CB1019" s="10"/>
      <c r="CC1019" s="10"/>
      <c r="CD1019" s="10"/>
      <c r="CE1019" s="10"/>
      <c r="CF1019" s="10"/>
      <c r="CG1019" s="10"/>
      <c r="CH1019" s="10"/>
      <c r="CI1019" s="10"/>
      <c r="CJ1019" s="11">
        <v>42425</v>
      </c>
      <c r="CK1019" s="10"/>
      <c r="CL1019" s="10"/>
      <c r="CM1019" s="10"/>
      <c r="CN1019" s="10"/>
      <c r="CO1019" s="10"/>
      <c r="CP1019" s="10" t="s">
        <v>5155</v>
      </c>
      <c r="CQ1019" s="10" t="s">
        <v>1657</v>
      </c>
      <c r="CR1019" s="11">
        <v>42240</v>
      </c>
      <c r="CS1019" s="10"/>
      <c r="CT1019" s="10"/>
      <c r="CU1019" s="10"/>
      <c r="CV1019" s="10"/>
      <c r="CW1019" s="10"/>
      <c r="CX1019" s="10"/>
      <c r="CY1019" s="10"/>
      <c r="CZ1019" s="10"/>
      <c r="DA1019" s="11">
        <v>42419</v>
      </c>
      <c r="DB1019" s="10"/>
      <c r="DC1019" s="11">
        <v>40931</v>
      </c>
      <c r="DD1019" s="10" t="s">
        <v>586</v>
      </c>
      <c r="DE1019" s="10" t="s">
        <v>5151</v>
      </c>
      <c r="DF1019" s="10"/>
      <c r="DG1019" s="10"/>
      <c r="DH1019" s="10" t="s">
        <v>1521</v>
      </c>
      <c r="DI1019" s="10"/>
      <c r="DJ1019" s="10" t="b">
        <v>0</v>
      </c>
      <c r="DK1019" s="10"/>
      <c r="DL1019" s="10">
        <v>2405288</v>
      </c>
      <c r="DM1019" s="10">
        <v>5935677</v>
      </c>
      <c r="DN1019" s="10" t="s">
        <v>5156</v>
      </c>
      <c r="DO1019" s="10"/>
      <c r="DP1019" s="10" t="s">
        <v>5157</v>
      </c>
      <c r="DQ1019" s="10" t="s">
        <v>148</v>
      </c>
      <c r="DR1019" s="10" t="s">
        <v>255</v>
      </c>
      <c r="DS1019" s="10"/>
      <c r="DT1019" s="10"/>
      <c r="DU1019" s="10" t="s">
        <v>178</v>
      </c>
      <c r="DV1019" s="10"/>
      <c r="DW1019" s="10"/>
      <c r="DX1019" s="10"/>
      <c r="DY1019" s="11">
        <v>42216</v>
      </c>
      <c r="DZ1019" s="10"/>
      <c r="EA1019" s="10"/>
      <c r="EB1019" s="10"/>
      <c r="EC1019" s="10"/>
      <c r="ED1019" s="10"/>
      <c r="EE1019" s="11">
        <v>42335</v>
      </c>
      <c r="EF1019" s="10"/>
      <c r="EG1019" s="11">
        <v>42247</v>
      </c>
      <c r="EH1019" s="10"/>
      <c r="EI1019" s="11">
        <v>42079</v>
      </c>
    </row>
    <row r="1020" spans="1:139" s="7" customFormat="1" x14ac:dyDescent="0.2">
      <c r="A1020" s="7" t="str">
        <f>VLOOKUP(B1020,Sheet1!$A$1:$B$18,2,FALSE)</f>
        <v>South Island</v>
      </c>
      <c r="B1020" s="7" t="str">
        <f>LEFT(D1020,3)</f>
        <v>WST</v>
      </c>
      <c r="C1020" s="8">
        <v>1715</v>
      </c>
      <c r="D1020" s="9" t="str">
        <f>HYPERLINK("https://sitebase.nzcomms.co.nz/spm/spmnominalview/WST-055-006/","WST-055-006")</f>
        <v>WST-055-006</v>
      </c>
      <c r="E1020" s="10" t="s">
        <v>5162</v>
      </c>
      <c r="F1020" s="9" t="str">
        <f>HYPERLINK("https://sitebase.nzcomms.co.nz/spm/spmcandidateview/WST-055-006-A/","WST-055-006-A")</f>
        <v>WST-055-006-A</v>
      </c>
      <c r="G1020" s="10" t="s">
        <v>566</v>
      </c>
      <c r="H1020" s="10" t="s">
        <v>5149</v>
      </c>
      <c r="I1020" s="10">
        <v>21</v>
      </c>
      <c r="J1020" s="10" t="s">
        <v>165</v>
      </c>
      <c r="K1020" s="10" t="s">
        <v>141</v>
      </c>
      <c r="L1020" s="10" t="s">
        <v>142</v>
      </c>
      <c r="M1020" s="10" t="s">
        <v>324</v>
      </c>
      <c r="N1020" s="10"/>
      <c r="O1020" s="10"/>
      <c r="P1020" s="10"/>
      <c r="Q1020" s="10" t="s">
        <v>142</v>
      </c>
      <c r="R1020" s="10"/>
      <c r="S1020" s="10"/>
      <c r="T1020" s="10"/>
      <c r="U1020" s="10"/>
      <c r="V1020" s="10"/>
      <c r="W1020" s="10"/>
      <c r="X1020" s="10"/>
      <c r="Y1020" s="10"/>
      <c r="Z1020" s="10"/>
      <c r="AA1020" s="10"/>
      <c r="AB1020" s="10"/>
      <c r="AC1020" s="10" t="b">
        <v>0</v>
      </c>
      <c r="AD1020" s="10" t="b">
        <v>0</v>
      </c>
      <c r="AE1020" s="10"/>
      <c r="AF1020" s="10"/>
      <c r="AG1020" s="10" t="b">
        <v>0</v>
      </c>
      <c r="AH1020" s="10"/>
      <c r="AI1020" s="11">
        <v>42073</v>
      </c>
      <c r="AJ1020" s="11">
        <v>42073</v>
      </c>
      <c r="AK1020" s="11">
        <v>42086</v>
      </c>
      <c r="AL1020" s="11">
        <v>42086</v>
      </c>
      <c r="AM1020" s="11">
        <v>42111</v>
      </c>
      <c r="AN1020" s="11">
        <v>42110</v>
      </c>
      <c r="AO1020" s="10">
        <v>1</v>
      </c>
      <c r="AP1020" s="10"/>
      <c r="AQ1020" s="11">
        <v>42110</v>
      </c>
      <c r="AR1020" s="11">
        <v>42307</v>
      </c>
      <c r="AS1020" s="10"/>
      <c r="AT1020" s="11">
        <v>42328</v>
      </c>
      <c r="AU1020" s="10"/>
      <c r="AV1020" s="10"/>
      <c r="AW1020" s="11">
        <v>42328</v>
      </c>
      <c r="AX1020" s="10"/>
      <c r="AY1020" s="10" t="s">
        <v>172</v>
      </c>
      <c r="AZ1020" s="11">
        <v>42118</v>
      </c>
      <c r="BA1020" s="11">
        <v>42117</v>
      </c>
      <c r="BB1020" s="11">
        <v>42146</v>
      </c>
      <c r="BC1020" s="11">
        <v>42135</v>
      </c>
      <c r="BD1020" s="10">
        <v>1</v>
      </c>
      <c r="BE1020" s="11">
        <v>42153</v>
      </c>
      <c r="BF1020" s="11">
        <v>42135</v>
      </c>
      <c r="BG1020" s="11">
        <v>42328</v>
      </c>
      <c r="BH1020" s="10"/>
      <c r="BI1020" s="11">
        <v>42349</v>
      </c>
      <c r="BJ1020" s="10"/>
      <c r="BK1020" s="10"/>
      <c r="BL1020" s="10"/>
      <c r="BM1020" s="10"/>
      <c r="BN1020" s="10"/>
      <c r="BO1020" s="10"/>
      <c r="BP1020" s="10"/>
      <c r="BQ1020" s="10"/>
      <c r="BR1020" s="10"/>
      <c r="BS1020" s="10"/>
      <c r="BT1020" s="11">
        <v>42402</v>
      </c>
      <c r="BU1020" s="10"/>
      <c r="BV1020" s="11">
        <v>42426</v>
      </c>
      <c r="BW1020" s="10"/>
      <c r="BX1020" s="10"/>
      <c r="BY1020" s="11">
        <v>42426</v>
      </c>
      <c r="BZ1020" s="10"/>
      <c r="CA1020" s="11">
        <v>42384</v>
      </c>
      <c r="CB1020" s="10"/>
      <c r="CC1020" s="10"/>
      <c r="CD1020" s="10"/>
      <c r="CE1020" s="10"/>
      <c r="CF1020" s="10"/>
      <c r="CG1020" s="10"/>
      <c r="CH1020" s="10"/>
      <c r="CI1020" s="10"/>
      <c r="CJ1020" s="11">
        <v>42433</v>
      </c>
      <c r="CK1020" s="10"/>
      <c r="CL1020" s="10"/>
      <c r="CM1020" s="10"/>
      <c r="CN1020" s="10"/>
      <c r="CO1020" s="10"/>
      <c r="CP1020" s="10" t="s">
        <v>5163</v>
      </c>
      <c r="CQ1020" s="10"/>
      <c r="CR1020" s="10"/>
      <c r="CS1020" s="10"/>
      <c r="CT1020" s="10"/>
      <c r="CU1020" s="10"/>
      <c r="CV1020" s="10"/>
      <c r="CW1020" s="10"/>
      <c r="CX1020" s="10"/>
      <c r="CY1020" s="10"/>
      <c r="CZ1020" s="10"/>
      <c r="DA1020" s="11">
        <v>42426</v>
      </c>
      <c r="DB1020" s="10"/>
      <c r="DC1020" s="11">
        <v>42118</v>
      </c>
      <c r="DD1020" s="10" t="s">
        <v>586</v>
      </c>
      <c r="DE1020" s="10" t="s">
        <v>1982</v>
      </c>
      <c r="DF1020" s="11">
        <v>42384</v>
      </c>
      <c r="DG1020" s="10"/>
      <c r="DH1020" s="10" t="s">
        <v>1521</v>
      </c>
      <c r="DI1020" s="10"/>
      <c r="DJ1020" s="10" t="b">
        <v>0</v>
      </c>
      <c r="DK1020" s="10"/>
      <c r="DL1020" s="10"/>
      <c r="DM1020" s="10"/>
      <c r="DN1020" s="10" t="s">
        <v>5164</v>
      </c>
      <c r="DO1020" s="10"/>
      <c r="DP1020" s="10"/>
      <c r="DQ1020" s="10" t="s">
        <v>328</v>
      </c>
      <c r="DR1020" s="10" t="s">
        <v>255</v>
      </c>
      <c r="DS1020" s="10"/>
      <c r="DT1020" s="10"/>
      <c r="DU1020" s="10" t="s">
        <v>178</v>
      </c>
      <c r="DV1020" s="10"/>
      <c r="DW1020" s="10"/>
      <c r="DX1020" s="11">
        <v>42132</v>
      </c>
      <c r="DY1020" s="11">
        <v>42349</v>
      </c>
      <c r="DZ1020" s="10"/>
      <c r="EA1020" s="10"/>
      <c r="EB1020" s="10"/>
      <c r="EC1020" s="10"/>
      <c r="ED1020" s="10"/>
      <c r="EE1020" s="11">
        <v>42384</v>
      </c>
      <c r="EF1020" s="10"/>
      <c r="EG1020" s="10"/>
      <c r="EH1020" s="10"/>
      <c r="EI1020" s="11">
        <v>42086</v>
      </c>
    </row>
    <row r="1021" spans="1:139" s="7" customFormat="1" x14ac:dyDescent="0.2">
      <c r="A1021" s="7" t="str">
        <f>VLOOKUP(B1021,Sheet1!$A$1:$B$18,2,FALSE)</f>
        <v>South Island</v>
      </c>
      <c r="B1021" s="7" t="str">
        <f>LEFT(D1021,3)</f>
        <v>OTG</v>
      </c>
      <c r="C1021" s="8">
        <v>1204</v>
      </c>
      <c r="D1021" s="9" t="str">
        <f>HYPERLINK("https://sitebase.nzcomms.co.nz/spm/spmnominalview/OTG-069-008/","OTG-069-008")</f>
        <v>OTG-069-008</v>
      </c>
      <c r="E1021" s="10" t="s">
        <v>3671</v>
      </c>
      <c r="F1021" s="9" t="str">
        <f>HYPERLINK("https://sitebase.nzcomms.co.nz/spm/spmcandidateview/OTG-069-008-B/","OTG-069-008-B")</f>
        <v>OTG-069-008-B</v>
      </c>
      <c r="G1021" s="10" t="s">
        <v>3190</v>
      </c>
      <c r="H1021" s="10" t="s">
        <v>3653</v>
      </c>
      <c r="I1021" s="10">
        <v>21</v>
      </c>
      <c r="J1021" s="10" t="s">
        <v>165</v>
      </c>
      <c r="K1021" s="10" t="s">
        <v>141</v>
      </c>
      <c r="L1021" s="10" t="s">
        <v>142</v>
      </c>
      <c r="M1021" s="10"/>
      <c r="N1021" s="10"/>
      <c r="O1021" s="10"/>
      <c r="P1021" s="10"/>
      <c r="Q1021" s="10" t="s">
        <v>142</v>
      </c>
      <c r="R1021" s="10"/>
      <c r="S1021" s="10"/>
      <c r="T1021" s="10"/>
      <c r="U1021" s="10">
        <v>-44.769256220000003</v>
      </c>
      <c r="V1021" s="10">
        <v>169.38071092000001</v>
      </c>
      <c r="W1021" s="10"/>
      <c r="X1021" s="10"/>
      <c r="Y1021" s="10"/>
      <c r="Z1021" s="10"/>
      <c r="AA1021" s="10"/>
      <c r="AB1021" s="10"/>
      <c r="AC1021" s="10" t="b">
        <v>0</v>
      </c>
      <c r="AD1021" s="10" t="b">
        <v>0</v>
      </c>
      <c r="AE1021" s="10"/>
      <c r="AF1021" s="10"/>
      <c r="AG1021" s="10" t="b">
        <v>0</v>
      </c>
      <c r="AH1021" s="10"/>
      <c r="AI1021" s="11">
        <v>42111</v>
      </c>
      <c r="AJ1021" s="11">
        <v>42088</v>
      </c>
      <c r="AK1021" s="11">
        <v>42153</v>
      </c>
      <c r="AL1021" s="11">
        <v>42143</v>
      </c>
      <c r="AM1021" s="11">
        <v>42179</v>
      </c>
      <c r="AN1021" s="11">
        <v>42174</v>
      </c>
      <c r="AO1021" s="10">
        <v>1</v>
      </c>
      <c r="AP1021" s="10"/>
      <c r="AQ1021" s="11">
        <v>42174</v>
      </c>
      <c r="AR1021" s="11">
        <v>42307</v>
      </c>
      <c r="AS1021" s="10"/>
      <c r="AT1021" s="11">
        <v>42335</v>
      </c>
      <c r="AU1021" s="10"/>
      <c r="AV1021" s="10"/>
      <c r="AW1021" s="11">
        <v>42338</v>
      </c>
      <c r="AX1021" s="10"/>
      <c r="AY1021" s="10" t="s">
        <v>172</v>
      </c>
      <c r="AZ1021" s="11">
        <v>42307</v>
      </c>
      <c r="BA1021" s="10"/>
      <c r="BB1021" s="11">
        <v>42335</v>
      </c>
      <c r="BC1021" s="10"/>
      <c r="BD1021" s="10"/>
      <c r="BE1021" s="11">
        <v>42338</v>
      </c>
      <c r="BF1021" s="10"/>
      <c r="BG1021" s="11">
        <v>42304</v>
      </c>
      <c r="BH1021" s="10"/>
      <c r="BI1021" s="11">
        <v>42335</v>
      </c>
      <c r="BJ1021" s="10"/>
      <c r="BK1021" s="10"/>
      <c r="BL1021" s="10"/>
      <c r="BM1021" s="10"/>
      <c r="BN1021" s="10"/>
      <c r="BO1021" s="10"/>
      <c r="BP1021" s="10"/>
      <c r="BQ1021" s="10"/>
      <c r="BR1021" s="10"/>
      <c r="BS1021" s="10"/>
      <c r="BT1021" s="11">
        <v>42380</v>
      </c>
      <c r="BU1021" s="10"/>
      <c r="BV1021" s="11">
        <v>42405</v>
      </c>
      <c r="BW1021" s="10"/>
      <c r="BX1021" s="10"/>
      <c r="BY1021" s="11">
        <v>42412</v>
      </c>
      <c r="BZ1021" s="10"/>
      <c r="CA1021" s="11">
        <v>42391</v>
      </c>
      <c r="CB1021" s="10"/>
      <c r="CC1021" s="10"/>
      <c r="CD1021" s="10"/>
      <c r="CE1021" s="10"/>
      <c r="CF1021" s="10"/>
      <c r="CG1021" s="10"/>
      <c r="CH1021" s="10"/>
      <c r="CI1021" s="10"/>
      <c r="CJ1021" s="11">
        <v>42437</v>
      </c>
      <c r="CK1021" s="10"/>
      <c r="CL1021" s="10"/>
      <c r="CM1021" s="10"/>
      <c r="CN1021" s="10"/>
      <c r="CO1021" s="10"/>
      <c r="CP1021" s="10" t="s">
        <v>3672</v>
      </c>
      <c r="CQ1021" s="10"/>
      <c r="CR1021" s="11">
        <v>42371</v>
      </c>
      <c r="CS1021" s="10"/>
      <c r="CT1021" s="10"/>
      <c r="CU1021" s="10"/>
      <c r="CV1021" s="10"/>
      <c r="CW1021" s="10"/>
      <c r="CX1021" s="10"/>
      <c r="CY1021" s="10"/>
      <c r="CZ1021" s="10"/>
      <c r="DA1021" s="11">
        <v>42429</v>
      </c>
      <c r="DB1021" s="10"/>
      <c r="DC1021" s="10"/>
      <c r="DD1021" s="10"/>
      <c r="DE1021" s="10"/>
      <c r="DF1021" s="10"/>
      <c r="DG1021" s="10"/>
      <c r="DH1021" s="10" t="s">
        <v>1521</v>
      </c>
      <c r="DI1021" s="10"/>
      <c r="DJ1021" s="10" t="b">
        <v>0</v>
      </c>
      <c r="DK1021" s="10"/>
      <c r="DL1021" s="10">
        <v>2223560</v>
      </c>
      <c r="DM1021" s="10">
        <v>5598016</v>
      </c>
      <c r="DN1021" s="10" t="s">
        <v>3673</v>
      </c>
      <c r="DO1021" s="10"/>
      <c r="DP1021" s="10" t="s">
        <v>3674</v>
      </c>
      <c r="DQ1021" s="10" t="s">
        <v>148</v>
      </c>
      <c r="DR1021" s="10" t="s">
        <v>255</v>
      </c>
      <c r="DS1021" s="10"/>
      <c r="DT1021" s="10"/>
      <c r="DU1021" s="10" t="s">
        <v>178</v>
      </c>
      <c r="DV1021" s="10"/>
      <c r="DW1021" s="10"/>
      <c r="DX1021" s="10"/>
      <c r="DY1021" s="11">
        <v>42335</v>
      </c>
      <c r="DZ1021" s="10"/>
      <c r="EA1021" s="10"/>
      <c r="EB1021" s="10"/>
      <c r="EC1021" s="10"/>
      <c r="ED1021" s="10"/>
      <c r="EE1021" s="11">
        <v>42356</v>
      </c>
      <c r="EF1021" s="10"/>
      <c r="EG1021" s="11">
        <v>42377</v>
      </c>
      <c r="EH1021" s="10"/>
      <c r="EI1021" s="11">
        <v>42143</v>
      </c>
    </row>
    <row r="1022" spans="1:139" s="7" customFormat="1" x14ac:dyDescent="0.2">
      <c r="A1022" s="7" t="str">
        <f>VLOOKUP(B1022,Sheet1!$A$1:$B$18,2,FALSE)</f>
        <v>South Island</v>
      </c>
      <c r="B1022" s="7" t="str">
        <f>LEFT(D1022,3)</f>
        <v>OTG</v>
      </c>
      <c r="C1022" s="8">
        <v>1272</v>
      </c>
      <c r="D1022" s="9" t="str">
        <f>HYPERLINK("https://sitebase.nzcomms.co.nz/spm/spmnominalview/OTG-072-002/","OTG-072-002")</f>
        <v>OTG-072-002</v>
      </c>
      <c r="E1022" s="10" t="s">
        <v>3866</v>
      </c>
      <c r="F1022" s="9" t="str">
        <f>HYPERLINK("https://sitebase.nzcomms.co.nz/spm/spmcandidateview/OTG-072-002-G/","OTG-072-002-G")</f>
        <v>OTG-072-002-G</v>
      </c>
      <c r="G1022" s="10" t="s">
        <v>3867</v>
      </c>
      <c r="H1022" s="10" t="s">
        <v>3865</v>
      </c>
      <c r="I1022" s="10">
        <v>21</v>
      </c>
      <c r="J1022" s="10" t="s">
        <v>165</v>
      </c>
      <c r="K1022" s="10" t="s">
        <v>141</v>
      </c>
      <c r="L1022" s="10" t="s">
        <v>142</v>
      </c>
      <c r="M1022" s="10" t="s">
        <v>166</v>
      </c>
      <c r="N1022" s="10"/>
      <c r="O1022" s="10"/>
      <c r="P1022" s="10"/>
      <c r="Q1022" s="10" t="s">
        <v>142</v>
      </c>
      <c r="R1022" s="10"/>
      <c r="S1022" s="10">
        <v>30</v>
      </c>
      <c r="T1022" s="10"/>
      <c r="U1022" s="10">
        <v>-46.238921179999998</v>
      </c>
      <c r="V1022" s="10">
        <v>169.73922777999999</v>
      </c>
      <c r="W1022" s="10"/>
      <c r="X1022" s="10"/>
      <c r="Y1022" s="10"/>
      <c r="Z1022" s="10"/>
      <c r="AA1022" s="10"/>
      <c r="AB1022" s="10"/>
      <c r="AC1022" s="10" t="b">
        <v>0</v>
      </c>
      <c r="AD1022" s="10" t="b">
        <v>0</v>
      </c>
      <c r="AE1022" s="10"/>
      <c r="AF1022" s="10"/>
      <c r="AG1022" s="10" t="b">
        <v>0</v>
      </c>
      <c r="AH1022" s="10"/>
      <c r="AI1022" s="11">
        <v>42097</v>
      </c>
      <c r="AJ1022" s="11">
        <v>42103</v>
      </c>
      <c r="AK1022" s="11">
        <v>42209</v>
      </c>
      <c r="AL1022" s="11">
        <v>42208</v>
      </c>
      <c r="AM1022" s="11">
        <v>42237</v>
      </c>
      <c r="AN1022" s="11">
        <v>42234</v>
      </c>
      <c r="AO1022" s="10">
        <v>1</v>
      </c>
      <c r="AP1022" s="10"/>
      <c r="AQ1022" s="11">
        <v>42234</v>
      </c>
      <c r="AR1022" s="11">
        <v>42235</v>
      </c>
      <c r="AS1022" s="11">
        <v>42254</v>
      </c>
      <c r="AT1022" s="11">
        <v>42258</v>
      </c>
      <c r="AU1022" s="10"/>
      <c r="AV1022" s="10"/>
      <c r="AW1022" s="11">
        <v>42265</v>
      </c>
      <c r="AX1022" s="10"/>
      <c r="AY1022" s="10" t="s">
        <v>172</v>
      </c>
      <c r="AZ1022" s="11">
        <v>42241</v>
      </c>
      <c r="BA1022" s="11">
        <v>42235</v>
      </c>
      <c r="BB1022" s="11">
        <v>42269</v>
      </c>
      <c r="BC1022" s="11">
        <v>42244</v>
      </c>
      <c r="BD1022" s="10">
        <v>1</v>
      </c>
      <c r="BE1022" s="11">
        <v>42272</v>
      </c>
      <c r="BF1022" s="11">
        <v>42244</v>
      </c>
      <c r="BG1022" s="11">
        <v>42251</v>
      </c>
      <c r="BH1022" s="11">
        <v>42248</v>
      </c>
      <c r="BI1022" s="11">
        <v>42328</v>
      </c>
      <c r="BJ1022" s="10"/>
      <c r="BK1022" s="10">
        <v>1</v>
      </c>
      <c r="BL1022" s="10"/>
      <c r="BM1022" s="10"/>
      <c r="BN1022" s="10"/>
      <c r="BO1022" s="10"/>
      <c r="BP1022" s="10"/>
      <c r="BQ1022" s="10"/>
      <c r="BR1022" s="10"/>
      <c r="BS1022" s="10"/>
      <c r="BT1022" s="11">
        <v>42387</v>
      </c>
      <c r="BU1022" s="10"/>
      <c r="BV1022" s="11">
        <v>42412</v>
      </c>
      <c r="BW1022" s="10"/>
      <c r="BX1022" s="10"/>
      <c r="BY1022" s="11">
        <v>42426</v>
      </c>
      <c r="BZ1022" s="10"/>
      <c r="CA1022" s="11">
        <v>42335</v>
      </c>
      <c r="CB1022" s="10"/>
      <c r="CC1022" s="10"/>
      <c r="CD1022" s="10"/>
      <c r="CE1022" s="10"/>
      <c r="CF1022" s="10"/>
      <c r="CG1022" s="10"/>
      <c r="CH1022" s="10"/>
      <c r="CI1022" s="10"/>
      <c r="CJ1022" s="11">
        <v>42439</v>
      </c>
      <c r="CK1022" s="10"/>
      <c r="CL1022" s="10"/>
      <c r="CM1022" s="10"/>
      <c r="CN1022" s="10"/>
      <c r="CO1022" s="10"/>
      <c r="CP1022" s="10" t="s">
        <v>3868</v>
      </c>
      <c r="CQ1022" s="10"/>
      <c r="CR1022" s="11">
        <v>42350</v>
      </c>
      <c r="CS1022" s="10"/>
      <c r="CT1022" s="10"/>
      <c r="CU1022" s="10"/>
      <c r="CV1022" s="10"/>
      <c r="CW1022" s="10"/>
      <c r="CX1022" s="10"/>
      <c r="CY1022" s="10"/>
      <c r="CZ1022" s="10"/>
      <c r="DA1022" s="11">
        <v>42432</v>
      </c>
      <c r="DB1022" s="10"/>
      <c r="DC1022" s="11">
        <v>42226</v>
      </c>
      <c r="DD1022" s="10" t="s">
        <v>586</v>
      </c>
      <c r="DE1022" s="10" t="s">
        <v>3657</v>
      </c>
      <c r="DF1022" s="10"/>
      <c r="DG1022" s="10"/>
      <c r="DH1022" s="10" t="s">
        <v>1521</v>
      </c>
      <c r="DI1022" s="10"/>
      <c r="DJ1022" s="10" t="b">
        <v>1</v>
      </c>
      <c r="DK1022" s="11">
        <v>42349</v>
      </c>
      <c r="DL1022" s="10">
        <v>2258332</v>
      </c>
      <c r="DM1022" s="10">
        <v>5435991</v>
      </c>
      <c r="DN1022" s="10" t="s">
        <v>3869</v>
      </c>
      <c r="DO1022" s="10"/>
      <c r="DP1022" s="10"/>
      <c r="DQ1022" s="10" t="s">
        <v>148</v>
      </c>
      <c r="DR1022" s="10" t="s">
        <v>255</v>
      </c>
      <c r="DS1022" s="10"/>
      <c r="DT1022" s="10"/>
      <c r="DU1022" s="10" t="s">
        <v>178</v>
      </c>
      <c r="DV1022" s="10"/>
      <c r="DW1022" s="10"/>
      <c r="DX1022" s="10"/>
      <c r="DY1022" s="11">
        <v>42328</v>
      </c>
      <c r="DZ1022" s="10"/>
      <c r="EA1022" s="10"/>
      <c r="EB1022" s="10"/>
      <c r="EC1022" s="10"/>
      <c r="ED1022" s="10"/>
      <c r="EE1022" s="11">
        <v>42356</v>
      </c>
      <c r="EF1022" s="10"/>
      <c r="EG1022" s="11">
        <v>42358</v>
      </c>
      <c r="EH1022" s="10"/>
      <c r="EI1022" s="11">
        <v>42208</v>
      </c>
    </row>
    <row r="1023" spans="1:139" s="7" customFormat="1" x14ac:dyDescent="0.2">
      <c r="A1023" s="7" t="str">
        <f>VLOOKUP(B1023,Sheet1!$A$1:$B$18,2,FALSE)</f>
        <v>South Island</v>
      </c>
      <c r="B1023" s="7" t="str">
        <f>LEFT(D1023,3)</f>
        <v>STH</v>
      </c>
      <c r="C1023" s="8">
        <v>1320</v>
      </c>
      <c r="D1023" s="9" t="str">
        <f>HYPERLINK("https://sitebase.nzcomms.co.nz/spm/spmnominalview/STH-075-016/","STH-075-016")</f>
        <v>STH-075-016</v>
      </c>
      <c r="E1023" s="10" t="s">
        <v>3970</v>
      </c>
      <c r="F1023" s="9" t="str">
        <f>HYPERLINK("https://sitebase.nzcomms.co.nz/spm/spmcandidateview/STH-075-016-A/","STH-075-016-A")</f>
        <v>STH-075-016-A</v>
      </c>
      <c r="G1023" s="10" t="s">
        <v>3971</v>
      </c>
      <c r="H1023" s="10" t="s">
        <v>3921</v>
      </c>
      <c r="I1023" s="10">
        <v>25</v>
      </c>
      <c r="J1023" s="10" t="s">
        <v>331</v>
      </c>
      <c r="K1023" s="10" t="s">
        <v>141</v>
      </c>
      <c r="L1023" s="10" t="s">
        <v>722</v>
      </c>
      <c r="M1023" s="10" t="s">
        <v>166</v>
      </c>
      <c r="N1023" s="10" t="s">
        <v>142</v>
      </c>
      <c r="O1023" s="10"/>
      <c r="P1023" s="10" t="s">
        <v>169</v>
      </c>
      <c r="Q1023" s="10" t="s">
        <v>142</v>
      </c>
      <c r="R1023" s="10">
        <v>28</v>
      </c>
      <c r="S1023" s="10">
        <v>30</v>
      </c>
      <c r="T1023" s="10"/>
      <c r="U1023" s="10">
        <v>-46.34638752</v>
      </c>
      <c r="V1023" s="10">
        <v>168.34253475</v>
      </c>
      <c r="W1023" s="10"/>
      <c r="X1023" s="10"/>
      <c r="Y1023" s="10"/>
      <c r="Z1023" s="10"/>
      <c r="AA1023" s="10" t="s">
        <v>145</v>
      </c>
      <c r="AB1023" s="9" t="str">
        <f>HYPERLINK("https://sitebase.nzcomms.co.nz/spm/spmcandidateview/OTG-070-015-A/","OTG-070-015-A")</f>
        <v>OTG-070-015-A</v>
      </c>
      <c r="AC1023" s="10" t="b">
        <v>0</v>
      </c>
      <c r="AD1023" s="10" t="b">
        <v>0</v>
      </c>
      <c r="AE1023" s="10"/>
      <c r="AF1023" s="10"/>
      <c r="AG1023" s="10" t="b">
        <v>0</v>
      </c>
      <c r="AH1023" s="10"/>
      <c r="AI1023" s="11">
        <v>42292</v>
      </c>
      <c r="AJ1023" s="11">
        <v>42292</v>
      </c>
      <c r="AK1023" s="11">
        <v>42293</v>
      </c>
      <c r="AL1023" s="11">
        <v>42293</v>
      </c>
      <c r="AM1023" s="11">
        <v>42296</v>
      </c>
      <c r="AN1023" s="11">
        <v>42310</v>
      </c>
      <c r="AO1023" s="10">
        <v>1</v>
      </c>
      <c r="AP1023" s="11">
        <v>42297</v>
      </c>
      <c r="AQ1023" s="11">
        <v>42310</v>
      </c>
      <c r="AR1023" s="11">
        <v>42387</v>
      </c>
      <c r="AS1023" s="11">
        <v>42332</v>
      </c>
      <c r="AT1023" s="11">
        <v>42389</v>
      </c>
      <c r="AU1023" s="11">
        <v>42334</v>
      </c>
      <c r="AV1023" s="10"/>
      <c r="AW1023" s="11">
        <v>42405</v>
      </c>
      <c r="AX1023" s="11">
        <v>42404</v>
      </c>
      <c r="AY1023" s="10" t="s">
        <v>172</v>
      </c>
      <c r="AZ1023" s="11">
        <v>42342</v>
      </c>
      <c r="BA1023" s="11">
        <v>42342</v>
      </c>
      <c r="BB1023" s="11">
        <v>42349</v>
      </c>
      <c r="BC1023" s="11">
        <v>42347</v>
      </c>
      <c r="BD1023" s="10">
        <v>1</v>
      </c>
      <c r="BE1023" s="11">
        <v>42353</v>
      </c>
      <c r="BF1023" s="11">
        <v>42347</v>
      </c>
      <c r="BG1023" s="11">
        <v>42327</v>
      </c>
      <c r="BH1023" s="11">
        <v>42327</v>
      </c>
      <c r="BI1023" s="11">
        <v>42328</v>
      </c>
      <c r="BJ1023" s="11">
        <v>42346</v>
      </c>
      <c r="BK1023" s="10">
        <v>1</v>
      </c>
      <c r="BL1023" s="10"/>
      <c r="BM1023" s="11">
        <v>42328</v>
      </c>
      <c r="BN1023" s="11">
        <v>42346</v>
      </c>
      <c r="BO1023" s="10"/>
      <c r="BP1023" s="10"/>
      <c r="BQ1023" s="10"/>
      <c r="BR1023" s="10"/>
      <c r="BS1023" s="10"/>
      <c r="BT1023" s="11">
        <v>42422</v>
      </c>
      <c r="BU1023" s="10"/>
      <c r="BV1023" s="11">
        <v>42426</v>
      </c>
      <c r="BW1023" s="10"/>
      <c r="BX1023" s="10"/>
      <c r="BY1023" s="11">
        <v>42426</v>
      </c>
      <c r="BZ1023" s="10"/>
      <c r="CA1023" s="11">
        <v>42426</v>
      </c>
      <c r="CB1023" s="10"/>
      <c r="CC1023" s="11">
        <v>42417</v>
      </c>
      <c r="CD1023" s="10"/>
      <c r="CE1023" s="11">
        <v>42410</v>
      </c>
      <c r="CF1023" s="10"/>
      <c r="CG1023" s="11">
        <v>42390</v>
      </c>
      <c r="CH1023" s="11">
        <v>42394</v>
      </c>
      <c r="CI1023" s="10"/>
      <c r="CJ1023" s="11">
        <v>42440</v>
      </c>
      <c r="CK1023" s="10"/>
      <c r="CL1023" s="10"/>
      <c r="CM1023" s="10"/>
      <c r="CN1023" s="10"/>
      <c r="CO1023" s="10"/>
      <c r="CP1023" s="10" t="s">
        <v>3972</v>
      </c>
      <c r="CQ1023" s="10" t="s">
        <v>230</v>
      </c>
      <c r="CR1023" s="10"/>
      <c r="CS1023" s="10"/>
      <c r="CT1023" s="10"/>
      <c r="CU1023" s="10"/>
      <c r="CV1023" s="10"/>
      <c r="CW1023" s="10"/>
      <c r="CX1023" s="10"/>
      <c r="CY1023" s="10"/>
      <c r="CZ1023" s="10"/>
      <c r="DA1023" s="11">
        <v>42433</v>
      </c>
      <c r="DB1023" s="10"/>
      <c r="DC1023" s="10"/>
      <c r="DD1023" s="10"/>
      <c r="DE1023" s="10"/>
      <c r="DF1023" s="11">
        <v>42423</v>
      </c>
      <c r="DG1023" s="10"/>
      <c r="DH1023" s="10" t="s">
        <v>174</v>
      </c>
      <c r="DI1023" s="11">
        <v>42419</v>
      </c>
      <c r="DJ1023" s="10" t="b">
        <v>0</v>
      </c>
      <c r="DK1023" s="10"/>
      <c r="DL1023" s="10">
        <v>2151413</v>
      </c>
      <c r="DM1023" s="10">
        <v>5418905</v>
      </c>
      <c r="DN1023" s="10" t="s">
        <v>3973</v>
      </c>
      <c r="DO1023" s="10"/>
      <c r="DP1023" s="10" t="s">
        <v>1686</v>
      </c>
      <c r="DQ1023" s="10" t="s">
        <v>148</v>
      </c>
      <c r="DR1023" s="10"/>
      <c r="DS1023" s="10"/>
      <c r="DT1023" s="10"/>
      <c r="DU1023" s="10" t="s">
        <v>178</v>
      </c>
      <c r="DV1023" s="10"/>
      <c r="DW1023" s="10"/>
      <c r="DX1023" s="11">
        <v>42410</v>
      </c>
      <c r="DY1023" s="11">
        <v>42318</v>
      </c>
      <c r="DZ1023" s="11">
        <v>42321</v>
      </c>
      <c r="EA1023" s="11">
        <v>42296</v>
      </c>
      <c r="EB1023" s="11">
        <v>42296</v>
      </c>
      <c r="EC1023" s="11">
        <v>42307</v>
      </c>
      <c r="ED1023" s="11">
        <v>42297</v>
      </c>
      <c r="EE1023" s="11">
        <v>42398</v>
      </c>
      <c r="EF1023" s="11">
        <v>42402</v>
      </c>
      <c r="EG1023" s="10"/>
      <c r="EH1023" s="10"/>
      <c r="EI1023" s="11">
        <v>42292</v>
      </c>
    </row>
    <row r="1024" spans="1:139" s="7" customFormat="1" x14ac:dyDescent="0.2">
      <c r="A1024" s="7" t="str">
        <f>VLOOKUP(B1024,Sheet1!$A$1:$B$18,2,FALSE)</f>
        <v>South Island</v>
      </c>
      <c r="B1024" s="7" t="str">
        <f>LEFT(D1024,3)</f>
        <v>CAN</v>
      </c>
      <c r="C1024" s="8">
        <v>637</v>
      </c>
      <c r="D1024" s="9" t="str">
        <f>HYPERLINK("https://sitebase.nzcomms.co.nz/spm/spmnominalview/CAN-058-015/","CAN-058-015")</f>
        <v>CAN-058-015</v>
      </c>
      <c r="E1024" s="10" t="s">
        <v>2046</v>
      </c>
      <c r="F1024" s="9" t="str">
        <f>HYPERLINK("https://sitebase.nzcomms.co.nz/spm/spmcandidateview/CAN-058-015-A/","CAN-058-015-A")</f>
        <v>CAN-058-015-A</v>
      </c>
      <c r="G1024" s="10" t="s">
        <v>2047</v>
      </c>
      <c r="H1024" s="10" t="s">
        <v>2024</v>
      </c>
      <c r="I1024" s="10">
        <v>25</v>
      </c>
      <c r="J1024" s="10" t="s">
        <v>331</v>
      </c>
      <c r="K1024" s="10" t="s">
        <v>141</v>
      </c>
      <c r="L1024" s="10" t="s">
        <v>722</v>
      </c>
      <c r="M1024" s="10" t="s">
        <v>166</v>
      </c>
      <c r="N1024" s="10" t="s">
        <v>1689</v>
      </c>
      <c r="O1024" s="10"/>
      <c r="P1024" s="10" t="s">
        <v>169</v>
      </c>
      <c r="Q1024" s="10" t="s">
        <v>142</v>
      </c>
      <c r="R1024" s="10">
        <v>28</v>
      </c>
      <c r="S1024" s="10">
        <v>30</v>
      </c>
      <c r="T1024" s="10"/>
      <c r="U1024" s="10">
        <v>-43.197117550000002</v>
      </c>
      <c r="V1024" s="10">
        <v>172.73495750000001</v>
      </c>
      <c r="W1024" s="10"/>
      <c r="X1024" s="10"/>
      <c r="Y1024" s="10"/>
      <c r="Z1024" s="10"/>
      <c r="AA1024" s="10" t="s">
        <v>145</v>
      </c>
      <c r="AB1024" s="9" t="str">
        <f>HYPERLINK("https://sitebase.nzcomms.co.nz/spm/spmcandidateview/CHC-060-131-A/","CHC-060-131-A")</f>
        <v>CHC-060-131-A</v>
      </c>
      <c r="AC1024" s="10" t="b">
        <v>0</v>
      </c>
      <c r="AD1024" s="10" t="b">
        <v>0</v>
      </c>
      <c r="AE1024" s="10"/>
      <c r="AF1024" s="10"/>
      <c r="AG1024" s="10" t="b">
        <v>0</v>
      </c>
      <c r="AH1024" s="10"/>
      <c r="AI1024" s="11">
        <v>42277</v>
      </c>
      <c r="AJ1024" s="11">
        <v>42277</v>
      </c>
      <c r="AK1024" s="11">
        <v>42300</v>
      </c>
      <c r="AL1024" s="11">
        <v>42300</v>
      </c>
      <c r="AM1024" s="11">
        <v>42300</v>
      </c>
      <c r="AN1024" s="11">
        <v>42310</v>
      </c>
      <c r="AO1024" s="10">
        <v>1</v>
      </c>
      <c r="AP1024" s="11">
        <v>42310</v>
      </c>
      <c r="AQ1024" s="11">
        <v>42310</v>
      </c>
      <c r="AR1024" s="11">
        <v>42338</v>
      </c>
      <c r="AS1024" s="11">
        <v>42332</v>
      </c>
      <c r="AT1024" s="11">
        <v>42341</v>
      </c>
      <c r="AU1024" s="11">
        <v>42334</v>
      </c>
      <c r="AV1024" s="10"/>
      <c r="AW1024" s="11">
        <v>42412</v>
      </c>
      <c r="AX1024" s="10"/>
      <c r="AY1024" s="10" t="s">
        <v>172</v>
      </c>
      <c r="AZ1024" s="11">
        <v>42338</v>
      </c>
      <c r="BA1024" s="11">
        <v>42335</v>
      </c>
      <c r="BB1024" s="11">
        <v>42340</v>
      </c>
      <c r="BC1024" s="11">
        <v>42338</v>
      </c>
      <c r="BD1024" s="10">
        <v>1</v>
      </c>
      <c r="BE1024" s="11">
        <v>42342</v>
      </c>
      <c r="BF1024" s="11">
        <v>42338</v>
      </c>
      <c r="BG1024" s="11">
        <v>42324</v>
      </c>
      <c r="BH1024" s="11">
        <v>42324</v>
      </c>
      <c r="BI1024" s="11">
        <v>42342</v>
      </c>
      <c r="BJ1024" s="11">
        <v>42345</v>
      </c>
      <c r="BK1024" s="10">
        <v>1</v>
      </c>
      <c r="BL1024" s="10"/>
      <c r="BM1024" s="11">
        <v>42342</v>
      </c>
      <c r="BN1024" s="11">
        <v>42345</v>
      </c>
      <c r="BO1024" s="10"/>
      <c r="BP1024" s="10"/>
      <c r="BQ1024" s="10"/>
      <c r="BR1024" s="10"/>
      <c r="BS1024" s="10"/>
      <c r="BT1024" s="11">
        <v>42422</v>
      </c>
      <c r="BU1024" s="10"/>
      <c r="BV1024" s="11">
        <v>42426</v>
      </c>
      <c r="BW1024" s="10"/>
      <c r="BX1024" s="10"/>
      <c r="BY1024" s="11">
        <v>42426</v>
      </c>
      <c r="BZ1024" s="10"/>
      <c r="CA1024" s="11">
        <v>42433</v>
      </c>
      <c r="CB1024" s="10"/>
      <c r="CC1024" s="11">
        <v>42410</v>
      </c>
      <c r="CD1024" s="10"/>
      <c r="CE1024" s="11">
        <v>42410</v>
      </c>
      <c r="CF1024" s="10"/>
      <c r="CG1024" s="11">
        <v>42403</v>
      </c>
      <c r="CH1024" s="11">
        <v>42395</v>
      </c>
      <c r="CI1024" s="10"/>
      <c r="CJ1024" s="11">
        <v>42444</v>
      </c>
      <c r="CK1024" s="10"/>
      <c r="CL1024" s="10"/>
      <c r="CM1024" s="10"/>
      <c r="CN1024" s="10"/>
      <c r="CO1024" s="10"/>
      <c r="CP1024" s="10" t="s">
        <v>2048</v>
      </c>
      <c r="CQ1024" s="10" t="s">
        <v>230</v>
      </c>
      <c r="CR1024" s="10"/>
      <c r="CS1024" s="10"/>
      <c r="CT1024" s="10"/>
      <c r="CU1024" s="10"/>
      <c r="CV1024" s="10"/>
      <c r="CW1024" s="10"/>
      <c r="CX1024" s="10"/>
      <c r="CY1024" s="10"/>
      <c r="CZ1024" s="10"/>
      <c r="DA1024" s="11">
        <v>42433</v>
      </c>
      <c r="DB1024" s="10"/>
      <c r="DC1024" s="10"/>
      <c r="DD1024" s="10"/>
      <c r="DE1024" s="10"/>
      <c r="DF1024" s="11">
        <v>42423</v>
      </c>
      <c r="DG1024" s="10"/>
      <c r="DH1024" s="10" t="s">
        <v>174</v>
      </c>
      <c r="DI1024" s="11">
        <v>42419</v>
      </c>
      <c r="DJ1024" s="10" t="b">
        <v>0</v>
      </c>
      <c r="DK1024" s="10"/>
      <c r="DL1024" s="10">
        <v>2488469</v>
      </c>
      <c r="DM1024" s="10">
        <v>5778887</v>
      </c>
      <c r="DN1024" s="10" t="s">
        <v>2049</v>
      </c>
      <c r="DO1024" s="10"/>
      <c r="DP1024" s="10" t="s">
        <v>2050</v>
      </c>
      <c r="DQ1024" s="10" t="s">
        <v>148</v>
      </c>
      <c r="DR1024" s="10"/>
      <c r="DS1024" s="10"/>
      <c r="DT1024" s="10"/>
      <c r="DU1024" s="10" t="s">
        <v>178</v>
      </c>
      <c r="DV1024" s="10"/>
      <c r="DW1024" s="10"/>
      <c r="DX1024" s="11">
        <v>42410</v>
      </c>
      <c r="DY1024" s="11">
        <v>42328</v>
      </c>
      <c r="DZ1024" s="11">
        <v>42327</v>
      </c>
      <c r="EA1024" s="11">
        <v>42286</v>
      </c>
      <c r="EB1024" s="11">
        <v>42286</v>
      </c>
      <c r="EC1024" s="11">
        <v>42296</v>
      </c>
      <c r="ED1024" s="11">
        <v>42296</v>
      </c>
      <c r="EE1024" s="11">
        <v>42360</v>
      </c>
      <c r="EF1024" s="11">
        <v>42360</v>
      </c>
      <c r="EG1024" s="10"/>
      <c r="EH1024" s="10"/>
      <c r="EI1024" s="11">
        <v>42293</v>
      </c>
    </row>
    <row r="1025" spans="1:139" s="7" customFormat="1" x14ac:dyDescent="0.2">
      <c r="A1025" s="7" t="str">
        <f>VLOOKUP(B1025,Sheet1!$A$1:$B$18,2,FALSE)</f>
        <v>South Island</v>
      </c>
      <c r="B1025" s="7" t="str">
        <f>LEFT(D1025,3)</f>
        <v>CAN</v>
      </c>
      <c r="C1025" s="8">
        <v>652</v>
      </c>
      <c r="D1025" s="9" t="str">
        <f>HYPERLINK("https://sitebase.nzcomms.co.nz/spm/spmnominalview/CAN-059-015/","CAN-059-015")</f>
        <v>CAN-059-015</v>
      </c>
      <c r="E1025" s="10" t="s">
        <v>2091</v>
      </c>
      <c r="F1025" s="9" t="str">
        <f>HYPERLINK("https://sitebase.nzcomms.co.nz/spm/spmcandidateview/CAN-059-015-A/","CAN-059-015-A")</f>
        <v>CAN-059-015-A</v>
      </c>
      <c r="G1025" s="10" t="s">
        <v>2100</v>
      </c>
      <c r="H1025" s="10" t="s">
        <v>2053</v>
      </c>
      <c r="I1025" s="10">
        <v>25</v>
      </c>
      <c r="J1025" s="10" t="s">
        <v>331</v>
      </c>
      <c r="K1025" s="10" t="s">
        <v>141</v>
      </c>
      <c r="L1025" s="10" t="s">
        <v>722</v>
      </c>
      <c r="M1025" s="10" t="s">
        <v>166</v>
      </c>
      <c r="N1025" s="10" t="s">
        <v>1689</v>
      </c>
      <c r="O1025" s="10"/>
      <c r="P1025" s="10" t="s">
        <v>169</v>
      </c>
      <c r="Q1025" s="10" t="s">
        <v>142</v>
      </c>
      <c r="R1025" s="10">
        <v>28</v>
      </c>
      <c r="S1025" s="10">
        <v>30</v>
      </c>
      <c r="T1025" s="10"/>
      <c r="U1025" s="10">
        <v>-43.371138719999998</v>
      </c>
      <c r="V1025" s="10">
        <v>172.44609672000001</v>
      </c>
      <c r="W1025" s="10"/>
      <c r="X1025" s="10"/>
      <c r="Y1025" s="10"/>
      <c r="Z1025" s="10"/>
      <c r="AA1025" s="10" t="s">
        <v>145</v>
      </c>
      <c r="AB1025" s="9" t="str">
        <f>HYPERLINK("https://sitebase.nzcomms.co.nz/spm/spmcandidateview/CHC-060-131-A/","CHC-060-131-A")</f>
        <v>CHC-060-131-A</v>
      </c>
      <c r="AC1025" s="10" t="b">
        <v>0</v>
      </c>
      <c r="AD1025" s="10" t="b">
        <v>0</v>
      </c>
      <c r="AE1025" s="10"/>
      <c r="AF1025" s="10"/>
      <c r="AG1025" s="10" t="b">
        <v>0</v>
      </c>
      <c r="AH1025" s="10"/>
      <c r="AI1025" s="11">
        <v>42277</v>
      </c>
      <c r="AJ1025" s="11">
        <v>42277</v>
      </c>
      <c r="AK1025" s="11">
        <v>42296</v>
      </c>
      <c r="AL1025" s="11">
        <v>42297</v>
      </c>
      <c r="AM1025" s="11">
        <v>42300</v>
      </c>
      <c r="AN1025" s="11">
        <v>42310</v>
      </c>
      <c r="AO1025" s="10">
        <v>1</v>
      </c>
      <c r="AP1025" s="11">
        <v>42310</v>
      </c>
      <c r="AQ1025" s="11">
        <v>42310</v>
      </c>
      <c r="AR1025" s="11">
        <v>42398</v>
      </c>
      <c r="AS1025" s="10"/>
      <c r="AT1025" s="11">
        <v>42419</v>
      </c>
      <c r="AU1025" s="10"/>
      <c r="AV1025" s="10"/>
      <c r="AW1025" s="11">
        <v>42424</v>
      </c>
      <c r="AX1025" s="10"/>
      <c r="AY1025" s="10" t="s">
        <v>172</v>
      </c>
      <c r="AZ1025" s="11">
        <v>42391</v>
      </c>
      <c r="BA1025" s="11">
        <v>42390</v>
      </c>
      <c r="BB1025" s="11">
        <v>42396</v>
      </c>
      <c r="BC1025" s="11">
        <v>42390</v>
      </c>
      <c r="BD1025" s="10">
        <v>1</v>
      </c>
      <c r="BE1025" s="11">
        <v>42398</v>
      </c>
      <c r="BF1025" s="11">
        <v>42390</v>
      </c>
      <c r="BG1025" s="11">
        <v>42325</v>
      </c>
      <c r="BH1025" s="11">
        <v>42327</v>
      </c>
      <c r="BI1025" s="11">
        <v>42412</v>
      </c>
      <c r="BJ1025" s="10"/>
      <c r="BK1025" s="10"/>
      <c r="BL1025" s="10"/>
      <c r="BM1025" s="11">
        <v>42416</v>
      </c>
      <c r="BN1025" s="10"/>
      <c r="BO1025" s="10"/>
      <c r="BP1025" s="10"/>
      <c r="BQ1025" s="10"/>
      <c r="BR1025" s="10"/>
      <c r="BS1025" s="10"/>
      <c r="BT1025" s="11">
        <v>42436</v>
      </c>
      <c r="BU1025" s="10"/>
      <c r="BV1025" s="11">
        <v>42440</v>
      </c>
      <c r="BW1025" s="10"/>
      <c r="BX1025" s="10"/>
      <c r="BY1025" s="11">
        <v>42440</v>
      </c>
      <c r="BZ1025" s="10"/>
      <c r="CA1025" s="11">
        <v>42440</v>
      </c>
      <c r="CB1025" s="10"/>
      <c r="CC1025" s="11">
        <v>42417</v>
      </c>
      <c r="CD1025" s="10"/>
      <c r="CE1025" s="11">
        <v>42417</v>
      </c>
      <c r="CF1025" s="10"/>
      <c r="CG1025" s="11">
        <v>42423</v>
      </c>
      <c r="CH1025" s="11">
        <v>42394</v>
      </c>
      <c r="CI1025" s="10"/>
      <c r="CJ1025" s="11">
        <v>42454</v>
      </c>
      <c r="CK1025" s="10"/>
      <c r="CL1025" s="10"/>
      <c r="CM1025" s="10"/>
      <c r="CN1025" s="10"/>
      <c r="CO1025" s="10"/>
      <c r="CP1025" s="10" t="s">
        <v>2101</v>
      </c>
      <c r="CQ1025" s="10" t="s">
        <v>230</v>
      </c>
      <c r="CR1025" s="10"/>
      <c r="CS1025" s="10"/>
      <c r="CT1025" s="10"/>
      <c r="CU1025" s="10"/>
      <c r="CV1025" s="10"/>
      <c r="CW1025" s="10"/>
      <c r="CX1025" s="10"/>
      <c r="CY1025" s="10"/>
      <c r="CZ1025" s="10"/>
      <c r="DA1025" s="11">
        <v>42447</v>
      </c>
      <c r="DB1025" s="10"/>
      <c r="DC1025" s="10"/>
      <c r="DD1025" s="10"/>
      <c r="DE1025" s="10"/>
      <c r="DF1025" s="11">
        <v>42437</v>
      </c>
      <c r="DG1025" s="10"/>
      <c r="DH1025" s="10" t="s">
        <v>174</v>
      </c>
      <c r="DI1025" s="11">
        <v>42436</v>
      </c>
      <c r="DJ1025" s="10" t="b">
        <v>0</v>
      </c>
      <c r="DK1025" s="10"/>
      <c r="DL1025" s="10">
        <v>2465120</v>
      </c>
      <c r="DM1025" s="10">
        <v>5759439</v>
      </c>
      <c r="DN1025" s="10" t="s">
        <v>2102</v>
      </c>
      <c r="DO1025" s="10"/>
      <c r="DP1025" s="10" t="s">
        <v>1686</v>
      </c>
      <c r="DQ1025" s="10" t="s">
        <v>148</v>
      </c>
      <c r="DR1025" s="10"/>
      <c r="DS1025" s="10"/>
      <c r="DT1025" s="10"/>
      <c r="DU1025" s="10" t="s">
        <v>178</v>
      </c>
      <c r="DV1025" s="10"/>
      <c r="DW1025" s="10"/>
      <c r="DX1025" s="11">
        <v>42410</v>
      </c>
      <c r="DY1025" s="11">
        <v>42328</v>
      </c>
      <c r="DZ1025" s="11">
        <v>42328</v>
      </c>
      <c r="EA1025" s="11">
        <v>42286</v>
      </c>
      <c r="EB1025" s="11">
        <v>42286</v>
      </c>
      <c r="EC1025" s="11">
        <v>42321</v>
      </c>
      <c r="ED1025" s="11">
        <v>42321</v>
      </c>
      <c r="EE1025" s="11">
        <v>42356</v>
      </c>
      <c r="EF1025" s="11">
        <v>42361</v>
      </c>
      <c r="EG1025" s="10"/>
      <c r="EH1025" s="10"/>
      <c r="EI1025" s="11">
        <v>42293</v>
      </c>
    </row>
    <row r="1026" spans="1:139" s="7" customFormat="1" x14ac:dyDescent="0.2">
      <c r="A1026" s="7" t="str">
        <f>VLOOKUP(B1026,Sheet1!$A$1:$B$18,2,FALSE)</f>
        <v>South Island</v>
      </c>
      <c r="B1026" s="7" t="str">
        <f>LEFT(D1026,3)</f>
        <v>STH</v>
      </c>
      <c r="C1026" s="8">
        <v>1299</v>
      </c>
      <c r="D1026" s="9" t="str">
        <f>HYPERLINK("https://sitebase.nzcomms.co.nz/spm/spmnominalview/STH-073-022/","STH-073-022")</f>
        <v>STH-073-022</v>
      </c>
      <c r="E1026" s="10" t="s">
        <v>3896</v>
      </c>
      <c r="F1026" s="9" t="str">
        <f>HYPERLINK("https://sitebase.nzcomms.co.nz/spm/spmcandidateview/STH-073-022-A/","STH-073-022-A")</f>
        <v>STH-073-022-A</v>
      </c>
      <c r="G1026" s="10" t="s">
        <v>3897</v>
      </c>
      <c r="H1026" s="10" t="s">
        <v>3879</v>
      </c>
      <c r="I1026" s="10">
        <v>21</v>
      </c>
      <c r="J1026" s="10" t="s">
        <v>165</v>
      </c>
      <c r="K1026" s="10" t="s">
        <v>141</v>
      </c>
      <c r="L1026" s="10" t="s">
        <v>142</v>
      </c>
      <c r="M1026" s="10" t="s">
        <v>166</v>
      </c>
      <c r="N1026" s="10" t="s">
        <v>142</v>
      </c>
      <c r="O1026" s="10"/>
      <c r="P1026" s="10" t="s">
        <v>169</v>
      </c>
      <c r="Q1026" s="10" t="s">
        <v>142</v>
      </c>
      <c r="R1026" s="10">
        <v>13.1</v>
      </c>
      <c r="S1026" s="10">
        <v>15</v>
      </c>
      <c r="T1026" s="10"/>
      <c r="U1026" s="10">
        <v>-46.376445930000003</v>
      </c>
      <c r="V1026" s="10">
        <v>168.01817367999999</v>
      </c>
      <c r="W1026" s="10"/>
      <c r="X1026" s="10"/>
      <c r="Y1026" s="10"/>
      <c r="Z1026" s="10"/>
      <c r="AA1026" s="10" t="s">
        <v>145</v>
      </c>
      <c r="AB1026" s="9" t="str">
        <f>HYPERLINK("https://sitebase.nzcomms.co.nz/spm/spmcandidateview/OTG-070-015-A/","OTG-070-015-A")</f>
        <v>OTG-070-015-A</v>
      </c>
      <c r="AC1026" s="10" t="b">
        <v>0</v>
      </c>
      <c r="AD1026" s="10" t="b">
        <v>0</v>
      </c>
      <c r="AE1026" s="10"/>
      <c r="AF1026" s="10"/>
      <c r="AG1026" s="10" t="b">
        <v>0</v>
      </c>
      <c r="AH1026" s="10"/>
      <c r="AI1026" s="11">
        <v>42103</v>
      </c>
      <c r="AJ1026" s="11">
        <v>42103</v>
      </c>
      <c r="AK1026" s="11">
        <v>42146</v>
      </c>
      <c r="AL1026" s="11">
        <v>42143</v>
      </c>
      <c r="AM1026" s="11">
        <v>42195</v>
      </c>
      <c r="AN1026" s="11">
        <v>42177</v>
      </c>
      <c r="AO1026" s="10">
        <v>3</v>
      </c>
      <c r="AP1026" s="10"/>
      <c r="AQ1026" s="11">
        <v>42205</v>
      </c>
      <c r="AR1026" s="11">
        <v>42234</v>
      </c>
      <c r="AS1026" s="11">
        <v>42226</v>
      </c>
      <c r="AT1026" s="11">
        <v>42279</v>
      </c>
      <c r="AU1026" s="11">
        <v>42268</v>
      </c>
      <c r="AV1026" s="10"/>
      <c r="AW1026" s="11">
        <v>42286</v>
      </c>
      <c r="AX1026" s="11">
        <v>42268</v>
      </c>
      <c r="AY1026" s="10" t="s">
        <v>172</v>
      </c>
      <c r="AZ1026" s="11">
        <v>42209</v>
      </c>
      <c r="BA1026" s="11">
        <v>42206</v>
      </c>
      <c r="BB1026" s="11">
        <v>42237</v>
      </c>
      <c r="BC1026" s="11">
        <v>42234</v>
      </c>
      <c r="BD1026" s="10">
        <v>3</v>
      </c>
      <c r="BE1026" s="11">
        <v>42241</v>
      </c>
      <c r="BF1026" s="11">
        <v>42241</v>
      </c>
      <c r="BG1026" s="11">
        <v>42251</v>
      </c>
      <c r="BH1026" s="11">
        <v>42249</v>
      </c>
      <c r="BI1026" s="11">
        <v>42283</v>
      </c>
      <c r="BJ1026" s="11">
        <v>42289</v>
      </c>
      <c r="BK1026" s="10">
        <v>1</v>
      </c>
      <c r="BL1026" s="10"/>
      <c r="BM1026" s="10"/>
      <c r="BN1026" s="11">
        <v>42289</v>
      </c>
      <c r="BO1026" s="10"/>
      <c r="BP1026" s="10"/>
      <c r="BQ1026" s="10"/>
      <c r="BR1026" s="10"/>
      <c r="BS1026" s="10"/>
      <c r="BT1026" s="11">
        <v>42405</v>
      </c>
      <c r="BU1026" s="11">
        <v>42402</v>
      </c>
      <c r="BV1026" s="11">
        <v>42420</v>
      </c>
      <c r="BW1026" s="10"/>
      <c r="BX1026" s="10"/>
      <c r="BY1026" s="11">
        <v>42434</v>
      </c>
      <c r="BZ1026" s="10"/>
      <c r="CA1026" s="11">
        <v>42340</v>
      </c>
      <c r="CB1026" s="10"/>
      <c r="CC1026" s="10"/>
      <c r="CD1026" s="10"/>
      <c r="CE1026" s="10"/>
      <c r="CF1026" s="10"/>
      <c r="CG1026" s="10"/>
      <c r="CH1026" s="10"/>
      <c r="CI1026" s="10"/>
      <c r="CJ1026" s="11">
        <v>42459</v>
      </c>
      <c r="CK1026" s="10"/>
      <c r="CL1026" s="10"/>
      <c r="CM1026" s="10"/>
      <c r="CN1026" s="10"/>
      <c r="CO1026" s="10"/>
      <c r="CP1026" s="10" t="s">
        <v>3898</v>
      </c>
      <c r="CQ1026" s="10" t="s">
        <v>230</v>
      </c>
      <c r="CR1026" s="10"/>
      <c r="CS1026" s="10"/>
      <c r="CT1026" s="10"/>
      <c r="CU1026" s="10"/>
      <c r="CV1026" s="10"/>
      <c r="CW1026" s="10"/>
      <c r="CX1026" s="10"/>
      <c r="CY1026" s="10"/>
      <c r="CZ1026" s="10"/>
      <c r="DA1026" s="11">
        <v>42448</v>
      </c>
      <c r="DB1026" s="10"/>
      <c r="DC1026" s="11">
        <v>42241</v>
      </c>
      <c r="DD1026" s="10" t="s">
        <v>586</v>
      </c>
      <c r="DE1026" s="10"/>
      <c r="DF1026" s="10"/>
      <c r="DG1026" s="10"/>
      <c r="DH1026" s="10" t="s">
        <v>174</v>
      </c>
      <c r="DI1026" s="10"/>
      <c r="DJ1026" s="10" t="b">
        <v>0</v>
      </c>
      <c r="DK1026" s="10"/>
      <c r="DL1026" s="10">
        <v>2126692</v>
      </c>
      <c r="DM1026" s="10">
        <v>5414105</v>
      </c>
      <c r="DN1026" s="10" t="s">
        <v>3899</v>
      </c>
      <c r="DO1026" s="10"/>
      <c r="DP1026" s="10"/>
      <c r="DQ1026" s="10" t="s">
        <v>148</v>
      </c>
      <c r="DR1026" s="10" t="s">
        <v>255</v>
      </c>
      <c r="DS1026" s="10"/>
      <c r="DT1026" s="10"/>
      <c r="DU1026" s="10" t="s">
        <v>178</v>
      </c>
      <c r="DV1026" s="10"/>
      <c r="DW1026" s="10"/>
      <c r="DX1026" s="11">
        <v>42383</v>
      </c>
      <c r="DY1026" s="11">
        <v>42279</v>
      </c>
      <c r="DZ1026" s="11">
        <v>42279</v>
      </c>
      <c r="EA1026" s="10"/>
      <c r="EB1026" s="10"/>
      <c r="EC1026" s="10"/>
      <c r="ED1026" s="10"/>
      <c r="EE1026" s="11">
        <v>42384</v>
      </c>
      <c r="EF1026" s="11">
        <v>42360</v>
      </c>
      <c r="EG1026" s="10"/>
      <c r="EH1026" s="10"/>
      <c r="EI1026" s="11">
        <v>42143</v>
      </c>
    </row>
    <row r="1027" spans="1:139" s="7" customFormat="1" x14ac:dyDescent="0.2">
      <c r="A1027" s="7" t="str">
        <f>VLOOKUP(B1027,Sheet1!$A$1:$B$18,2,FALSE)</f>
        <v>South Island</v>
      </c>
      <c r="B1027" s="7" t="str">
        <f>LEFT(D1027,3)</f>
        <v>CAN</v>
      </c>
      <c r="C1027" s="8">
        <v>651</v>
      </c>
      <c r="D1027" s="9" t="str">
        <f>HYPERLINK("https://sitebase.nzcomms.co.nz/spm/spmnominalview/CAN-059-014/","CAN-059-014")</f>
        <v>CAN-059-014</v>
      </c>
      <c r="E1027" s="10" t="s">
        <v>2096</v>
      </c>
      <c r="F1027" s="9" t="str">
        <f>HYPERLINK("https://sitebase.nzcomms.co.nz/spm/spmcandidateview/CAN-059-014-A/","CAN-059-014-A")</f>
        <v>CAN-059-014-A</v>
      </c>
      <c r="G1027" s="10" t="s">
        <v>2097</v>
      </c>
      <c r="H1027" s="10" t="s">
        <v>2053</v>
      </c>
      <c r="I1027" s="10">
        <v>25</v>
      </c>
      <c r="J1027" s="10" t="s">
        <v>331</v>
      </c>
      <c r="K1027" s="10" t="s">
        <v>141</v>
      </c>
      <c r="L1027" s="10" t="s">
        <v>722</v>
      </c>
      <c r="M1027" s="10" t="s">
        <v>166</v>
      </c>
      <c r="N1027" s="10" t="s">
        <v>1689</v>
      </c>
      <c r="O1027" s="10"/>
      <c r="P1027" s="10" t="s">
        <v>169</v>
      </c>
      <c r="Q1027" s="10" t="s">
        <v>142</v>
      </c>
      <c r="R1027" s="10">
        <v>23</v>
      </c>
      <c r="S1027" s="10">
        <v>25</v>
      </c>
      <c r="T1027" s="10"/>
      <c r="U1027" s="10">
        <v>-43.274920989999998</v>
      </c>
      <c r="V1027" s="10">
        <v>172.34560478</v>
      </c>
      <c r="W1027" s="10"/>
      <c r="X1027" s="10"/>
      <c r="Y1027" s="10"/>
      <c r="Z1027" s="10"/>
      <c r="AA1027" s="10" t="s">
        <v>145</v>
      </c>
      <c r="AB1027" s="9" t="str">
        <f>HYPERLINK("https://sitebase.nzcomms.co.nz/spm/spmcandidateview/CHC-060-131-A/","CHC-060-131-A")</f>
        <v>CHC-060-131-A</v>
      </c>
      <c r="AC1027" s="10" t="b">
        <v>0</v>
      </c>
      <c r="AD1027" s="10" t="b">
        <v>0</v>
      </c>
      <c r="AE1027" s="10"/>
      <c r="AF1027" s="10"/>
      <c r="AG1027" s="10" t="b">
        <v>0</v>
      </c>
      <c r="AH1027" s="10"/>
      <c r="AI1027" s="11">
        <v>42277</v>
      </c>
      <c r="AJ1027" s="11">
        <v>42277</v>
      </c>
      <c r="AK1027" s="11">
        <v>42293</v>
      </c>
      <c r="AL1027" s="11">
        <v>42293</v>
      </c>
      <c r="AM1027" s="11">
        <v>42296</v>
      </c>
      <c r="AN1027" s="11">
        <v>42310</v>
      </c>
      <c r="AO1027" s="10">
        <v>1</v>
      </c>
      <c r="AP1027" s="11">
        <v>42306</v>
      </c>
      <c r="AQ1027" s="11">
        <v>42310</v>
      </c>
      <c r="AR1027" s="11">
        <v>42335</v>
      </c>
      <c r="AS1027" s="11">
        <v>42340</v>
      </c>
      <c r="AT1027" s="11">
        <v>42338</v>
      </c>
      <c r="AU1027" s="11">
        <v>42340</v>
      </c>
      <c r="AV1027" s="10"/>
      <c r="AW1027" s="11">
        <v>42412</v>
      </c>
      <c r="AX1027" s="10"/>
      <c r="AY1027" s="10" t="s">
        <v>172</v>
      </c>
      <c r="AZ1027" s="11">
        <v>42338</v>
      </c>
      <c r="BA1027" s="11">
        <v>42340</v>
      </c>
      <c r="BB1027" s="11">
        <v>42341</v>
      </c>
      <c r="BC1027" s="11">
        <v>42341</v>
      </c>
      <c r="BD1027" s="10">
        <v>1</v>
      </c>
      <c r="BE1027" s="11">
        <v>42341</v>
      </c>
      <c r="BF1027" s="11">
        <v>42341</v>
      </c>
      <c r="BG1027" s="11">
        <v>42324</v>
      </c>
      <c r="BH1027" s="11">
        <v>42326</v>
      </c>
      <c r="BI1027" s="11">
        <v>42327</v>
      </c>
      <c r="BJ1027" s="11">
        <v>42346</v>
      </c>
      <c r="BK1027" s="10">
        <v>2</v>
      </c>
      <c r="BL1027" s="10"/>
      <c r="BM1027" s="11">
        <v>42346</v>
      </c>
      <c r="BN1027" s="11">
        <v>42384</v>
      </c>
      <c r="BO1027" s="10"/>
      <c r="BP1027" s="10"/>
      <c r="BQ1027" s="10"/>
      <c r="BR1027" s="10"/>
      <c r="BS1027" s="10"/>
      <c r="BT1027" s="11">
        <v>42443</v>
      </c>
      <c r="BU1027" s="10"/>
      <c r="BV1027" s="11">
        <v>42447</v>
      </c>
      <c r="BW1027" s="10"/>
      <c r="BX1027" s="10"/>
      <c r="BY1027" s="11">
        <v>42447</v>
      </c>
      <c r="BZ1027" s="10"/>
      <c r="CA1027" s="11">
        <v>42424</v>
      </c>
      <c r="CB1027" s="10"/>
      <c r="CC1027" s="11">
        <v>42424</v>
      </c>
      <c r="CD1027" s="10"/>
      <c r="CE1027" s="11">
        <v>42438</v>
      </c>
      <c r="CF1027" s="10"/>
      <c r="CG1027" s="11">
        <v>42438</v>
      </c>
      <c r="CH1027" s="11">
        <v>42394</v>
      </c>
      <c r="CI1027" s="10"/>
      <c r="CJ1027" s="11">
        <v>42460</v>
      </c>
      <c r="CK1027" s="10"/>
      <c r="CL1027" s="10"/>
      <c r="CM1027" s="10"/>
      <c r="CN1027" s="10"/>
      <c r="CO1027" s="10"/>
      <c r="CP1027" s="10" t="s">
        <v>2098</v>
      </c>
      <c r="CQ1027" s="10" t="s">
        <v>230</v>
      </c>
      <c r="CR1027" s="10"/>
      <c r="CS1027" s="10"/>
      <c r="CT1027" s="10"/>
      <c r="CU1027" s="10"/>
      <c r="CV1027" s="10"/>
      <c r="CW1027" s="10"/>
      <c r="CX1027" s="10"/>
      <c r="CY1027" s="10"/>
      <c r="CZ1027" s="10"/>
      <c r="DA1027" s="11">
        <v>42454</v>
      </c>
      <c r="DB1027" s="10"/>
      <c r="DC1027" s="10"/>
      <c r="DD1027" s="10"/>
      <c r="DE1027" s="10"/>
      <c r="DF1027" s="11">
        <v>42430</v>
      </c>
      <c r="DG1027" s="10"/>
      <c r="DH1027" s="10" t="s">
        <v>174</v>
      </c>
      <c r="DI1027" s="11">
        <v>42443</v>
      </c>
      <c r="DJ1027" s="10" t="b">
        <v>0</v>
      </c>
      <c r="DK1027" s="10"/>
      <c r="DL1027" s="10">
        <v>2456892</v>
      </c>
      <c r="DM1027" s="10">
        <v>5770069</v>
      </c>
      <c r="DN1027" s="10" t="s">
        <v>2099</v>
      </c>
      <c r="DO1027" s="10"/>
      <c r="DP1027" s="10" t="s">
        <v>2050</v>
      </c>
      <c r="DQ1027" s="10" t="s">
        <v>148</v>
      </c>
      <c r="DR1027" s="10"/>
      <c r="DS1027" s="10"/>
      <c r="DT1027" s="10"/>
      <c r="DU1027" s="10" t="s">
        <v>178</v>
      </c>
      <c r="DV1027" s="10"/>
      <c r="DW1027" s="10"/>
      <c r="DX1027" s="11">
        <v>42410</v>
      </c>
      <c r="DY1027" s="11">
        <v>42328</v>
      </c>
      <c r="DZ1027" s="11">
        <v>42349</v>
      </c>
      <c r="EA1027" s="11">
        <v>42285</v>
      </c>
      <c r="EB1027" s="11">
        <v>42286</v>
      </c>
      <c r="EC1027" s="11">
        <v>42312</v>
      </c>
      <c r="ED1027" s="11">
        <v>42307</v>
      </c>
      <c r="EE1027" s="11">
        <v>42397</v>
      </c>
      <c r="EF1027" s="11">
        <v>42402</v>
      </c>
      <c r="EG1027" s="10"/>
      <c r="EH1027" s="10"/>
      <c r="EI1027" s="11">
        <v>42293</v>
      </c>
    </row>
    <row r="1028" spans="1:139" s="7" customFormat="1" x14ac:dyDescent="0.2">
      <c r="A1028" s="7" t="str">
        <f>VLOOKUP(B1028,Sheet1!$A$1:$B$18,2,FALSE)</f>
        <v>South Island</v>
      </c>
      <c r="B1028" s="7" t="str">
        <f>LEFT(D1028,3)</f>
        <v>WST</v>
      </c>
      <c r="C1028" s="8">
        <v>1714</v>
      </c>
      <c r="D1028" s="9" t="str">
        <f>HYPERLINK("https://sitebase.nzcomms.co.nz/spm/spmnominalview/WST-055-005/","WST-055-005")</f>
        <v>WST-055-005</v>
      </c>
      <c r="E1028" s="10" t="s">
        <v>5158</v>
      </c>
      <c r="F1028" s="9" t="str">
        <f>HYPERLINK("https://sitebase.nzcomms.co.nz/spm/spmcandidateview/WST-055-005-C/","WST-055-005-C")</f>
        <v>WST-055-005-C</v>
      </c>
      <c r="G1028" s="10" t="s">
        <v>5159</v>
      </c>
      <c r="H1028" s="10" t="s">
        <v>5149</v>
      </c>
      <c r="I1028" s="10">
        <v>21</v>
      </c>
      <c r="J1028" s="10" t="s">
        <v>165</v>
      </c>
      <c r="K1028" s="10" t="s">
        <v>141</v>
      </c>
      <c r="L1028" s="10" t="s">
        <v>150</v>
      </c>
      <c r="M1028" s="10"/>
      <c r="N1028" s="10"/>
      <c r="O1028" s="10"/>
      <c r="P1028" s="10" t="s">
        <v>169</v>
      </c>
      <c r="Q1028" s="10" t="s">
        <v>170</v>
      </c>
      <c r="R1028" s="10">
        <v>25</v>
      </c>
      <c r="S1028" s="10">
        <v>25</v>
      </c>
      <c r="T1028" s="10"/>
      <c r="U1028" s="10"/>
      <c r="V1028" s="10"/>
      <c r="W1028" s="10"/>
      <c r="X1028" s="10"/>
      <c r="Y1028" s="10"/>
      <c r="Z1028" s="10"/>
      <c r="AA1028" s="10"/>
      <c r="AB1028" s="10"/>
      <c r="AC1028" s="10" t="b">
        <v>0</v>
      </c>
      <c r="AD1028" s="10" t="b">
        <v>0</v>
      </c>
      <c r="AE1028" s="10"/>
      <c r="AF1028" s="10"/>
      <c r="AG1028" s="10" t="b">
        <v>0</v>
      </c>
      <c r="AH1028" s="10"/>
      <c r="AI1028" s="11">
        <v>42073</v>
      </c>
      <c r="AJ1028" s="11">
        <v>42073</v>
      </c>
      <c r="AK1028" s="11">
        <v>42145</v>
      </c>
      <c r="AL1028" s="11">
        <v>42145</v>
      </c>
      <c r="AM1028" s="11">
        <v>42286</v>
      </c>
      <c r="AN1028" s="11">
        <v>42214</v>
      </c>
      <c r="AO1028" s="10">
        <v>1</v>
      </c>
      <c r="AP1028" s="10"/>
      <c r="AQ1028" s="11">
        <v>42214</v>
      </c>
      <c r="AR1028" s="11">
        <v>42300</v>
      </c>
      <c r="AS1028" s="10"/>
      <c r="AT1028" s="11">
        <v>42328</v>
      </c>
      <c r="AU1028" s="10"/>
      <c r="AV1028" s="10"/>
      <c r="AW1028" s="11">
        <v>42335</v>
      </c>
      <c r="AX1028" s="10"/>
      <c r="AY1028" s="10" t="s">
        <v>172</v>
      </c>
      <c r="AZ1028" s="11">
        <v>42290</v>
      </c>
      <c r="BA1028" s="10"/>
      <c r="BB1028" s="11">
        <v>42318</v>
      </c>
      <c r="BC1028" s="10"/>
      <c r="BD1028" s="10"/>
      <c r="BE1028" s="11">
        <v>42320</v>
      </c>
      <c r="BF1028" s="10"/>
      <c r="BG1028" s="11">
        <v>42300</v>
      </c>
      <c r="BH1028" s="10"/>
      <c r="BI1028" s="11">
        <v>42342</v>
      </c>
      <c r="BJ1028" s="10"/>
      <c r="BK1028" s="10"/>
      <c r="BL1028" s="10"/>
      <c r="BM1028" s="10"/>
      <c r="BN1028" s="10"/>
      <c r="BO1028" s="10"/>
      <c r="BP1028" s="10"/>
      <c r="BQ1028" s="10"/>
      <c r="BR1028" s="10"/>
      <c r="BS1028" s="10"/>
      <c r="BT1028" s="11">
        <v>42401</v>
      </c>
      <c r="BU1028" s="10"/>
      <c r="BV1028" s="11">
        <v>42426</v>
      </c>
      <c r="BW1028" s="10"/>
      <c r="BX1028" s="10"/>
      <c r="BY1028" s="11">
        <v>42444</v>
      </c>
      <c r="BZ1028" s="10"/>
      <c r="CA1028" s="10"/>
      <c r="CB1028" s="10"/>
      <c r="CC1028" s="10"/>
      <c r="CD1028" s="10"/>
      <c r="CE1028" s="10"/>
      <c r="CF1028" s="10"/>
      <c r="CG1028" s="10"/>
      <c r="CH1028" s="10"/>
      <c r="CI1028" s="10"/>
      <c r="CJ1028" s="11">
        <v>42464</v>
      </c>
      <c r="CK1028" s="10"/>
      <c r="CL1028" s="10"/>
      <c r="CM1028" s="10"/>
      <c r="CN1028" s="10"/>
      <c r="CO1028" s="10"/>
      <c r="CP1028" s="10" t="s">
        <v>5160</v>
      </c>
      <c r="CQ1028" s="10"/>
      <c r="CR1028" s="10"/>
      <c r="CS1028" s="10"/>
      <c r="CT1028" s="10"/>
      <c r="CU1028" s="10"/>
      <c r="CV1028" s="10"/>
      <c r="CW1028" s="10"/>
      <c r="CX1028" s="10"/>
      <c r="CY1028" s="10"/>
      <c r="CZ1028" s="10"/>
      <c r="DA1028" s="11">
        <v>42454</v>
      </c>
      <c r="DB1028" s="10"/>
      <c r="DC1028" s="11">
        <v>42226</v>
      </c>
      <c r="DD1028" s="10" t="s">
        <v>586</v>
      </c>
      <c r="DE1028" s="10"/>
      <c r="DF1028" s="10"/>
      <c r="DG1028" s="10"/>
      <c r="DH1028" s="10" t="s">
        <v>1521</v>
      </c>
      <c r="DI1028" s="11">
        <v>42401</v>
      </c>
      <c r="DJ1028" s="10" t="b">
        <v>0</v>
      </c>
      <c r="DK1028" s="10"/>
      <c r="DL1028" s="10"/>
      <c r="DM1028" s="10"/>
      <c r="DN1028" s="10" t="s">
        <v>5161</v>
      </c>
      <c r="DO1028" s="10"/>
      <c r="DP1028" s="10"/>
      <c r="DQ1028" s="10" t="s">
        <v>148</v>
      </c>
      <c r="DR1028" s="10" t="s">
        <v>255</v>
      </c>
      <c r="DS1028" s="10"/>
      <c r="DT1028" s="10"/>
      <c r="DU1028" s="10" t="s">
        <v>178</v>
      </c>
      <c r="DV1028" s="10"/>
      <c r="DW1028" s="10"/>
      <c r="DX1028" s="10"/>
      <c r="DY1028" s="11">
        <v>42345</v>
      </c>
      <c r="DZ1028" s="10"/>
      <c r="EA1028" s="10"/>
      <c r="EB1028" s="10"/>
      <c r="EC1028" s="10"/>
      <c r="ED1028" s="10"/>
      <c r="EE1028" s="11">
        <v>42384</v>
      </c>
      <c r="EF1028" s="10"/>
      <c r="EG1028" s="10"/>
      <c r="EH1028" s="10"/>
      <c r="EI1028" s="11">
        <v>42145</v>
      </c>
    </row>
    <row r="1029" spans="1:139" s="7" customFormat="1" x14ac:dyDescent="0.2">
      <c r="A1029" s="7" t="str">
        <f>VLOOKUP(B1029,Sheet1!$A$1:$B$18,2,FALSE)</f>
        <v>South Island</v>
      </c>
      <c r="B1029" s="7" t="str">
        <f>LEFT(D1029,3)</f>
        <v>CAN</v>
      </c>
      <c r="C1029" s="8">
        <v>673</v>
      </c>
      <c r="D1029" s="9" t="str">
        <f>HYPERLINK("https://sitebase.nzcomms.co.nz/spm/spmnominalview/CAN-062-019/","CAN-062-019")</f>
        <v>CAN-062-019</v>
      </c>
      <c r="E1029" s="10" t="s">
        <v>2186</v>
      </c>
      <c r="F1029" s="9" t="str">
        <f>HYPERLINK("https://sitebase.nzcomms.co.nz/spm/spmcandidateview/CAN-062-019-A/","CAN-062-019-A")</f>
        <v>CAN-062-019-A</v>
      </c>
      <c r="G1029" s="10" t="s">
        <v>2187</v>
      </c>
      <c r="H1029" s="10" t="s">
        <v>2111</v>
      </c>
      <c r="I1029" s="10">
        <v>25</v>
      </c>
      <c r="J1029" s="10" t="s">
        <v>331</v>
      </c>
      <c r="K1029" s="10" t="s">
        <v>141</v>
      </c>
      <c r="L1029" s="10" t="s">
        <v>722</v>
      </c>
      <c r="M1029" s="10" t="s">
        <v>166</v>
      </c>
      <c r="N1029" s="10" t="s">
        <v>2063</v>
      </c>
      <c r="O1029" s="10"/>
      <c r="P1029" s="10" t="s">
        <v>169</v>
      </c>
      <c r="Q1029" s="10" t="s">
        <v>142</v>
      </c>
      <c r="R1029" s="10">
        <v>28</v>
      </c>
      <c r="S1029" s="10">
        <v>30</v>
      </c>
      <c r="T1029" s="10"/>
      <c r="U1029" s="10">
        <v>-43.477883970000001</v>
      </c>
      <c r="V1029" s="10">
        <v>171.92135762999999</v>
      </c>
      <c r="W1029" s="10"/>
      <c r="X1029" s="10"/>
      <c r="Y1029" s="10"/>
      <c r="Z1029" s="10"/>
      <c r="AA1029" s="10" t="s">
        <v>145</v>
      </c>
      <c r="AB1029" s="9" t="str">
        <f>HYPERLINK("https://sitebase.nzcomms.co.nz/spm/spmcandidateview/CHC-060-131-A/","CHC-060-131-A")</f>
        <v>CHC-060-131-A</v>
      </c>
      <c r="AC1029" s="10" t="b">
        <v>0</v>
      </c>
      <c r="AD1029" s="10" t="b">
        <v>0</v>
      </c>
      <c r="AE1029" s="10"/>
      <c r="AF1029" s="10"/>
      <c r="AG1029" s="10" t="b">
        <v>0</v>
      </c>
      <c r="AH1029" s="10"/>
      <c r="AI1029" s="11">
        <v>42292</v>
      </c>
      <c r="AJ1029" s="11">
        <v>42292</v>
      </c>
      <c r="AK1029" s="11">
        <v>42293</v>
      </c>
      <c r="AL1029" s="11">
        <v>42293</v>
      </c>
      <c r="AM1029" s="11">
        <v>42296</v>
      </c>
      <c r="AN1029" s="11">
        <v>42310</v>
      </c>
      <c r="AO1029" s="10">
        <v>1</v>
      </c>
      <c r="AP1029" s="11">
        <v>42300</v>
      </c>
      <c r="AQ1029" s="11">
        <v>42310</v>
      </c>
      <c r="AR1029" s="11">
        <v>42404</v>
      </c>
      <c r="AS1029" s="10"/>
      <c r="AT1029" s="11">
        <v>42425</v>
      </c>
      <c r="AU1029" s="10"/>
      <c r="AV1029" s="10"/>
      <c r="AW1029" s="11">
        <v>42429</v>
      </c>
      <c r="AX1029" s="10"/>
      <c r="AY1029" s="10" t="s">
        <v>172</v>
      </c>
      <c r="AZ1029" s="11">
        <v>42354</v>
      </c>
      <c r="BA1029" s="10"/>
      <c r="BB1029" s="11">
        <v>42405</v>
      </c>
      <c r="BC1029" s="10"/>
      <c r="BD1029" s="10"/>
      <c r="BE1029" s="11">
        <v>42391</v>
      </c>
      <c r="BF1029" s="10"/>
      <c r="BG1029" s="11">
        <v>42332</v>
      </c>
      <c r="BH1029" s="11">
        <v>42321</v>
      </c>
      <c r="BI1029" s="11">
        <v>42405</v>
      </c>
      <c r="BJ1029" s="10"/>
      <c r="BK1029" s="10"/>
      <c r="BL1029" s="10"/>
      <c r="BM1029" s="11">
        <v>42408</v>
      </c>
      <c r="BN1029" s="10"/>
      <c r="BO1029" s="10"/>
      <c r="BP1029" s="10"/>
      <c r="BQ1029" s="10"/>
      <c r="BR1029" s="10"/>
      <c r="BS1029" s="10"/>
      <c r="BT1029" s="11">
        <v>42464</v>
      </c>
      <c r="BU1029" s="10"/>
      <c r="BV1029" s="11">
        <v>42468</v>
      </c>
      <c r="BW1029" s="10"/>
      <c r="BX1029" s="10"/>
      <c r="BY1029" s="11">
        <v>42468</v>
      </c>
      <c r="BZ1029" s="10"/>
      <c r="CA1029" s="11">
        <v>42459</v>
      </c>
      <c r="CB1029" s="10"/>
      <c r="CC1029" s="11">
        <v>42452</v>
      </c>
      <c r="CD1029" s="10"/>
      <c r="CE1029" s="11">
        <v>42459</v>
      </c>
      <c r="CF1029" s="10"/>
      <c r="CG1029" s="11">
        <v>42459</v>
      </c>
      <c r="CH1029" s="11">
        <v>42394</v>
      </c>
      <c r="CI1029" s="10"/>
      <c r="CJ1029" s="11">
        <v>42481</v>
      </c>
      <c r="CK1029" s="10"/>
      <c r="CL1029" s="10"/>
      <c r="CM1029" s="10"/>
      <c r="CN1029" s="10"/>
      <c r="CO1029" s="10"/>
      <c r="CP1029" s="10" t="s">
        <v>2188</v>
      </c>
      <c r="CQ1029" s="10" t="s">
        <v>230</v>
      </c>
      <c r="CR1029" s="10"/>
      <c r="CS1029" s="10"/>
      <c r="CT1029" s="10"/>
      <c r="CU1029" s="10"/>
      <c r="CV1029" s="10"/>
      <c r="CW1029" s="10"/>
      <c r="CX1029" s="10"/>
      <c r="CY1029" s="10"/>
      <c r="CZ1029" s="10"/>
      <c r="DA1029" s="11">
        <v>42475</v>
      </c>
      <c r="DB1029" s="10"/>
      <c r="DC1029" s="10"/>
      <c r="DD1029" s="10"/>
      <c r="DE1029" s="10"/>
      <c r="DF1029" s="11">
        <v>42465</v>
      </c>
      <c r="DG1029" s="10"/>
      <c r="DH1029" s="10" t="s">
        <v>174</v>
      </c>
      <c r="DI1029" s="11">
        <v>42464</v>
      </c>
      <c r="DJ1029" s="10" t="b">
        <v>0</v>
      </c>
      <c r="DK1029" s="10"/>
      <c r="DL1029" s="10">
        <v>2422748</v>
      </c>
      <c r="DM1029" s="10">
        <v>5747166</v>
      </c>
      <c r="DN1029" s="10" t="s">
        <v>2189</v>
      </c>
      <c r="DO1029" s="10"/>
      <c r="DP1029" s="10"/>
      <c r="DQ1029" s="10" t="s">
        <v>148</v>
      </c>
      <c r="DR1029" s="10"/>
      <c r="DS1029" s="10"/>
      <c r="DT1029" s="10"/>
      <c r="DU1029" s="10" t="s">
        <v>178</v>
      </c>
      <c r="DV1029" s="10"/>
      <c r="DW1029" s="10"/>
      <c r="DX1029" s="11">
        <v>42410</v>
      </c>
      <c r="DY1029" s="11">
        <v>42328</v>
      </c>
      <c r="DZ1029" s="11">
        <v>42348</v>
      </c>
      <c r="EA1029" s="11">
        <v>42290</v>
      </c>
      <c r="EB1029" s="11">
        <v>42290</v>
      </c>
      <c r="EC1029" s="11">
        <v>42284</v>
      </c>
      <c r="ED1029" s="11">
        <v>42304</v>
      </c>
      <c r="EE1029" s="11">
        <v>42391</v>
      </c>
      <c r="EF1029" s="11">
        <v>42360</v>
      </c>
      <c r="EG1029" s="10"/>
      <c r="EH1029" s="10"/>
      <c r="EI1029" s="11">
        <v>42292</v>
      </c>
    </row>
    <row r="1030" spans="1:139" s="7" customFormat="1" x14ac:dyDescent="0.2">
      <c r="A1030" s="7" t="str">
        <f>VLOOKUP(B1030,Sheet1!$A$1:$B$18,2,FALSE)</f>
        <v>South Island</v>
      </c>
      <c r="B1030" s="7" t="str">
        <f>LEFT(D1030,3)</f>
        <v>MBN</v>
      </c>
      <c r="C1030" s="8">
        <v>1037</v>
      </c>
      <c r="D1030" s="9" t="str">
        <f>HYPERLINK("https://sitebase.nzcomms.co.nz/spm/spmnominalview/MBN-053-015/","MBN-053-015")</f>
        <v>MBN-053-015</v>
      </c>
      <c r="E1030" s="10" t="s">
        <v>3184</v>
      </c>
      <c r="F1030" s="9" t="str">
        <f>HYPERLINK("https://sitebase.nzcomms.co.nz/spm/spmcandidateview/MBN-053-015-B/","MBN-053-015-B")</f>
        <v>MBN-053-015-B</v>
      </c>
      <c r="G1030" s="10" t="s">
        <v>3185</v>
      </c>
      <c r="H1030" s="10" t="s">
        <v>3152</v>
      </c>
      <c r="I1030" s="10">
        <v>21</v>
      </c>
      <c r="J1030" s="10" t="s">
        <v>570</v>
      </c>
      <c r="K1030" s="10" t="s">
        <v>141</v>
      </c>
      <c r="L1030" s="10" t="s">
        <v>189</v>
      </c>
      <c r="M1030" s="10" t="s">
        <v>571</v>
      </c>
      <c r="N1030" s="10"/>
      <c r="O1030" s="10"/>
      <c r="P1030" s="10" t="s">
        <v>169</v>
      </c>
      <c r="Q1030" s="10" t="s">
        <v>192</v>
      </c>
      <c r="R1030" s="10"/>
      <c r="S1030" s="10"/>
      <c r="T1030" s="10"/>
      <c r="U1030" s="10">
        <v>-41.509210080000003</v>
      </c>
      <c r="V1030" s="10">
        <v>173.93556092</v>
      </c>
      <c r="W1030" s="10"/>
      <c r="X1030" s="10"/>
      <c r="Y1030" s="10"/>
      <c r="Z1030" s="10"/>
      <c r="AA1030" s="10" t="s">
        <v>152</v>
      </c>
      <c r="AB1030" s="9" t="str">
        <f>HYPERLINK("https://sitebase.nzcomms.co.nz/spm/spmcandidateview/WLG-047-071-A/","WLG-047-071-A")</f>
        <v>WLG-047-071-A</v>
      </c>
      <c r="AC1030" s="10" t="b">
        <v>0</v>
      </c>
      <c r="AD1030" s="10" t="b">
        <v>0</v>
      </c>
      <c r="AE1030" s="10"/>
      <c r="AF1030" s="10"/>
      <c r="AG1030" s="10" t="b">
        <v>0</v>
      </c>
      <c r="AH1030" s="10"/>
      <c r="AI1030" s="11">
        <v>42164</v>
      </c>
      <c r="AJ1030" s="11">
        <v>42164</v>
      </c>
      <c r="AK1030" s="11">
        <v>42167</v>
      </c>
      <c r="AL1030" s="11">
        <v>42171</v>
      </c>
      <c r="AM1030" s="11">
        <v>42277</v>
      </c>
      <c r="AN1030" s="11">
        <v>42290</v>
      </c>
      <c r="AO1030" s="10">
        <v>1</v>
      </c>
      <c r="AP1030" s="10"/>
      <c r="AQ1030" s="11">
        <v>42290</v>
      </c>
      <c r="AR1030" s="11">
        <v>42307</v>
      </c>
      <c r="AS1030" s="11">
        <v>42319</v>
      </c>
      <c r="AT1030" s="11">
        <v>42314</v>
      </c>
      <c r="AU1030" s="11">
        <v>42319</v>
      </c>
      <c r="AV1030" s="10"/>
      <c r="AW1030" s="11">
        <v>42314</v>
      </c>
      <c r="AX1030" s="10"/>
      <c r="AY1030" s="10" t="s">
        <v>172</v>
      </c>
      <c r="AZ1030" s="11">
        <v>42279</v>
      </c>
      <c r="BA1030" s="10"/>
      <c r="BB1030" s="11">
        <v>42307</v>
      </c>
      <c r="BC1030" s="10"/>
      <c r="BD1030" s="10"/>
      <c r="BE1030" s="11">
        <v>42314</v>
      </c>
      <c r="BF1030" s="10"/>
      <c r="BG1030" s="11">
        <v>42317</v>
      </c>
      <c r="BH1030" s="10"/>
      <c r="BI1030" s="11">
        <v>42356</v>
      </c>
      <c r="BJ1030" s="10"/>
      <c r="BK1030" s="10">
        <v>1</v>
      </c>
      <c r="BL1030" s="10"/>
      <c r="BM1030" s="10"/>
      <c r="BN1030" s="10"/>
      <c r="BO1030" s="10"/>
      <c r="BP1030" s="10"/>
      <c r="BQ1030" s="10"/>
      <c r="BR1030" s="10"/>
      <c r="BS1030" s="10"/>
      <c r="BT1030" s="11">
        <v>42422</v>
      </c>
      <c r="BU1030" s="10"/>
      <c r="BV1030" s="11">
        <v>42447</v>
      </c>
      <c r="BW1030" s="10"/>
      <c r="BX1030" s="10"/>
      <c r="BY1030" s="11">
        <v>42468</v>
      </c>
      <c r="BZ1030" s="10"/>
      <c r="CA1030" s="10"/>
      <c r="CB1030" s="10"/>
      <c r="CC1030" s="10"/>
      <c r="CD1030" s="10"/>
      <c r="CE1030" s="10"/>
      <c r="CF1030" s="10"/>
      <c r="CG1030" s="10"/>
      <c r="CH1030" s="10"/>
      <c r="CI1030" s="10"/>
      <c r="CJ1030" s="11">
        <v>42482</v>
      </c>
      <c r="CK1030" s="10"/>
      <c r="CL1030" s="10"/>
      <c r="CM1030" s="10"/>
      <c r="CN1030" s="10"/>
      <c r="CO1030" s="10"/>
      <c r="CP1030" s="10" t="s">
        <v>3186</v>
      </c>
      <c r="CQ1030" s="10"/>
      <c r="CR1030" s="11">
        <v>42381</v>
      </c>
      <c r="CS1030" s="10"/>
      <c r="CT1030" s="10"/>
      <c r="CU1030" s="10"/>
      <c r="CV1030" s="10"/>
      <c r="CW1030" s="10"/>
      <c r="CX1030" s="10"/>
      <c r="CY1030" s="10"/>
      <c r="CZ1030" s="10"/>
      <c r="DA1030" s="11">
        <v>42475</v>
      </c>
      <c r="DB1030" s="10"/>
      <c r="DC1030" s="11">
        <v>42226</v>
      </c>
      <c r="DD1030" s="10" t="s">
        <v>206</v>
      </c>
      <c r="DE1030" s="10"/>
      <c r="DF1030" s="10"/>
      <c r="DG1030" s="10"/>
      <c r="DH1030" s="10" t="s">
        <v>174</v>
      </c>
      <c r="DI1030" s="10"/>
      <c r="DJ1030" s="10" t="b">
        <v>0</v>
      </c>
      <c r="DK1030" s="10"/>
      <c r="DL1030" s="10">
        <v>2588086</v>
      </c>
      <c r="DM1030" s="10">
        <v>5965991</v>
      </c>
      <c r="DN1030" s="10" t="s">
        <v>3187</v>
      </c>
      <c r="DO1030" s="10"/>
      <c r="DP1030" s="10"/>
      <c r="DQ1030" s="10" t="s">
        <v>148</v>
      </c>
      <c r="DR1030" s="10"/>
      <c r="DS1030" s="10"/>
      <c r="DT1030" s="10"/>
      <c r="DU1030" s="10" t="s">
        <v>577</v>
      </c>
      <c r="DV1030" s="10"/>
      <c r="DW1030" s="10"/>
      <c r="DX1030" s="10"/>
      <c r="DY1030" s="11">
        <v>42380</v>
      </c>
      <c r="DZ1030" s="10"/>
      <c r="EA1030" s="10"/>
      <c r="EB1030" s="10"/>
      <c r="EC1030" s="10"/>
      <c r="ED1030" s="10"/>
      <c r="EE1030" s="11">
        <v>42405</v>
      </c>
      <c r="EF1030" s="10"/>
      <c r="EG1030" s="11">
        <v>42390</v>
      </c>
      <c r="EH1030" s="10"/>
      <c r="EI1030" s="11">
        <v>42171</v>
      </c>
    </row>
    <row r="1031" spans="1:139" s="7" customFormat="1" x14ac:dyDescent="0.2">
      <c r="A1031" s="7" t="str">
        <f>VLOOKUP(B1031,Sheet1!$A$1:$B$18,2,FALSE)</f>
        <v>South Island</v>
      </c>
      <c r="B1031" s="7" t="str">
        <f>LEFT(D1031,3)</f>
        <v>STH</v>
      </c>
      <c r="C1031" s="8">
        <v>1287</v>
      </c>
      <c r="D1031" s="9" t="str">
        <f>HYPERLINK("https://sitebase.nzcomms.co.nz/spm/spmnominalview/STH-073-010/","STH-073-010")</f>
        <v>STH-073-010</v>
      </c>
      <c r="E1031" s="10" t="s">
        <v>3883</v>
      </c>
      <c r="F1031" s="9" t="str">
        <f>HYPERLINK("https://sitebase.nzcomms.co.nz/spm/spmcandidateview/STH-073-010-C/","STH-073-010-C")</f>
        <v>STH-073-010-C</v>
      </c>
      <c r="G1031" s="10" t="s">
        <v>3884</v>
      </c>
      <c r="H1031" s="10" t="s">
        <v>3879</v>
      </c>
      <c r="I1031" s="10">
        <v>21</v>
      </c>
      <c r="J1031" s="10" t="s">
        <v>165</v>
      </c>
      <c r="K1031" s="10" t="s">
        <v>141</v>
      </c>
      <c r="L1031" s="10" t="s">
        <v>150</v>
      </c>
      <c r="M1031" s="10" t="s">
        <v>166</v>
      </c>
      <c r="N1031" s="10" t="s">
        <v>1572</v>
      </c>
      <c r="O1031" s="10"/>
      <c r="P1031" s="10" t="s">
        <v>169</v>
      </c>
      <c r="Q1031" s="10" t="s">
        <v>170</v>
      </c>
      <c r="R1031" s="10">
        <v>25</v>
      </c>
      <c r="S1031" s="10">
        <v>25</v>
      </c>
      <c r="T1031" s="10"/>
      <c r="U1031" s="10">
        <v>-46.117558529999997</v>
      </c>
      <c r="V1031" s="10">
        <v>168.39178620000001</v>
      </c>
      <c r="W1031" s="10"/>
      <c r="X1031" s="10"/>
      <c r="Y1031" s="10"/>
      <c r="Z1031" s="10"/>
      <c r="AA1031" s="10" t="s">
        <v>145</v>
      </c>
      <c r="AB1031" s="9" t="str">
        <f>HYPERLINK("https://sitebase.nzcomms.co.nz/spm/spmcandidateview/OTG-070-015-A/","OTG-070-015-A")</f>
        <v>OTG-070-015-A</v>
      </c>
      <c r="AC1031" s="10" t="b">
        <v>0</v>
      </c>
      <c r="AD1031" s="10" t="b">
        <v>0</v>
      </c>
      <c r="AE1031" s="11">
        <v>42186</v>
      </c>
      <c r="AF1031" s="10"/>
      <c r="AG1031" s="10" t="b">
        <v>0</v>
      </c>
      <c r="AH1031" s="10"/>
      <c r="AI1031" s="11">
        <v>42178</v>
      </c>
      <c r="AJ1031" s="11">
        <v>42178</v>
      </c>
      <c r="AK1031" s="11">
        <v>42192</v>
      </c>
      <c r="AL1031" s="11">
        <v>42192</v>
      </c>
      <c r="AM1031" s="11">
        <v>42256</v>
      </c>
      <c r="AN1031" s="11">
        <v>42261</v>
      </c>
      <c r="AO1031" s="10">
        <v>1</v>
      </c>
      <c r="AP1031" s="10"/>
      <c r="AQ1031" s="11">
        <v>42261</v>
      </c>
      <c r="AR1031" s="11">
        <v>42258</v>
      </c>
      <c r="AS1031" s="11">
        <v>42220</v>
      </c>
      <c r="AT1031" s="11">
        <v>42286</v>
      </c>
      <c r="AU1031" s="11">
        <v>42251</v>
      </c>
      <c r="AV1031" s="10"/>
      <c r="AW1031" s="11">
        <v>42293</v>
      </c>
      <c r="AX1031" s="10"/>
      <c r="AY1031" s="10" t="s">
        <v>172</v>
      </c>
      <c r="AZ1031" s="11">
        <v>42276</v>
      </c>
      <c r="BA1031" s="11">
        <v>42276</v>
      </c>
      <c r="BB1031" s="11">
        <v>42307</v>
      </c>
      <c r="BC1031" s="11">
        <v>42305</v>
      </c>
      <c r="BD1031" s="10">
        <v>1</v>
      </c>
      <c r="BE1031" s="11">
        <v>42307</v>
      </c>
      <c r="BF1031" s="11">
        <v>42305</v>
      </c>
      <c r="BG1031" s="11">
        <v>42257</v>
      </c>
      <c r="BH1031" s="11">
        <v>42263</v>
      </c>
      <c r="BI1031" s="11">
        <v>42391</v>
      </c>
      <c r="BJ1031" s="11">
        <v>42397</v>
      </c>
      <c r="BK1031" s="10">
        <v>1</v>
      </c>
      <c r="BL1031" s="10"/>
      <c r="BM1031" s="10"/>
      <c r="BN1031" s="11">
        <v>42397</v>
      </c>
      <c r="BO1031" s="10"/>
      <c r="BP1031" s="10"/>
      <c r="BQ1031" s="10"/>
      <c r="BR1031" s="10"/>
      <c r="BS1031" s="10"/>
      <c r="BT1031" s="11">
        <v>42429</v>
      </c>
      <c r="BU1031" s="10"/>
      <c r="BV1031" s="11">
        <v>42460</v>
      </c>
      <c r="BW1031" s="10"/>
      <c r="BX1031" s="10"/>
      <c r="BY1031" s="11">
        <v>42475</v>
      </c>
      <c r="BZ1031" s="10"/>
      <c r="CA1031" s="10"/>
      <c r="CB1031" s="10"/>
      <c r="CC1031" s="10"/>
      <c r="CD1031" s="10"/>
      <c r="CE1031" s="10"/>
      <c r="CF1031" s="10"/>
      <c r="CG1031" s="10"/>
      <c r="CH1031" s="10"/>
      <c r="CI1031" s="10"/>
      <c r="CJ1031" s="11">
        <v>42506</v>
      </c>
      <c r="CK1031" s="10"/>
      <c r="CL1031" s="10"/>
      <c r="CM1031" s="10"/>
      <c r="CN1031" s="10"/>
      <c r="CO1031" s="10"/>
      <c r="CP1031" s="10" t="s">
        <v>3885</v>
      </c>
      <c r="CQ1031" s="10"/>
      <c r="CR1031" s="10"/>
      <c r="CS1031" s="10"/>
      <c r="CT1031" s="10"/>
      <c r="CU1031" s="10"/>
      <c r="CV1031" s="10"/>
      <c r="CW1031" s="10"/>
      <c r="CX1031" s="10"/>
      <c r="CY1031" s="10"/>
      <c r="CZ1031" s="10"/>
      <c r="DA1031" s="11">
        <v>42489</v>
      </c>
      <c r="DB1031" s="10"/>
      <c r="DC1031" s="11">
        <v>42276</v>
      </c>
      <c r="DD1031" s="10" t="s">
        <v>586</v>
      </c>
      <c r="DE1031" s="10" t="s">
        <v>3886</v>
      </c>
      <c r="DF1031" s="10"/>
      <c r="DG1031" s="10"/>
      <c r="DH1031" s="10" t="s">
        <v>174</v>
      </c>
      <c r="DI1031" s="10"/>
      <c r="DJ1031" s="10" t="b">
        <v>0</v>
      </c>
      <c r="DK1031" s="10"/>
      <c r="DL1031" s="10">
        <v>2153773</v>
      </c>
      <c r="DM1031" s="10">
        <v>5444512</v>
      </c>
      <c r="DN1031" s="10" t="s">
        <v>3887</v>
      </c>
      <c r="DO1031" s="10"/>
      <c r="DP1031" s="10"/>
      <c r="DQ1031" s="10" t="s">
        <v>148</v>
      </c>
      <c r="DR1031" s="10" t="s">
        <v>255</v>
      </c>
      <c r="DS1031" s="10"/>
      <c r="DT1031" s="10"/>
      <c r="DU1031" s="10" t="s">
        <v>178</v>
      </c>
      <c r="DV1031" s="10"/>
      <c r="DW1031" s="11">
        <v>42405</v>
      </c>
      <c r="DX1031" s="11">
        <v>42353</v>
      </c>
      <c r="DY1031" s="11">
        <v>42299</v>
      </c>
      <c r="DZ1031" s="11">
        <v>42312</v>
      </c>
      <c r="EA1031" s="10"/>
      <c r="EB1031" s="10"/>
      <c r="EC1031" s="10"/>
      <c r="ED1031" s="10"/>
      <c r="EE1031" s="11">
        <v>42426</v>
      </c>
      <c r="EF1031" s="10"/>
      <c r="EG1031" s="10"/>
      <c r="EH1031" s="10"/>
      <c r="EI1031" s="11">
        <v>42192</v>
      </c>
    </row>
    <row r="1032" spans="1:139" s="7" customFormat="1" x14ac:dyDescent="0.2">
      <c r="A1032" s="7" t="str">
        <f>VLOOKUP(B1032,Sheet1!$A$1:$B$18,2,FALSE)</f>
        <v>South Island</v>
      </c>
      <c r="B1032" s="7" t="str">
        <f>LEFT(D1032,3)</f>
        <v>OTG</v>
      </c>
      <c r="C1032" s="8">
        <v>1221</v>
      </c>
      <c r="D1032" s="9" t="str">
        <f>HYPERLINK("https://sitebase.nzcomms.co.nz/spm/spmnominalview/OTG-070-014/","OTG-070-014")</f>
        <v>OTG-070-014</v>
      </c>
      <c r="E1032" s="10" t="s">
        <v>2824</v>
      </c>
      <c r="F1032" s="9" t="str">
        <f>HYPERLINK("https://sitebase.nzcomms.co.nz/spm/spmcandidateview/OTG-070-014-C/","OTG-070-014-C")</f>
        <v>OTG-070-014-C</v>
      </c>
      <c r="G1032" s="10" t="s">
        <v>3718</v>
      </c>
      <c r="H1032" s="10" t="s">
        <v>3682</v>
      </c>
      <c r="I1032" s="10">
        <v>21</v>
      </c>
      <c r="J1032" s="10" t="s">
        <v>165</v>
      </c>
      <c r="K1032" s="10" t="s">
        <v>141</v>
      </c>
      <c r="L1032" s="10" t="s">
        <v>181</v>
      </c>
      <c r="M1032" s="10" t="s">
        <v>571</v>
      </c>
      <c r="N1032" s="10" t="s">
        <v>181</v>
      </c>
      <c r="O1032" s="10"/>
      <c r="P1032" s="10" t="s">
        <v>182</v>
      </c>
      <c r="Q1032" s="10" t="s">
        <v>192</v>
      </c>
      <c r="R1032" s="10">
        <v>14.6</v>
      </c>
      <c r="S1032" s="10">
        <v>11.9</v>
      </c>
      <c r="T1032" s="10">
        <v>1</v>
      </c>
      <c r="U1032" s="10">
        <v>-45.032712660000001</v>
      </c>
      <c r="V1032" s="10">
        <v>168.66132553</v>
      </c>
      <c r="W1032" s="10"/>
      <c r="X1032" s="10"/>
      <c r="Y1032" s="10"/>
      <c r="Z1032" s="10"/>
      <c r="AA1032" s="10" t="s">
        <v>145</v>
      </c>
      <c r="AB1032" s="9" t="str">
        <f>HYPERLINK("https://sitebase.nzcomms.co.nz/spm/spmcandidateview/OTG-070-015-A/","OTG-070-015-A")</f>
        <v>OTG-070-015-A</v>
      </c>
      <c r="AC1032" s="10" t="b">
        <v>0</v>
      </c>
      <c r="AD1032" s="10" t="b">
        <v>0</v>
      </c>
      <c r="AE1032" s="10"/>
      <c r="AF1032" s="10"/>
      <c r="AG1032" s="10" t="b">
        <v>0</v>
      </c>
      <c r="AH1032" s="10"/>
      <c r="AI1032" s="11">
        <v>41244</v>
      </c>
      <c r="AJ1032" s="11">
        <v>41244</v>
      </c>
      <c r="AK1032" s="11">
        <v>41311</v>
      </c>
      <c r="AL1032" s="11">
        <v>41311</v>
      </c>
      <c r="AM1032" s="11">
        <v>41310</v>
      </c>
      <c r="AN1032" s="11">
        <v>41310</v>
      </c>
      <c r="AO1032" s="10">
        <v>5</v>
      </c>
      <c r="AP1032" s="11">
        <v>41310</v>
      </c>
      <c r="AQ1032" s="11">
        <v>42285</v>
      </c>
      <c r="AR1032" s="10"/>
      <c r="AS1032" s="11">
        <v>41353</v>
      </c>
      <c r="AT1032" s="11">
        <v>41405</v>
      </c>
      <c r="AU1032" s="11">
        <v>41446</v>
      </c>
      <c r="AV1032" s="10">
        <v>4</v>
      </c>
      <c r="AW1032" s="10"/>
      <c r="AX1032" s="11">
        <v>41446</v>
      </c>
      <c r="AY1032" s="10" t="s">
        <v>183</v>
      </c>
      <c r="AZ1032" s="11">
        <v>42268</v>
      </c>
      <c r="BA1032" s="11">
        <v>42268</v>
      </c>
      <c r="BB1032" s="11">
        <v>42297</v>
      </c>
      <c r="BC1032" s="11">
        <v>42313</v>
      </c>
      <c r="BD1032" s="10">
        <v>5</v>
      </c>
      <c r="BE1032" s="11">
        <v>42304</v>
      </c>
      <c r="BF1032" s="11">
        <v>42314</v>
      </c>
      <c r="BG1032" s="11">
        <v>42263</v>
      </c>
      <c r="BH1032" s="11">
        <v>42263</v>
      </c>
      <c r="BI1032" s="11">
        <v>42419</v>
      </c>
      <c r="BJ1032" s="10"/>
      <c r="BK1032" s="10"/>
      <c r="BL1032" s="10"/>
      <c r="BM1032" s="10"/>
      <c r="BN1032" s="10"/>
      <c r="BO1032" s="10"/>
      <c r="BP1032" s="10"/>
      <c r="BQ1032" s="10"/>
      <c r="BR1032" s="10"/>
      <c r="BS1032" s="10"/>
      <c r="BT1032" s="11">
        <v>42460</v>
      </c>
      <c r="BU1032" s="10"/>
      <c r="BV1032" s="11">
        <v>42490</v>
      </c>
      <c r="BW1032" s="10"/>
      <c r="BX1032" s="10"/>
      <c r="BY1032" s="11">
        <v>42503</v>
      </c>
      <c r="BZ1032" s="10"/>
      <c r="CA1032" s="10"/>
      <c r="CB1032" s="10"/>
      <c r="CC1032" s="10"/>
      <c r="CD1032" s="10"/>
      <c r="CE1032" s="10"/>
      <c r="CF1032" s="10"/>
      <c r="CG1032" s="10"/>
      <c r="CH1032" s="10"/>
      <c r="CI1032" s="10"/>
      <c r="CJ1032" s="11">
        <v>42520</v>
      </c>
      <c r="CK1032" s="10"/>
      <c r="CL1032" s="10"/>
      <c r="CM1032" s="10"/>
      <c r="CN1032" s="10"/>
      <c r="CO1032" s="10"/>
      <c r="CP1032" s="10" t="s">
        <v>3719</v>
      </c>
      <c r="CQ1032" s="10"/>
      <c r="CR1032" s="10"/>
      <c r="CS1032" s="10"/>
      <c r="CT1032" s="10"/>
      <c r="CU1032" s="10"/>
      <c r="CV1032" s="10"/>
      <c r="CW1032" s="10"/>
      <c r="CX1032" s="10"/>
      <c r="CY1032" s="10"/>
      <c r="CZ1032" s="10"/>
      <c r="DA1032" s="11">
        <v>42517</v>
      </c>
      <c r="DB1032" s="10"/>
      <c r="DC1032" s="11">
        <v>42269</v>
      </c>
      <c r="DD1032" s="10" t="s">
        <v>586</v>
      </c>
      <c r="DE1032" s="10" t="s">
        <v>194</v>
      </c>
      <c r="DF1032" s="10"/>
      <c r="DG1032" s="10"/>
      <c r="DH1032" s="10" t="s">
        <v>174</v>
      </c>
      <c r="DI1032" s="10"/>
      <c r="DJ1032" s="10" t="b">
        <v>0</v>
      </c>
      <c r="DK1032" s="10"/>
      <c r="DL1032" s="10">
        <v>2168225</v>
      </c>
      <c r="DM1032" s="10">
        <v>5566036</v>
      </c>
      <c r="DN1032" s="10" t="s">
        <v>3720</v>
      </c>
      <c r="DO1032" s="10"/>
      <c r="DP1032" s="10"/>
      <c r="DQ1032" s="10" t="s">
        <v>148</v>
      </c>
      <c r="DR1032" s="10" t="s">
        <v>255</v>
      </c>
      <c r="DS1032" s="10"/>
      <c r="DT1032" s="10"/>
      <c r="DU1032" s="10" t="s">
        <v>178</v>
      </c>
      <c r="DV1032" s="10"/>
      <c r="DW1032" s="10"/>
      <c r="DX1032" s="11">
        <v>42383</v>
      </c>
      <c r="DY1032" s="11">
        <v>42298</v>
      </c>
      <c r="DZ1032" s="11">
        <v>42312</v>
      </c>
      <c r="EA1032" s="11">
        <v>42265</v>
      </c>
      <c r="EB1032" s="10"/>
      <c r="EC1032" s="10"/>
      <c r="ED1032" s="10"/>
      <c r="EE1032" s="11">
        <v>42448</v>
      </c>
      <c r="EF1032" s="10"/>
      <c r="EG1032" s="10"/>
      <c r="EH1032" s="10"/>
      <c r="EI1032" s="11">
        <v>41288</v>
      </c>
    </row>
    <row r="1033" spans="1:139" s="7" customFormat="1" x14ac:dyDescent="0.2">
      <c r="A1033" s="7" t="str">
        <f>VLOOKUP(B1033,Sheet1!$A$1:$B$18,2,FALSE)</f>
        <v>South Island</v>
      </c>
      <c r="B1033" s="7" t="str">
        <f>LEFT(D1033,3)</f>
        <v>CAN</v>
      </c>
      <c r="C1033" s="8">
        <v>713</v>
      </c>
      <c r="D1033" s="9" t="str">
        <f>HYPERLINK("https://sitebase.nzcomms.co.nz/spm/spmnominalview/CAN-066-005/","CAN-066-005")</f>
        <v>CAN-066-005</v>
      </c>
      <c r="E1033" s="10" t="s">
        <v>2327</v>
      </c>
      <c r="F1033" s="9" t="str">
        <f>HYPERLINK("https://sitebase.nzcomms.co.nz/spm/spmcandidateview/CAN-066-005-C/","CAN-066-005-C")</f>
        <v>CAN-066-005-C</v>
      </c>
      <c r="G1033" s="10" t="s">
        <v>2328</v>
      </c>
      <c r="H1033" s="10" t="s">
        <v>2319</v>
      </c>
      <c r="I1033" s="10">
        <v>21</v>
      </c>
      <c r="J1033" s="10" t="s">
        <v>165</v>
      </c>
      <c r="K1033" s="10" t="s">
        <v>141</v>
      </c>
      <c r="L1033" s="10" t="s">
        <v>142</v>
      </c>
      <c r="M1033" s="10" t="s">
        <v>166</v>
      </c>
      <c r="N1033" s="10" t="s">
        <v>142</v>
      </c>
      <c r="O1033" s="10"/>
      <c r="P1033" s="10" t="s">
        <v>169</v>
      </c>
      <c r="Q1033" s="10" t="s">
        <v>142</v>
      </c>
      <c r="R1033" s="10"/>
      <c r="S1033" s="10"/>
      <c r="T1033" s="10"/>
      <c r="U1033" s="10">
        <v>-44.750346329999999</v>
      </c>
      <c r="V1033" s="10">
        <v>170.56173885999999</v>
      </c>
      <c r="W1033" s="10"/>
      <c r="X1033" s="10"/>
      <c r="Y1033" s="10"/>
      <c r="Z1033" s="10"/>
      <c r="AA1033" s="10" t="s">
        <v>171</v>
      </c>
      <c r="AB1033" s="9" t="str">
        <f>HYPERLINK("https://sitebase.nzcomms.co.nz/spm/spmcandidateview/CAN-068-003-B/","CAN-068-003-B")</f>
        <v>CAN-068-003-B</v>
      </c>
      <c r="AC1033" s="10" t="b">
        <v>0</v>
      </c>
      <c r="AD1033" s="10" t="b">
        <v>0</v>
      </c>
      <c r="AE1033" s="10"/>
      <c r="AF1033" s="10"/>
      <c r="AG1033" s="10" t="b">
        <v>0</v>
      </c>
      <c r="AH1033" s="10"/>
      <c r="AI1033" s="11">
        <v>42088</v>
      </c>
      <c r="AJ1033" s="11">
        <v>42088</v>
      </c>
      <c r="AK1033" s="11">
        <v>42202</v>
      </c>
      <c r="AL1033" s="11">
        <v>42208</v>
      </c>
      <c r="AM1033" s="11">
        <v>42237</v>
      </c>
      <c r="AN1033" s="11">
        <v>42237</v>
      </c>
      <c r="AO1033" s="10">
        <v>1</v>
      </c>
      <c r="AP1033" s="10"/>
      <c r="AQ1033" s="11">
        <v>42237</v>
      </c>
      <c r="AR1033" s="11">
        <v>42412</v>
      </c>
      <c r="AS1033" s="10"/>
      <c r="AT1033" s="11">
        <v>42429</v>
      </c>
      <c r="AU1033" s="10"/>
      <c r="AV1033" s="10"/>
      <c r="AW1033" s="10"/>
      <c r="AX1033" s="10"/>
      <c r="AY1033" s="10" t="s">
        <v>172</v>
      </c>
      <c r="AZ1033" s="11">
        <v>42244</v>
      </c>
      <c r="BA1033" s="11">
        <v>42241</v>
      </c>
      <c r="BB1033" s="11">
        <v>42272</v>
      </c>
      <c r="BC1033" s="11">
        <v>42258</v>
      </c>
      <c r="BD1033" s="10">
        <v>1</v>
      </c>
      <c r="BE1033" s="11">
        <v>42277</v>
      </c>
      <c r="BF1033" s="11">
        <v>42296</v>
      </c>
      <c r="BG1033" s="11">
        <v>42279</v>
      </c>
      <c r="BH1033" s="11">
        <v>42279</v>
      </c>
      <c r="BI1033" s="11">
        <v>42396</v>
      </c>
      <c r="BJ1033" s="11">
        <v>42389</v>
      </c>
      <c r="BK1033" s="10">
        <v>1</v>
      </c>
      <c r="BL1033" s="10"/>
      <c r="BM1033" s="10"/>
      <c r="BN1033" s="11">
        <v>42389</v>
      </c>
      <c r="BO1033" s="10"/>
      <c r="BP1033" s="10"/>
      <c r="BQ1033" s="10"/>
      <c r="BR1033" s="10"/>
      <c r="BS1033" s="10"/>
      <c r="BT1033" s="11">
        <v>42496</v>
      </c>
      <c r="BU1033" s="10"/>
      <c r="BV1033" s="11">
        <v>42524</v>
      </c>
      <c r="BW1033" s="10"/>
      <c r="BX1033" s="10"/>
      <c r="BY1033" s="11">
        <v>42538</v>
      </c>
      <c r="BZ1033" s="10"/>
      <c r="CA1033" s="11">
        <v>42332</v>
      </c>
      <c r="CB1033" s="10"/>
      <c r="CC1033" s="10"/>
      <c r="CD1033" s="10"/>
      <c r="CE1033" s="10"/>
      <c r="CF1033" s="10"/>
      <c r="CG1033" s="10"/>
      <c r="CH1033" s="10"/>
      <c r="CI1033" s="10"/>
      <c r="CJ1033" s="11">
        <v>42566</v>
      </c>
      <c r="CK1033" s="10"/>
      <c r="CL1033" s="10"/>
      <c r="CM1033" s="10"/>
      <c r="CN1033" s="10"/>
      <c r="CO1033" s="10"/>
      <c r="CP1033" s="10" t="s">
        <v>2329</v>
      </c>
      <c r="CQ1033" s="10"/>
      <c r="CR1033" s="11">
        <v>42371</v>
      </c>
      <c r="CS1033" s="10"/>
      <c r="CT1033" s="10"/>
      <c r="CU1033" s="10"/>
      <c r="CV1033" s="10"/>
      <c r="CW1033" s="10"/>
      <c r="CX1033" s="10"/>
      <c r="CY1033" s="10"/>
      <c r="CZ1033" s="10"/>
      <c r="DA1033" s="11">
        <v>42551</v>
      </c>
      <c r="DB1033" s="10"/>
      <c r="DC1033" s="11">
        <v>42241</v>
      </c>
      <c r="DD1033" s="10" t="s">
        <v>586</v>
      </c>
      <c r="DE1033" s="10"/>
      <c r="DF1033" s="10"/>
      <c r="DG1033" s="10"/>
      <c r="DH1033" s="10" t="s">
        <v>174</v>
      </c>
      <c r="DI1033" s="10"/>
      <c r="DJ1033" s="10" t="b">
        <v>0</v>
      </c>
      <c r="DK1033" s="10"/>
      <c r="DL1033" s="10">
        <v>2316920</v>
      </c>
      <c r="DM1033" s="10">
        <v>5603530</v>
      </c>
      <c r="DN1033" s="10" t="s">
        <v>2330</v>
      </c>
      <c r="DO1033" s="10"/>
      <c r="DP1033" s="10"/>
      <c r="DQ1033" s="10" t="s">
        <v>148</v>
      </c>
      <c r="DR1033" s="10" t="s">
        <v>255</v>
      </c>
      <c r="DS1033" s="10"/>
      <c r="DT1033" s="10"/>
      <c r="DU1033" s="10" t="s">
        <v>178</v>
      </c>
      <c r="DV1033" s="10"/>
      <c r="DW1033" s="10"/>
      <c r="DX1033" s="10"/>
      <c r="DY1033" s="11">
        <v>42440</v>
      </c>
      <c r="DZ1033" s="10"/>
      <c r="EA1033" s="10"/>
      <c r="EB1033" s="10"/>
      <c r="EC1033" s="10"/>
      <c r="ED1033" s="10"/>
      <c r="EE1033" s="11">
        <v>42489</v>
      </c>
      <c r="EF1033" s="10"/>
      <c r="EG1033" s="11">
        <v>42379</v>
      </c>
      <c r="EH1033" s="10"/>
      <c r="EI1033" s="11">
        <v>42208</v>
      </c>
    </row>
    <row r="1034" spans="1:139" s="7" customFormat="1" x14ac:dyDescent="0.2">
      <c r="A1034" s="7" t="str">
        <f>VLOOKUP(B1034,Sheet1!$A$1:$B$18,2,FALSE)</f>
        <v>South Island</v>
      </c>
      <c r="B1034" s="7" t="str">
        <f>LEFT(D1034,3)</f>
        <v>STH</v>
      </c>
      <c r="C1034" s="8">
        <v>1300</v>
      </c>
      <c r="D1034" s="9" t="str">
        <f>HYPERLINK("https://sitebase.nzcomms.co.nz/spm/spmnominalview/STH-073-023/","STH-073-023")</f>
        <v>STH-073-023</v>
      </c>
      <c r="E1034" s="10" t="s">
        <v>3900</v>
      </c>
      <c r="F1034" s="9" t="str">
        <f>HYPERLINK("https://sitebase.nzcomms.co.nz/spm/spmcandidateview/STH-073-023-A/","STH-073-023-A")</f>
        <v>STH-073-023-A</v>
      </c>
      <c r="G1034" s="10" t="s">
        <v>3901</v>
      </c>
      <c r="H1034" s="10" t="s">
        <v>3879</v>
      </c>
      <c r="I1034" s="10">
        <v>21</v>
      </c>
      <c r="J1034" s="10" t="s">
        <v>331</v>
      </c>
      <c r="K1034" s="10" t="s">
        <v>141</v>
      </c>
      <c r="L1034" s="10" t="s">
        <v>142</v>
      </c>
      <c r="M1034" s="10" t="s">
        <v>166</v>
      </c>
      <c r="N1034" s="10" t="s">
        <v>142</v>
      </c>
      <c r="O1034" s="10"/>
      <c r="P1034" s="10"/>
      <c r="Q1034" s="10" t="s">
        <v>142</v>
      </c>
      <c r="R1034" s="10">
        <v>45</v>
      </c>
      <c r="S1034" s="10">
        <v>50</v>
      </c>
      <c r="T1034" s="10"/>
      <c r="U1034" s="10">
        <v>-46.36675443</v>
      </c>
      <c r="V1034" s="10">
        <v>168.53119311</v>
      </c>
      <c r="W1034" s="10"/>
      <c r="X1034" s="10"/>
      <c r="Y1034" s="10"/>
      <c r="Z1034" s="10"/>
      <c r="AA1034" s="10" t="s">
        <v>145</v>
      </c>
      <c r="AB1034" s="9" t="str">
        <f>HYPERLINK("https://sitebase.nzcomms.co.nz/spm/spmcandidateview/OTG-070-015-A/","OTG-070-015-A")</f>
        <v>OTG-070-015-A</v>
      </c>
      <c r="AC1034" s="10" t="b">
        <v>0</v>
      </c>
      <c r="AD1034" s="10" t="b">
        <v>0</v>
      </c>
      <c r="AE1034" s="10"/>
      <c r="AF1034" s="10"/>
      <c r="AG1034" s="10" t="b">
        <v>0</v>
      </c>
      <c r="AH1034" s="10"/>
      <c r="AI1034" s="11">
        <v>42338</v>
      </c>
      <c r="AJ1034" s="11">
        <v>42345</v>
      </c>
      <c r="AK1034" s="11">
        <v>42361</v>
      </c>
      <c r="AL1034" s="11">
        <v>42361</v>
      </c>
      <c r="AM1034" s="11">
        <v>42419</v>
      </c>
      <c r="AN1034" s="11">
        <v>42391</v>
      </c>
      <c r="AO1034" s="10">
        <v>2</v>
      </c>
      <c r="AP1034" s="10"/>
      <c r="AQ1034" s="11">
        <v>42410</v>
      </c>
      <c r="AR1034" s="11">
        <v>42426</v>
      </c>
      <c r="AS1034" s="10"/>
      <c r="AT1034" s="11">
        <v>42460</v>
      </c>
      <c r="AU1034" s="10"/>
      <c r="AV1034" s="10"/>
      <c r="AW1034" s="10"/>
      <c r="AX1034" s="10"/>
      <c r="AY1034" s="10"/>
      <c r="AZ1034" s="11">
        <v>42454</v>
      </c>
      <c r="BA1034" s="10"/>
      <c r="BB1034" s="11">
        <v>42489</v>
      </c>
      <c r="BC1034" s="10"/>
      <c r="BD1034" s="10"/>
      <c r="BE1034" s="10"/>
      <c r="BF1034" s="10"/>
      <c r="BG1034" s="11">
        <v>42468</v>
      </c>
      <c r="BH1034" s="10"/>
      <c r="BI1034" s="11">
        <v>42489</v>
      </c>
      <c r="BJ1034" s="10"/>
      <c r="BK1034" s="10"/>
      <c r="BL1034" s="10"/>
      <c r="BM1034" s="10"/>
      <c r="BN1034" s="10"/>
      <c r="BO1034" s="10"/>
      <c r="BP1034" s="10"/>
      <c r="BQ1034" s="10"/>
      <c r="BR1034" s="10"/>
      <c r="BS1034" s="10"/>
      <c r="BT1034" s="11">
        <v>42524</v>
      </c>
      <c r="BU1034" s="10"/>
      <c r="BV1034" s="11">
        <v>42538</v>
      </c>
      <c r="BW1034" s="10"/>
      <c r="BX1034" s="10"/>
      <c r="BY1034" s="11">
        <v>42551</v>
      </c>
      <c r="BZ1034" s="10"/>
      <c r="CA1034" s="10"/>
      <c r="CB1034" s="10"/>
      <c r="CC1034" s="10"/>
      <c r="CD1034" s="10"/>
      <c r="CE1034" s="10"/>
      <c r="CF1034" s="10"/>
      <c r="CG1034" s="10"/>
      <c r="CH1034" s="10"/>
      <c r="CI1034" s="10"/>
      <c r="CJ1034" s="11">
        <v>42582</v>
      </c>
      <c r="CK1034" s="10"/>
      <c r="CL1034" s="10"/>
      <c r="CM1034" s="10"/>
      <c r="CN1034" s="10"/>
      <c r="CO1034" s="10"/>
      <c r="CP1034" s="10" t="s">
        <v>3902</v>
      </c>
      <c r="CQ1034" s="10"/>
      <c r="CR1034" s="10"/>
      <c r="CS1034" s="10"/>
      <c r="CT1034" s="10"/>
      <c r="CU1034" s="10"/>
      <c r="CV1034" s="10"/>
      <c r="CW1034" s="10"/>
      <c r="CX1034" s="10"/>
      <c r="CY1034" s="10"/>
      <c r="CZ1034" s="10"/>
      <c r="DA1034" s="11">
        <v>42566</v>
      </c>
      <c r="DB1034" s="10"/>
      <c r="DC1034" s="10"/>
      <c r="DD1034" s="10"/>
      <c r="DE1034" s="10"/>
      <c r="DF1034" s="10"/>
      <c r="DG1034" s="10"/>
      <c r="DH1034" s="10" t="s">
        <v>174</v>
      </c>
      <c r="DI1034" s="10"/>
      <c r="DJ1034" s="10" t="b">
        <v>0</v>
      </c>
      <c r="DK1034" s="10"/>
      <c r="DL1034" s="10">
        <v>2166035</v>
      </c>
      <c r="DM1034" s="10">
        <v>5417450</v>
      </c>
      <c r="DN1034" s="10"/>
      <c r="DO1034" s="10"/>
      <c r="DP1034" s="10"/>
      <c r="DQ1034" s="10" t="s">
        <v>148</v>
      </c>
      <c r="DR1034" s="10"/>
      <c r="DS1034" s="10"/>
      <c r="DT1034" s="10"/>
      <c r="DU1034" s="10" t="s">
        <v>178</v>
      </c>
      <c r="DV1034" s="10"/>
      <c r="DW1034" s="10"/>
      <c r="DX1034" s="10"/>
      <c r="DY1034" s="11">
        <v>42496</v>
      </c>
      <c r="DZ1034" s="10"/>
      <c r="EA1034" s="10"/>
      <c r="EB1034" s="10"/>
      <c r="EC1034" s="10"/>
      <c r="ED1034" s="10"/>
      <c r="EE1034" s="11">
        <v>42521</v>
      </c>
      <c r="EF1034" s="10"/>
      <c r="EG1034" s="10"/>
      <c r="EH1034" s="10"/>
      <c r="EI1034" s="11">
        <v>42361</v>
      </c>
    </row>
    <row r="1035" spans="1:139" s="7" customFormat="1" x14ac:dyDescent="0.2">
      <c r="A1035" s="7" t="str">
        <f>VLOOKUP(B1035,Sheet1!$A$1:$B$18,2,FALSE)</f>
        <v>South Island</v>
      </c>
      <c r="B1035" s="7" t="str">
        <f>LEFT(D1035,3)</f>
        <v>CAN</v>
      </c>
      <c r="C1035" s="8">
        <v>718</v>
      </c>
      <c r="D1035" s="9" t="str">
        <f>HYPERLINK("https://sitebase.nzcomms.co.nz/spm/spmnominalview/CAN-068-003/","CAN-068-003")</f>
        <v>CAN-068-003</v>
      </c>
      <c r="E1035" s="10" t="s">
        <v>2336</v>
      </c>
      <c r="F1035" s="9" t="str">
        <f>HYPERLINK("https://sitebase.nzcomms.co.nz/spm/spmcandidateview/CAN-068-003-B/","CAN-068-003-B")</f>
        <v>CAN-068-003-B</v>
      </c>
      <c r="G1035" s="10" t="s">
        <v>2337</v>
      </c>
      <c r="H1035" s="10" t="s">
        <v>2335</v>
      </c>
      <c r="I1035" s="10">
        <v>21</v>
      </c>
      <c r="J1035" s="10" t="s">
        <v>165</v>
      </c>
      <c r="K1035" s="10" t="s">
        <v>141</v>
      </c>
      <c r="L1035" s="10" t="s">
        <v>142</v>
      </c>
      <c r="M1035" s="10" t="s">
        <v>166</v>
      </c>
      <c r="N1035" s="10" t="s">
        <v>364</v>
      </c>
      <c r="O1035" s="10"/>
      <c r="P1035" s="10" t="s">
        <v>169</v>
      </c>
      <c r="Q1035" s="10" t="s">
        <v>142</v>
      </c>
      <c r="R1035" s="10"/>
      <c r="S1035" s="10"/>
      <c r="T1035" s="10"/>
      <c r="U1035" s="10">
        <v>-44.982300240000001</v>
      </c>
      <c r="V1035" s="10">
        <v>170.92715960999999</v>
      </c>
      <c r="W1035" s="10"/>
      <c r="X1035" s="10"/>
      <c r="Y1035" s="10"/>
      <c r="Z1035" s="10"/>
      <c r="AA1035" s="10" t="s">
        <v>171</v>
      </c>
      <c r="AB1035" s="9" t="str">
        <f>HYPERLINK("https://sitebase.nzcomms.co.nz/spm/spmcandidateview/CAN-068-004-A/","CAN-068-004-A")</f>
        <v>CAN-068-004-A</v>
      </c>
      <c r="AC1035" s="10" t="b">
        <v>0</v>
      </c>
      <c r="AD1035" s="10" t="b">
        <v>0</v>
      </c>
      <c r="AE1035" s="10"/>
      <c r="AF1035" s="10"/>
      <c r="AG1035" s="10" t="b">
        <v>0</v>
      </c>
      <c r="AH1035" s="10"/>
      <c r="AI1035" s="11">
        <v>42118</v>
      </c>
      <c r="AJ1035" s="11">
        <v>42088</v>
      </c>
      <c r="AK1035" s="11">
        <v>42142</v>
      </c>
      <c r="AL1035" s="11">
        <v>42143</v>
      </c>
      <c r="AM1035" s="11">
        <v>42194</v>
      </c>
      <c r="AN1035" s="11">
        <v>42194</v>
      </c>
      <c r="AO1035" s="10">
        <v>2</v>
      </c>
      <c r="AP1035" s="10"/>
      <c r="AQ1035" s="11">
        <v>42355</v>
      </c>
      <c r="AR1035" s="11">
        <v>42405</v>
      </c>
      <c r="AS1035" s="10"/>
      <c r="AT1035" s="11">
        <v>42447</v>
      </c>
      <c r="AU1035" s="10"/>
      <c r="AV1035" s="10"/>
      <c r="AW1035" s="10"/>
      <c r="AX1035" s="10"/>
      <c r="AY1035" s="10" t="s">
        <v>172</v>
      </c>
      <c r="AZ1035" s="11">
        <v>42209</v>
      </c>
      <c r="BA1035" s="11">
        <v>42207</v>
      </c>
      <c r="BB1035" s="11">
        <v>42237</v>
      </c>
      <c r="BC1035" s="11">
        <v>42228</v>
      </c>
      <c r="BD1035" s="10">
        <v>1</v>
      </c>
      <c r="BE1035" s="11">
        <v>42244</v>
      </c>
      <c r="BF1035" s="11">
        <v>42229</v>
      </c>
      <c r="BG1035" s="11">
        <v>42452</v>
      </c>
      <c r="BH1035" s="10"/>
      <c r="BI1035" s="11">
        <v>42489</v>
      </c>
      <c r="BJ1035" s="10"/>
      <c r="BK1035" s="10"/>
      <c r="BL1035" s="10"/>
      <c r="BM1035" s="10"/>
      <c r="BN1035" s="10"/>
      <c r="BO1035" s="10"/>
      <c r="BP1035" s="10"/>
      <c r="BQ1035" s="10"/>
      <c r="BR1035" s="10"/>
      <c r="BS1035" s="10"/>
      <c r="BT1035" s="11">
        <v>42524</v>
      </c>
      <c r="BU1035" s="10"/>
      <c r="BV1035" s="11">
        <v>42551</v>
      </c>
      <c r="BW1035" s="10"/>
      <c r="BX1035" s="10"/>
      <c r="BY1035" s="11">
        <v>42555</v>
      </c>
      <c r="BZ1035" s="10"/>
      <c r="CA1035" s="11">
        <v>42383</v>
      </c>
      <c r="CB1035" s="10"/>
      <c r="CC1035" s="10"/>
      <c r="CD1035" s="10"/>
      <c r="CE1035" s="10"/>
      <c r="CF1035" s="10"/>
      <c r="CG1035" s="10"/>
      <c r="CH1035" s="10"/>
      <c r="CI1035" s="10"/>
      <c r="CJ1035" s="11">
        <v>42594</v>
      </c>
      <c r="CK1035" s="10"/>
      <c r="CL1035" s="10"/>
      <c r="CM1035" s="10"/>
      <c r="CN1035" s="10"/>
      <c r="CO1035" s="10"/>
      <c r="CP1035" s="10" t="s">
        <v>2338</v>
      </c>
      <c r="CQ1035" s="10"/>
      <c r="CR1035" s="11">
        <v>42371</v>
      </c>
      <c r="CS1035" s="10"/>
      <c r="CT1035" s="10"/>
      <c r="CU1035" s="10"/>
      <c r="CV1035" s="10"/>
      <c r="CW1035" s="10"/>
      <c r="CX1035" s="10"/>
      <c r="CY1035" s="10"/>
      <c r="CZ1035" s="10"/>
      <c r="DA1035" s="11">
        <v>42566</v>
      </c>
      <c r="DB1035" s="10"/>
      <c r="DC1035" s="11">
        <v>42057</v>
      </c>
      <c r="DD1035" s="10" t="s">
        <v>586</v>
      </c>
      <c r="DE1035" s="10"/>
      <c r="DF1035" s="10"/>
      <c r="DG1035" s="10"/>
      <c r="DH1035" s="10" t="s">
        <v>174</v>
      </c>
      <c r="DI1035" s="10"/>
      <c r="DJ1035" s="10" t="b">
        <v>0</v>
      </c>
      <c r="DK1035" s="10"/>
      <c r="DL1035" s="10">
        <v>2346490</v>
      </c>
      <c r="DM1035" s="10">
        <v>5578544</v>
      </c>
      <c r="DN1035" s="10" t="s">
        <v>2339</v>
      </c>
      <c r="DO1035" s="10"/>
      <c r="DP1035" s="10" t="s">
        <v>2340</v>
      </c>
      <c r="DQ1035" s="10" t="s">
        <v>148</v>
      </c>
      <c r="DR1035" s="10" t="s">
        <v>255</v>
      </c>
      <c r="DS1035" s="10"/>
      <c r="DT1035" s="10"/>
      <c r="DU1035" s="10" t="s">
        <v>178</v>
      </c>
      <c r="DV1035" s="10"/>
      <c r="DW1035" s="10"/>
      <c r="DX1035" s="10"/>
      <c r="DY1035" s="11">
        <v>42475</v>
      </c>
      <c r="DZ1035" s="10"/>
      <c r="EA1035" s="10"/>
      <c r="EB1035" s="10"/>
      <c r="EC1035" s="10"/>
      <c r="ED1035" s="10"/>
      <c r="EE1035" s="11">
        <v>42510</v>
      </c>
      <c r="EF1035" s="10"/>
      <c r="EG1035" s="11">
        <v>42379</v>
      </c>
      <c r="EH1035" s="10"/>
      <c r="EI1035" s="11">
        <v>42143</v>
      </c>
    </row>
    <row r="1036" spans="1:139" s="7" customFormat="1" x14ac:dyDescent="0.2">
      <c r="A1036" s="7" t="str">
        <f>VLOOKUP(B1036,Sheet1!$A$1:$B$18,2,FALSE)</f>
        <v>South Island</v>
      </c>
      <c r="B1036" s="7" t="str">
        <f>LEFT(D1036,3)</f>
        <v>STH</v>
      </c>
      <c r="C1036" s="8">
        <v>1304</v>
      </c>
      <c r="D1036" s="9" t="str">
        <f>HYPERLINK("https://sitebase.nzcomms.co.nz/spm/spmnominalview/STH-074-004/","STH-074-004")</f>
        <v>STH-074-004</v>
      </c>
      <c r="E1036" s="10" t="s">
        <v>3916</v>
      </c>
      <c r="F1036" s="9" t="str">
        <f>HYPERLINK("https://sitebase.nzcomms.co.nz/spm/spmcandidateview/STH-074-004-A/","STH-074-004-A")</f>
        <v>STH-074-004-A</v>
      </c>
      <c r="G1036" s="10" t="s">
        <v>3917</v>
      </c>
      <c r="H1036" s="10" t="s">
        <v>3905</v>
      </c>
      <c r="I1036" s="10">
        <v>21</v>
      </c>
      <c r="J1036" s="10" t="s">
        <v>331</v>
      </c>
      <c r="K1036" s="10" t="s">
        <v>141</v>
      </c>
      <c r="L1036" s="10" t="s">
        <v>142</v>
      </c>
      <c r="M1036" s="10" t="s">
        <v>166</v>
      </c>
      <c r="N1036" s="10" t="s">
        <v>142</v>
      </c>
      <c r="O1036" s="10"/>
      <c r="P1036" s="10" t="s">
        <v>169</v>
      </c>
      <c r="Q1036" s="10" t="s">
        <v>142</v>
      </c>
      <c r="R1036" s="10"/>
      <c r="S1036" s="10"/>
      <c r="T1036" s="10"/>
      <c r="U1036" s="10"/>
      <c r="V1036" s="10"/>
      <c r="W1036" s="10"/>
      <c r="X1036" s="10"/>
      <c r="Y1036" s="10"/>
      <c r="Z1036" s="10"/>
      <c r="AA1036" s="10" t="s">
        <v>145</v>
      </c>
      <c r="AB1036" s="9" t="str">
        <f>HYPERLINK("https://sitebase.nzcomms.co.nz/spm/spmcandidateview/STH-074-002-A/","STH-074-002-A")</f>
        <v>STH-074-002-A</v>
      </c>
      <c r="AC1036" s="10" t="b">
        <v>0</v>
      </c>
      <c r="AD1036" s="10" t="b">
        <v>0</v>
      </c>
      <c r="AE1036" s="10"/>
      <c r="AF1036" s="10"/>
      <c r="AG1036" s="10" t="b">
        <v>0</v>
      </c>
      <c r="AH1036" s="10"/>
      <c r="AI1036" s="11">
        <v>42405</v>
      </c>
      <c r="AJ1036" s="11">
        <v>42403</v>
      </c>
      <c r="AK1036" s="11">
        <v>42419</v>
      </c>
      <c r="AL1036" s="10"/>
      <c r="AM1036" s="11">
        <v>42459</v>
      </c>
      <c r="AN1036" s="10"/>
      <c r="AO1036" s="10"/>
      <c r="AP1036" s="10"/>
      <c r="AQ1036" s="10"/>
      <c r="AR1036" s="11">
        <v>42447</v>
      </c>
      <c r="AS1036" s="10"/>
      <c r="AT1036" s="11">
        <v>42503</v>
      </c>
      <c r="AU1036" s="10"/>
      <c r="AV1036" s="10"/>
      <c r="AW1036" s="10"/>
      <c r="AX1036" s="10"/>
      <c r="AY1036" s="10"/>
      <c r="AZ1036" s="11">
        <v>42496</v>
      </c>
      <c r="BA1036" s="10"/>
      <c r="BB1036" s="11">
        <v>42521</v>
      </c>
      <c r="BC1036" s="10"/>
      <c r="BD1036" s="10"/>
      <c r="BE1036" s="10"/>
      <c r="BF1036" s="10"/>
      <c r="BG1036" s="11">
        <v>42475</v>
      </c>
      <c r="BH1036" s="10"/>
      <c r="BI1036" s="11">
        <v>42503</v>
      </c>
      <c r="BJ1036" s="10"/>
      <c r="BK1036" s="10"/>
      <c r="BL1036" s="10"/>
      <c r="BM1036" s="10"/>
      <c r="BN1036" s="10"/>
      <c r="BO1036" s="10"/>
      <c r="BP1036" s="10"/>
      <c r="BQ1036" s="10"/>
      <c r="BR1036" s="10"/>
      <c r="BS1036" s="10"/>
      <c r="BT1036" s="11">
        <v>42545</v>
      </c>
      <c r="BU1036" s="10"/>
      <c r="BV1036" s="11">
        <v>42566</v>
      </c>
      <c r="BW1036" s="10"/>
      <c r="BX1036" s="10"/>
      <c r="BY1036" s="11">
        <v>42582</v>
      </c>
      <c r="BZ1036" s="10"/>
      <c r="CA1036" s="10"/>
      <c r="CB1036" s="10"/>
      <c r="CC1036" s="10"/>
      <c r="CD1036" s="10"/>
      <c r="CE1036" s="10"/>
      <c r="CF1036" s="10"/>
      <c r="CG1036" s="10"/>
      <c r="CH1036" s="10"/>
      <c r="CI1036" s="10"/>
      <c r="CJ1036" s="11">
        <v>42612</v>
      </c>
      <c r="CK1036" s="10"/>
      <c r="CL1036" s="10"/>
      <c r="CM1036" s="10"/>
      <c r="CN1036" s="10"/>
      <c r="CO1036" s="10"/>
      <c r="CP1036" s="10"/>
      <c r="CQ1036" s="10" t="s">
        <v>205</v>
      </c>
      <c r="CR1036" s="10"/>
      <c r="CS1036" s="10"/>
      <c r="CT1036" s="10"/>
      <c r="CU1036" s="10"/>
      <c r="CV1036" s="10"/>
      <c r="CW1036" s="10"/>
      <c r="CX1036" s="10"/>
      <c r="CY1036" s="10"/>
      <c r="CZ1036" s="10"/>
      <c r="DA1036" s="11">
        <v>42594</v>
      </c>
      <c r="DB1036" s="10"/>
      <c r="DC1036" s="10"/>
      <c r="DD1036" s="10"/>
      <c r="DE1036" s="10"/>
      <c r="DF1036" s="10"/>
      <c r="DG1036" s="10"/>
      <c r="DH1036" s="10" t="s">
        <v>174</v>
      </c>
      <c r="DI1036" s="10"/>
      <c r="DJ1036" s="10" t="b">
        <v>0</v>
      </c>
      <c r="DK1036" s="10"/>
      <c r="DL1036" s="10"/>
      <c r="DM1036" s="10"/>
      <c r="DN1036" s="10" t="s">
        <v>3918</v>
      </c>
      <c r="DO1036" s="10"/>
      <c r="DP1036" s="10"/>
      <c r="DQ1036" s="10" t="s">
        <v>148</v>
      </c>
      <c r="DR1036" s="10"/>
      <c r="DS1036" s="10"/>
      <c r="DT1036" s="10"/>
      <c r="DU1036" s="10" t="s">
        <v>178</v>
      </c>
      <c r="DV1036" s="10"/>
      <c r="DW1036" s="10"/>
      <c r="DX1036" s="10"/>
      <c r="DY1036" s="11">
        <v>42503</v>
      </c>
      <c r="DZ1036" s="10"/>
      <c r="EA1036" s="10"/>
      <c r="EB1036" s="10"/>
      <c r="EC1036" s="10"/>
      <c r="ED1036" s="10"/>
      <c r="EE1036" s="11">
        <v>42531</v>
      </c>
      <c r="EF1036" s="10"/>
      <c r="EG1036" s="10"/>
      <c r="EH1036" s="10"/>
      <c r="EI1036" s="10"/>
    </row>
    <row r="1037" spans="1:139" s="7" customFormat="1" x14ac:dyDescent="0.2">
      <c r="A1037" s="7" t="str">
        <f>VLOOKUP(B1037,Sheet1!$A$1:$B$18,2,FALSE)</f>
        <v>South Island</v>
      </c>
      <c r="B1037" s="7" t="str">
        <f>LEFT(D1037,3)</f>
        <v>MBN</v>
      </c>
      <c r="C1037" s="8">
        <v>997</v>
      </c>
      <c r="D1037" s="9" t="str">
        <f>HYPERLINK("https://sitebase.nzcomms.co.nz/spm/spmnominalview/MBN-051-017/","MBN-051-017")</f>
        <v>MBN-051-017</v>
      </c>
      <c r="E1037" s="10" t="s">
        <v>3079</v>
      </c>
      <c r="F1037" s="9" t="str">
        <f>HYPERLINK("https://sitebase.nzcomms.co.nz/spm/spmcandidateview/MBN-051-017-F/","MBN-051-017-F")</f>
        <v>MBN-051-017-F</v>
      </c>
      <c r="G1037" s="10" t="s">
        <v>3080</v>
      </c>
      <c r="H1037" s="10" t="s">
        <v>3047</v>
      </c>
      <c r="I1037" s="10">
        <v>21</v>
      </c>
      <c r="J1037" s="10" t="s">
        <v>331</v>
      </c>
      <c r="K1037" s="10" t="s">
        <v>141</v>
      </c>
      <c r="L1037" s="10" t="s">
        <v>150</v>
      </c>
      <c r="M1037" s="10" t="s">
        <v>166</v>
      </c>
      <c r="N1037" s="10" t="s">
        <v>346</v>
      </c>
      <c r="O1037" s="10"/>
      <c r="P1037" s="10" t="s">
        <v>169</v>
      </c>
      <c r="Q1037" s="10" t="s">
        <v>170</v>
      </c>
      <c r="R1037" s="10"/>
      <c r="S1037" s="10">
        <v>25</v>
      </c>
      <c r="T1037" s="10"/>
      <c r="U1037" s="10">
        <v>-41.044466749999998</v>
      </c>
      <c r="V1037" s="10">
        <v>173.01215988000001</v>
      </c>
      <c r="W1037" s="10"/>
      <c r="X1037" s="10"/>
      <c r="Y1037" s="10"/>
      <c r="Z1037" s="10"/>
      <c r="AA1037" s="10" t="s">
        <v>171</v>
      </c>
      <c r="AB1037" s="9" t="str">
        <f>HYPERLINK("https://sitebase.nzcomms.co.nz/spm/spmcandidateview/MBN-051-004-A/","MBN-051-004-A")</f>
        <v>MBN-051-004-A</v>
      </c>
      <c r="AC1037" s="10" t="b">
        <v>0</v>
      </c>
      <c r="AD1037" s="10" t="b">
        <v>0</v>
      </c>
      <c r="AE1037" s="10"/>
      <c r="AF1037" s="10"/>
      <c r="AG1037" s="10" t="b">
        <v>0</v>
      </c>
      <c r="AH1037" s="10"/>
      <c r="AI1037" s="11">
        <v>42342</v>
      </c>
      <c r="AJ1037" s="11">
        <v>42346</v>
      </c>
      <c r="AK1037" s="11">
        <v>42361</v>
      </c>
      <c r="AL1037" s="11">
        <v>42361</v>
      </c>
      <c r="AM1037" s="11">
        <v>42412</v>
      </c>
      <c r="AN1037" s="11">
        <v>42390</v>
      </c>
      <c r="AO1037" s="10">
        <v>2</v>
      </c>
      <c r="AP1037" s="10"/>
      <c r="AQ1037" s="11">
        <v>42390</v>
      </c>
      <c r="AR1037" s="11">
        <v>42412</v>
      </c>
      <c r="AS1037" s="10"/>
      <c r="AT1037" s="11">
        <v>42489</v>
      </c>
      <c r="AU1037" s="10"/>
      <c r="AV1037" s="10"/>
      <c r="AW1037" s="10"/>
      <c r="AX1037" s="10"/>
      <c r="AY1037" s="10" t="s">
        <v>183</v>
      </c>
      <c r="AZ1037" s="11">
        <v>42461</v>
      </c>
      <c r="BA1037" s="10"/>
      <c r="BB1037" s="11">
        <v>42489</v>
      </c>
      <c r="BC1037" s="10"/>
      <c r="BD1037" s="10"/>
      <c r="BE1037" s="10"/>
      <c r="BF1037" s="10"/>
      <c r="BG1037" s="11">
        <v>42468</v>
      </c>
      <c r="BH1037" s="10"/>
      <c r="BI1037" s="11">
        <v>42510</v>
      </c>
      <c r="BJ1037" s="10"/>
      <c r="BK1037" s="10"/>
      <c r="BL1037" s="10"/>
      <c r="BM1037" s="10"/>
      <c r="BN1037" s="10"/>
      <c r="BO1037" s="10"/>
      <c r="BP1037" s="10"/>
      <c r="BQ1037" s="10"/>
      <c r="BR1037" s="10"/>
      <c r="BS1037" s="10"/>
      <c r="BT1037" s="11">
        <v>42522</v>
      </c>
      <c r="BU1037" s="10"/>
      <c r="BV1037" s="11">
        <v>42566</v>
      </c>
      <c r="BW1037" s="10"/>
      <c r="BX1037" s="10"/>
      <c r="BY1037" s="11">
        <v>42580</v>
      </c>
      <c r="BZ1037" s="10"/>
      <c r="CA1037" s="10"/>
      <c r="CB1037" s="10"/>
      <c r="CC1037" s="10"/>
      <c r="CD1037" s="10"/>
      <c r="CE1037" s="10"/>
      <c r="CF1037" s="10"/>
      <c r="CG1037" s="10"/>
      <c r="CH1037" s="10"/>
      <c r="CI1037" s="10"/>
      <c r="CJ1037" s="11">
        <v>42613</v>
      </c>
      <c r="CK1037" s="10"/>
      <c r="CL1037" s="10"/>
      <c r="CM1037" s="10"/>
      <c r="CN1037" s="10"/>
      <c r="CO1037" s="10"/>
      <c r="CP1037" s="10"/>
      <c r="CQ1037" s="10"/>
      <c r="CR1037" s="10"/>
      <c r="CS1037" s="10"/>
      <c r="CT1037" s="10"/>
      <c r="CU1037" s="10"/>
      <c r="CV1037" s="10"/>
      <c r="CW1037" s="10"/>
      <c r="CX1037" s="10"/>
      <c r="CY1037" s="10"/>
      <c r="CZ1037" s="10"/>
      <c r="DA1037" s="11">
        <v>42594</v>
      </c>
      <c r="DB1037" s="10"/>
      <c r="DC1037" s="11">
        <v>41001</v>
      </c>
      <c r="DD1037" s="10" t="s">
        <v>573</v>
      </c>
      <c r="DE1037" s="10" t="s">
        <v>3057</v>
      </c>
      <c r="DF1037" s="10"/>
      <c r="DG1037" s="10"/>
      <c r="DH1037" s="10" t="s">
        <v>174</v>
      </c>
      <c r="DI1037" s="10"/>
      <c r="DJ1037" s="10" t="b">
        <v>1</v>
      </c>
      <c r="DK1037" s="10"/>
      <c r="DL1037" s="10">
        <v>2511008</v>
      </c>
      <c r="DM1037" s="10">
        <v>6018018</v>
      </c>
      <c r="DN1037" s="10"/>
      <c r="DO1037" s="10"/>
      <c r="DP1037" s="10" t="s">
        <v>3081</v>
      </c>
      <c r="DQ1037" s="10" t="s">
        <v>148</v>
      </c>
      <c r="DR1037" s="10"/>
      <c r="DS1037" s="10"/>
      <c r="DT1037" s="10"/>
      <c r="DU1037" s="10" t="s">
        <v>178</v>
      </c>
      <c r="DV1037" s="10"/>
      <c r="DW1037" s="10"/>
      <c r="DX1037" s="10"/>
      <c r="DY1037" s="11">
        <v>42488</v>
      </c>
      <c r="DZ1037" s="10"/>
      <c r="EA1037" s="10"/>
      <c r="EB1037" s="10"/>
      <c r="EC1037" s="10"/>
      <c r="ED1037" s="10"/>
      <c r="EE1037" s="11">
        <v>42517</v>
      </c>
      <c r="EF1037" s="10"/>
      <c r="EG1037" s="10"/>
      <c r="EH1037" s="10"/>
      <c r="EI1037" s="11">
        <v>42361</v>
      </c>
    </row>
    <row r="1038" spans="1:139" s="7" customFormat="1" x14ac:dyDescent="0.2">
      <c r="A1038" s="7" t="str">
        <f>VLOOKUP(B1038,Sheet1!$A$1:$B$18,2,FALSE)</f>
        <v>South Island</v>
      </c>
      <c r="B1038" s="7" t="str">
        <f>LEFT(D1038,3)</f>
        <v>CAN</v>
      </c>
      <c r="C1038" s="8">
        <v>699</v>
      </c>
      <c r="D1038" s="9" t="str">
        <f>HYPERLINK("https://sitebase.nzcomms.co.nz/spm/spmnominalview/CAN-064-017/","CAN-064-017")</f>
        <v>CAN-064-017</v>
      </c>
      <c r="E1038" s="10" t="s">
        <v>2296</v>
      </c>
      <c r="F1038" s="9" t="str">
        <f>HYPERLINK("https://sitebase.nzcomms.co.nz/spm/spmcandidateview/CAN-064-017-A/","CAN-064-017-A")</f>
        <v>CAN-064-017-A</v>
      </c>
      <c r="G1038" s="10" t="s">
        <v>2297</v>
      </c>
      <c r="H1038" s="10" t="s">
        <v>2229</v>
      </c>
      <c r="I1038" s="10">
        <v>21</v>
      </c>
      <c r="J1038" s="10" t="s">
        <v>331</v>
      </c>
      <c r="K1038" s="10" t="s">
        <v>141</v>
      </c>
      <c r="L1038" s="10" t="s">
        <v>150</v>
      </c>
      <c r="M1038" s="10" t="s">
        <v>166</v>
      </c>
      <c r="N1038" s="10" t="s">
        <v>346</v>
      </c>
      <c r="O1038" s="10"/>
      <c r="P1038" s="10"/>
      <c r="Q1038" s="10" t="s">
        <v>192</v>
      </c>
      <c r="R1038" s="10">
        <v>34</v>
      </c>
      <c r="S1038" s="10">
        <v>35</v>
      </c>
      <c r="T1038" s="10"/>
      <c r="U1038" s="10">
        <v>-44.211028669999997</v>
      </c>
      <c r="V1038" s="10">
        <v>171.37978719</v>
      </c>
      <c r="W1038" s="10"/>
      <c r="X1038" s="10"/>
      <c r="Y1038" s="10"/>
      <c r="Z1038" s="10"/>
      <c r="AA1038" s="10"/>
      <c r="AB1038" s="10"/>
      <c r="AC1038" s="10" t="b">
        <v>0</v>
      </c>
      <c r="AD1038" s="10" t="b">
        <v>0</v>
      </c>
      <c r="AE1038" s="10"/>
      <c r="AF1038" s="10"/>
      <c r="AG1038" s="10" t="b">
        <v>0</v>
      </c>
      <c r="AH1038" s="10"/>
      <c r="AI1038" s="11">
        <v>42405</v>
      </c>
      <c r="AJ1038" s="11">
        <v>42402</v>
      </c>
      <c r="AK1038" s="11">
        <v>42419</v>
      </c>
      <c r="AL1038" s="10"/>
      <c r="AM1038" s="11">
        <v>42459</v>
      </c>
      <c r="AN1038" s="10"/>
      <c r="AO1038" s="10"/>
      <c r="AP1038" s="10"/>
      <c r="AQ1038" s="10"/>
      <c r="AR1038" s="11">
        <v>42433</v>
      </c>
      <c r="AS1038" s="10"/>
      <c r="AT1038" s="11">
        <v>42489</v>
      </c>
      <c r="AU1038" s="10"/>
      <c r="AV1038" s="10"/>
      <c r="AW1038" s="10"/>
      <c r="AX1038" s="10"/>
      <c r="AY1038" s="10"/>
      <c r="AZ1038" s="11">
        <v>42461</v>
      </c>
      <c r="BA1038" s="10"/>
      <c r="BB1038" s="11">
        <v>42489</v>
      </c>
      <c r="BC1038" s="10"/>
      <c r="BD1038" s="10"/>
      <c r="BE1038" s="10"/>
      <c r="BF1038" s="10"/>
      <c r="BG1038" s="11">
        <v>42496</v>
      </c>
      <c r="BH1038" s="10"/>
      <c r="BI1038" s="11">
        <v>42521</v>
      </c>
      <c r="BJ1038" s="10"/>
      <c r="BK1038" s="10"/>
      <c r="BL1038" s="10"/>
      <c r="BM1038" s="10"/>
      <c r="BN1038" s="10"/>
      <c r="BO1038" s="10"/>
      <c r="BP1038" s="10"/>
      <c r="BQ1038" s="10"/>
      <c r="BR1038" s="10"/>
      <c r="BS1038" s="10"/>
      <c r="BT1038" s="11">
        <v>42552</v>
      </c>
      <c r="BU1038" s="10"/>
      <c r="BV1038" s="11">
        <v>42582</v>
      </c>
      <c r="BW1038" s="10"/>
      <c r="BX1038" s="10"/>
      <c r="BY1038" s="11">
        <v>42594</v>
      </c>
      <c r="BZ1038" s="10"/>
      <c r="CA1038" s="10"/>
      <c r="CB1038" s="10"/>
      <c r="CC1038" s="10"/>
      <c r="CD1038" s="10"/>
      <c r="CE1038" s="10"/>
      <c r="CF1038" s="10"/>
      <c r="CG1038" s="10"/>
      <c r="CH1038" s="10"/>
      <c r="CI1038" s="10"/>
      <c r="CJ1038" s="11">
        <v>42622</v>
      </c>
      <c r="CK1038" s="10"/>
      <c r="CL1038" s="10"/>
      <c r="CM1038" s="10"/>
      <c r="CN1038" s="10"/>
      <c r="CO1038" s="10"/>
      <c r="CP1038" s="10"/>
      <c r="CQ1038" s="10"/>
      <c r="CR1038" s="10"/>
      <c r="CS1038" s="10"/>
      <c r="CT1038" s="10"/>
      <c r="CU1038" s="10"/>
      <c r="CV1038" s="10"/>
      <c r="CW1038" s="10"/>
      <c r="CX1038" s="10"/>
      <c r="CY1038" s="10"/>
      <c r="CZ1038" s="10"/>
      <c r="DA1038" s="11">
        <v>42608</v>
      </c>
      <c r="DB1038" s="10"/>
      <c r="DC1038" s="10"/>
      <c r="DD1038" s="10"/>
      <c r="DE1038" s="10"/>
      <c r="DF1038" s="10"/>
      <c r="DG1038" s="10"/>
      <c r="DH1038" s="10" t="s">
        <v>174</v>
      </c>
      <c r="DI1038" s="10"/>
      <c r="DJ1038" s="10" t="b">
        <v>0</v>
      </c>
      <c r="DK1038" s="10"/>
      <c r="DL1038" s="10">
        <v>2380520</v>
      </c>
      <c r="DM1038" s="10">
        <v>5665020</v>
      </c>
      <c r="DN1038" s="10" t="s">
        <v>2298</v>
      </c>
      <c r="DO1038" s="10"/>
      <c r="DP1038" s="10"/>
      <c r="DQ1038" s="10" t="s">
        <v>148</v>
      </c>
      <c r="DR1038" s="10"/>
      <c r="DS1038" s="10"/>
      <c r="DT1038" s="10"/>
      <c r="DU1038" s="10" t="s">
        <v>178</v>
      </c>
      <c r="DV1038" s="10"/>
      <c r="DW1038" s="10"/>
      <c r="DX1038" s="10"/>
      <c r="DY1038" s="11">
        <v>42522</v>
      </c>
      <c r="DZ1038" s="10"/>
      <c r="EA1038" s="10"/>
      <c r="EB1038" s="10"/>
      <c r="EC1038" s="10"/>
      <c r="ED1038" s="10"/>
      <c r="EE1038" s="11">
        <v>42551</v>
      </c>
      <c r="EF1038" s="10"/>
      <c r="EG1038" s="10"/>
      <c r="EH1038" s="10"/>
      <c r="EI1038" s="10"/>
    </row>
    <row r="1039" spans="1:139" s="7" customFormat="1" x14ac:dyDescent="0.2">
      <c r="A1039" s="7" t="str">
        <f>VLOOKUP(B1039,Sheet1!$A$1:$B$18,2,FALSE)</f>
        <v>South Island</v>
      </c>
      <c r="B1039" s="7" t="str">
        <f>LEFT(D1039,3)</f>
        <v>STH</v>
      </c>
      <c r="C1039" s="8">
        <v>1278</v>
      </c>
      <c r="D1039" s="9" t="str">
        <f>HYPERLINK("https://sitebase.nzcomms.co.nz/spm/spmnominalview/STH-073-001/","STH-073-001")</f>
        <v>STH-073-001</v>
      </c>
      <c r="E1039" s="10" t="s">
        <v>3877</v>
      </c>
      <c r="F1039" s="9" t="str">
        <f>HYPERLINK("https://sitebase.nzcomms.co.nz/spm/spmcandidateview/STH-073-001-B/","STH-073-001-B")</f>
        <v>STH-073-001-B</v>
      </c>
      <c r="G1039" s="10" t="s">
        <v>3878</v>
      </c>
      <c r="H1039" s="10" t="s">
        <v>3879</v>
      </c>
      <c r="I1039" s="10">
        <v>21</v>
      </c>
      <c r="J1039" s="10" t="s">
        <v>331</v>
      </c>
      <c r="K1039" s="10" t="s">
        <v>141</v>
      </c>
      <c r="L1039" s="10" t="s">
        <v>150</v>
      </c>
      <c r="M1039" s="10" t="s">
        <v>166</v>
      </c>
      <c r="N1039" s="10" t="s">
        <v>346</v>
      </c>
      <c r="O1039" s="10"/>
      <c r="P1039" s="10" t="s">
        <v>169</v>
      </c>
      <c r="Q1039" s="10" t="s">
        <v>192</v>
      </c>
      <c r="R1039" s="10"/>
      <c r="S1039" s="10"/>
      <c r="T1039" s="10"/>
      <c r="U1039" s="10">
        <v>-46.307854679999998</v>
      </c>
      <c r="V1039" s="10">
        <v>168.78472088000001</v>
      </c>
      <c r="W1039" s="10"/>
      <c r="X1039" s="10"/>
      <c r="Y1039" s="10"/>
      <c r="Z1039" s="10"/>
      <c r="AA1039" s="10" t="s">
        <v>171</v>
      </c>
      <c r="AB1039" s="9" t="str">
        <f>HYPERLINK("https://sitebase.nzcomms.co.nz/spm/spmcandidateview/STH-074-002-A/","STH-074-002-A")</f>
        <v>STH-074-002-A</v>
      </c>
      <c r="AC1039" s="10" t="b">
        <v>0</v>
      </c>
      <c r="AD1039" s="10" t="b">
        <v>0</v>
      </c>
      <c r="AE1039" s="10"/>
      <c r="AF1039" s="10"/>
      <c r="AG1039" s="10" t="b">
        <v>0</v>
      </c>
      <c r="AH1039" s="10"/>
      <c r="AI1039" s="11">
        <v>42405</v>
      </c>
      <c r="AJ1039" s="11">
        <v>42404</v>
      </c>
      <c r="AK1039" s="11">
        <v>42419</v>
      </c>
      <c r="AL1039" s="10"/>
      <c r="AM1039" s="11">
        <v>42459</v>
      </c>
      <c r="AN1039" s="10"/>
      <c r="AO1039" s="10"/>
      <c r="AP1039" s="10"/>
      <c r="AQ1039" s="10"/>
      <c r="AR1039" s="11">
        <v>42433</v>
      </c>
      <c r="AS1039" s="10"/>
      <c r="AT1039" s="11">
        <v>42489</v>
      </c>
      <c r="AU1039" s="10"/>
      <c r="AV1039" s="10"/>
      <c r="AW1039" s="10"/>
      <c r="AX1039" s="10"/>
      <c r="AY1039" s="10" t="s">
        <v>183</v>
      </c>
      <c r="AZ1039" s="11">
        <v>42468</v>
      </c>
      <c r="BA1039" s="10"/>
      <c r="BB1039" s="11">
        <v>42489</v>
      </c>
      <c r="BC1039" s="10"/>
      <c r="BD1039" s="10"/>
      <c r="BE1039" s="10"/>
      <c r="BF1039" s="10"/>
      <c r="BG1039" s="11">
        <v>42475</v>
      </c>
      <c r="BH1039" s="10"/>
      <c r="BI1039" s="11">
        <v>42520</v>
      </c>
      <c r="BJ1039" s="10"/>
      <c r="BK1039" s="10"/>
      <c r="BL1039" s="10"/>
      <c r="BM1039" s="10"/>
      <c r="BN1039" s="10"/>
      <c r="BO1039" s="10"/>
      <c r="BP1039" s="10"/>
      <c r="BQ1039" s="10"/>
      <c r="BR1039" s="10"/>
      <c r="BS1039" s="10"/>
      <c r="BT1039" s="11">
        <v>42559</v>
      </c>
      <c r="BU1039" s="10"/>
      <c r="BV1039" s="11">
        <v>42594</v>
      </c>
      <c r="BW1039" s="10"/>
      <c r="BX1039" s="10"/>
      <c r="BY1039" s="11">
        <v>42608</v>
      </c>
      <c r="BZ1039" s="10"/>
      <c r="CA1039" s="10"/>
      <c r="CB1039" s="10"/>
      <c r="CC1039" s="10"/>
      <c r="CD1039" s="10"/>
      <c r="CE1039" s="10"/>
      <c r="CF1039" s="10"/>
      <c r="CG1039" s="10"/>
      <c r="CH1039" s="10"/>
      <c r="CI1039" s="10"/>
      <c r="CJ1039" s="11">
        <v>42643</v>
      </c>
      <c r="CK1039" s="10"/>
      <c r="CL1039" s="10"/>
      <c r="CM1039" s="10"/>
      <c r="CN1039" s="10"/>
      <c r="CO1039" s="10"/>
      <c r="CP1039" s="10" t="s">
        <v>3880</v>
      </c>
      <c r="CQ1039" s="10"/>
      <c r="CR1039" s="10"/>
      <c r="CS1039" s="10"/>
      <c r="CT1039" s="10"/>
      <c r="CU1039" s="10"/>
      <c r="CV1039" s="10"/>
      <c r="CW1039" s="10"/>
      <c r="CX1039" s="10"/>
      <c r="CY1039" s="10"/>
      <c r="CZ1039" s="10"/>
      <c r="DA1039" s="11">
        <v>42629</v>
      </c>
      <c r="DB1039" s="10"/>
      <c r="DC1039" s="11">
        <v>42055</v>
      </c>
      <c r="DD1039" s="10" t="s">
        <v>586</v>
      </c>
      <c r="DE1039" s="10"/>
      <c r="DF1039" s="10"/>
      <c r="DG1039" s="10"/>
      <c r="DH1039" s="10" t="s">
        <v>174</v>
      </c>
      <c r="DI1039" s="10"/>
      <c r="DJ1039" s="10" t="b">
        <v>1</v>
      </c>
      <c r="DK1039" s="10"/>
      <c r="DL1039" s="10">
        <v>2185181</v>
      </c>
      <c r="DM1039" s="10">
        <v>5425016</v>
      </c>
      <c r="DN1039" s="10" t="s">
        <v>3881</v>
      </c>
      <c r="DO1039" s="10"/>
      <c r="DP1039" s="10" t="s">
        <v>3882</v>
      </c>
      <c r="DQ1039" s="10" t="s">
        <v>148</v>
      </c>
      <c r="DR1039" s="10" t="s">
        <v>255</v>
      </c>
      <c r="DS1039" s="10"/>
      <c r="DT1039" s="10"/>
      <c r="DU1039" s="10" t="s">
        <v>178</v>
      </c>
      <c r="DV1039" s="10"/>
      <c r="DW1039" s="10"/>
      <c r="DX1039" s="10"/>
      <c r="DY1039" s="11">
        <v>42517</v>
      </c>
      <c r="DZ1039" s="10"/>
      <c r="EA1039" s="10"/>
      <c r="EB1039" s="10"/>
      <c r="EC1039" s="10"/>
      <c r="ED1039" s="10"/>
      <c r="EE1039" s="11">
        <v>42551</v>
      </c>
      <c r="EF1039" s="10"/>
      <c r="EG1039" s="10"/>
      <c r="EH1039" s="10"/>
      <c r="EI1039" s="10"/>
    </row>
    <row r="1040" spans="1:139" hidden="1" x14ac:dyDescent="0.2">
      <c r="A1040" t="str">
        <f>VLOOKUP(B1040,Sheet1!$A$1:$B$18,2,FALSE)</f>
        <v>South Island</v>
      </c>
      <c r="B1040" t="str">
        <f>LEFT(D1040,3)</f>
        <v>MBN</v>
      </c>
      <c r="C1040" s="2">
        <v>1027</v>
      </c>
      <c r="D1040" s="3" t="str">
        <f>HYPERLINK("https://sitebase.nzcomms.co.nz/spm/spmnominalview/MBN-053-005/","MBN-053-005")</f>
        <v>MBN-053-005</v>
      </c>
      <c r="E1040" s="4" t="s">
        <v>3158</v>
      </c>
      <c r="F1040" s="3" t="str">
        <f>HYPERLINK("https://sitebase.nzcomms.co.nz/spm/spmcandidateview/MBN-053-005-A/","MBN-053-005-A")</f>
        <v>MBN-053-005-A</v>
      </c>
      <c r="G1040" s="4" t="s">
        <v>3159</v>
      </c>
      <c r="H1040" s="4" t="s">
        <v>3152</v>
      </c>
      <c r="I1040" s="4">
        <v>21</v>
      </c>
      <c r="J1040" s="4" t="s">
        <v>165</v>
      </c>
      <c r="K1040" s="4" t="s">
        <v>141</v>
      </c>
      <c r="L1040" s="4" t="s">
        <v>142</v>
      </c>
      <c r="M1040" s="4" t="s">
        <v>166</v>
      </c>
      <c r="N1040" s="4" t="s">
        <v>142</v>
      </c>
      <c r="O1040" s="4"/>
      <c r="P1040" s="4" t="s">
        <v>169</v>
      </c>
      <c r="Q1040" s="4" t="s">
        <v>142</v>
      </c>
      <c r="R1040" s="4">
        <v>23</v>
      </c>
      <c r="S1040" s="4">
        <v>20</v>
      </c>
      <c r="T1040" s="4">
        <v>1</v>
      </c>
      <c r="U1040" s="4">
        <v>-41.434737300000002</v>
      </c>
      <c r="V1040" s="4">
        <v>173.81491054</v>
      </c>
      <c r="W1040" s="4"/>
      <c r="X1040" s="4"/>
      <c r="Y1040" s="4"/>
      <c r="Z1040" s="4"/>
      <c r="AA1040" s="4" t="s">
        <v>171</v>
      </c>
      <c r="AB1040" s="3" t="str">
        <f>HYPERLINK("https://sitebase.nzcomms.co.nz/spm/spmcandidateview/MBN-053-004-A/","MBN-053-004-A")</f>
        <v>MBN-053-004-A</v>
      </c>
      <c r="AC1040" s="4" t="b">
        <v>0</v>
      </c>
      <c r="AD1040" s="4" t="b">
        <v>0</v>
      </c>
      <c r="AE1040" s="4"/>
      <c r="AF1040" s="4"/>
      <c r="AG1040" s="4" t="b">
        <v>0</v>
      </c>
      <c r="AH1040" s="4"/>
      <c r="AI1040" s="5">
        <v>42069</v>
      </c>
      <c r="AJ1040" s="5">
        <v>42067</v>
      </c>
      <c r="AK1040" s="5">
        <v>42094</v>
      </c>
      <c r="AL1040" s="5">
        <v>42093</v>
      </c>
      <c r="AM1040" s="5">
        <v>42124</v>
      </c>
      <c r="AN1040" s="5">
        <v>42122</v>
      </c>
      <c r="AO1040" s="4">
        <v>2</v>
      </c>
      <c r="AP1040" s="4"/>
      <c r="AQ1040" s="5">
        <v>42122</v>
      </c>
      <c r="AR1040" s="5">
        <v>42307</v>
      </c>
      <c r="AS1040" s="4"/>
      <c r="AT1040" s="5">
        <v>42349</v>
      </c>
      <c r="AU1040" s="4"/>
      <c r="AV1040" s="4"/>
      <c r="AW1040" s="5">
        <v>42349</v>
      </c>
      <c r="AX1040" s="4"/>
      <c r="AY1040" s="4" t="s">
        <v>172</v>
      </c>
      <c r="AZ1040" s="5">
        <v>42131</v>
      </c>
      <c r="BA1040" s="5">
        <v>42124</v>
      </c>
      <c r="BB1040" s="5">
        <v>42159</v>
      </c>
      <c r="BC1040" s="5">
        <v>42144</v>
      </c>
      <c r="BD1040" s="4">
        <v>2</v>
      </c>
      <c r="BE1040" s="5">
        <v>42160</v>
      </c>
      <c r="BF1040" s="5">
        <v>42150</v>
      </c>
      <c r="BG1040" s="5">
        <v>42160</v>
      </c>
      <c r="BH1040" s="5">
        <v>42139</v>
      </c>
      <c r="BI1040" s="5">
        <v>42223</v>
      </c>
      <c r="BJ1040" s="5">
        <v>42206</v>
      </c>
      <c r="BK1040" s="4">
        <v>1</v>
      </c>
      <c r="BL1040" s="4"/>
      <c r="BM1040" s="4"/>
      <c r="BN1040" s="5">
        <v>42206</v>
      </c>
      <c r="BO1040" s="4"/>
      <c r="BP1040" s="4"/>
      <c r="BQ1040" s="4"/>
      <c r="BR1040" s="4"/>
      <c r="BS1040" s="4"/>
      <c r="BT1040" s="4"/>
      <c r="BU1040" s="4"/>
      <c r="BV1040" s="4"/>
      <c r="BW1040" s="4"/>
      <c r="BX1040" s="4"/>
      <c r="BY1040" s="4"/>
      <c r="BZ1040" s="4"/>
      <c r="CA1040" s="4"/>
      <c r="CB1040" s="4"/>
      <c r="CC1040" s="4"/>
      <c r="CD1040" s="4"/>
      <c r="CE1040" s="4"/>
      <c r="CF1040" s="4"/>
      <c r="CG1040" s="4"/>
      <c r="CH1040" s="4"/>
      <c r="CI1040" s="4"/>
      <c r="CJ1040" s="5">
        <v>42748</v>
      </c>
      <c r="CK1040" s="4"/>
      <c r="CL1040" s="4"/>
      <c r="CM1040" s="4"/>
      <c r="CN1040" s="4"/>
      <c r="CO1040" s="4"/>
      <c r="CP1040" s="4" t="s">
        <v>3160</v>
      </c>
      <c r="CQ1040" s="4" t="s">
        <v>230</v>
      </c>
      <c r="CR1040" s="4"/>
      <c r="CS1040" s="4"/>
      <c r="CT1040" s="4"/>
      <c r="CU1040" s="4"/>
      <c r="CV1040" s="4"/>
      <c r="CW1040" s="4"/>
      <c r="CX1040" s="4"/>
      <c r="CY1040" s="4"/>
      <c r="CZ1040" s="4"/>
      <c r="DA1040" s="4"/>
      <c r="DB1040" s="4"/>
      <c r="DC1040" s="5">
        <v>41001</v>
      </c>
      <c r="DD1040" s="4" t="s">
        <v>586</v>
      </c>
      <c r="DE1040" s="4" t="s">
        <v>3155</v>
      </c>
      <c r="DF1040" s="4"/>
      <c r="DG1040" s="4"/>
      <c r="DH1040" s="4" t="s">
        <v>1521</v>
      </c>
      <c r="DI1040" s="4"/>
      <c r="DJ1040" s="4" t="b">
        <v>0</v>
      </c>
      <c r="DK1040" s="4"/>
      <c r="DL1040" s="4">
        <v>2578092</v>
      </c>
      <c r="DM1040" s="4">
        <v>5974362</v>
      </c>
      <c r="DN1040" s="4" t="s">
        <v>3161</v>
      </c>
      <c r="DO1040" s="4"/>
      <c r="DP1040" s="4"/>
      <c r="DQ1040" s="4" t="s">
        <v>148</v>
      </c>
      <c r="DR1040" s="4" t="s">
        <v>255</v>
      </c>
      <c r="DS1040" s="4"/>
      <c r="DT1040" s="4"/>
      <c r="DU1040" s="4" t="s">
        <v>178</v>
      </c>
      <c r="DV1040" s="4"/>
      <c r="DW1040" s="4"/>
      <c r="DX1040" s="4"/>
      <c r="DY1040" s="5">
        <v>42321</v>
      </c>
      <c r="DZ1040" s="4"/>
      <c r="EA1040" s="4"/>
      <c r="EB1040" s="4"/>
      <c r="EC1040" s="4"/>
      <c r="ED1040" s="4"/>
      <c r="EE1040" s="4"/>
      <c r="EF1040" s="4"/>
      <c r="EG1040" s="4"/>
      <c r="EH1040" s="4"/>
      <c r="EI1040" s="5">
        <v>42093</v>
      </c>
    </row>
    <row r="1041" spans="1:139" hidden="1" x14ac:dyDescent="0.2">
      <c r="A1041" t="str">
        <f>VLOOKUP(B1041,Sheet1!$A$1:$B$18,2,FALSE)</f>
        <v>South Island</v>
      </c>
      <c r="B1041" t="str">
        <f>LEFT(D1041,3)</f>
        <v>CAN</v>
      </c>
      <c r="C1041" s="2">
        <v>623</v>
      </c>
      <c r="D1041" s="3" t="str">
        <f>HYPERLINK("https://sitebase.nzcomms.co.nz/spm/spmnominalview/CAN-054-003/","CAN-054-003")</f>
        <v>CAN-054-003</v>
      </c>
      <c r="E1041" s="4" t="s">
        <v>2020</v>
      </c>
      <c r="F1041" s="4"/>
      <c r="G1041" s="4"/>
      <c r="H1041" s="4" t="s">
        <v>2011</v>
      </c>
      <c r="I1041" s="4"/>
      <c r="J1041" s="4" t="s">
        <v>196</v>
      </c>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4"/>
      <c r="BS1041" s="4"/>
      <c r="BT1041" s="4"/>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t="s">
        <v>2021</v>
      </c>
      <c r="CQ1041" s="4"/>
      <c r="CR1041" s="4"/>
      <c r="CS1041" s="4"/>
      <c r="CT1041" s="4"/>
      <c r="CU1041" s="4"/>
      <c r="CV1041" s="4"/>
      <c r="CW1041" s="4"/>
      <c r="CX1041" s="4"/>
      <c r="CY1041" s="4"/>
      <c r="CZ1041" s="4"/>
      <c r="DA1041" s="4"/>
      <c r="DB1041" s="4"/>
      <c r="DC1041" s="4"/>
      <c r="DD1041" s="4"/>
      <c r="DE1041" s="4"/>
      <c r="DF1041" s="4"/>
      <c r="DG1041" s="4"/>
      <c r="DH1041" s="4"/>
      <c r="DI1041" s="4"/>
      <c r="DJ1041" s="4"/>
      <c r="DK1041" s="4"/>
      <c r="DL1041" s="4"/>
      <c r="DM1041" s="4"/>
      <c r="DN1041" s="4"/>
      <c r="DO1041" s="4"/>
      <c r="DP1041" s="4"/>
      <c r="DQ1041" s="4"/>
      <c r="DR1041" s="4"/>
      <c r="DS1041" s="4"/>
      <c r="DT1041" s="4"/>
      <c r="DU1041" s="4"/>
      <c r="DV1041" s="4"/>
      <c r="DW1041" s="4"/>
      <c r="DX1041" s="4"/>
      <c r="DY1041" s="4"/>
      <c r="DZ1041" s="4"/>
      <c r="EA1041" s="4"/>
      <c r="EB1041" s="4"/>
      <c r="EC1041" s="4"/>
      <c r="ED1041" s="4"/>
      <c r="EE1041" s="4"/>
      <c r="EF1041" s="4"/>
      <c r="EG1041" s="4"/>
      <c r="EH1041" s="4"/>
      <c r="EI1041" s="4"/>
    </row>
    <row r="1042" spans="1:139" hidden="1" x14ac:dyDescent="0.2">
      <c r="A1042">
        <f>VLOOKUP(B1042,Sheet1!$A$1:$B$18,2,FALSE)</f>
        <v>0</v>
      </c>
      <c r="B1042" t="str">
        <f>LEFT(D1042,3)</f>
        <v>MNW</v>
      </c>
      <c r="C1042" s="2">
        <v>1041</v>
      </c>
      <c r="D1042" s="3" t="str">
        <f>HYPERLINK("https://sitebase.nzcomms.co.nz/spm/spmnominalview/MNW-036-001/","MNW-036-001")</f>
        <v>MNW-036-001</v>
      </c>
      <c r="E1042" s="4"/>
      <c r="F1042" s="4"/>
      <c r="G1042" s="4"/>
      <c r="H1042" s="4" t="s">
        <v>3197</v>
      </c>
      <c r="I1042" s="4"/>
      <c r="J1042" s="4" t="s">
        <v>196</v>
      </c>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4"/>
      <c r="CW1042" s="4"/>
      <c r="CX1042" s="4"/>
      <c r="CY1042" s="4"/>
      <c r="CZ1042" s="4"/>
      <c r="DA1042" s="4"/>
      <c r="DB1042" s="4"/>
      <c r="DC1042" s="4"/>
      <c r="DD1042" s="4"/>
      <c r="DE1042" s="4"/>
      <c r="DF1042" s="4"/>
      <c r="DG1042" s="4"/>
      <c r="DH1042" s="4"/>
      <c r="DI1042" s="4"/>
      <c r="DJ1042" s="4"/>
      <c r="DK1042" s="4"/>
      <c r="DL1042" s="4"/>
      <c r="DM1042" s="4"/>
      <c r="DN1042" s="4"/>
      <c r="DO1042" s="4"/>
      <c r="DP1042" s="4"/>
      <c r="DQ1042" s="4"/>
      <c r="DR1042" s="4"/>
      <c r="DS1042" s="4"/>
      <c r="DT1042" s="4"/>
      <c r="DU1042" s="4"/>
      <c r="DV1042" s="4"/>
      <c r="DW1042" s="4"/>
      <c r="DX1042" s="4"/>
      <c r="DY1042" s="4"/>
      <c r="DZ1042" s="4"/>
      <c r="EA1042" s="4"/>
      <c r="EB1042" s="4"/>
      <c r="EC1042" s="4"/>
      <c r="ED1042" s="4"/>
      <c r="EE1042" s="4"/>
      <c r="EF1042" s="4"/>
      <c r="EG1042" s="4"/>
      <c r="EH1042" s="4"/>
      <c r="EI1042" s="4"/>
    </row>
    <row r="1043" spans="1:139" hidden="1" x14ac:dyDescent="0.2">
      <c r="A1043">
        <f>VLOOKUP(B1043,Sheet1!$A$1:$B$18,2,FALSE)</f>
        <v>0</v>
      </c>
      <c r="B1043" t="str">
        <f>LEFT(D1043,3)</f>
        <v>MNW</v>
      </c>
      <c r="C1043" s="2">
        <v>1042</v>
      </c>
      <c r="D1043" s="3" t="str">
        <f>HYPERLINK("https://sitebase.nzcomms.co.nz/spm/spmnominalview/MNW-036-002/","MNW-036-002")</f>
        <v>MNW-036-002</v>
      </c>
      <c r="E1043" s="4" t="s">
        <v>3198</v>
      </c>
      <c r="F1043" s="3" t="str">
        <f>HYPERLINK("https://sitebase.nzcomms.co.nz/spm/spmcandidateview/MNW-036-002-A/","MNW-036-002-A")</f>
        <v>MNW-036-002-A</v>
      </c>
      <c r="G1043" s="4" t="s">
        <v>3199</v>
      </c>
      <c r="H1043" s="4" t="s">
        <v>3197</v>
      </c>
      <c r="I1043" s="4">
        <v>24</v>
      </c>
      <c r="J1043" s="4" t="s">
        <v>165</v>
      </c>
      <c r="K1043" s="4" t="s">
        <v>141</v>
      </c>
      <c r="L1043" s="4" t="s">
        <v>150</v>
      </c>
      <c r="M1043" s="4" t="s">
        <v>190</v>
      </c>
      <c r="N1043" s="4" t="s">
        <v>269</v>
      </c>
      <c r="O1043" s="4" t="s">
        <v>168</v>
      </c>
      <c r="P1043" s="4" t="s">
        <v>169</v>
      </c>
      <c r="Q1043" s="4" t="s">
        <v>192</v>
      </c>
      <c r="R1043" s="4">
        <v>19.5</v>
      </c>
      <c r="S1043" s="4">
        <v>20</v>
      </c>
      <c r="T1043" s="4"/>
      <c r="U1043" s="4">
        <v>-38.883693149999999</v>
      </c>
      <c r="V1043" s="4">
        <v>175.26213501000001</v>
      </c>
      <c r="W1043" s="4"/>
      <c r="X1043" s="5">
        <v>42109</v>
      </c>
      <c r="Y1043" s="4"/>
      <c r="Z1043" s="5">
        <v>42109</v>
      </c>
      <c r="AA1043" s="4" t="s">
        <v>145</v>
      </c>
      <c r="AB1043" s="3" t="str">
        <f>HYPERLINK("https://sitebase.nzcomms.co.nz/spm/spmcandidateview/WKT-016-023-B/","WKT-016-023-B")</f>
        <v>WKT-016-023-B</v>
      </c>
      <c r="AC1043" s="4" t="b">
        <v>0</v>
      </c>
      <c r="AD1043" s="4" t="b">
        <v>0</v>
      </c>
      <c r="AE1043" s="4"/>
      <c r="AF1043" s="4"/>
      <c r="AG1043" s="4" t="b">
        <v>0</v>
      </c>
      <c r="AH1043" s="4"/>
      <c r="AI1043" s="5">
        <v>42069</v>
      </c>
      <c r="AJ1043" s="5">
        <v>42069</v>
      </c>
      <c r="AK1043" s="5">
        <v>42069</v>
      </c>
      <c r="AL1043" s="5">
        <v>42069</v>
      </c>
      <c r="AM1043" s="5">
        <v>42069</v>
      </c>
      <c r="AN1043" s="5">
        <v>42069</v>
      </c>
      <c r="AO1043" s="4">
        <v>1</v>
      </c>
      <c r="AP1043" s="5">
        <v>42069</v>
      </c>
      <c r="AQ1043" s="5">
        <v>42069</v>
      </c>
      <c r="AR1043" s="5">
        <v>41153</v>
      </c>
      <c r="AS1043" s="5">
        <v>42069</v>
      </c>
      <c r="AT1043" s="5">
        <v>41153</v>
      </c>
      <c r="AU1043" s="5">
        <v>41155</v>
      </c>
      <c r="AV1043" s="4">
        <v>1</v>
      </c>
      <c r="AW1043" s="5">
        <v>41158</v>
      </c>
      <c r="AX1043" s="5">
        <v>41155</v>
      </c>
      <c r="AY1043" s="4" t="s">
        <v>172</v>
      </c>
      <c r="AZ1043" s="5">
        <v>41110</v>
      </c>
      <c r="BA1043" s="5">
        <v>41110</v>
      </c>
      <c r="BB1043" s="5">
        <v>41145</v>
      </c>
      <c r="BC1043" s="5">
        <v>41141</v>
      </c>
      <c r="BD1043" s="4">
        <v>1</v>
      </c>
      <c r="BE1043" s="5">
        <v>41149</v>
      </c>
      <c r="BF1043" s="5">
        <v>41144</v>
      </c>
      <c r="BG1043" s="5">
        <v>42038</v>
      </c>
      <c r="BH1043" s="5">
        <v>42038</v>
      </c>
      <c r="BI1043" s="5">
        <v>42088</v>
      </c>
      <c r="BJ1043" s="5">
        <v>42090</v>
      </c>
      <c r="BK1043" s="4">
        <v>1</v>
      </c>
      <c r="BL1043" s="4"/>
      <c r="BM1043" s="5">
        <v>42090</v>
      </c>
      <c r="BN1043" s="5">
        <v>42090</v>
      </c>
      <c r="BO1043" s="4"/>
      <c r="BP1043" s="4"/>
      <c r="BQ1043" s="4"/>
      <c r="BR1043" s="4"/>
      <c r="BS1043" s="4"/>
      <c r="BT1043" s="5">
        <v>42170</v>
      </c>
      <c r="BU1043" s="5">
        <v>42171</v>
      </c>
      <c r="BV1043" s="5">
        <v>42234</v>
      </c>
      <c r="BW1043" s="5">
        <v>42234</v>
      </c>
      <c r="BX1043" s="5">
        <v>42220</v>
      </c>
      <c r="BY1043" s="5">
        <v>42234</v>
      </c>
      <c r="BZ1043" s="5">
        <v>42234</v>
      </c>
      <c r="CA1043" s="5">
        <v>42223</v>
      </c>
      <c r="CB1043" s="5">
        <v>42228</v>
      </c>
      <c r="CC1043" s="5">
        <v>42213</v>
      </c>
      <c r="CD1043" s="5">
        <v>42213</v>
      </c>
      <c r="CE1043" s="5">
        <v>42213</v>
      </c>
      <c r="CF1043" s="5">
        <v>42213</v>
      </c>
      <c r="CG1043" s="5">
        <v>42213</v>
      </c>
      <c r="CH1043" s="5">
        <v>42213</v>
      </c>
      <c r="CI1043" s="4"/>
      <c r="CJ1043" s="5">
        <v>42255</v>
      </c>
      <c r="CK1043" s="5">
        <v>42255</v>
      </c>
      <c r="CL1043" s="4"/>
      <c r="CM1043" s="4"/>
      <c r="CN1043" s="4"/>
      <c r="CO1043" s="4"/>
      <c r="CP1043" s="4" t="s">
        <v>3200</v>
      </c>
      <c r="CQ1043" s="4"/>
      <c r="CR1043" s="4"/>
      <c r="CS1043" s="4"/>
      <c r="CT1043" s="4"/>
      <c r="CU1043" s="4"/>
      <c r="CV1043" s="4"/>
      <c r="CW1043" s="4"/>
      <c r="CX1043" s="4"/>
      <c r="CY1043" s="4"/>
      <c r="CZ1043" s="4"/>
      <c r="DA1043" s="5">
        <v>42251</v>
      </c>
      <c r="DB1043" s="5">
        <v>42249</v>
      </c>
      <c r="DC1043" s="5">
        <v>41094</v>
      </c>
      <c r="DD1043" s="4" t="s">
        <v>586</v>
      </c>
      <c r="DE1043" s="4" t="s">
        <v>3201</v>
      </c>
      <c r="DF1043" s="5">
        <v>42223</v>
      </c>
      <c r="DG1043" s="5">
        <v>42220</v>
      </c>
      <c r="DH1043" s="4" t="s">
        <v>174</v>
      </c>
      <c r="DI1043" s="5">
        <v>42220</v>
      </c>
      <c r="DJ1043" s="4" t="b">
        <v>0</v>
      </c>
      <c r="DK1043" s="4"/>
      <c r="DL1043" s="4">
        <v>2706312</v>
      </c>
      <c r="DM1043" s="4">
        <v>6255365</v>
      </c>
      <c r="DN1043" s="4" t="s">
        <v>3202</v>
      </c>
      <c r="DO1043" s="4"/>
      <c r="DP1043" s="4"/>
      <c r="DQ1043" s="4" t="s">
        <v>148</v>
      </c>
      <c r="DR1043" s="4"/>
      <c r="DS1043" s="4"/>
      <c r="DT1043" s="4"/>
      <c r="DU1043" s="4" t="s">
        <v>178</v>
      </c>
      <c r="DV1043" s="4"/>
      <c r="DW1043" s="5">
        <v>42076</v>
      </c>
      <c r="DX1043" s="5">
        <v>42080</v>
      </c>
      <c r="DY1043" s="5">
        <v>42145</v>
      </c>
      <c r="DZ1043" s="5">
        <v>42101</v>
      </c>
      <c r="EA1043" s="4"/>
      <c r="EB1043" s="4"/>
      <c r="EC1043" s="4"/>
      <c r="ED1043" s="4"/>
      <c r="EE1043" s="5">
        <v>42167</v>
      </c>
      <c r="EF1043" s="5">
        <v>42167</v>
      </c>
      <c r="EG1043" s="4"/>
      <c r="EH1043" s="4"/>
      <c r="EI1043" s="5">
        <v>42069</v>
      </c>
    </row>
    <row r="1044" spans="1:139" hidden="1" x14ac:dyDescent="0.2">
      <c r="A1044">
        <f>VLOOKUP(B1044,Sheet1!$A$1:$B$18,2,FALSE)</f>
        <v>0</v>
      </c>
      <c r="B1044" t="str">
        <f>LEFT(D1044,3)</f>
        <v>MNW</v>
      </c>
      <c r="C1044" s="2">
        <v>1043</v>
      </c>
      <c r="D1044" s="3" t="str">
        <f>HYPERLINK("https://sitebase.nzcomms.co.nz/spm/spmnominalview/MNW-036-003/","MNW-036-003")</f>
        <v>MNW-036-003</v>
      </c>
      <c r="E1044" s="4" t="s">
        <v>3203</v>
      </c>
      <c r="F1044" s="3" t="str">
        <f>HYPERLINK("https://sitebase.nzcomms.co.nz/spm/spmcandidateview/MNW-036-003-B/","MNW-036-003-B")</f>
        <v>MNW-036-003-B</v>
      </c>
      <c r="G1044" s="4" t="s">
        <v>3204</v>
      </c>
      <c r="H1044" s="4" t="s">
        <v>3197</v>
      </c>
      <c r="I1044" s="4">
        <v>24</v>
      </c>
      <c r="J1044" s="4" t="s">
        <v>165</v>
      </c>
      <c r="K1044" s="4" t="s">
        <v>141</v>
      </c>
      <c r="L1044" s="4" t="s">
        <v>150</v>
      </c>
      <c r="M1044" s="4" t="s">
        <v>166</v>
      </c>
      <c r="N1044" s="4" t="s">
        <v>1572</v>
      </c>
      <c r="O1044" s="4"/>
      <c r="P1044" s="4" t="s">
        <v>169</v>
      </c>
      <c r="Q1044" s="4" t="s">
        <v>170</v>
      </c>
      <c r="R1044" s="4"/>
      <c r="S1044" s="4"/>
      <c r="T1044" s="4"/>
      <c r="U1044" s="4">
        <v>-38.898050210000001</v>
      </c>
      <c r="V1044" s="4">
        <v>175.35978900999999</v>
      </c>
      <c r="W1044" s="4"/>
      <c r="X1044" s="5">
        <v>42074</v>
      </c>
      <c r="Y1044" s="4"/>
      <c r="Z1044" s="5">
        <v>42173</v>
      </c>
      <c r="AA1044" s="4" t="s">
        <v>145</v>
      </c>
      <c r="AB1044" s="3" t="str">
        <f>HYPERLINK("https://sitebase.nzcomms.co.nz/spm/spmcandidateview/WKT-016-023-B/","WKT-016-023-B")</f>
        <v>WKT-016-023-B</v>
      </c>
      <c r="AC1044" s="4" t="b">
        <v>0</v>
      </c>
      <c r="AD1044" s="4" t="b">
        <v>0</v>
      </c>
      <c r="AE1044" s="4"/>
      <c r="AF1044" s="4"/>
      <c r="AG1044" s="4" t="b">
        <v>0</v>
      </c>
      <c r="AH1044" s="4"/>
      <c r="AI1044" s="5">
        <v>42121</v>
      </c>
      <c r="AJ1044" s="5">
        <v>42124</v>
      </c>
      <c r="AK1044" s="5">
        <v>42167</v>
      </c>
      <c r="AL1044" s="5">
        <v>42167</v>
      </c>
      <c r="AM1044" s="5">
        <v>42171</v>
      </c>
      <c r="AN1044" s="5">
        <v>42166</v>
      </c>
      <c r="AO1044" s="4">
        <v>1</v>
      </c>
      <c r="AP1044" s="4"/>
      <c r="AQ1044" s="5">
        <v>42166</v>
      </c>
      <c r="AR1044" s="5">
        <v>42213</v>
      </c>
      <c r="AS1044" s="5">
        <v>42213</v>
      </c>
      <c r="AT1044" s="5">
        <v>42223</v>
      </c>
      <c r="AU1044" s="5">
        <v>42227</v>
      </c>
      <c r="AV1044" s="4"/>
      <c r="AW1044" s="5">
        <v>42227</v>
      </c>
      <c r="AX1044" s="5">
        <v>42227</v>
      </c>
      <c r="AY1044" s="4" t="s">
        <v>247</v>
      </c>
      <c r="AZ1044" s="5">
        <v>42185</v>
      </c>
      <c r="BA1044" s="5">
        <v>42174</v>
      </c>
      <c r="BB1044" s="5">
        <v>42230</v>
      </c>
      <c r="BC1044" s="5">
        <v>42227</v>
      </c>
      <c r="BD1044" s="4">
        <v>1</v>
      </c>
      <c r="BE1044" s="4"/>
      <c r="BF1044" s="5">
        <v>42222</v>
      </c>
      <c r="BG1044" s="5">
        <v>42186</v>
      </c>
      <c r="BH1044" s="5">
        <v>42184</v>
      </c>
      <c r="BI1044" s="5">
        <v>42244</v>
      </c>
      <c r="BJ1044" s="5">
        <v>42242</v>
      </c>
      <c r="BK1044" s="4">
        <v>1</v>
      </c>
      <c r="BL1044" s="4"/>
      <c r="BM1044" s="4"/>
      <c r="BN1044" s="5">
        <v>42242</v>
      </c>
      <c r="BO1044" s="4"/>
      <c r="BP1044" s="4"/>
      <c r="BQ1044" s="4"/>
      <c r="BR1044" s="4"/>
      <c r="BS1044" s="4"/>
      <c r="BT1044" s="5">
        <v>42766</v>
      </c>
      <c r="BU1044" s="4"/>
      <c r="BV1044" s="5">
        <v>42794</v>
      </c>
      <c r="BW1044" s="4"/>
      <c r="BX1044" s="4"/>
      <c r="BY1044" s="5">
        <v>42811</v>
      </c>
      <c r="BZ1044" s="4"/>
      <c r="CA1044" s="5">
        <v>42293</v>
      </c>
      <c r="CB1044" s="4"/>
      <c r="CC1044" s="5">
        <v>42213</v>
      </c>
      <c r="CD1044" s="5">
        <v>42213</v>
      </c>
      <c r="CE1044" s="4"/>
      <c r="CF1044" s="4"/>
      <c r="CG1044" s="4"/>
      <c r="CH1044" s="4"/>
      <c r="CI1044" s="4"/>
      <c r="CJ1044" s="5">
        <v>42839</v>
      </c>
      <c r="CK1044" s="4"/>
      <c r="CL1044" s="4"/>
      <c r="CM1044" s="4"/>
      <c r="CN1044" s="4"/>
      <c r="CO1044" s="4"/>
      <c r="CP1044" s="4" t="s">
        <v>3205</v>
      </c>
      <c r="CQ1044" s="4"/>
      <c r="CR1044" s="4"/>
      <c r="CS1044" s="4"/>
      <c r="CT1044" s="4"/>
      <c r="CU1044" s="4"/>
      <c r="CV1044" s="4"/>
      <c r="CW1044" s="4"/>
      <c r="CX1044" s="4"/>
      <c r="CY1044" s="4"/>
      <c r="CZ1044" s="4"/>
      <c r="DA1044" s="5">
        <v>42825</v>
      </c>
      <c r="DB1044" s="4"/>
      <c r="DC1044" s="4"/>
      <c r="DD1044" s="4"/>
      <c r="DE1044" s="4"/>
      <c r="DF1044" s="5">
        <v>42293</v>
      </c>
      <c r="DG1044" s="4"/>
      <c r="DH1044" s="4" t="s">
        <v>1521</v>
      </c>
      <c r="DI1044" s="4"/>
      <c r="DJ1044" s="4" t="b">
        <v>0</v>
      </c>
      <c r="DK1044" s="4"/>
      <c r="DL1044" s="4">
        <v>2714738</v>
      </c>
      <c r="DM1044" s="4">
        <v>6253550</v>
      </c>
      <c r="DN1044" s="4" t="s">
        <v>3206</v>
      </c>
      <c r="DO1044" s="4" t="s">
        <v>3207</v>
      </c>
      <c r="DP1044" s="4"/>
      <c r="DQ1044" s="4" t="s">
        <v>148</v>
      </c>
      <c r="DR1044" s="4"/>
      <c r="DS1044" s="4"/>
      <c r="DT1044" s="4"/>
      <c r="DU1044" s="4" t="s">
        <v>178</v>
      </c>
      <c r="DV1044" s="4"/>
      <c r="DW1044" s="5">
        <v>42201</v>
      </c>
      <c r="DX1044" s="4"/>
      <c r="DY1044" s="5">
        <v>42230</v>
      </c>
      <c r="DZ1044" s="5">
        <v>42223</v>
      </c>
      <c r="EA1044" s="4"/>
      <c r="EB1044" s="4"/>
      <c r="EC1044" s="4"/>
      <c r="ED1044" s="4"/>
      <c r="EE1044" s="5">
        <v>42748</v>
      </c>
      <c r="EF1044" s="4"/>
      <c r="EG1044" s="4"/>
      <c r="EH1044" s="4"/>
      <c r="EI1044" s="5">
        <v>42151</v>
      </c>
    </row>
    <row r="1045" spans="1:139" hidden="1" x14ac:dyDescent="0.2">
      <c r="A1045">
        <f>VLOOKUP(B1045,Sheet1!$A$1:$B$18,2,FALSE)</f>
        <v>0</v>
      </c>
      <c r="B1045" t="str">
        <f>LEFT(D1045,3)</f>
        <v>MNW</v>
      </c>
      <c r="C1045" s="2">
        <v>1044</v>
      </c>
      <c r="D1045" s="3" t="str">
        <f>HYPERLINK("https://sitebase.nzcomms.co.nz/spm/spmnominalview/MNW-036-004/","MNW-036-004")</f>
        <v>MNW-036-004</v>
      </c>
      <c r="E1045" s="4" t="s">
        <v>3208</v>
      </c>
      <c r="F1045" s="4"/>
      <c r="G1045" s="4"/>
      <c r="H1045" s="4" t="s">
        <v>3197</v>
      </c>
      <c r="I1045" s="4">
        <v>24</v>
      </c>
      <c r="J1045" s="4" t="s">
        <v>196</v>
      </c>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t="b">
        <v>0</v>
      </c>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c r="BT1045" s="4"/>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t="s">
        <v>3209</v>
      </c>
      <c r="CQ1045" s="4"/>
      <c r="CR1045" s="4"/>
      <c r="CS1045" s="4"/>
      <c r="CT1045" s="4"/>
      <c r="CU1045" s="4"/>
      <c r="CV1045" s="4"/>
      <c r="CW1045" s="4"/>
      <c r="CX1045" s="4"/>
      <c r="CY1045" s="4"/>
      <c r="CZ1045" s="4"/>
      <c r="DA1045" s="4"/>
      <c r="DB1045" s="4"/>
      <c r="DC1045" s="4"/>
      <c r="DD1045" s="4"/>
      <c r="DE1045" s="4"/>
      <c r="DF1045" s="4"/>
      <c r="DG1045" s="4"/>
      <c r="DH1045" s="4"/>
      <c r="DI1045" s="4"/>
      <c r="DJ1045" s="4"/>
      <c r="DK1045" s="4"/>
      <c r="DL1045" s="4"/>
      <c r="DM1045" s="4"/>
      <c r="DN1045" s="4"/>
      <c r="DO1045" s="4"/>
      <c r="DP1045" s="4"/>
      <c r="DQ1045" s="4"/>
      <c r="DR1045" s="4"/>
      <c r="DS1045" s="4"/>
      <c r="DT1045" s="4"/>
      <c r="DU1045" s="4"/>
      <c r="DV1045" s="4"/>
      <c r="DW1045" s="4"/>
      <c r="DX1045" s="4"/>
      <c r="DY1045" s="4"/>
      <c r="DZ1045" s="4"/>
      <c r="EA1045" s="4"/>
      <c r="EB1045" s="4"/>
      <c r="EC1045" s="4"/>
      <c r="ED1045" s="4"/>
      <c r="EE1045" s="4"/>
      <c r="EF1045" s="4"/>
      <c r="EG1045" s="4"/>
      <c r="EH1045" s="4"/>
      <c r="EI1045" s="4"/>
    </row>
    <row r="1046" spans="1:139" hidden="1" x14ac:dyDescent="0.2">
      <c r="A1046">
        <f>VLOOKUP(B1046,Sheet1!$A$1:$B$18,2,FALSE)</f>
        <v>0</v>
      </c>
      <c r="B1046" t="str">
        <f>LEFT(D1046,3)</f>
        <v>MNW</v>
      </c>
      <c r="C1046" s="2">
        <v>1045</v>
      </c>
      <c r="D1046" s="3" t="str">
        <f>HYPERLINK("https://sitebase.nzcomms.co.nz/spm/spmnominalview/MNW-036-005/","MNW-036-005")</f>
        <v>MNW-036-005</v>
      </c>
      <c r="E1046" s="4" t="s">
        <v>3210</v>
      </c>
      <c r="F1046" s="4"/>
      <c r="G1046" s="4"/>
      <c r="H1046" s="4" t="s">
        <v>3197</v>
      </c>
      <c r="I1046" s="4"/>
      <c r="J1046" s="4" t="s">
        <v>196</v>
      </c>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t="b">
        <v>0</v>
      </c>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4"/>
      <c r="BS1046" s="4"/>
      <c r="BT1046" s="4"/>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4"/>
      <c r="CW1046" s="4"/>
      <c r="CX1046" s="4"/>
      <c r="CY1046" s="4"/>
      <c r="CZ1046" s="4"/>
      <c r="DA1046" s="4"/>
      <c r="DB1046" s="4"/>
      <c r="DC1046" s="4"/>
      <c r="DD1046" s="4"/>
      <c r="DE1046" s="4"/>
      <c r="DF1046" s="4"/>
      <c r="DG1046" s="4"/>
      <c r="DH1046" s="4"/>
      <c r="DI1046" s="4"/>
      <c r="DJ1046" s="4"/>
      <c r="DK1046" s="4"/>
      <c r="DL1046" s="4"/>
      <c r="DM1046" s="4"/>
      <c r="DN1046" s="4"/>
      <c r="DO1046" s="4"/>
      <c r="DP1046" s="4"/>
      <c r="DQ1046" s="4"/>
      <c r="DR1046" s="4"/>
      <c r="DS1046" s="4"/>
      <c r="DT1046" s="4"/>
      <c r="DU1046" s="4"/>
      <c r="DV1046" s="4"/>
      <c r="DW1046" s="4"/>
      <c r="DX1046" s="4"/>
      <c r="DY1046" s="4"/>
      <c r="DZ1046" s="4"/>
      <c r="EA1046" s="4"/>
      <c r="EB1046" s="4"/>
      <c r="EC1046" s="4"/>
      <c r="ED1046" s="4"/>
      <c r="EE1046" s="4"/>
      <c r="EF1046" s="4"/>
      <c r="EG1046" s="4"/>
      <c r="EH1046" s="4"/>
      <c r="EI1046" s="4"/>
    </row>
    <row r="1047" spans="1:139" hidden="1" x14ac:dyDescent="0.2">
      <c r="A1047">
        <f>VLOOKUP(B1047,Sheet1!$A$1:$B$18,2,FALSE)</f>
        <v>0</v>
      </c>
      <c r="B1047" t="str">
        <f>LEFT(D1047,3)</f>
        <v>MNW</v>
      </c>
      <c r="C1047" s="2">
        <v>1046</v>
      </c>
      <c r="D1047" s="3" t="str">
        <f>HYPERLINK("https://sitebase.nzcomms.co.nz/spm/spmnominalview/MNW-036-006/","MNW-036-006")</f>
        <v>MNW-036-006</v>
      </c>
      <c r="E1047" s="4" t="s">
        <v>3211</v>
      </c>
      <c r="F1047" s="4"/>
      <c r="G1047" s="4"/>
      <c r="H1047" s="4" t="s">
        <v>3197</v>
      </c>
      <c r="I1047" s="4"/>
      <c r="J1047" s="4" t="s">
        <v>196</v>
      </c>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t="b">
        <v>0</v>
      </c>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4"/>
      <c r="CW1047" s="4"/>
      <c r="CX1047" s="4"/>
      <c r="CY1047" s="4"/>
      <c r="CZ1047" s="4"/>
      <c r="DA1047" s="4"/>
      <c r="DB1047" s="4"/>
      <c r="DC1047" s="4"/>
      <c r="DD1047" s="4"/>
      <c r="DE1047" s="4"/>
      <c r="DF1047" s="4"/>
      <c r="DG1047" s="4"/>
      <c r="DH1047" s="4"/>
      <c r="DI1047" s="4"/>
      <c r="DJ1047" s="4"/>
      <c r="DK1047" s="4"/>
      <c r="DL1047" s="4"/>
      <c r="DM1047" s="4"/>
      <c r="DN1047" s="4"/>
      <c r="DO1047" s="4"/>
      <c r="DP1047" s="4"/>
      <c r="DQ1047" s="4"/>
      <c r="DR1047" s="4"/>
      <c r="DS1047" s="4"/>
      <c r="DT1047" s="4"/>
      <c r="DU1047" s="4"/>
      <c r="DV1047" s="4"/>
      <c r="DW1047" s="4"/>
      <c r="DX1047" s="4"/>
      <c r="DY1047" s="4"/>
      <c r="DZ1047" s="4"/>
      <c r="EA1047" s="4"/>
      <c r="EB1047" s="4"/>
      <c r="EC1047" s="4"/>
      <c r="ED1047" s="4"/>
      <c r="EE1047" s="4"/>
      <c r="EF1047" s="4"/>
      <c r="EG1047" s="4"/>
      <c r="EH1047" s="4"/>
      <c r="EI1047" s="4"/>
    </row>
    <row r="1048" spans="1:139" hidden="1" x14ac:dyDescent="0.2">
      <c r="A1048">
        <f>VLOOKUP(B1048,Sheet1!$A$1:$B$18,2,FALSE)</f>
        <v>0</v>
      </c>
      <c r="B1048" t="str">
        <f>LEFT(D1048,3)</f>
        <v>MNW</v>
      </c>
      <c r="C1048" s="2">
        <v>1047</v>
      </c>
      <c r="D1048" s="3" t="str">
        <f>HYPERLINK("https://sitebase.nzcomms.co.nz/spm/spmnominalview/MNW-036-007/","MNW-036-007")</f>
        <v>MNW-036-007</v>
      </c>
      <c r="E1048" s="4" t="s">
        <v>3212</v>
      </c>
      <c r="F1048" s="3" t="str">
        <f>HYPERLINK("https://sitebase.nzcomms.co.nz/spm/spmcandidateview/MNW-036-007-A/","MNW-036-007-A")</f>
        <v>MNW-036-007-A</v>
      </c>
      <c r="G1048" s="4" t="s">
        <v>3213</v>
      </c>
      <c r="H1048" s="4" t="s">
        <v>3197</v>
      </c>
      <c r="I1048" s="4">
        <v>24</v>
      </c>
      <c r="J1048" s="4" t="s">
        <v>165</v>
      </c>
      <c r="K1048" s="4" t="s">
        <v>141</v>
      </c>
      <c r="L1048" s="4" t="s">
        <v>142</v>
      </c>
      <c r="M1048" s="4" t="s">
        <v>166</v>
      </c>
      <c r="N1048" s="4" t="s">
        <v>142</v>
      </c>
      <c r="O1048" s="4"/>
      <c r="P1048" s="4" t="s">
        <v>169</v>
      </c>
      <c r="Q1048" s="4" t="s">
        <v>142</v>
      </c>
      <c r="R1048" s="4">
        <v>30</v>
      </c>
      <c r="S1048" s="4">
        <v>34</v>
      </c>
      <c r="T1048" s="4"/>
      <c r="U1048" s="4">
        <v>-39.432932809999997</v>
      </c>
      <c r="V1048" s="4">
        <v>175.39946123999999</v>
      </c>
      <c r="W1048" s="4"/>
      <c r="X1048" s="5">
        <v>42005</v>
      </c>
      <c r="Y1048" s="4"/>
      <c r="Z1048" s="5">
        <v>42109</v>
      </c>
      <c r="AA1048" s="4" t="s">
        <v>145</v>
      </c>
      <c r="AB1048" s="3" t="str">
        <f>HYPERLINK("https://sitebase.nzcomms.co.nz/spm/spmcandidateview/MNW-040-003-B/","MNW-040-003-B")</f>
        <v>MNW-040-003-B</v>
      </c>
      <c r="AC1048" s="4" t="b">
        <v>0</v>
      </c>
      <c r="AD1048" s="4" t="b">
        <v>0</v>
      </c>
      <c r="AE1048" s="4"/>
      <c r="AF1048" s="4"/>
      <c r="AG1048" s="4" t="b">
        <v>0</v>
      </c>
      <c r="AH1048" s="4"/>
      <c r="AI1048" s="5">
        <v>41003</v>
      </c>
      <c r="AJ1048" s="5">
        <v>40989</v>
      </c>
      <c r="AK1048" s="5">
        <v>41009</v>
      </c>
      <c r="AL1048" s="5">
        <v>40994</v>
      </c>
      <c r="AM1048" s="5">
        <v>42034</v>
      </c>
      <c r="AN1048" s="5">
        <v>41036</v>
      </c>
      <c r="AO1048" s="4">
        <v>3</v>
      </c>
      <c r="AP1048" s="5">
        <v>42082</v>
      </c>
      <c r="AQ1048" s="5">
        <v>42040</v>
      </c>
      <c r="AR1048" s="5">
        <v>42179</v>
      </c>
      <c r="AS1048" s="5">
        <v>42179</v>
      </c>
      <c r="AT1048" s="5">
        <v>42251</v>
      </c>
      <c r="AU1048" s="5">
        <v>42249</v>
      </c>
      <c r="AV1048" s="4"/>
      <c r="AW1048" s="5">
        <v>42251</v>
      </c>
      <c r="AX1048" s="5">
        <v>42249</v>
      </c>
      <c r="AY1048" s="4" t="s">
        <v>183</v>
      </c>
      <c r="AZ1048" s="5">
        <v>42090</v>
      </c>
      <c r="BA1048" s="5">
        <v>42086</v>
      </c>
      <c r="BB1048" s="5">
        <v>42118</v>
      </c>
      <c r="BC1048" s="5">
        <v>42109</v>
      </c>
      <c r="BD1048" s="4">
        <v>3</v>
      </c>
      <c r="BE1048" s="5">
        <v>42125</v>
      </c>
      <c r="BF1048" s="5">
        <v>42109</v>
      </c>
      <c r="BG1048" s="5">
        <v>42090</v>
      </c>
      <c r="BH1048" s="5">
        <v>42082</v>
      </c>
      <c r="BI1048" s="5">
        <v>42118</v>
      </c>
      <c r="BJ1048" s="5">
        <v>42136</v>
      </c>
      <c r="BK1048" s="4">
        <v>1</v>
      </c>
      <c r="BL1048" s="4"/>
      <c r="BM1048" s="5">
        <v>42199</v>
      </c>
      <c r="BN1048" s="5">
        <v>42136</v>
      </c>
      <c r="BO1048" s="4"/>
      <c r="BP1048" s="4"/>
      <c r="BQ1048" s="4"/>
      <c r="BR1048" s="4"/>
      <c r="BS1048" s="4"/>
      <c r="BT1048" s="5">
        <v>42265</v>
      </c>
      <c r="BU1048" s="5">
        <v>42283</v>
      </c>
      <c r="BV1048" s="5">
        <v>42307</v>
      </c>
      <c r="BW1048" s="5">
        <v>42311</v>
      </c>
      <c r="BX1048" s="4"/>
      <c r="BY1048" s="5">
        <v>42307</v>
      </c>
      <c r="BZ1048" s="5">
        <v>42311</v>
      </c>
      <c r="CA1048" s="5">
        <v>42251</v>
      </c>
      <c r="CB1048" s="4"/>
      <c r="CC1048" s="5">
        <v>42213</v>
      </c>
      <c r="CD1048" s="5">
        <v>42213</v>
      </c>
      <c r="CE1048" s="4"/>
      <c r="CF1048" s="4"/>
      <c r="CG1048" s="4"/>
      <c r="CH1048" s="4"/>
      <c r="CI1048" s="4"/>
      <c r="CJ1048" s="5">
        <v>42337</v>
      </c>
      <c r="CK1048" s="5">
        <v>42332</v>
      </c>
      <c r="CL1048" s="4"/>
      <c r="CM1048" s="4"/>
      <c r="CN1048" s="4"/>
      <c r="CO1048" s="4"/>
      <c r="CP1048" s="4" t="s">
        <v>3214</v>
      </c>
      <c r="CQ1048" s="4" t="s">
        <v>230</v>
      </c>
      <c r="CR1048" s="4"/>
      <c r="CS1048" s="4"/>
      <c r="CT1048" s="4"/>
      <c r="CU1048" s="4"/>
      <c r="CV1048" s="4"/>
      <c r="CW1048" s="4"/>
      <c r="CX1048" s="4"/>
      <c r="CY1048" s="4"/>
      <c r="CZ1048" s="4"/>
      <c r="DA1048" s="5">
        <v>42331</v>
      </c>
      <c r="DB1048" s="5">
        <v>42332</v>
      </c>
      <c r="DC1048" s="4"/>
      <c r="DD1048" s="4" t="s">
        <v>586</v>
      </c>
      <c r="DE1048" s="4" t="s">
        <v>3201</v>
      </c>
      <c r="DF1048" s="5">
        <v>42251</v>
      </c>
      <c r="DG1048" s="4"/>
      <c r="DH1048" s="4" t="s">
        <v>174</v>
      </c>
      <c r="DI1048" s="4"/>
      <c r="DJ1048" s="4" t="b">
        <v>0</v>
      </c>
      <c r="DK1048" s="4"/>
      <c r="DL1048" s="4">
        <v>2716564</v>
      </c>
      <c r="DM1048" s="4">
        <v>6194092</v>
      </c>
      <c r="DN1048" s="4" t="s">
        <v>3215</v>
      </c>
      <c r="DO1048" s="4"/>
      <c r="DP1048" s="4"/>
      <c r="DQ1048" s="4" t="s">
        <v>148</v>
      </c>
      <c r="DR1048" s="4"/>
      <c r="DS1048" s="4"/>
      <c r="DT1048" s="4"/>
      <c r="DU1048" s="4" t="s">
        <v>178</v>
      </c>
      <c r="DV1048" s="4"/>
      <c r="DW1048" s="4"/>
      <c r="DX1048" s="5">
        <v>42082</v>
      </c>
      <c r="DY1048" s="5">
        <v>42130</v>
      </c>
      <c r="DZ1048" s="5">
        <v>42130</v>
      </c>
      <c r="EA1048" s="4"/>
      <c r="EB1048" s="4"/>
      <c r="EC1048" s="4"/>
      <c r="ED1048" s="4"/>
      <c r="EE1048" s="5">
        <v>42258</v>
      </c>
      <c r="EF1048" s="5">
        <v>42249</v>
      </c>
      <c r="EG1048" s="4"/>
      <c r="EH1048" s="4"/>
      <c r="EI1048" s="5">
        <v>40994</v>
      </c>
    </row>
    <row r="1049" spans="1:139" hidden="1" x14ac:dyDescent="0.2">
      <c r="A1049">
        <f>VLOOKUP(B1049,Sheet1!$A$1:$B$18,2,FALSE)</f>
        <v>0</v>
      </c>
      <c r="B1049" t="str">
        <f>LEFT(D1049,3)</f>
        <v>MNW</v>
      </c>
      <c r="C1049" s="2">
        <v>1048</v>
      </c>
      <c r="D1049" s="3" t="str">
        <f>HYPERLINK("https://sitebase.nzcomms.co.nz/spm/spmnominalview/MNW-036-008/","MNW-036-008")</f>
        <v>MNW-036-008</v>
      </c>
      <c r="E1049" s="4"/>
      <c r="F1049" s="4"/>
      <c r="G1049" s="4"/>
      <c r="H1049" s="4" t="s">
        <v>3197</v>
      </c>
      <c r="I1049" s="4"/>
      <c r="J1049" s="4" t="s">
        <v>196</v>
      </c>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4"/>
      <c r="CW1049" s="4"/>
      <c r="CX1049" s="4"/>
      <c r="CY1049" s="4"/>
      <c r="CZ1049" s="4"/>
      <c r="DA1049" s="4"/>
      <c r="DB1049" s="4"/>
      <c r="DC1049" s="4"/>
      <c r="DD1049" s="4"/>
      <c r="DE1049" s="4"/>
      <c r="DF1049" s="4"/>
      <c r="DG1049" s="4"/>
      <c r="DH1049" s="4"/>
      <c r="DI1049" s="4"/>
      <c r="DJ1049" s="4"/>
      <c r="DK1049" s="4"/>
      <c r="DL1049" s="4"/>
      <c r="DM1049" s="4"/>
      <c r="DN1049" s="4"/>
      <c r="DO1049" s="4"/>
      <c r="DP1049" s="4"/>
      <c r="DQ1049" s="4"/>
      <c r="DR1049" s="4"/>
      <c r="DS1049" s="4"/>
      <c r="DT1049" s="4"/>
      <c r="DU1049" s="4"/>
      <c r="DV1049" s="4"/>
      <c r="DW1049" s="4"/>
      <c r="DX1049" s="4"/>
      <c r="DY1049" s="4"/>
      <c r="DZ1049" s="4"/>
      <c r="EA1049" s="4"/>
      <c r="EB1049" s="4"/>
      <c r="EC1049" s="4"/>
      <c r="ED1049" s="4"/>
      <c r="EE1049" s="4"/>
      <c r="EF1049" s="4"/>
      <c r="EG1049" s="4"/>
      <c r="EH1049" s="4"/>
      <c r="EI1049" s="4"/>
    </row>
    <row r="1050" spans="1:139" hidden="1" x14ac:dyDescent="0.2">
      <c r="A1050">
        <f>VLOOKUP(B1050,Sheet1!$A$1:$B$18,2,FALSE)</f>
        <v>0</v>
      </c>
      <c r="B1050" t="str">
        <f>LEFT(D1050,3)</f>
        <v>MNW</v>
      </c>
      <c r="C1050" s="2">
        <v>1049</v>
      </c>
      <c r="D1050" s="3" t="str">
        <f>HYPERLINK("https://sitebase.nzcomms.co.nz/spm/spmnominalview/MNW-036-009/","MNW-036-009")</f>
        <v>MNW-036-009</v>
      </c>
      <c r="E1050" s="4" t="s">
        <v>3216</v>
      </c>
      <c r="F1050" s="3" t="str">
        <f>HYPERLINK("https://sitebase.nzcomms.co.nz/spm/spmcandidateview/MNW-036-009-A/","MNW-036-009-A")</f>
        <v>MNW-036-009-A</v>
      </c>
      <c r="G1050" s="4" t="s">
        <v>3217</v>
      </c>
      <c r="H1050" s="4" t="s">
        <v>3197</v>
      </c>
      <c r="I1050" s="4">
        <v>24</v>
      </c>
      <c r="J1050" s="4" t="s">
        <v>165</v>
      </c>
      <c r="K1050" s="4" t="s">
        <v>141</v>
      </c>
      <c r="L1050" s="4" t="s">
        <v>142</v>
      </c>
      <c r="M1050" s="4" t="s">
        <v>166</v>
      </c>
      <c r="N1050" s="4" t="s">
        <v>364</v>
      </c>
      <c r="O1050" s="4"/>
      <c r="P1050" s="4" t="s">
        <v>169</v>
      </c>
      <c r="Q1050" s="4" t="s">
        <v>142</v>
      </c>
      <c r="R1050" s="4"/>
      <c r="S1050" s="4">
        <v>30</v>
      </c>
      <c r="T1050" s="4"/>
      <c r="U1050" s="4">
        <v>-39.498496279999998</v>
      </c>
      <c r="V1050" s="4">
        <v>175.65246884999999</v>
      </c>
      <c r="W1050" s="4"/>
      <c r="X1050" s="5">
        <v>42164</v>
      </c>
      <c r="Y1050" s="4"/>
      <c r="Z1050" s="5">
        <v>42109</v>
      </c>
      <c r="AA1050" s="4" t="s">
        <v>145</v>
      </c>
      <c r="AB1050" s="3" t="str">
        <f>HYPERLINK("https://sitebase.nzcomms.co.nz/spm/spmcandidateview/MNW-040-003-B/","MNW-040-003-B")</f>
        <v>MNW-040-003-B</v>
      </c>
      <c r="AC1050" s="4" t="b">
        <v>0</v>
      </c>
      <c r="AD1050" s="4" t="b">
        <v>0</v>
      </c>
      <c r="AE1050" s="4"/>
      <c r="AF1050" s="4"/>
      <c r="AG1050" s="4" t="b">
        <v>0</v>
      </c>
      <c r="AH1050" s="4"/>
      <c r="AI1050" s="5">
        <v>41003</v>
      </c>
      <c r="AJ1050" s="5">
        <v>40989</v>
      </c>
      <c r="AK1050" s="5">
        <v>41009</v>
      </c>
      <c r="AL1050" s="5">
        <v>40995</v>
      </c>
      <c r="AM1050" s="5">
        <v>42076</v>
      </c>
      <c r="AN1050" s="5">
        <v>41045</v>
      </c>
      <c r="AO1050" s="4">
        <v>3</v>
      </c>
      <c r="AP1050" s="5">
        <v>42082</v>
      </c>
      <c r="AQ1050" s="5">
        <v>42079</v>
      </c>
      <c r="AR1050" s="5">
        <v>42265</v>
      </c>
      <c r="AS1050" s="4"/>
      <c r="AT1050" s="5">
        <v>42272</v>
      </c>
      <c r="AU1050" s="4"/>
      <c r="AV1050" s="4"/>
      <c r="AW1050" s="5">
        <v>42277</v>
      </c>
      <c r="AX1050" s="4"/>
      <c r="AY1050" s="4" t="s">
        <v>183</v>
      </c>
      <c r="AZ1050" s="5">
        <v>42124</v>
      </c>
      <c r="BA1050" s="5">
        <v>42115</v>
      </c>
      <c r="BB1050" s="5">
        <v>42155</v>
      </c>
      <c r="BC1050" s="5">
        <v>42139</v>
      </c>
      <c r="BD1050" s="4">
        <v>3</v>
      </c>
      <c r="BE1050" s="4"/>
      <c r="BF1050" s="5">
        <v>42222</v>
      </c>
      <c r="BG1050" s="5">
        <v>42124</v>
      </c>
      <c r="BH1050" s="5">
        <v>42107</v>
      </c>
      <c r="BI1050" s="5">
        <v>42155</v>
      </c>
      <c r="BJ1050" s="5">
        <v>42144</v>
      </c>
      <c r="BK1050" s="4">
        <v>1</v>
      </c>
      <c r="BL1050" s="4"/>
      <c r="BM1050" s="4"/>
      <c r="BN1050" s="5">
        <v>42144</v>
      </c>
      <c r="BO1050" s="4"/>
      <c r="BP1050" s="4"/>
      <c r="BQ1050" s="4"/>
      <c r="BR1050" s="4"/>
      <c r="BS1050" s="4"/>
      <c r="BT1050" s="5">
        <v>42762</v>
      </c>
      <c r="BU1050" s="4"/>
      <c r="BV1050" s="5">
        <v>42794</v>
      </c>
      <c r="BW1050" s="4"/>
      <c r="BX1050" s="4"/>
      <c r="BY1050" s="5">
        <v>42811</v>
      </c>
      <c r="BZ1050" s="4"/>
      <c r="CA1050" s="5">
        <v>42286</v>
      </c>
      <c r="CB1050" s="4"/>
      <c r="CC1050" s="5">
        <v>42279</v>
      </c>
      <c r="CD1050" s="4"/>
      <c r="CE1050" s="4"/>
      <c r="CF1050" s="4"/>
      <c r="CG1050" s="4"/>
      <c r="CH1050" s="4"/>
      <c r="CI1050" s="4"/>
      <c r="CJ1050" s="5">
        <v>42839</v>
      </c>
      <c r="CK1050" s="4"/>
      <c r="CL1050" s="4"/>
      <c r="CM1050" s="4"/>
      <c r="CN1050" s="4"/>
      <c r="CO1050" s="4"/>
      <c r="CP1050" s="4" t="s">
        <v>3218</v>
      </c>
      <c r="CQ1050" s="4" t="s">
        <v>230</v>
      </c>
      <c r="CR1050" s="4"/>
      <c r="CS1050" s="4"/>
      <c r="CT1050" s="4"/>
      <c r="CU1050" s="4"/>
      <c r="CV1050" s="4"/>
      <c r="CW1050" s="4"/>
      <c r="CX1050" s="4"/>
      <c r="CY1050" s="4"/>
      <c r="CZ1050" s="4"/>
      <c r="DA1050" s="5">
        <v>42825</v>
      </c>
      <c r="DB1050" s="4"/>
      <c r="DC1050" s="4"/>
      <c r="DD1050" s="4" t="s">
        <v>586</v>
      </c>
      <c r="DE1050" s="4" t="s">
        <v>3201</v>
      </c>
      <c r="DF1050" s="5">
        <v>42286</v>
      </c>
      <c r="DG1050" s="4"/>
      <c r="DH1050" s="4" t="s">
        <v>1521</v>
      </c>
      <c r="DI1050" s="4"/>
      <c r="DJ1050" s="4" t="b">
        <v>0</v>
      </c>
      <c r="DK1050" s="4"/>
      <c r="DL1050" s="4">
        <v>2738116</v>
      </c>
      <c r="DM1050" s="4">
        <v>6186212</v>
      </c>
      <c r="DN1050" s="4" t="s">
        <v>3219</v>
      </c>
      <c r="DO1050" s="4"/>
      <c r="DP1050" s="4"/>
      <c r="DQ1050" s="4" t="s">
        <v>148</v>
      </c>
      <c r="DR1050" s="4" t="s">
        <v>255</v>
      </c>
      <c r="DS1050" s="4"/>
      <c r="DT1050" s="4"/>
      <c r="DU1050" s="4" t="s">
        <v>178</v>
      </c>
      <c r="DV1050" s="4"/>
      <c r="DW1050" s="4"/>
      <c r="DX1050" s="4"/>
      <c r="DY1050" s="5">
        <v>42130</v>
      </c>
      <c r="DZ1050" s="5">
        <v>42130</v>
      </c>
      <c r="EA1050" s="4"/>
      <c r="EB1050" s="4"/>
      <c r="EC1050" s="4"/>
      <c r="ED1050" s="4"/>
      <c r="EE1050" s="5">
        <v>42748</v>
      </c>
      <c r="EF1050" s="4"/>
      <c r="EG1050" s="4"/>
      <c r="EH1050" s="4"/>
      <c r="EI1050" s="5">
        <v>40995</v>
      </c>
    </row>
    <row r="1051" spans="1:139" hidden="1" x14ac:dyDescent="0.2">
      <c r="A1051">
        <f>VLOOKUP(B1051,Sheet1!$A$1:$B$18,2,FALSE)</f>
        <v>0</v>
      </c>
      <c r="B1051" t="str">
        <f>LEFT(D1051,3)</f>
        <v>MNW</v>
      </c>
      <c r="C1051" s="2">
        <v>1050</v>
      </c>
      <c r="D1051" s="3" t="str">
        <f>HYPERLINK("https://sitebase.nzcomms.co.nz/spm/spmnominalview/MNW-036-010/","MNW-036-010")</f>
        <v>MNW-036-010</v>
      </c>
      <c r="E1051" s="4"/>
      <c r="F1051" s="4"/>
      <c r="G1051" s="4"/>
      <c r="H1051" s="4" t="s">
        <v>3197</v>
      </c>
      <c r="I1051" s="4"/>
      <c r="J1051" s="4" t="s">
        <v>196</v>
      </c>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4"/>
      <c r="BS1051" s="4"/>
      <c r="BT1051" s="4"/>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4"/>
      <c r="CW1051" s="4"/>
      <c r="CX1051" s="4"/>
      <c r="CY1051" s="4"/>
      <c r="CZ1051" s="4"/>
      <c r="DA1051" s="4"/>
      <c r="DB1051" s="4"/>
      <c r="DC1051" s="4"/>
      <c r="DD1051" s="4"/>
      <c r="DE1051" s="4"/>
      <c r="DF1051" s="4"/>
      <c r="DG1051" s="4"/>
      <c r="DH1051" s="4"/>
      <c r="DI1051" s="4"/>
      <c r="DJ1051" s="4"/>
      <c r="DK1051" s="4"/>
      <c r="DL1051" s="4"/>
      <c r="DM1051" s="4"/>
      <c r="DN1051" s="4"/>
      <c r="DO1051" s="4"/>
      <c r="DP1051" s="4"/>
      <c r="DQ1051" s="4"/>
      <c r="DR1051" s="4"/>
      <c r="DS1051" s="4"/>
      <c r="DT1051" s="4"/>
      <c r="DU1051" s="4"/>
      <c r="DV1051" s="4"/>
      <c r="DW1051" s="4"/>
      <c r="DX1051" s="4"/>
      <c r="DY1051" s="4"/>
      <c r="DZ1051" s="4"/>
      <c r="EA1051" s="4"/>
      <c r="EB1051" s="4"/>
      <c r="EC1051" s="4"/>
      <c r="ED1051" s="4"/>
      <c r="EE1051" s="4"/>
      <c r="EF1051" s="4"/>
      <c r="EG1051" s="4"/>
      <c r="EH1051" s="4"/>
      <c r="EI1051" s="4"/>
    </row>
    <row r="1052" spans="1:139" hidden="1" x14ac:dyDescent="0.2">
      <c r="A1052">
        <f>VLOOKUP(B1052,Sheet1!$A$1:$B$18,2,FALSE)</f>
        <v>0</v>
      </c>
      <c r="B1052" t="str">
        <f>LEFT(D1052,3)</f>
        <v>MNW</v>
      </c>
      <c r="C1052" s="2">
        <v>1051</v>
      </c>
      <c r="D1052" s="3" t="str">
        <f>HYPERLINK("https://sitebase.nzcomms.co.nz/spm/spmnominalview/MNW-036-011/","MNW-036-011")</f>
        <v>MNW-036-011</v>
      </c>
      <c r="E1052" s="4"/>
      <c r="F1052" s="4"/>
      <c r="G1052" s="4"/>
      <c r="H1052" s="4" t="s">
        <v>3197</v>
      </c>
      <c r="I1052" s="4"/>
      <c r="J1052" s="4" t="s">
        <v>196</v>
      </c>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4"/>
      <c r="BS1052" s="4"/>
      <c r="BT1052" s="4"/>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4"/>
      <c r="CW1052" s="4"/>
      <c r="CX1052" s="4"/>
      <c r="CY1052" s="4"/>
      <c r="CZ1052" s="4"/>
      <c r="DA1052" s="4"/>
      <c r="DB1052" s="4"/>
      <c r="DC1052" s="4"/>
      <c r="DD1052" s="4"/>
      <c r="DE1052" s="4"/>
      <c r="DF1052" s="4"/>
      <c r="DG1052" s="4"/>
      <c r="DH1052" s="4"/>
      <c r="DI1052" s="4"/>
      <c r="DJ1052" s="4"/>
      <c r="DK1052" s="4"/>
      <c r="DL1052" s="4"/>
      <c r="DM1052" s="4"/>
      <c r="DN1052" s="4"/>
      <c r="DO1052" s="4"/>
      <c r="DP1052" s="4"/>
      <c r="DQ1052" s="4"/>
      <c r="DR1052" s="4"/>
      <c r="DS1052" s="4"/>
      <c r="DT1052" s="4"/>
      <c r="DU1052" s="4"/>
      <c r="DV1052" s="4"/>
      <c r="DW1052" s="4"/>
      <c r="DX1052" s="4"/>
      <c r="DY1052" s="4"/>
      <c r="DZ1052" s="4"/>
      <c r="EA1052" s="4"/>
      <c r="EB1052" s="4"/>
      <c r="EC1052" s="4"/>
      <c r="ED1052" s="4"/>
      <c r="EE1052" s="4"/>
      <c r="EF1052" s="4"/>
      <c r="EG1052" s="4"/>
      <c r="EH1052" s="4"/>
      <c r="EI1052" s="4"/>
    </row>
    <row r="1053" spans="1:139" hidden="1" x14ac:dyDescent="0.2">
      <c r="A1053">
        <f>VLOOKUP(B1053,Sheet1!$A$1:$B$18,2,FALSE)</f>
        <v>0</v>
      </c>
      <c r="B1053" t="str">
        <f>LEFT(D1053,3)</f>
        <v>MNW</v>
      </c>
      <c r="C1053" s="2">
        <v>1052</v>
      </c>
      <c r="D1053" s="3" t="str">
        <f>HYPERLINK("https://sitebase.nzcomms.co.nz/spm/spmnominalview/MNW-036-012/","MNW-036-012")</f>
        <v>MNW-036-012</v>
      </c>
      <c r="E1053" s="4" t="s">
        <v>3220</v>
      </c>
      <c r="F1053" s="4"/>
      <c r="G1053" s="4"/>
      <c r="H1053" s="4" t="s">
        <v>3197</v>
      </c>
      <c r="I1053" s="4">
        <v>24</v>
      </c>
      <c r="J1053" s="4" t="s">
        <v>196</v>
      </c>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t="b">
        <v>0</v>
      </c>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4"/>
      <c r="BS1053" s="4"/>
      <c r="BT1053" s="4"/>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4"/>
      <c r="CW1053" s="4"/>
      <c r="CX1053" s="4"/>
      <c r="CY1053" s="4"/>
      <c r="CZ1053" s="4"/>
      <c r="DA1053" s="4"/>
      <c r="DB1053" s="4"/>
      <c r="DC1053" s="4"/>
      <c r="DD1053" s="4"/>
      <c r="DE1053" s="4"/>
      <c r="DF1053" s="4"/>
      <c r="DG1053" s="4"/>
      <c r="DH1053" s="4"/>
      <c r="DI1053" s="4"/>
      <c r="DJ1053" s="4"/>
      <c r="DK1053" s="4"/>
      <c r="DL1053" s="4"/>
      <c r="DM1053" s="4"/>
      <c r="DN1053" s="4"/>
      <c r="DO1053" s="4"/>
      <c r="DP1053" s="4"/>
      <c r="DQ1053" s="4"/>
      <c r="DR1053" s="4"/>
      <c r="DS1053" s="4"/>
      <c r="DT1053" s="4"/>
      <c r="DU1053" s="4"/>
      <c r="DV1053" s="4"/>
      <c r="DW1053" s="4"/>
      <c r="DX1053" s="4"/>
      <c r="DY1053" s="4"/>
      <c r="DZ1053" s="4"/>
      <c r="EA1053" s="4"/>
      <c r="EB1053" s="4"/>
      <c r="EC1053" s="4"/>
      <c r="ED1053" s="4"/>
      <c r="EE1053" s="4"/>
      <c r="EF1053" s="4"/>
      <c r="EG1053" s="4"/>
      <c r="EH1053" s="4"/>
      <c r="EI1053" s="4"/>
    </row>
    <row r="1054" spans="1:139" hidden="1" x14ac:dyDescent="0.2">
      <c r="A1054">
        <f>VLOOKUP(B1054,Sheet1!$A$1:$B$18,2,FALSE)</f>
        <v>0</v>
      </c>
      <c r="B1054" t="str">
        <f>LEFT(D1054,3)</f>
        <v>MNW</v>
      </c>
      <c r="C1054" s="2">
        <v>1053</v>
      </c>
      <c r="D1054" s="3" t="str">
        <f>HYPERLINK("https://sitebase.nzcomms.co.nz/spm/spmnominalview/MNW-037-001/","MNW-037-001")</f>
        <v>MNW-037-001</v>
      </c>
      <c r="E1054" s="4" t="s">
        <v>3221</v>
      </c>
      <c r="F1054" s="3" t="str">
        <f>HYPERLINK("https://sitebase.nzcomms.co.nz/spm/spmcandidateview/MNW-037-001-A/","MNW-037-001-A")</f>
        <v>MNW-037-001-A</v>
      </c>
      <c r="G1054" s="4" t="s">
        <v>3222</v>
      </c>
      <c r="H1054" s="4" t="s">
        <v>3223</v>
      </c>
      <c r="I1054" s="4">
        <v>6</v>
      </c>
      <c r="J1054" s="4" t="s">
        <v>1633</v>
      </c>
      <c r="K1054" s="4" t="s">
        <v>141</v>
      </c>
      <c r="L1054" s="4" t="s">
        <v>181</v>
      </c>
      <c r="M1054" s="4" t="s">
        <v>166</v>
      </c>
      <c r="N1054" s="4" t="s">
        <v>181</v>
      </c>
      <c r="O1054" s="4"/>
      <c r="P1054" s="4" t="s">
        <v>169</v>
      </c>
      <c r="Q1054" s="4"/>
      <c r="R1054" s="4"/>
      <c r="S1054" s="4"/>
      <c r="T1054" s="4">
        <v>1</v>
      </c>
      <c r="U1054" s="4">
        <v>-39.931283630000003</v>
      </c>
      <c r="V1054" s="4">
        <v>175.04963665</v>
      </c>
      <c r="W1054" s="4"/>
      <c r="X1054" s="5">
        <v>40453</v>
      </c>
      <c r="Y1054" s="4"/>
      <c r="Z1054" s="5">
        <v>40221</v>
      </c>
      <c r="AA1054" s="4" t="s">
        <v>145</v>
      </c>
      <c r="AB1054" s="3" t="str">
        <f>HYPERLINK("https://sitebase.nzcomms.co.nz/spm/spmcandidateview/WLG-047-071-A/","WLG-047-071-A")</f>
        <v>WLG-047-071-A</v>
      </c>
      <c r="AC1054" s="4" t="b">
        <v>1</v>
      </c>
      <c r="AD1054" s="4" t="b">
        <v>1</v>
      </c>
      <c r="AE1054" s="4"/>
      <c r="AF1054" s="4"/>
      <c r="AG1054" s="4" t="b">
        <v>0</v>
      </c>
      <c r="AH1054" s="4" t="s">
        <v>3224</v>
      </c>
      <c r="AI1054" s="5">
        <v>40640</v>
      </c>
      <c r="AJ1054" s="5">
        <v>40640</v>
      </c>
      <c r="AK1054" s="5">
        <v>40651</v>
      </c>
      <c r="AL1054" s="5">
        <v>40659</v>
      </c>
      <c r="AM1054" s="5">
        <v>40676</v>
      </c>
      <c r="AN1054" s="5">
        <v>40681</v>
      </c>
      <c r="AO1054" s="4">
        <v>2</v>
      </c>
      <c r="AP1054" s="5">
        <v>40676</v>
      </c>
      <c r="AQ1054" s="5">
        <v>41981</v>
      </c>
      <c r="AR1054" s="5">
        <v>40698</v>
      </c>
      <c r="AS1054" s="5">
        <v>40704</v>
      </c>
      <c r="AT1054" s="5">
        <v>40728</v>
      </c>
      <c r="AU1054" s="5">
        <v>40711</v>
      </c>
      <c r="AV1054" s="4">
        <v>1</v>
      </c>
      <c r="AW1054" s="5">
        <v>40733</v>
      </c>
      <c r="AX1054" s="5">
        <v>40728</v>
      </c>
      <c r="AY1054" s="4" t="s">
        <v>183</v>
      </c>
      <c r="AZ1054" s="5">
        <v>40679</v>
      </c>
      <c r="BA1054" s="5">
        <v>40682</v>
      </c>
      <c r="BB1054" s="5">
        <v>40717</v>
      </c>
      <c r="BC1054" s="5">
        <v>40697</v>
      </c>
      <c r="BD1054" s="4">
        <v>1</v>
      </c>
      <c r="BE1054" s="5">
        <v>40735</v>
      </c>
      <c r="BF1054" s="5">
        <v>40697</v>
      </c>
      <c r="BG1054" s="4"/>
      <c r="BH1054" s="4"/>
      <c r="BI1054" s="5">
        <v>40784</v>
      </c>
      <c r="BJ1054" s="5">
        <v>40794</v>
      </c>
      <c r="BK1054" s="4">
        <v>1</v>
      </c>
      <c r="BL1054" s="4"/>
      <c r="BM1054" s="5">
        <v>40784</v>
      </c>
      <c r="BN1054" s="5">
        <v>40794</v>
      </c>
      <c r="BO1054" s="5">
        <v>40812</v>
      </c>
      <c r="BP1054" s="4"/>
      <c r="BQ1054" s="4"/>
      <c r="BR1054" s="4"/>
      <c r="BS1054" s="4"/>
      <c r="BT1054" s="5">
        <v>40806</v>
      </c>
      <c r="BU1054" s="5">
        <v>40806</v>
      </c>
      <c r="BV1054" s="5">
        <v>40865</v>
      </c>
      <c r="BW1054" s="5">
        <v>40865</v>
      </c>
      <c r="BX1054" s="5">
        <v>40815</v>
      </c>
      <c r="BY1054" s="5">
        <v>40835</v>
      </c>
      <c r="BZ1054" s="5">
        <v>40835</v>
      </c>
      <c r="CA1054" s="4"/>
      <c r="CB1054" s="4"/>
      <c r="CC1054" s="4"/>
      <c r="CD1054" s="4"/>
      <c r="CE1054" s="4"/>
      <c r="CF1054" s="4"/>
      <c r="CG1054" s="4"/>
      <c r="CH1054" s="4"/>
      <c r="CI1054" s="5">
        <v>40842</v>
      </c>
      <c r="CJ1054" s="5">
        <v>40855</v>
      </c>
      <c r="CK1054" s="5">
        <v>40858</v>
      </c>
      <c r="CL1054" s="5">
        <v>40837</v>
      </c>
      <c r="CM1054" s="5">
        <v>40878</v>
      </c>
      <c r="CN1054" s="5">
        <v>41542</v>
      </c>
      <c r="CO1054" s="5">
        <v>41624</v>
      </c>
      <c r="CP1054" s="4" t="s">
        <v>3225</v>
      </c>
      <c r="CQ1054" s="4"/>
      <c r="CR1054" s="5">
        <v>40837</v>
      </c>
      <c r="CS1054" s="5">
        <v>40751</v>
      </c>
      <c r="CT1054" s="5">
        <v>40751</v>
      </c>
      <c r="CU1054" s="5">
        <v>40812</v>
      </c>
      <c r="CV1054" s="5">
        <v>40833</v>
      </c>
      <c r="CW1054" s="5">
        <v>40812</v>
      </c>
      <c r="CX1054" s="5">
        <v>40812</v>
      </c>
      <c r="CY1054" s="5">
        <v>40821</v>
      </c>
      <c r="CZ1054" s="5">
        <v>40822</v>
      </c>
      <c r="DA1054" s="4"/>
      <c r="DB1054" s="5">
        <v>40858</v>
      </c>
      <c r="DC1054" s="4"/>
      <c r="DD1054" s="4"/>
      <c r="DE1054" s="4"/>
      <c r="DF1054" s="4"/>
      <c r="DG1054" s="4"/>
      <c r="DH1054" s="4" t="s">
        <v>174</v>
      </c>
      <c r="DI1054" s="5">
        <v>40814</v>
      </c>
      <c r="DJ1054" s="4" t="b">
        <v>0</v>
      </c>
      <c r="DK1054" s="4"/>
      <c r="DL1054" s="4">
        <v>2685171</v>
      </c>
      <c r="DM1054" s="4">
        <v>6139563</v>
      </c>
      <c r="DN1054" s="4" t="s">
        <v>3226</v>
      </c>
      <c r="DO1054" s="4"/>
      <c r="DP1054" s="4" t="s">
        <v>3227</v>
      </c>
      <c r="DQ1054" s="4" t="s">
        <v>148</v>
      </c>
      <c r="DR1054" s="4"/>
      <c r="DS1054" s="4"/>
      <c r="DT1054" s="4"/>
      <c r="DU1054" s="4"/>
      <c r="DV1054" s="4"/>
      <c r="DW1054" s="4"/>
      <c r="DX1054" s="4"/>
      <c r="DY1054" s="4"/>
      <c r="DZ1054" s="4"/>
      <c r="EA1054" s="4"/>
      <c r="EB1054" s="4"/>
      <c r="EC1054" s="4"/>
      <c r="ED1054" s="4"/>
      <c r="EE1054" s="4"/>
      <c r="EF1054" s="4"/>
      <c r="EG1054" s="5">
        <v>40872</v>
      </c>
      <c r="EH1054" s="5">
        <v>40872</v>
      </c>
      <c r="EI1054" s="5">
        <v>40659</v>
      </c>
    </row>
    <row r="1055" spans="1:139" hidden="1" x14ac:dyDescent="0.2">
      <c r="A1055">
        <f>VLOOKUP(B1055,Sheet1!$A$1:$B$18,2,FALSE)</f>
        <v>0</v>
      </c>
      <c r="B1055" t="str">
        <f>LEFT(D1055,3)</f>
        <v>MNW</v>
      </c>
      <c r="C1055" s="2">
        <v>1054</v>
      </c>
      <c r="D1055" s="3" t="str">
        <f>HYPERLINK("https://sitebase.nzcomms.co.nz/spm/spmnominalview/MNW-037-002/","MNW-037-002")</f>
        <v>MNW-037-002</v>
      </c>
      <c r="E1055" s="4" t="s">
        <v>3228</v>
      </c>
      <c r="F1055" s="3" t="str">
        <f>HYPERLINK("https://sitebase.nzcomms.co.nz/spm/spmcandidateview/MNW-037-002-D/","MNW-037-002-D")</f>
        <v>MNW-037-002-D</v>
      </c>
      <c r="G1055" s="4" t="s">
        <v>3229</v>
      </c>
      <c r="H1055" s="4" t="s">
        <v>3223</v>
      </c>
      <c r="I1055" s="4">
        <v>6</v>
      </c>
      <c r="J1055" s="4" t="s">
        <v>1633</v>
      </c>
      <c r="K1055" s="4" t="s">
        <v>141</v>
      </c>
      <c r="L1055" s="4" t="s">
        <v>189</v>
      </c>
      <c r="M1055" s="4" t="s">
        <v>190</v>
      </c>
      <c r="N1055" s="4" t="s">
        <v>274</v>
      </c>
      <c r="O1055" s="4" t="s">
        <v>356</v>
      </c>
      <c r="P1055" s="4" t="s">
        <v>182</v>
      </c>
      <c r="Q1055" s="4" t="s">
        <v>192</v>
      </c>
      <c r="R1055" s="4">
        <v>15</v>
      </c>
      <c r="S1055" s="4">
        <v>15.5</v>
      </c>
      <c r="T1055" s="4">
        <v>1</v>
      </c>
      <c r="U1055" s="4">
        <v>-39.920538780000001</v>
      </c>
      <c r="V1055" s="4">
        <v>175.04989639999999</v>
      </c>
      <c r="W1055" s="4"/>
      <c r="X1055" s="5">
        <v>40453</v>
      </c>
      <c r="Y1055" s="4"/>
      <c r="Z1055" s="5">
        <v>40221</v>
      </c>
      <c r="AA1055" s="4" t="s">
        <v>171</v>
      </c>
      <c r="AB1055" s="3" t="str">
        <f>HYPERLINK("https://sitebase.nzcomms.co.nz/spm/spmcandidateview/MNW-037-001-A/","MNW-037-001-A")</f>
        <v>MNW-037-001-A</v>
      </c>
      <c r="AC1055" s="4" t="b">
        <v>1</v>
      </c>
      <c r="AD1055" s="4" t="b">
        <v>1</v>
      </c>
      <c r="AE1055" s="4"/>
      <c r="AF1055" s="4"/>
      <c r="AG1055" s="4" t="b">
        <v>0</v>
      </c>
      <c r="AH1055" s="4" t="s">
        <v>3230</v>
      </c>
      <c r="AI1055" s="5">
        <v>40662</v>
      </c>
      <c r="AJ1055" s="5">
        <v>40667</v>
      </c>
      <c r="AK1055" s="5">
        <v>40667</v>
      </c>
      <c r="AL1055" s="5">
        <v>40673</v>
      </c>
      <c r="AM1055" s="5">
        <v>40693</v>
      </c>
      <c r="AN1055" s="5">
        <v>40696</v>
      </c>
      <c r="AO1055" s="4">
        <v>2</v>
      </c>
      <c r="AP1055" s="5">
        <v>40694</v>
      </c>
      <c r="AQ1055" s="5">
        <v>41967</v>
      </c>
      <c r="AR1055" s="5">
        <v>40729</v>
      </c>
      <c r="AS1055" s="5">
        <v>40708</v>
      </c>
      <c r="AT1055" s="5">
        <v>40791</v>
      </c>
      <c r="AU1055" s="5">
        <v>40788</v>
      </c>
      <c r="AV1055" s="4">
        <v>1</v>
      </c>
      <c r="AW1055" s="5">
        <v>40795</v>
      </c>
      <c r="AX1055" s="5">
        <v>40788</v>
      </c>
      <c r="AY1055" s="4" t="s">
        <v>198</v>
      </c>
      <c r="AZ1055" s="5">
        <v>40701</v>
      </c>
      <c r="BA1055" s="5">
        <v>40697</v>
      </c>
      <c r="BB1055" s="5">
        <v>40733</v>
      </c>
      <c r="BC1055" s="5">
        <v>40716</v>
      </c>
      <c r="BD1055" s="4">
        <v>1</v>
      </c>
      <c r="BE1055" s="5">
        <v>40738</v>
      </c>
      <c r="BF1055" s="5">
        <v>40716</v>
      </c>
      <c r="BG1055" s="4"/>
      <c r="BH1055" s="4"/>
      <c r="BI1055" s="5">
        <v>40784</v>
      </c>
      <c r="BJ1055" s="5">
        <v>40799</v>
      </c>
      <c r="BK1055" s="4">
        <v>1</v>
      </c>
      <c r="BL1055" s="4"/>
      <c r="BM1055" s="5">
        <v>40784</v>
      </c>
      <c r="BN1055" s="5">
        <v>40799</v>
      </c>
      <c r="BO1055" s="5">
        <v>40795</v>
      </c>
      <c r="BP1055" s="4"/>
      <c r="BQ1055" s="4"/>
      <c r="BR1055" s="4"/>
      <c r="BS1055" s="4"/>
      <c r="BT1055" s="5">
        <v>40848</v>
      </c>
      <c r="BU1055" s="5">
        <v>40849</v>
      </c>
      <c r="BV1055" s="5">
        <v>40865</v>
      </c>
      <c r="BW1055" s="5">
        <v>40865</v>
      </c>
      <c r="BX1055" s="5">
        <v>40851</v>
      </c>
      <c r="BY1055" s="5">
        <v>40852</v>
      </c>
      <c r="BZ1055" s="5">
        <v>40852</v>
      </c>
      <c r="CA1055" s="4"/>
      <c r="CB1055" s="4"/>
      <c r="CC1055" s="4"/>
      <c r="CD1055" s="4"/>
      <c r="CE1055" s="4"/>
      <c r="CF1055" s="4"/>
      <c r="CG1055" s="4"/>
      <c r="CH1055" s="4"/>
      <c r="CI1055" s="5">
        <v>40864</v>
      </c>
      <c r="CJ1055" s="5">
        <v>40857</v>
      </c>
      <c r="CK1055" s="5">
        <v>40858</v>
      </c>
      <c r="CL1055" s="5">
        <v>40866</v>
      </c>
      <c r="CM1055" s="5">
        <v>40878</v>
      </c>
      <c r="CN1055" s="5">
        <v>41533</v>
      </c>
      <c r="CO1055" s="5">
        <v>41536</v>
      </c>
      <c r="CP1055" s="4"/>
      <c r="CQ1055" s="4"/>
      <c r="CR1055" s="5">
        <v>40863</v>
      </c>
      <c r="CS1055" s="5">
        <v>40778</v>
      </c>
      <c r="CT1055" s="5">
        <v>40778</v>
      </c>
      <c r="CU1055" s="5">
        <v>40840</v>
      </c>
      <c r="CV1055" s="5">
        <v>40833</v>
      </c>
      <c r="CW1055" s="5">
        <v>40795</v>
      </c>
      <c r="CX1055" s="5">
        <v>40795</v>
      </c>
      <c r="CY1055" s="5">
        <v>40851</v>
      </c>
      <c r="CZ1055" s="5">
        <v>40851</v>
      </c>
      <c r="DA1055" s="4"/>
      <c r="DB1055" s="5">
        <v>40876</v>
      </c>
      <c r="DC1055" s="4"/>
      <c r="DD1055" s="4"/>
      <c r="DE1055" s="4"/>
      <c r="DF1055" s="4"/>
      <c r="DG1055" s="4"/>
      <c r="DH1055" s="4" t="s">
        <v>174</v>
      </c>
      <c r="DI1055" s="5">
        <v>40851</v>
      </c>
      <c r="DJ1055" s="4" t="b">
        <v>0</v>
      </c>
      <c r="DK1055" s="4"/>
      <c r="DL1055" s="4">
        <v>2685221</v>
      </c>
      <c r="DM1055" s="4">
        <v>6140755</v>
      </c>
      <c r="DN1055" s="4" t="s">
        <v>3231</v>
      </c>
      <c r="DO1055" s="4"/>
      <c r="DP1055" s="4" t="s">
        <v>3232</v>
      </c>
      <c r="DQ1055" s="4" t="s">
        <v>148</v>
      </c>
      <c r="DR1055" s="4"/>
      <c r="DS1055" s="4"/>
      <c r="DT1055" s="5">
        <v>42150</v>
      </c>
      <c r="DU1055" s="4"/>
      <c r="DV1055" s="4"/>
      <c r="DW1055" s="4"/>
      <c r="DX1055" s="4"/>
      <c r="DY1055" s="4"/>
      <c r="DZ1055" s="4"/>
      <c r="EA1055" s="4"/>
      <c r="EB1055" s="4"/>
      <c r="EC1055" s="4"/>
      <c r="ED1055" s="4"/>
      <c r="EE1055" s="4"/>
      <c r="EF1055" s="4"/>
      <c r="EG1055" s="5">
        <v>40877</v>
      </c>
      <c r="EH1055" s="5">
        <v>40876</v>
      </c>
      <c r="EI1055" s="5">
        <v>40673</v>
      </c>
    </row>
    <row r="1056" spans="1:139" hidden="1" x14ac:dyDescent="0.2">
      <c r="A1056">
        <f>VLOOKUP(B1056,Sheet1!$A$1:$B$18,2,FALSE)</f>
        <v>0</v>
      </c>
      <c r="B1056" t="str">
        <f>LEFT(D1056,3)</f>
        <v>MNW</v>
      </c>
      <c r="C1056" s="2">
        <v>1055</v>
      </c>
      <c r="D1056" s="3" t="str">
        <f>HYPERLINK("https://sitebase.nzcomms.co.nz/spm/spmnominalview/MNW-037-003/","MNW-037-003")</f>
        <v>MNW-037-003</v>
      </c>
      <c r="E1056" s="4" t="s">
        <v>3233</v>
      </c>
      <c r="F1056" s="3" t="str">
        <f>HYPERLINK("https://sitebase.nzcomms.co.nz/spm/spmcandidateview/MNW-037-003-D/","MNW-037-003-D")</f>
        <v>MNW-037-003-D</v>
      </c>
      <c r="G1056" s="4" t="s">
        <v>3234</v>
      </c>
      <c r="H1056" s="4" t="s">
        <v>3223</v>
      </c>
      <c r="I1056" s="4">
        <v>6</v>
      </c>
      <c r="J1056" s="4" t="s">
        <v>1633</v>
      </c>
      <c r="K1056" s="4" t="s">
        <v>141</v>
      </c>
      <c r="L1056" s="4" t="s">
        <v>189</v>
      </c>
      <c r="M1056" s="4" t="s">
        <v>190</v>
      </c>
      <c r="N1056" s="4" t="s">
        <v>274</v>
      </c>
      <c r="O1056" s="4" t="s">
        <v>356</v>
      </c>
      <c r="P1056" s="4" t="s">
        <v>182</v>
      </c>
      <c r="Q1056" s="4" t="s">
        <v>192</v>
      </c>
      <c r="R1056" s="4">
        <v>13.3</v>
      </c>
      <c r="S1056" s="4">
        <v>13.8</v>
      </c>
      <c r="T1056" s="4">
        <v>1</v>
      </c>
      <c r="U1056" s="4">
        <v>-39.906831750000002</v>
      </c>
      <c r="V1056" s="4">
        <v>175.02125022999999</v>
      </c>
      <c r="W1056" s="4"/>
      <c r="X1056" s="5">
        <v>40453</v>
      </c>
      <c r="Y1056" s="4"/>
      <c r="Z1056" s="5">
        <v>40221</v>
      </c>
      <c r="AA1056" s="4" t="s">
        <v>171</v>
      </c>
      <c r="AB1056" s="3" t="str">
        <f>HYPERLINK("https://sitebase.nzcomms.co.nz/spm/spmcandidateview/MNW-037-007-A/","MNW-037-007-A")</f>
        <v>MNW-037-007-A</v>
      </c>
      <c r="AC1056" s="4" t="b">
        <v>1</v>
      </c>
      <c r="AD1056" s="4" t="b">
        <v>1</v>
      </c>
      <c r="AE1056" s="4"/>
      <c r="AF1056" s="4"/>
      <c r="AG1056" s="4" t="b">
        <v>0</v>
      </c>
      <c r="AH1056" s="4" t="s">
        <v>3235</v>
      </c>
      <c r="AI1056" s="5">
        <v>40715</v>
      </c>
      <c r="AJ1056" s="5">
        <v>40668</v>
      </c>
      <c r="AK1056" s="5">
        <v>40690</v>
      </c>
      <c r="AL1056" s="5">
        <v>40673</v>
      </c>
      <c r="AM1056" s="5">
        <v>40690</v>
      </c>
      <c r="AN1056" s="5">
        <v>40696</v>
      </c>
      <c r="AO1056" s="4">
        <v>1</v>
      </c>
      <c r="AP1056" s="5">
        <v>40694</v>
      </c>
      <c r="AQ1056" s="5">
        <v>40696</v>
      </c>
      <c r="AR1056" s="5">
        <v>40736</v>
      </c>
      <c r="AS1056" s="5">
        <v>40757</v>
      </c>
      <c r="AT1056" s="5">
        <v>40766</v>
      </c>
      <c r="AU1056" s="5">
        <v>40760</v>
      </c>
      <c r="AV1056" s="4">
        <v>1</v>
      </c>
      <c r="AW1056" s="5">
        <v>40771</v>
      </c>
      <c r="AX1056" s="5">
        <v>40764</v>
      </c>
      <c r="AY1056" s="4" t="s">
        <v>193</v>
      </c>
      <c r="AZ1056" s="5">
        <v>40697</v>
      </c>
      <c r="BA1056" s="5">
        <v>40697</v>
      </c>
      <c r="BB1056" s="5">
        <v>40727</v>
      </c>
      <c r="BC1056" s="5">
        <v>40717</v>
      </c>
      <c r="BD1056" s="4">
        <v>1</v>
      </c>
      <c r="BE1056" s="5">
        <v>40771</v>
      </c>
      <c r="BF1056" s="5">
        <v>40717</v>
      </c>
      <c r="BG1056" s="4"/>
      <c r="BH1056" s="4"/>
      <c r="BI1056" s="5">
        <v>40837</v>
      </c>
      <c r="BJ1056" s="5">
        <v>40885</v>
      </c>
      <c r="BK1056" s="4">
        <v>1</v>
      </c>
      <c r="BL1056" s="4"/>
      <c r="BM1056" s="5">
        <v>40837</v>
      </c>
      <c r="BN1056" s="5">
        <v>40885</v>
      </c>
      <c r="BO1056" s="5">
        <v>40851</v>
      </c>
      <c r="BP1056" s="4"/>
      <c r="BQ1056" s="4"/>
      <c r="BR1056" s="4"/>
      <c r="BS1056" s="4"/>
      <c r="BT1056" s="5">
        <v>40854</v>
      </c>
      <c r="BU1056" s="5">
        <v>40850</v>
      </c>
      <c r="BV1056" s="5">
        <v>40869</v>
      </c>
      <c r="BW1056" s="5">
        <v>40869</v>
      </c>
      <c r="BX1056" s="5">
        <v>40858</v>
      </c>
      <c r="BY1056" s="5">
        <v>40870</v>
      </c>
      <c r="BZ1056" s="5">
        <v>40867</v>
      </c>
      <c r="CA1056" s="4"/>
      <c r="CB1056" s="4"/>
      <c r="CC1056" s="4"/>
      <c r="CD1056" s="4"/>
      <c r="CE1056" s="4"/>
      <c r="CF1056" s="4"/>
      <c r="CG1056" s="4"/>
      <c r="CH1056" s="4"/>
      <c r="CI1056" s="5">
        <v>40869</v>
      </c>
      <c r="CJ1056" s="5">
        <v>40877</v>
      </c>
      <c r="CK1056" s="5">
        <v>40878</v>
      </c>
      <c r="CL1056" s="5">
        <v>40904</v>
      </c>
      <c r="CM1056" s="5">
        <v>40890</v>
      </c>
      <c r="CN1056" s="5">
        <v>40980</v>
      </c>
      <c r="CO1056" s="5">
        <v>41089</v>
      </c>
      <c r="CP1056" s="4"/>
      <c r="CQ1056" s="4"/>
      <c r="CR1056" s="5">
        <v>40869</v>
      </c>
      <c r="CS1056" s="4"/>
      <c r="CT1056" s="5">
        <v>40785</v>
      </c>
      <c r="CU1056" s="5">
        <v>40865</v>
      </c>
      <c r="CV1056" s="5">
        <v>40865</v>
      </c>
      <c r="CW1056" s="5">
        <v>40851</v>
      </c>
      <c r="CX1056" s="5">
        <v>40851</v>
      </c>
      <c r="CY1056" s="5">
        <v>40861</v>
      </c>
      <c r="CZ1056" s="5">
        <v>40861</v>
      </c>
      <c r="DA1056" s="4"/>
      <c r="DB1056" s="5">
        <v>40875</v>
      </c>
      <c r="DC1056" s="4"/>
      <c r="DD1056" s="4"/>
      <c r="DE1056" s="4"/>
      <c r="DF1056" s="4"/>
      <c r="DG1056" s="4"/>
      <c r="DH1056" s="4"/>
      <c r="DI1056" s="5">
        <v>40858</v>
      </c>
      <c r="DJ1056" s="4" t="b">
        <v>0</v>
      </c>
      <c r="DK1056" s="4"/>
      <c r="DL1056" s="4">
        <v>2682808</v>
      </c>
      <c r="DM1056" s="4">
        <v>6142333</v>
      </c>
      <c r="DN1056" s="4" t="s">
        <v>3236</v>
      </c>
      <c r="DO1056" s="4"/>
      <c r="DP1056" s="4"/>
      <c r="DQ1056" s="4" t="s">
        <v>148</v>
      </c>
      <c r="DR1056" s="4"/>
      <c r="DS1056" s="4"/>
      <c r="DT1056" s="4"/>
      <c r="DU1056" s="4"/>
      <c r="DV1056" s="4"/>
      <c r="DW1056" s="4"/>
      <c r="DX1056" s="4"/>
      <c r="DY1056" s="4"/>
      <c r="DZ1056" s="4"/>
      <c r="EA1056" s="4"/>
      <c r="EB1056" s="4"/>
      <c r="EC1056" s="4"/>
      <c r="ED1056" s="4"/>
      <c r="EE1056" s="4"/>
      <c r="EF1056" s="4"/>
      <c r="EG1056" s="5">
        <v>40879</v>
      </c>
      <c r="EH1056" s="5">
        <v>40879</v>
      </c>
      <c r="EI1056" s="5">
        <v>40673</v>
      </c>
    </row>
    <row r="1057" spans="1:139" hidden="1" x14ac:dyDescent="0.2">
      <c r="A1057">
        <f>VLOOKUP(B1057,Sheet1!$A$1:$B$18,2,FALSE)</f>
        <v>0</v>
      </c>
      <c r="B1057" t="str">
        <f>LEFT(D1057,3)</f>
        <v>MNW</v>
      </c>
      <c r="C1057" s="2">
        <v>1056</v>
      </c>
      <c r="D1057" s="3" t="str">
        <f>HYPERLINK("https://sitebase.nzcomms.co.nz/spm/spmnominalview/MNW-037-004/","MNW-037-004")</f>
        <v>MNW-037-004</v>
      </c>
      <c r="E1057" s="4" t="s">
        <v>3237</v>
      </c>
      <c r="F1057" s="3" t="str">
        <f>HYPERLINK("https://sitebase.nzcomms.co.nz/spm/spmcandidateview/MNW-037-004-B/","MNW-037-004-B")</f>
        <v>MNW-037-004-B</v>
      </c>
      <c r="G1057" s="4" t="s">
        <v>3238</v>
      </c>
      <c r="H1057" s="4" t="s">
        <v>3223</v>
      </c>
      <c r="I1057" s="4">
        <v>6</v>
      </c>
      <c r="J1057" s="4" t="s">
        <v>1633</v>
      </c>
      <c r="K1057" s="4" t="s">
        <v>141</v>
      </c>
      <c r="L1057" s="4" t="s">
        <v>150</v>
      </c>
      <c r="M1057" s="4" t="s">
        <v>190</v>
      </c>
      <c r="N1057" s="4" t="s">
        <v>269</v>
      </c>
      <c r="O1057" s="4" t="s">
        <v>3239</v>
      </c>
      <c r="P1057" s="4" t="s">
        <v>169</v>
      </c>
      <c r="Q1057" s="4" t="s">
        <v>192</v>
      </c>
      <c r="R1057" s="4">
        <v>19.399999999999999</v>
      </c>
      <c r="S1057" s="4">
        <v>20</v>
      </c>
      <c r="T1057" s="4">
        <v>1</v>
      </c>
      <c r="U1057" s="4">
        <v>-39.944243200000003</v>
      </c>
      <c r="V1057" s="4">
        <v>174.99093769000001</v>
      </c>
      <c r="W1057" s="4"/>
      <c r="X1057" s="5">
        <v>40453</v>
      </c>
      <c r="Y1057" s="4"/>
      <c r="Z1057" s="5">
        <v>40221</v>
      </c>
      <c r="AA1057" s="4" t="s">
        <v>171</v>
      </c>
      <c r="AB1057" s="3" t="str">
        <f>HYPERLINK("https://sitebase.nzcomms.co.nz/spm/spmcandidateview/MNW-037-006-A/","MNW-037-006-A")</f>
        <v>MNW-037-006-A</v>
      </c>
      <c r="AC1057" s="4" t="b">
        <v>0</v>
      </c>
      <c r="AD1057" s="4" t="b">
        <v>0</v>
      </c>
      <c r="AE1057" s="4"/>
      <c r="AF1057" s="4"/>
      <c r="AG1057" s="4" t="b">
        <v>0</v>
      </c>
      <c r="AH1057" s="4" t="s">
        <v>3240</v>
      </c>
      <c r="AI1057" s="5">
        <v>40647</v>
      </c>
      <c r="AJ1057" s="5">
        <v>40647</v>
      </c>
      <c r="AK1057" s="5">
        <v>40652</v>
      </c>
      <c r="AL1057" s="5">
        <v>40659</v>
      </c>
      <c r="AM1057" s="5">
        <v>40676</v>
      </c>
      <c r="AN1057" s="5">
        <v>40680</v>
      </c>
      <c r="AO1057" s="4">
        <v>1</v>
      </c>
      <c r="AP1057" s="5">
        <v>40676</v>
      </c>
      <c r="AQ1057" s="5">
        <v>40680</v>
      </c>
      <c r="AR1057" s="5">
        <v>40719</v>
      </c>
      <c r="AS1057" s="5">
        <v>40711</v>
      </c>
      <c r="AT1057" s="5">
        <v>40793</v>
      </c>
      <c r="AU1057" s="5">
        <v>40788</v>
      </c>
      <c r="AV1057" s="4">
        <v>1</v>
      </c>
      <c r="AW1057" s="5">
        <v>40796</v>
      </c>
      <c r="AX1057" s="5">
        <v>40788</v>
      </c>
      <c r="AY1057" s="4" t="s">
        <v>172</v>
      </c>
      <c r="AZ1057" s="5">
        <v>40683</v>
      </c>
      <c r="BA1057" s="5">
        <v>40682</v>
      </c>
      <c r="BB1057" s="5">
        <v>40718</v>
      </c>
      <c r="BC1057" s="5">
        <v>40701</v>
      </c>
      <c r="BD1057" s="4">
        <v>1</v>
      </c>
      <c r="BE1057" s="5">
        <v>40735</v>
      </c>
      <c r="BF1057" s="5">
        <v>40701</v>
      </c>
      <c r="BG1057" s="4"/>
      <c r="BH1057" s="4"/>
      <c r="BI1057" s="5">
        <v>40732</v>
      </c>
      <c r="BJ1057" s="5">
        <v>40756</v>
      </c>
      <c r="BK1057" s="4">
        <v>1</v>
      </c>
      <c r="BL1057" s="4"/>
      <c r="BM1057" s="5">
        <v>40739</v>
      </c>
      <c r="BN1057" s="5">
        <v>40756</v>
      </c>
      <c r="BO1057" s="5">
        <v>40813</v>
      </c>
      <c r="BP1057" s="4"/>
      <c r="BQ1057" s="4"/>
      <c r="BR1057" s="4"/>
      <c r="BS1057" s="4"/>
      <c r="BT1057" s="5">
        <v>40798</v>
      </c>
      <c r="BU1057" s="5">
        <v>40798</v>
      </c>
      <c r="BV1057" s="5">
        <v>40847</v>
      </c>
      <c r="BW1057" s="5">
        <v>40847</v>
      </c>
      <c r="BX1057" s="5">
        <v>40826</v>
      </c>
      <c r="BY1057" s="5">
        <v>40835</v>
      </c>
      <c r="BZ1057" s="5">
        <v>40835</v>
      </c>
      <c r="CA1057" s="4"/>
      <c r="CB1057" s="4"/>
      <c r="CC1057" s="4"/>
      <c r="CD1057" s="4"/>
      <c r="CE1057" s="4"/>
      <c r="CF1057" s="4"/>
      <c r="CG1057" s="4"/>
      <c r="CH1057" s="4"/>
      <c r="CI1057" s="5">
        <v>40842</v>
      </c>
      <c r="CJ1057" s="5">
        <v>40857</v>
      </c>
      <c r="CK1057" s="5">
        <v>40858</v>
      </c>
      <c r="CL1057" s="5">
        <v>40837</v>
      </c>
      <c r="CM1057" s="5">
        <v>40878</v>
      </c>
      <c r="CN1057" s="5">
        <v>40968</v>
      </c>
      <c r="CO1057" s="5">
        <v>41187</v>
      </c>
      <c r="CP1057" s="4"/>
      <c r="CQ1057" s="4"/>
      <c r="CR1057" s="5">
        <v>40836</v>
      </c>
      <c r="CS1057" s="5">
        <v>40751</v>
      </c>
      <c r="CT1057" s="5">
        <v>40751</v>
      </c>
      <c r="CU1057" s="5">
        <v>40830</v>
      </c>
      <c r="CV1057" s="5">
        <v>40833</v>
      </c>
      <c r="CW1057" s="5">
        <v>40813</v>
      </c>
      <c r="CX1057" s="5">
        <v>40813</v>
      </c>
      <c r="CY1057" s="5">
        <v>40823</v>
      </c>
      <c r="CZ1057" s="5">
        <v>40822</v>
      </c>
      <c r="DA1057" s="4"/>
      <c r="DB1057" s="5">
        <v>40858</v>
      </c>
      <c r="DC1057" s="4"/>
      <c r="DD1057" s="4"/>
      <c r="DE1057" s="4"/>
      <c r="DF1057" s="4"/>
      <c r="DG1057" s="4"/>
      <c r="DH1057" s="4"/>
      <c r="DI1057" s="5">
        <v>40821</v>
      </c>
      <c r="DJ1057" s="4" t="b">
        <v>0</v>
      </c>
      <c r="DK1057" s="4"/>
      <c r="DL1057" s="4">
        <v>2680123</v>
      </c>
      <c r="DM1057" s="4">
        <v>6138240</v>
      </c>
      <c r="DN1057" s="4" t="s">
        <v>3241</v>
      </c>
      <c r="DO1057" s="4"/>
      <c r="DP1057" s="4"/>
      <c r="DQ1057" s="4" t="s">
        <v>148</v>
      </c>
      <c r="DR1057" s="4"/>
      <c r="DS1057" s="4"/>
      <c r="DT1057" s="5">
        <v>42150</v>
      </c>
      <c r="DU1057" s="4"/>
      <c r="DV1057" s="4"/>
      <c r="DW1057" s="4"/>
      <c r="DX1057" s="4"/>
      <c r="DY1057" s="4"/>
      <c r="DZ1057" s="4"/>
      <c r="EA1057" s="4"/>
      <c r="EB1057" s="4"/>
      <c r="EC1057" s="4"/>
      <c r="ED1057" s="4"/>
      <c r="EE1057" s="4"/>
      <c r="EF1057" s="4"/>
      <c r="EG1057" s="5">
        <v>40871</v>
      </c>
      <c r="EH1057" s="5">
        <v>40870</v>
      </c>
      <c r="EI1057" s="5">
        <v>40659</v>
      </c>
    </row>
    <row r="1058" spans="1:139" hidden="1" x14ac:dyDescent="0.2">
      <c r="A1058">
        <f>VLOOKUP(B1058,Sheet1!$A$1:$B$18,2,FALSE)</f>
        <v>0</v>
      </c>
      <c r="B1058" t="str">
        <f>LEFT(D1058,3)</f>
        <v>MNW</v>
      </c>
      <c r="C1058" s="2">
        <v>1057</v>
      </c>
      <c r="D1058" s="3" t="str">
        <f>HYPERLINK("https://sitebase.nzcomms.co.nz/spm/spmnominalview/MNW-037-006/","MNW-037-006")</f>
        <v>MNW-037-006</v>
      </c>
      <c r="E1058" s="4" t="s">
        <v>3242</v>
      </c>
      <c r="F1058" s="3" t="str">
        <f>HYPERLINK("https://sitebase.nzcomms.co.nz/spm/spmcandidateview/MNW-037-006-A/","MNW-037-006-A")</f>
        <v>MNW-037-006-A</v>
      </c>
      <c r="G1058" s="4" t="s">
        <v>3243</v>
      </c>
      <c r="H1058" s="4" t="s">
        <v>3223</v>
      </c>
      <c r="I1058" s="4">
        <v>6</v>
      </c>
      <c r="J1058" s="4" t="s">
        <v>1633</v>
      </c>
      <c r="K1058" s="4" t="s">
        <v>141</v>
      </c>
      <c r="L1058" s="4" t="s">
        <v>142</v>
      </c>
      <c r="M1058" s="4" t="s">
        <v>190</v>
      </c>
      <c r="N1058" s="4" t="s">
        <v>142</v>
      </c>
      <c r="O1058" s="4" t="s">
        <v>144</v>
      </c>
      <c r="P1058" s="4" t="s">
        <v>169</v>
      </c>
      <c r="Q1058" s="4" t="s">
        <v>142</v>
      </c>
      <c r="R1058" s="4">
        <v>27</v>
      </c>
      <c r="S1058" s="4">
        <v>30</v>
      </c>
      <c r="T1058" s="4">
        <v>1</v>
      </c>
      <c r="U1058" s="4">
        <v>-39.95525928</v>
      </c>
      <c r="V1058" s="4">
        <v>175.05517495999999</v>
      </c>
      <c r="W1058" s="4"/>
      <c r="X1058" s="5">
        <v>40453</v>
      </c>
      <c r="Y1058" s="4"/>
      <c r="Z1058" s="5">
        <v>40221</v>
      </c>
      <c r="AA1058" s="4" t="s">
        <v>171</v>
      </c>
      <c r="AB1058" s="3" t="str">
        <f>HYPERLINK("https://sitebase.nzcomms.co.nz/spm/spmcandidateview/MNW-037-001-A/","MNW-037-001-A")</f>
        <v>MNW-037-001-A</v>
      </c>
      <c r="AC1058" s="4" t="b">
        <v>1</v>
      </c>
      <c r="AD1058" s="4" t="b">
        <v>1</v>
      </c>
      <c r="AE1058" s="5">
        <v>40604</v>
      </c>
      <c r="AF1058" s="4"/>
      <c r="AG1058" s="4" t="b">
        <v>0</v>
      </c>
      <c r="AH1058" s="4"/>
      <c r="AI1058" s="5">
        <v>40619</v>
      </c>
      <c r="AJ1058" s="5">
        <v>40619</v>
      </c>
      <c r="AK1058" s="5">
        <v>40624</v>
      </c>
      <c r="AL1058" s="5">
        <v>40624</v>
      </c>
      <c r="AM1058" s="5">
        <v>40641</v>
      </c>
      <c r="AN1058" s="5">
        <v>40659</v>
      </c>
      <c r="AO1058" s="4">
        <v>1</v>
      </c>
      <c r="AP1058" s="5">
        <v>40652</v>
      </c>
      <c r="AQ1058" s="5">
        <v>40659</v>
      </c>
      <c r="AR1058" s="5">
        <v>40681</v>
      </c>
      <c r="AS1058" s="5">
        <v>40757</v>
      </c>
      <c r="AT1058" s="5">
        <v>40761</v>
      </c>
      <c r="AU1058" s="5">
        <v>40784</v>
      </c>
      <c r="AV1058" s="4">
        <v>1</v>
      </c>
      <c r="AW1058" s="5">
        <v>40764</v>
      </c>
      <c r="AX1058" s="5">
        <v>40801</v>
      </c>
      <c r="AY1058" s="4" t="s">
        <v>183</v>
      </c>
      <c r="AZ1058" s="5">
        <v>40665</v>
      </c>
      <c r="BA1058" s="5">
        <v>40665</v>
      </c>
      <c r="BB1058" s="5">
        <v>40710</v>
      </c>
      <c r="BC1058" s="5">
        <v>40682</v>
      </c>
      <c r="BD1058" s="4">
        <v>1</v>
      </c>
      <c r="BE1058" s="5">
        <v>40715</v>
      </c>
      <c r="BF1058" s="5">
        <v>40682</v>
      </c>
      <c r="BG1058" s="4"/>
      <c r="BH1058" s="4"/>
      <c r="BI1058" s="5">
        <v>40784</v>
      </c>
      <c r="BJ1058" s="5">
        <v>40792</v>
      </c>
      <c r="BK1058" s="4">
        <v>1</v>
      </c>
      <c r="BL1058" s="4"/>
      <c r="BM1058" s="5">
        <v>40784</v>
      </c>
      <c r="BN1058" s="5">
        <v>40792</v>
      </c>
      <c r="BO1058" s="5">
        <v>40826</v>
      </c>
      <c r="BP1058" s="4"/>
      <c r="BQ1058" s="4"/>
      <c r="BR1058" s="4"/>
      <c r="BS1058" s="4"/>
      <c r="BT1058" s="5">
        <v>40815</v>
      </c>
      <c r="BU1058" s="5">
        <v>40819</v>
      </c>
      <c r="BV1058" s="5">
        <v>40847</v>
      </c>
      <c r="BW1058" s="5">
        <v>40847</v>
      </c>
      <c r="BX1058" s="5">
        <v>40822</v>
      </c>
      <c r="BY1058" s="5">
        <v>40833</v>
      </c>
      <c r="BZ1058" s="5">
        <v>40835</v>
      </c>
      <c r="CA1058" s="4"/>
      <c r="CB1058" s="4"/>
      <c r="CC1058" s="4"/>
      <c r="CD1058" s="4"/>
      <c r="CE1058" s="4"/>
      <c r="CF1058" s="4"/>
      <c r="CG1058" s="4"/>
      <c r="CH1058" s="4"/>
      <c r="CI1058" s="5">
        <v>40842</v>
      </c>
      <c r="CJ1058" s="5">
        <v>40857</v>
      </c>
      <c r="CK1058" s="5">
        <v>40858</v>
      </c>
      <c r="CL1058" s="5">
        <v>40837</v>
      </c>
      <c r="CM1058" s="5">
        <v>40878</v>
      </c>
      <c r="CN1058" s="5">
        <v>40968</v>
      </c>
      <c r="CO1058" s="5">
        <v>41089</v>
      </c>
      <c r="CP1058" s="4"/>
      <c r="CQ1058" s="4" t="s">
        <v>230</v>
      </c>
      <c r="CR1058" s="5">
        <v>40837</v>
      </c>
      <c r="CS1058" s="5">
        <v>40751</v>
      </c>
      <c r="CT1058" s="5">
        <v>40751</v>
      </c>
      <c r="CU1058" s="5">
        <v>40822</v>
      </c>
      <c r="CV1058" s="5">
        <v>40833</v>
      </c>
      <c r="CW1058" s="5">
        <v>40830</v>
      </c>
      <c r="CX1058" s="5">
        <v>40826</v>
      </c>
      <c r="CY1058" s="5">
        <v>40830</v>
      </c>
      <c r="CZ1058" s="5">
        <v>40830</v>
      </c>
      <c r="DA1058" s="4"/>
      <c r="DB1058" s="5">
        <v>40858</v>
      </c>
      <c r="DC1058" s="4"/>
      <c r="DD1058" s="4"/>
      <c r="DE1058" s="4"/>
      <c r="DF1058" s="4"/>
      <c r="DG1058" s="4"/>
      <c r="DH1058" s="4"/>
      <c r="DI1058" s="5">
        <v>40822</v>
      </c>
      <c r="DJ1058" s="4" t="b">
        <v>0</v>
      </c>
      <c r="DK1058" s="4"/>
      <c r="DL1058" s="4">
        <v>2685582</v>
      </c>
      <c r="DM1058" s="4">
        <v>6136891</v>
      </c>
      <c r="DN1058" s="4" t="s">
        <v>3244</v>
      </c>
      <c r="DO1058" s="4"/>
      <c r="DP1058" s="4"/>
      <c r="DQ1058" s="4" t="s">
        <v>148</v>
      </c>
      <c r="DR1058" s="4"/>
      <c r="DS1058" s="4"/>
      <c r="DT1058" s="4"/>
      <c r="DU1058" s="4"/>
      <c r="DV1058" s="4"/>
      <c r="DW1058" s="4"/>
      <c r="DX1058" s="4"/>
      <c r="DY1058" s="4"/>
      <c r="DZ1058" s="4"/>
      <c r="EA1058" s="4"/>
      <c r="EB1058" s="4"/>
      <c r="EC1058" s="4"/>
      <c r="ED1058" s="4"/>
      <c r="EE1058" s="4"/>
      <c r="EF1058" s="4"/>
      <c r="EG1058" s="5">
        <v>40870</v>
      </c>
      <c r="EH1058" s="5">
        <v>40870</v>
      </c>
      <c r="EI1058" s="5">
        <v>40624</v>
      </c>
    </row>
    <row r="1059" spans="1:139" hidden="1" x14ac:dyDescent="0.2">
      <c r="A1059">
        <f>VLOOKUP(B1059,Sheet1!$A$1:$B$18,2,FALSE)</f>
        <v>0</v>
      </c>
      <c r="B1059" t="str">
        <f>LEFT(D1059,3)</f>
        <v>MNW</v>
      </c>
      <c r="C1059" s="2">
        <v>1058</v>
      </c>
      <c r="D1059" s="3" t="str">
        <f>HYPERLINK("https://sitebase.nzcomms.co.nz/spm/spmnominalview/MNW-037-007/","MNW-037-007")</f>
        <v>MNW-037-007</v>
      </c>
      <c r="E1059" s="4" t="s">
        <v>3245</v>
      </c>
      <c r="F1059" s="3" t="str">
        <f>HYPERLINK("https://sitebase.nzcomms.co.nz/spm/spmcandidateview/MNW-037-007-A/","MNW-037-007-A")</f>
        <v>MNW-037-007-A</v>
      </c>
      <c r="G1059" s="4" t="s">
        <v>3246</v>
      </c>
      <c r="H1059" s="4" t="s">
        <v>3223</v>
      </c>
      <c r="I1059" s="4">
        <v>6</v>
      </c>
      <c r="J1059" s="4" t="s">
        <v>1633</v>
      </c>
      <c r="K1059" s="4" t="s">
        <v>141</v>
      </c>
      <c r="L1059" s="4" t="s">
        <v>325</v>
      </c>
      <c r="M1059" s="4" t="s">
        <v>166</v>
      </c>
      <c r="N1059" s="4" t="s">
        <v>364</v>
      </c>
      <c r="O1059" s="4" t="s">
        <v>144</v>
      </c>
      <c r="P1059" s="4" t="s">
        <v>182</v>
      </c>
      <c r="Q1059" s="4" t="s">
        <v>170</v>
      </c>
      <c r="R1059" s="4">
        <v>31.3</v>
      </c>
      <c r="S1059" s="4">
        <v>50</v>
      </c>
      <c r="T1059" s="4">
        <v>1</v>
      </c>
      <c r="U1059" s="4">
        <v>-39.92692564</v>
      </c>
      <c r="V1059" s="4">
        <v>175.06944675</v>
      </c>
      <c r="W1059" s="4"/>
      <c r="X1059" s="5">
        <v>40453</v>
      </c>
      <c r="Y1059" s="4"/>
      <c r="Z1059" s="5">
        <v>40221</v>
      </c>
      <c r="AA1059" s="4" t="s">
        <v>171</v>
      </c>
      <c r="AB1059" s="3" t="str">
        <f>HYPERLINK("https://sitebase.nzcomms.co.nz/spm/spmcandidateview/MNW-037-001-A/","MNW-037-001-A")</f>
        <v>MNW-037-001-A</v>
      </c>
      <c r="AC1059" s="4" t="b">
        <v>1</v>
      </c>
      <c r="AD1059" s="4" t="b">
        <v>1</v>
      </c>
      <c r="AE1059" s="5">
        <v>40604</v>
      </c>
      <c r="AF1059" s="4"/>
      <c r="AG1059" s="4" t="b">
        <v>0</v>
      </c>
      <c r="AH1059" s="4" t="s">
        <v>3224</v>
      </c>
      <c r="AI1059" s="5">
        <v>40640</v>
      </c>
      <c r="AJ1059" s="5">
        <v>40640</v>
      </c>
      <c r="AK1059" s="5">
        <v>40660</v>
      </c>
      <c r="AL1059" s="5">
        <v>40660</v>
      </c>
      <c r="AM1059" s="5">
        <v>40679</v>
      </c>
      <c r="AN1059" s="5">
        <v>40694</v>
      </c>
      <c r="AO1059" s="4">
        <v>2</v>
      </c>
      <c r="AP1059" s="5">
        <v>40680</v>
      </c>
      <c r="AQ1059" s="5">
        <v>41967</v>
      </c>
      <c r="AR1059" s="5">
        <v>40707</v>
      </c>
      <c r="AS1059" s="5">
        <v>40704</v>
      </c>
      <c r="AT1059" s="5">
        <v>40737</v>
      </c>
      <c r="AU1059" s="5">
        <v>40765</v>
      </c>
      <c r="AV1059" s="4">
        <v>1</v>
      </c>
      <c r="AW1059" s="5">
        <v>40742</v>
      </c>
      <c r="AX1059" s="5">
        <v>40765</v>
      </c>
      <c r="AY1059" s="4" t="s">
        <v>183</v>
      </c>
      <c r="AZ1059" s="5">
        <v>40684</v>
      </c>
      <c r="BA1059" s="5">
        <v>40697</v>
      </c>
      <c r="BB1059" s="5">
        <v>40726</v>
      </c>
      <c r="BC1059" s="5">
        <v>40716</v>
      </c>
      <c r="BD1059" s="4">
        <v>1</v>
      </c>
      <c r="BE1059" s="5">
        <v>40742</v>
      </c>
      <c r="BF1059" s="5">
        <v>40716</v>
      </c>
      <c r="BG1059" s="4"/>
      <c r="BH1059" s="4"/>
      <c r="BI1059" s="5">
        <v>40814</v>
      </c>
      <c r="BJ1059" s="5">
        <v>40854</v>
      </c>
      <c r="BK1059" s="4">
        <v>1</v>
      </c>
      <c r="BL1059" s="4"/>
      <c r="BM1059" s="5">
        <v>40814</v>
      </c>
      <c r="BN1059" s="5">
        <v>40854</v>
      </c>
      <c r="BO1059" s="5">
        <v>40843</v>
      </c>
      <c r="BP1059" s="4"/>
      <c r="BQ1059" s="4"/>
      <c r="BR1059" s="4"/>
      <c r="BS1059" s="4"/>
      <c r="BT1059" s="5">
        <v>40834</v>
      </c>
      <c r="BU1059" s="5">
        <v>40831</v>
      </c>
      <c r="BV1059" s="5">
        <v>40865</v>
      </c>
      <c r="BW1059" s="5">
        <v>40865</v>
      </c>
      <c r="BX1059" s="5">
        <v>40837</v>
      </c>
      <c r="BY1059" s="5">
        <v>40865</v>
      </c>
      <c r="BZ1059" s="5">
        <v>40865</v>
      </c>
      <c r="CA1059" s="4"/>
      <c r="CB1059" s="4"/>
      <c r="CC1059" s="4"/>
      <c r="CD1059" s="4"/>
      <c r="CE1059" s="4"/>
      <c r="CF1059" s="4"/>
      <c r="CG1059" s="4"/>
      <c r="CH1059" s="4"/>
      <c r="CI1059" s="5">
        <v>40842</v>
      </c>
      <c r="CJ1059" s="5">
        <v>40857</v>
      </c>
      <c r="CK1059" s="5">
        <v>40858</v>
      </c>
      <c r="CL1059" s="5">
        <v>40866</v>
      </c>
      <c r="CM1059" s="5">
        <v>40884</v>
      </c>
      <c r="CN1059" s="5">
        <v>41516</v>
      </c>
      <c r="CO1059" s="5">
        <v>41513</v>
      </c>
      <c r="CP1059" s="4" t="s">
        <v>3247</v>
      </c>
      <c r="CQ1059" s="4"/>
      <c r="CR1059" s="5">
        <v>40842</v>
      </c>
      <c r="CS1059" s="5">
        <v>40778</v>
      </c>
      <c r="CT1059" s="5">
        <v>40778</v>
      </c>
      <c r="CU1059" s="5">
        <v>40837</v>
      </c>
      <c r="CV1059" s="5">
        <v>40837</v>
      </c>
      <c r="CW1059" s="5">
        <v>40834</v>
      </c>
      <c r="CX1059" s="5">
        <v>40843</v>
      </c>
      <c r="CY1059" s="5">
        <v>40849</v>
      </c>
      <c r="CZ1059" s="5">
        <v>40841</v>
      </c>
      <c r="DA1059" s="4"/>
      <c r="DB1059" s="5">
        <v>40858</v>
      </c>
      <c r="DC1059" s="4"/>
      <c r="DD1059" s="4"/>
      <c r="DE1059" s="4"/>
      <c r="DF1059" s="4"/>
      <c r="DG1059" s="4"/>
      <c r="DH1059" s="4" t="s">
        <v>174</v>
      </c>
      <c r="DI1059" s="5">
        <v>40843</v>
      </c>
      <c r="DJ1059" s="4" t="b">
        <v>0</v>
      </c>
      <c r="DK1059" s="4"/>
      <c r="DL1059" s="4">
        <v>2686875</v>
      </c>
      <c r="DM1059" s="4">
        <v>6140007</v>
      </c>
      <c r="DN1059" s="4" t="s">
        <v>3248</v>
      </c>
      <c r="DO1059" s="4"/>
      <c r="DP1059" s="4" t="s">
        <v>3249</v>
      </c>
      <c r="DQ1059" s="4" t="s">
        <v>148</v>
      </c>
      <c r="DR1059" s="4"/>
      <c r="DS1059" s="4"/>
      <c r="DT1059" s="5">
        <v>42150</v>
      </c>
      <c r="DU1059" s="4"/>
      <c r="DV1059" s="4"/>
      <c r="DW1059" s="4"/>
      <c r="DX1059" s="4"/>
      <c r="DY1059" s="4"/>
      <c r="DZ1059" s="4"/>
      <c r="EA1059" s="4"/>
      <c r="EB1059" s="4"/>
      <c r="EC1059" s="4"/>
      <c r="ED1059" s="4"/>
      <c r="EE1059" s="4"/>
      <c r="EF1059" s="4"/>
      <c r="EG1059" s="5">
        <v>40872</v>
      </c>
      <c r="EH1059" s="5">
        <v>40871</v>
      </c>
      <c r="EI1059" s="5">
        <v>40660</v>
      </c>
    </row>
    <row r="1060" spans="1:139" hidden="1" x14ac:dyDescent="0.2">
      <c r="A1060">
        <f>VLOOKUP(B1060,Sheet1!$A$1:$B$18,2,FALSE)</f>
        <v>0</v>
      </c>
      <c r="B1060" t="str">
        <f>LEFT(D1060,3)</f>
        <v>MNW</v>
      </c>
      <c r="C1060" s="2">
        <v>1059</v>
      </c>
      <c r="D1060" s="3" t="str">
        <f>HYPERLINK("https://sitebase.nzcomms.co.nz/spm/spmnominalview/MNW-037-008/","MNW-037-008")</f>
        <v>MNW-037-008</v>
      </c>
      <c r="E1060" s="4"/>
      <c r="F1060" s="4"/>
      <c r="G1060" s="4"/>
      <c r="H1060" s="4" t="s">
        <v>3223</v>
      </c>
      <c r="I1060" s="4"/>
      <c r="J1060" s="4" t="s">
        <v>196</v>
      </c>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4"/>
      <c r="BS1060" s="4"/>
      <c r="BT1060" s="4"/>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4"/>
      <c r="CW1060" s="4"/>
      <c r="CX1060" s="4"/>
      <c r="CY1060" s="4"/>
      <c r="CZ1060" s="4"/>
      <c r="DA1060" s="4"/>
      <c r="DB1060" s="4"/>
      <c r="DC1060" s="4"/>
      <c r="DD1060" s="4"/>
      <c r="DE1060" s="4"/>
      <c r="DF1060" s="4"/>
      <c r="DG1060" s="4"/>
      <c r="DH1060" s="4"/>
      <c r="DI1060" s="4"/>
      <c r="DJ1060" s="4"/>
      <c r="DK1060" s="4"/>
      <c r="DL1060" s="4"/>
      <c r="DM1060" s="4"/>
      <c r="DN1060" s="4"/>
      <c r="DO1060" s="4"/>
      <c r="DP1060" s="4"/>
      <c r="DQ1060" s="4"/>
      <c r="DR1060" s="4"/>
      <c r="DS1060" s="4"/>
      <c r="DT1060" s="4"/>
      <c r="DU1060" s="4"/>
      <c r="DV1060" s="4"/>
      <c r="DW1060" s="4"/>
      <c r="DX1060" s="4"/>
      <c r="DY1060" s="4"/>
      <c r="DZ1060" s="4"/>
      <c r="EA1060" s="4"/>
      <c r="EB1060" s="4"/>
      <c r="EC1060" s="4"/>
      <c r="ED1060" s="4"/>
      <c r="EE1060" s="4"/>
      <c r="EF1060" s="4"/>
      <c r="EG1060" s="4"/>
      <c r="EH1060" s="4"/>
      <c r="EI1060" s="4"/>
    </row>
    <row r="1061" spans="1:139" hidden="1" x14ac:dyDescent="0.2">
      <c r="A1061">
        <f>VLOOKUP(B1061,Sheet1!$A$1:$B$18,2,FALSE)</f>
        <v>0</v>
      </c>
      <c r="B1061" t="str">
        <f>LEFT(D1061,3)</f>
        <v>MNW</v>
      </c>
      <c r="C1061" s="2">
        <v>1060</v>
      </c>
      <c r="D1061" s="3" t="str">
        <f>HYPERLINK("https://sitebase.nzcomms.co.nz/spm/spmnominalview/MNW-037-009/","MNW-037-009")</f>
        <v>MNW-037-009</v>
      </c>
      <c r="E1061" s="4" t="s">
        <v>3250</v>
      </c>
      <c r="F1061" s="3" t="str">
        <f>HYPERLINK("https://sitebase.nzcomms.co.nz/spm/spmcandidateview/MNW-037-009-A/","MNW-037-009-A")</f>
        <v>MNW-037-009-A</v>
      </c>
      <c r="G1061" s="4" t="s">
        <v>3251</v>
      </c>
      <c r="H1061" s="4" t="s">
        <v>3223</v>
      </c>
      <c r="I1061" s="4">
        <v>6</v>
      </c>
      <c r="J1061" s="4" t="s">
        <v>1633</v>
      </c>
      <c r="K1061" s="4" t="s">
        <v>141</v>
      </c>
      <c r="L1061" s="4" t="s">
        <v>142</v>
      </c>
      <c r="M1061" s="4" t="s">
        <v>190</v>
      </c>
      <c r="N1061" s="4" t="s">
        <v>142</v>
      </c>
      <c r="O1061" s="4" t="s">
        <v>144</v>
      </c>
      <c r="P1061" s="4" t="s">
        <v>169</v>
      </c>
      <c r="Q1061" s="4" t="s">
        <v>142</v>
      </c>
      <c r="R1061" s="4">
        <v>26.6</v>
      </c>
      <c r="S1061" s="4">
        <v>29.5</v>
      </c>
      <c r="T1061" s="4">
        <v>1</v>
      </c>
      <c r="U1061" s="4">
        <v>-39.889615130000003</v>
      </c>
      <c r="V1061" s="4">
        <v>175.01401066</v>
      </c>
      <c r="W1061" s="4"/>
      <c r="X1061" s="5">
        <v>40453</v>
      </c>
      <c r="Y1061" s="4"/>
      <c r="Z1061" s="5">
        <v>40514</v>
      </c>
      <c r="AA1061" s="4" t="s">
        <v>171</v>
      </c>
      <c r="AB1061" s="3" t="str">
        <f>HYPERLINK("https://sitebase.nzcomms.co.nz/spm/spmcandidateview/MNW-037-007-A/","MNW-037-007-A")</f>
        <v>MNW-037-007-A</v>
      </c>
      <c r="AC1061" s="4" t="b">
        <v>1</v>
      </c>
      <c r="AD1061" s="4" t="b">
        <v>1</v>
      </c>
      <c r="AE1061" s="5">
        <v>40598</v>
      </c>
      <c r="AF1061" s="4"/>
      <c r="AG1061" s="4" t="b">
        <v>0</v>
      </c>
      <c r="AH1061" s="4" t="s">
        <v>3224</v>
      </c>
      <c r="AI1061" s="5">
        <v>40619</v>
      </c>
      <c r="AJ1061" s="5">
        <v>40619</v>
      </c>
      <c r="AK1061" s="5">
        <v>40624</v>
      </c>
      <c r="AL1061" s="5">
        <v>40624</v>
      </c>
      <c r="AM1061" s="5">
        <v>40651</v>
      </c>
      <c r="AN1061" s="5">
        <v>40649</v>
      </c>
      <c r="AO1061" s="4">
        <v>2</v>
      </c>
      <c r="AP1061" s="5">
        <v>40655</v>
      </c>
      <c r="AQ1061" s="5">
        <v>40667</v>
      </c>
      <c r="AR1061" s="5">
        <v>40681</v>
      </c>
      <c r="AS1061" s="5">
        <v>40752</v>
      </c>
      <c r="AT1061" s="5">
        <v>40711</v>
      </c>
      <c r="AU1061" s="5">
        <v>40759</v>
      </c>
      <c r="AV1061" s="4">
        <v>2</v>
      </c>
      <c r="AW1061" s="5">
        <v>40713</v>
      </c>
      <c r="AX1061" s="5">
        <v>40784</v>
      </c>
      <c r="AY1061" s="4" t="s">
        <v>183</v>
      </c>
      <c r="AZ1061" s="5">
        <v>40665</v>
      </c>
      <c r="BA1061" s="5">
        <v>40665</v>
      </c>
      <c r="BB1061" s="5">
        <v>40710</v>
      </c>
      <c r="BC1061" s="5">
        <v>40682</v>
      </c>
      <c r="BD1061" s="4">
        <v>1</v>
      </c>
      <c r="BE1061" s="5">
        <v>40715</v>
      </c>
      <c r="BF1061" s="5">
        <v>40682</v>
      </c>
      <c r="BG1061" s="4"/>
      <c r="BH1061" s="4"/>
      <c r="BI1061" s="5">
        <v>40784</v>
      </c>
      <c r="BJ1061" s="5">
        <v>40799</v>
      </c>
      <c r="BK1061" s="4">
        <v>1</v>
      </c>
      <c r="BL1061" s="4"/>
      <c r="BM1061" s="5">
        <v>40784</v>
      </c>
      <c r="BN1061" s="5">
        <v>40799</v>
      </c>
      <c r="BO1061" s="5">
        <v>40834</v>
      </c>
      <c r="BP1061" s="4"/>
      <c r="BQ1061" s="4"/>
      <c r="BR1061" s="4"/>
      <c r="BS1061" s="4"/>
      <c r="BT1061" s="5">
        <v>40815</v>
      </c>
      <c r="BU1061" s="5">
        <v>40815</v>
      </c>
      <c r="BV1061" s="5">
        <v>40865</v>
      </c>
      <c r="BW1061" s="5">
        <v>40865</v>
      </c>
      <c r="BX1061" s="5">
        <v>40824</v>
      </c>
      <c r="BY1061" s="5">
        <v>40855</v>
      </c>
      <c r="BZ1061" s="5">
        <v>40840</v>
      </c>
      <c r="CA1061" s="4"/>
      <c r="CB1061" s="4"/>
      <c r="CC1061" s="4"/>
      <c r="CD1061" s="4"/>
      <c r="CE1061" s="4"/>
      <c r="CF1061" s="4"/>
      <c r="CG1061" s="4"/>
      <c r="CH1061" s="4"/>
      <c r="CI1061" s="5">
        <v>40842</v>
      </c>
      <c r="CJ1061" s="5">
        <v>40876</v>
      </c>
      <c r="CK1061" s="5">
        <v>40878</v>
      </c>
      <c r="CL1061" s="5">
        <v>40866</v>
      </c>
      <c r="CM1061" s="5">
        <v>40885</v>
      </c>
      <c r="CN1061" s="5">
        <v>40975</v>
      </c>
      <c r="CO1061" s="5">
        <v>41089</v>
      </c>
      <c r="CP1061" s="4"/>
      <c r="CQ1061" s="4" t="s">
        <v>230</v>
      </c>
      <c r="CR1061" s="5">
        <v>40842</v>
      </c>
      <c r="CS1061" s="5">
        <v>40751</v>
      </c>
      <c r="CT1061" s="5">
        <v>40751</v>
      </c>
      <c r="CU1061" s="5">
        <v>40833</v>
      </c>
      <c r="CV1061" s="5">
        <v>40834</v>
      </c>
      <c r="CW1061" s="5">
        <v>40829</v>
      </c>
      <c r="CX1061" s="5">
        <v>40834</v>
      </c>
      <c r="CY1061" s="5">
        <v>40851</v>
      </c>
      <c r="CZ1061" s="5">
        <v>40833</v>
      </c>
      <c r="DA1061" s="4"/>
      <c r="DB1061" s="5">
        <v>40858</v>
      </c>
      <c r="DC1061" s="4"/>
      <c r="DD1061" s="4"/>
      <c r="DE1061" s="4"/>
      <c r="DF1061" s="4"/>
      <c r="DG1061" s="4"/>
      <c r="DH1061" s="4"/>
      <c r="DI1061" s="5">
        <v>40822</v>
      </c>
      <c r="DJ1061" s="4" t="b">
        <v>0</v>
      </c>
      <c r="DK1061" s="4"/>
      <c r="DL1061" s="4">
        <v>2682233</v>
      </c>
      <c r="DM1061" s="4">
        <v>6144258</v>
      </c>
      <c r="DN1061" s="4" t="s">
        <v>3252</v>
      </c>
      <c r="DO1061" s="4"/>
      <c r="DP1061" s="4" t="s">
        <v>3253</v>
      </c>
      <c r="DQ1061" s="4" t="s">
        <v>148</v>
      </c>
      <c r="DR1061" s="4"/>
      <c r="DS1061" s="4"/>
      <c r="DT1061" s="4"/>
      <c r="DU1061" s="4"/>
      <c r="DV1061" s="4"/>
      <c r="DW1061" s="4"/>
      <c r="DX1061" s="4"/>
      <c r="DY1061" s="4"/>
      <c r="DZ1061" s="4"/>
      <c r="EA1061" s="4"/>
      <c r="EB1061" s="4"/>
      <c r="EC1061" s="4"/>
      <c r="ED1061" s="4"/>
      <c r="EE1061" s="4"/>
      <c r="EF1061" s="4"/>
      <c r="EG1061" s="5">
        <v>40872</v>
      </c>
      <c r="EH1061" s="5">
        <v>40872</v>
      </c>
      <c r="EI1061" s="5">
        <v>40624</v>
      </c>
    </row>
    <row r="1062" spans="1:139" hidden="1" x14ac:dyDescent="0.2">
      <c r="A1062">
        <f>VLOOKUP(B1062,Sheet1!$A$1:$B$18,2,FALSE)</f>
        <v>0</v>
      </c>
      <c r="B1062" t="str">
        <f>LEFT(D1062,3)</f>
        <v>MNW</v>
      </c>
      <c r="C1062" s="2">
        <v>1061</v>
      </c>
      <c r="D1062" s="3" t="str">
        <f>HYPERLINK("https://sitebase.nzcomms.co.nz/spm/spmnominalview/MNW-037-010/","MNW-037-010")</f>
        <v>MNW-037-010</v>
      </c>
      <c r="E1062" s="4" t="s">
        <v>3254</v>
      </c>
      <c r="F1062" s="3" t="str">
        <f>HYPERLINK("https://sitebase.nzcomms.co.nz/spm/spmcandidateview/MNW-037-010-D/","MNW-037-010-D")</f>
        <v>MNW-037-010-D</v>
      </c>
      <c r="G1062" s="4" t="s">
        <v>3255</v>
      </c>
      <c r="H1062" s="4" t="s">
        <v>3223</v>
      </c>
      <c r="I1062" s="4">
        <v>6</v>
      </c>
      <c r="J1062" s="4" t="s">
        <v>1633</v>
      </c>
      <c r="K1062" s="4" t="s">
        <v>141</v>
      </c>
      <c r="L1062" s="4" t="s">
        <v>150</v>
      </c>
      <c r="M1062" s="4" t="s">
        <v>190</v>
      </c>
      <c r="N1062" s="4" t="s">
        <v>269</v>
      </c>
      <c r="O1062" s="4" t="s">
        <v>3256</v>
      </c>
      <c r="P1062" s="4" t="s">
        <v>169</v>
      </c>
      <c r="Q1062" s="4" t="s">
        <v>192</v>
      </c>
      <c r="R1062" s="4">
        <v>23.3</v>
      </c>
      <c r="S1062" s="4">
        <v>23.85</v>
      </c>
      <c r="T1062" s="4">
        <v>1</v>
      </c>
      <c r="U1062" s="4">
        <v>-39.925543179999998</v>
      </c>
      <c r="V1062" s="4">
        <v>175.03306719</v>
      </c>
      <c r="W1062" s="4"/>
      <c r="X1062" s="5">
        <v>40453</v>
      </c>
      <c r="Y1062" s="4"/>
      <c r="Z1062" s="5">
        <v>40221</v>
      </c>
      <c r="AA1062" s="4" t="s">
        <v>171</v>
      </c>
      <c r="AB1062" s="3" t="str">
        <f>HYPERLINK("https://sitebase.nzcomms.co.nz/spm/spmcandidateview/MNW-037-001-A/","MNW-037-001-A")</f>
        <v>MNW-037-001-A</v>
      </c>
      <c r="AC1062" s="4" t="b">
        <v>1</v>
      </c>
      <c r="AD1062" s="4" t="b">
        <v>1</v>
      </c>
      <c r="AE1062" s="4"/>
      <c r="AF1062" s="4"/>
      <c r="AG1062" s="4" t="b">
        <v>0</v>
      </c>
      <c r="AH1062" s="4" t="s">
        <v>3235</v>
      </c>
      <c r="AI1062" s="5">
        <v>40668</v>
      </c>
      <c r="AJ1062" s="5">
        <v>40668</v>
      </c>
      <c r="AK1062" s="5">
        <v>40673</v>
      </c>
      <c r="AL1062" s="5">
        <v>40673</v>
      </c>
      <c r="AM1062" s="5">
        <v>40690</v>
      </c>
      <c r="AN1062" s="5">
        <v>40695</v>
      </c>
      <c r="AO1062" s="4">
        <v>1</v>
      </c>
      <c r="AP1062" s="5">
        <v>40693</v>
      </c>
      <c r="AQ1062" s="5">
        <v>40695</v>
      </c>
      <c r="AR1062" s="5">
        <v>40720</v>
      </c>
      <c r="AS1062" s="5">
        <v>40707</v>
      </c>
      <c r="AT1062" s="5">
        <v>40750</v>
      </c>
      <c r="AU1062" s="5">
        <v>40725</v>
      </c>
      <c r="AV1062" s="4">
        <v>1</v>
      </c>
      <c r="AW1062" s="5">
        <v>40755</v>
      </c>
      <c r="AX1062" s="5">
        <v>40725</v>
      </c>
      <c r="AY1062" s="4" t="s">
        <v>183</v>
      </c>
      <c r="AZ1062" s="5">
        <v>40708</v>
      </c>
      <c r="BA1062" s="5">
        <v>40709</v>
      </c>
      <c r="BB1062" s="5">
        <v>40742</v>
      </c>
      <c r="BC1062" s="5">
        <v>40723</v>
      </c>
      <c r="BD1062" s="4">
        <v>1</v>
      </c>
      <c r="BE1062" s="5">
        <v>40756</v>
      </c>
      <c r="BF1062" s="5">
        <v>40723</v>
      </c>
      <c r="BG1062" s="4"/>
      <c r="BH1062" s="4"/>
      <c r="BI1062" s="5">
        <v>40802</v>
      </c>
      <c r="BJ1062" s="5">
        <v>40805</v>
      </c>
      <c r="BK1062" s="4">
        <v>1</v>
      </c>
      <c r="BL1062" s="4"/>
      <c r="BM1062" s="5">
        <v>40802</v>
      </c>
      <c r="BN1062" s="5">
        <v>40805</v>
      </c>
      <c r="BO1062" s="5">
        <v>40862</v>
      </c>
      <c r="BP1062" s="4"/>
      <c r="BQ1062" s="4"/>
      <c r="BR1062" s="4"/>
      <c r="BS1062" s="4"/>
      <c r="BT1062" s="5">
        <v>40828</v>
      </c>
      <c r="BU1062" s="5">
        <v>40828</v>
      </c>
      <c r="BV1062" s="5">
        <v>40872</v>
      </c>
      <c r="BW1062" s="5">
        <v>40871</v>
      </c>
      <c r="BX1062" s="5">
        <v>40845</v>
      </c>
      <c r="BY1062" s="5">
        <v>40870</v>
      </c>
      <c r="BZ1062" s="5">
        <v>40870</v>
      </c>
      <c r="CA1062" s="4"/>
      <c r="CB1062" s="4"/>
      <c r="CC1062" s="4"/>
      <c r="CD1062" s="4"/>
      <c r="CE1062" s="4"/>
      <c r="CF1062" s="4"/>
      <c r="CG1062" s="4"/>
      <c r="CH1062" s="4"/>
      <c r="CI1062" s="5">
        <v>40875</v>
      </c>
      <c r="CJ1062" s="5">
        <v>40875</v>
      </c>
      <c r="CK1062" s="5">
        <v>40878</v>
      </c>
      <c r="CL1062" s="5">
        <v>40866</v>
      </c>
      <c r="CM1062" s="5">
        <v>40890</v>
      </c>
      <c r="CN1062" s="5">
        <v>41399</v>
      </c>
      <c r="CO1062" s="5">
        <v>41396</v>
      </c>
      <c r="CP1062" s="4"/>
      <c r="CQ1062" s="4"/>
      <c r="CR1062" s="5">
        <v>40872</v>
      </c>
      <c r="CS1062" s="5">
        <v>40778</v>
      </c>
      <c r="CT1062" s="5">
        <v>40778</v>
      </c>
      <c r="CU1062" s="5">
        <v>40856</v>
      </c>
      <c r="CV1062" s="5">
        <v>40856</v>
      </c>
      <c r="CW1062" s="5">
        <v>40862</v>
      </c>
      <c r="CX1062" s="5">
        <v>40862</v>
      </c>
      <c r="CY1062" s="5">
        <v>40863</v>
      </c>
      <c r="CZ1062" s="5">
        <v>40855</v>
      </c>
      <c r="DA1062" s="4"/>
      <c r="DB1062" s="5">
        <v>40875</v>
      </c>
      <c r="DC1062" s="4"/>
      <c r="DD1062" s="4"/>
      <c r="DE1062" s="4"/>
      <c r="DF1062" s="4"/>
      <c r="DG1062" s="4"/>
      <c r="DH1062" s="4" t="s">
        <v>174</v>
      </c>
      <c r="DI1062" s="5">
        <v>40861</v>
      </c>
      <c r="DJ1062" s="4" t="b">
        <v>0</v>
      </c>
      <c r="DK1062" s="4"/>
      <c r="DL1062" s="4">
        <v>2683770</v>
      </c>
      <c r="DM1062" s="4">
        <v>6140233</v>
      </c>
      <c r="DN1062" s="4" t="s">
        <v>3257</v>
      </c>
      <c r="DO1062" s="4"/>
      <c r="DP1062" s="4" t="s">
        <v>3258</v>
      </c>
      <c r="DQ1062" s="4" t="s">
        <v>148</v>
      </c>
      <c r="DR1062" s="4"/>
      <c r="DS1062" s="4"/>
      <c r="DT1062" s="5">
        <v>42150</v>
      </c>
      <c r="DU1062" s="4"/>
      <c r="DV1062" s="4"/>
      <c r="DW1062" s="4"/>
      <c r="DX1062" s="4"/>
      <c r="DY1062" s="4"/>
      <c r="DZ1062" s="4"/>
      <c r="EA1062" s="4"/>
      <c r="EB1062" s="4"/>
      <c r="EC1062" s="4"/>
      <c r="ED1062" s="4"/>
      <c r="EE1062" s="4"/>
      <c r="EF1062" s="4"/>
      <c r="EG1062" s="5">
        <v>40879</v>
      </c>
      <c r="EH1062" s="5">
        <v>40879</v>
      </c>
      <c r="EI1062" s="5">
        <v>40673</v>
      </c>
    </row>
    <row r="1063" spans="1:139" hidden="1" x14ac:dyDescent="0.2">
      <c r="A1063">
        <f>VLOOKUP(B1063,Sheet1!$A$1:$B$18,2,FALSE)</f>
        <v>0</v>
      </c>
      <c r="B1063" t="str">
        <f>LEFT(D1063,3)</f>
        <v>MNW</v>
      </c>
      <c r="C1063" s="2">
        <v>1062</v>
      </c>
      <c r="D1063" s="3" t="str">
        <f>HYPERLINK("https://sitebase.nzcomms.co.nz/spm/spmnominalview/MNW-037-011/","MNW-037-011")</f>
        <v>MNW-037-011</v>
      </c>
      <c r="E1063" s="4" t="s">
        <v>3259</v>
      </c>
      <c r="F1063" s="3" t="str">
        <f>HYPERLINK("https://sitebase.nzcomms.co.nz/spm/spmcandidateview/MNW-037-011-B/","MNW-037-011-B")</f>
        <v>MNW-037-011-B</v>
      </c>
      <c r="G1063" s="4" t="s">
        <v>3260</v>
      </c>
      <c r="H1063" s="4" t="s">
        <v>3223</v>
      </c>
      <c r="I1063" s="4">
        <v>6</v>
      </c>
      <c r="J1063" s="4" t="s">
        <v>1633</v>
      </c>
      <c r="K1063" s="4" t="s">
        <v>141</v>
      </c>
      <c r="L1063" s="4" t="s">
        <v>150</v>
      </c>
      <c r="M1063" s="4" t="s">
        <v>190</v>
      </c>
      <c r="N1063" s="4" t="s">
        <v>335</v>
      </c>
      <c r="O1063" s="4" t="s">
        <v>144</v>
      </c>
      <c r="P1063" s="4" t="s">
        <v>169</v>
      </c>
      <c r="Q1063" s="4" t="s">
        <v>170</v>
      </c>
      <c r="R1063" s="4">
        <v>18.3</v>
      </c>
      <c r="S1063" s="4">
        <v>18.8</v>
      </c>
      <c r="T1063" s="4">
        <v>2</v>
      </c>
      <c r="U1063" s="4">
        <v>-39.891060520000003</v>
      </c>
      <c r="V1063" s="4">
        <v>175.06569569000001</v>
      </c>
      <c r="W1063" s="4"/>
      <c r="X1063" s="5">
        <v>40453</v>
      </c>
      <c r="Y1063" s="4"/>
      <c r="Z1063" s="5">
        <v>40221</v>
      </c>
      <c r="AA1063" s="4" t="s">
        <v>171</v>
      </c>
      <c r="AB1063" s="3" t="str">
        <f>HYPERLINK("https://sitebase.nzcomms.co.nz/spm/spmcandidateview/MNW-037-001-A/","MNW-037-001-A")</f>
        <v>MNW-037-001-A</v>
      </c>
      <c r="AC1063" s="4" t="b">
        <v>0</v>
      </c>
      <c r="AD1063" s="4" t="b">
        <v>0</v>
      </c>
      <c r="AE1063" s="4"/>
      <c r="AF1063" s="4"/>
      <c r="AG1063" s="4" t="b">
        <v>0</v>
      </c>
      <c r="AH1063" s="4" t="s">
        <v>3224</v>
      </c>
      <c r="AI1063" s="5">
        <v>40640</v>
      </c>
      <c r="AJ1063" s="5">
        <v>40640</v>
      </c>
      <c r="AK1063" s="5">
        <v>40652</v>
      </c>
      <c r="AL1063" s="5">
        <v>40660</v>
      </c>
      <c r="AM1063" s="5">
        <v>40676</v>
      </c>
      <c r="AN1063" s="5">
        <v>40686</v>
      </c>
      <c r="AO1063" s="4">
        <v>1</v>
      </c>
      <c r="AP1063" s="5">
        <v>40676</v>
      </c>
      <c r="AQ1063" s="5">
        <v>40686</v>
      </c>
      <c r="AR1063" s="5">
        <v>40692</v>
      </c>
      <c r="AS1063" s="5">
        <v>40672</v>
      </c>
      <c r="AT1063" s="5">
        <v>40722</v>
      </c>
      <c r="AU1063" s="5">
        <v>40725</v>
      </c>
      <c r="AV1063" s="4">
        <v>1</v>
      </c>
      <c r="AW1063" s="5">
        <v>40727</v>
      </c>
      <c r="AX1063" s="5">
        <v>40725</v>
      </c>
      <c r="AY1063" s="4" t="s">
        <v>172</v>
      </c>
      <c r="AZ1063" s="5">
        <v>40681</v>
      </c>
      <c r="BA1063" s="5">
        <v>40697</v>
      </c>
      <c r="BB1063" s="5">
        <v>40715</v>
      </c>
      <c r="BC1063" s="5">
        <v>40717</v>
      </c>
      <c r="BD1063" s="4">
        <v>1</v>
      </c>
      <c r="BE1063" s="5">
        <v>40700</v>
      </c>
      <c r="BF1063" s="5">
        <v>40717</v>
      </c>
      <c r="BG1063" s="4"/>
      <c r="BH1063" s="4"/>
      <c r="BI1063" s="5">
        <v>40802</v>
      </c>
      <c r="BJ1063" s="5">
        <v>40799</v>
      </c>
      <c r="BK1063" s="4">
        <v>1</v>
      </c>
      <c r="BL1063" s="4"/>
      <c r="BM1063" s="5">
        <v>40802</v>
      </c>
      <c r="BN1063" s="5">
        <v>40799</v>
      </c>
      <c r="BO1063" s="5">
        <v>40862</v>
      </c>
      <c r="BP1063" s="4"/>
      <c r="BQ1063" s="4"/>
      <c r="BR1063" s="4"/>
      <c r="BS1063" s="4"/>
      <c r="BT1063" s="5">
        <v>40833</v>
      </c>
      <c r="BU1063" s="5">
        <v>40831</v>
      </c>
      <c r="BV1063" s="5">
        <v>40877</v>
      </c>
      <c r="BW1063" s="5">
        <v>40875</v>
      </c>
      <c r="BX1063" s="5">
        <v>40863</v>
      </c>
      <c r="BY1063" s="5">
        <v>40870</v>
      </c>
      <c r="BZ1063" s="5">
        <v>40870</v>
      </c>
      <c r="CA1063" s="4"/>
      <c r="CB1063" s="4"/>
      <c r="CC1063" s="4"/>
      <c r="CD1063" s="4"/>
      <c r="CE1063" s="4"/>
      <c r="CF1063" s="4"/>
      <c r="CG1063" s="4"/>
      <c r="CH1063" s="4"/>
      <c r="CI1063" s="5">
        <v>40876</v>
      </c>
      <c r="CJ1063" s="5">
        <v>40876</v>
      </c>
      <c r="CK1063" s="5">
        <v>40878</v>
      </c>
      <c r="CL1063" s="5">
        <v>40866</v>
      </c>
      <c r="CM1063" s="5">
        <v>40878</v>
      </c>
      <c r="CN1063" s="5">
        <v>40968</v>
      </c>
      <c r="CO1063" s="5">
        <v>41089</v>
      </c>
      <c r="CP1063" s="4"/>
      <c r="CQ1063" s="4"/>
      <c r="CR1063" s="5">
        <v>40874</v>
      </c>
      <c r="CS1063" s="5">
        <v>40777</v>
      </c>
      <c r="CT1063" s="5">
        <v>40778</v>
      </c>
      <c r="CU1063" s="5">
        <v>40856</v>
      </c>
      <c r="CV1063" s="5">
        <v>40862</v>
      </c>
      <c r="CW1063" s="5">
        <v>40862</v>
      </c>
      <c r="CX1063" s="5">
        <v>40862</v>
      </c>
      <c r="CY1063" s="5">
        <v>40865</v>
      </c>
      <c r="CZ1063" s="5">
        <v>40865</v>
      </c>
      <c r="DA1063" s="4"/>
      <c r="DB1063" s="5">
        <v>40876</v>
      </c>
      <c r="DC1063" s="4"/>
      <c r="DD1063" s="4"/>
      <c r="DE1063" s="4"/>
      <c r="DF1063" s="4"/>
      <c r="DG1063" s="4"/>
      <c r="DH1063" s="4"/>
      <c r="DI1063" s="5">
        <v>40862</v>
      </c>
      <c r="DJ1063" s="4" t="b">
        <v>0</v>
      </c>
      <c r="DK1063" s="4"/>
      <c r="DL1063" s="4">
        <v>2686648</v>
      </c>
      <c r="DM1063" s="4">
        <v>6143995</v>
      </c>
      <c r="DN1063" s="4" t="s">
        <v>3261</v>
      </c>
      <c r="DO1063" s="4"/>
      <c r="DP1063" s="4" t="s">
        <v>3262</v>
      </c>
      <c r="DQ1063" s="4" t="s">
        <v>148</v>
      </c>
      <c r="DR1063" s="4"/>
      <c r="DS1063" s="4"/>
      <c r="DT1063" s="4"/>
      <c r="DU1063" s="4"/>
      <c r="DV1063" s="4"/>
      <c r="DW1063" s="4"/>
      <c r="DX1063" s="4"/>
      <c r="DY1063" s="4"/>
      <c r="DZ1063" s="4"/>
      <c r="EA1063" s="4"/>
      <c r="EB1063" s="4"/>
      <c r="EC1063" s="4"/>
      <c r="ED1063" s="4"/>
      <c r="EE1063" s="4"/>
      <c r="EF1063" s="4"/>
      <c r="EG1063" s="5">
        <v>40879</v>
      </c>
      <c r="EH1063" s="5">
        <v>40879</v>
      </c>
      <c r="EI1063" s="5">
        <v>40660</v>
      </c>
    </row>
    <row r="1064" spans="1:139" hidden="1" x14ac:dyDescent="0.2">
      <c r="A1064">
        <f>VLOOKUP(B1064,Sheet1!$A$1:$B$18,2,FALSE)</f>
        <v>0</v>
      </c>
      <c r="B1064" t="str">
        <f>LEFT(D1064,3)</f>
        <v>MNW</v>
      </c>
      <c r="C1064" s="2">
        <v>1063</v>
      </c>
      <c r="D1064" s="3" t="str">
        <f>HYPERLINK("https://sitebase.nzcomms.co.nz/spm/spmnominalview/MNW-037-012/","MNW-037-012")</f>
        <v>MNW-037-012</v>
      </c>
      <c r="E1064" s="4" t="s">
        <v>3263</v>
      </c>
      <c r="F1064" s="3" t="str">
        <f>HYPERLINK("https://sitebase.nzcomms.co.nz/spm/spmcandidateview/MNW-037-012-B/","MNW-037-012-B")</f>
        <v>MNW-037-012-B</v>
      </c>
      <c r="G1064" s="4" t="s">
        <v>3264</v>
      </c>
      <c r="H1064" s="4" t="s">
        <v>3223</v>
      </c>
      <c r="I1064" s="4">
        <v>6</v>
      </c>
      <c r="J1064" s="4" t="s">
        <v>1633</v>
      </c>
      <c r="K1064" s="4" t="s">
        <v>141</v>
      </c>
      <c r="L1064" s="4" t="s">
        <v>150</v>
      </c>
      <c r="M1064" s="4" t="s">
        <v>190</v>
      </c>
      <c r="N1064" s="4" t="s">
        <v>269</v>
      </c>
      <c r="O1064" s="4" t="s">
        <v>144</v>
      </c>
      <c r="P1064" s="4" t="s">
        <v>169</v>
      </c>
      <c r="Q1064" s="4" t="s">
        <v>192</v>
      </c>
      <c r="R1064" s="4">
        <v>19.5</v>
      </c>
      <c r="S1064" s="4">
        <v>20</v>
      </c>
      <c r="T1064" s="4">
        <v>2</v>
      </c>
      <c r="U1064" s="4">
        <v>-39.949151200000003</v>
      </c>
      <c r="V1064" s="4">
        <v>175.02030217000001</v>
      </c>
      <c r="W1064" s="4"/>
      <c r="X1064" s="4"/>
      <c r="Y1064" s="4"/>
      <c r="Z1064" s="4"/>
      <c r="AA1064" s="4" t="s">
        <v>171</v>
      </c>
      <c r="AB1064" s="3" t="str">
        <f>HYPERLINK("https://sitebase.nzcomms.co.nz/spm/spmcandidateview/MNW-037-006-A/","MNW-037-006-A")</f>
        <v>MNW-037-006-A</v>
      </c>
      <c r="AC1064" s="4" t="b">
        <v>1</v>
      </c>
      <c r="AD1064" s="4" t="b">
        <v>1</v>
      </c>
      <c r="AE1064" s="4"/>
      <c r="AF1064" s="4"/>
      <c r="AG1064" s="4" t="b">
        <v>0</v>
      </c>
      <c r="AH1064" s="4" t="s">
        <v>3265</v>
      </c>
      <c r="AI1064" s="5">
        <v>40640</v>
      </c>
      <c r="AJ1064" s="5">
        <v>40640</v>
      </c>
      <c r="AK1064" s="5">
        <v>40652</v>
      </c>
      <c r="AL1064" s="5">
        <v>40659</v>
      </c>
      <c r="AM1064" s="5">
        <v>40676</v>
      </c>
      <c r="AN1064" s="5">
        <v>40675</v>
      </c>
      <c r="AO1064" s="4">
        <v>1</v>
      </c>
      <c r="AP1064" s="5">
        <v>40676</v>
      </c>
      <c r="AQ1064" s="5">
        <v>40675</v>
      </c>
      <c r="AR1064" s="5">
        <v>40709</v>
      </c>
      <c r="AS1064" s="5">
        <v>40694</v>
      </c>
      <c r="AT1064" s="5">
        <v>40729</v>
      </c>
      <c r="AU1064" s="5">
        <v>40694</v>
      </c>
      <c r="AV1064" s="4"/>
      <c r="AW1064" s="5">
        <v>40734</v>
      </c>
      <c r="AX1064" s="5">
        <v>40732</v>
      </c>
      <c r="AY1064" s="4" t="s">
        <v>172</v>
      </c>
      <c r="AZ1064" s="5">
        <v>40676</v>
      </c>
      <c r="BA1064" s="5">
        <v>40682</v>
      </c>
      <c r="BB1064" s="5">
        <v>40718</v>
      </c>
      <c r="BC1064" s="5">
        <v>40701</v>
      </c>
      <c r="BD1064" s="4">
        <v>1</v>
      </c>
      <c r="BE1064" s="5">
        <v>40707</v>
      </c>
      <c r="BF1064" s="5">
        <v>40701</v>
      </c>
      <c r="BG1064" s="4"/>
      <c r="BH1064" s="4"/>
      <c r="BI1064" s="5">
        <v>40803</v>
      </c>
      <c r="BJ1064" s="5">
        <v>40806</v>
      </c>
      <c r="BK1064" s="4">
        <v>1</v>
      </c>
      <c r="BL1064" s="4"/>
      <c r="BM1064" s="5">
        <v>40803</v>
      </c>
      <c r="BN1064" s="5">
        <v>40806</v>
      </c>
      <c r="BO1064" s="5">
        <v>40813</v>
      </c>
      <c r="BP1064" s="4"/>
      <c r="BQ1064" s="4"/>
      <c r="BR1064" s="4"/>
      <c r="BS1064" s="4"/>
      <c r="BT1064" s="5">
        <v>40794</v>
      </c>
      <c r="BU1064" s="5">
        <v>40794</v>
      </c>
      <c r="BV1064" s="5">
        <v>40865</v>
      </c>
      <c r="BW1064" s="5">
        <v>40865</v>
      </c>
      <c r="BX1064" s="5">
        <v>40826</v>
      </c>
      <c r="BY1064" s="5">
        <v>40842</v>
      </c>
      <c r="BZ1064" s="5">
        <v>40836</v>
      </c>
      <c r="CA1064" s="4"/>
      <c r="CB1064" s="4"/>
      <c r="CC1064" s="4"/>
      <c r="CD1064" s="4"/>
      <c r="CE1064" s="4"/>
      <c r="CF1064" s="4"/>
      <c r="CG1064" s="4"/>
      <c r="CH1064" s="4"/>
      <c r="CI1064" s="5">
        <v>40842</v>
      </c>
      <c r="CJ1064" s="5">
        <v>40857</v>
      </c>
      <c r="CK1064" s="5">
        <v>40858</v>
      </c>
      <c r="CL1064" s="5">
        <v>40837</v>
      </c>
      <c r="CM1064" s="5">
        <v>40878</v>
      </c>
      <c r="CN1064" s="5">
        <v>40968</v>
      </c>
      <c r="CO1064" s="5">
        <v>41089</v>
      </c>
      <c r="CP1064" s="4"/>
      <c r="CQ1064" s="4"/>
      <c r="CR1064" s="5">
        <v>40842</v>
      </c>
      <c r="CS1064" s="5">
        <v>40751</v>
      </c>
      <c r="CT1064" s="5">
        <v>40751</v>
      </c>
      <c r="CU1064" s="5">
        <v>40828</v>
      </c>
      <c r="CV1064" s="5">
        <v>40834</v>
      </c>
      <c r="CW1064" s="5">
        <v>40813</v>
      </c>
      <c r="CX1064" s="5">
        <v>40813</v>
      </c>
      <c r="CY1064" s="5">
        <v>40833</v>
      </c>
      <c r="CZ1064" s="5">
        <v>40832</v>
      </c>
      <c r="DA1064" s="4"/>
      <c r="DB1064" s="5">
        <v>40858</v>
      </c>
      <c r="DC1064" s="4"/>
      <c r="DD1064" s="4"/>
      <c r="DE1064" s="4"/>
      <c r="DF1064" s="4"/>
      <c r="DG1064" s="4"/>
      <c r="DH1064" s="4"/>
      <c r="DI1064" s="5">
        <v>40833</v>
      </c>
      <c r="DJ1064" s="4" t="b">
        <v>0</v>
      </c>
      <c r="DK1064" s="4"/>
      <c r="DL1064" s="4">
        <v>2682619</v>
      </c>
      <c r="DM1064" s="4">
        <v>6137638</v>
      </c>
      <c r="DN1064" s="4" t="s">
        <v>3266</v>
      </c>
      <c r="DO1064" s="4"/>
      <c r="DP1064" s="4" t="s">
        <v>3267</v>
      </c>
      <c r="DQ1064" s="4" t="s">
        <v>148</v>
      </c>
      <c r="DR1064" s="4"/>
      <c r="DS1064" s="4"/>
      <c r="DT1064" s="5">
        <v>42150</v>
      </c>
      <c r="DU1064" s="4"/>
      <c r="DV1064" s="4"/>
      <c r="DW1064" s="4"/>
      <c r="DX1064" s="4"/>
      <c r="DY1064" s="4"/>
      <c r="DZ1064" s="4"/>
      <c r="EA1064" s="4"/>
      <c r="EB1064" s="4"/>
      <c r="EC1064" s="4"/>
      <c r="ED1064" s="4"/>
      <c r="EE1064" s="4"/>
      <c r="EF1064" s="4"/>
      <c r="EG1064" s="5">
        <v>40870</v>
      </c>
      <c r="EH1064" s="5">
        <v>40870</v>
      </c>
      <c r="EI1064" s="5">
        <v>40659</v>
      </c>
    </row>
    <row r="1065" spans="1:139" hidden="1" x14ac:dyDescent="0.2">
      <c r="A1065">
        <f>VLOOKUP(B1065,Sheet1!$A$1:$B$18,2,FALSE)</f>
        <v>0</v>
      </c>
      <c r="B1065" t="str">
        <f>LEFT(D1065,3)</f>
        <v>MNW</v>
      </c>
      <c r="C1065" s="2">
        <v>1064</v>
      </c>
      <c r="D1065" s="3" t="str">
        <f>HYPERLINK("https://sitebase.nzcomms.co.nz/spm/spmnominalview/MNW-038-001/","MNW-038-001")</f>
        <v>MNW-038-001</v>
      </c>
      <c r="E1065" s="4" t="s">
        <v>3268</v>
      </c>
      <c r="F1065" s="3" t="str">
        <f>HYPERLINK("https://sitebase.nzcomms.co.nz/spm/spmcandidateview/MNW-038-001-A/","MNW-038-001-A")</f>
        <v>MNW-038-001-A</v>
      </c>
      <c r="G1065" s="4" t="s">
        <v>3269</v>
      </c>
      <c r="H1065" s="4" t="s">
        <v>3270</v>
      </c>
      <c r="I1065" s="4">
        <v>24</v>
      </c>
      <c r="J1065" s="4" t="s">
        <v>165</v>
      </c>
      <c r="K1065" s="4" t="s">
        <v>141</v>
      </c>
      <c r="L1065" s="4" t="s">
        <v>142</v>
      </c>
      <c r="M1065" s="4" t="s">
        <v>166</v>
      </c>
      <c r="N1065" s="4" t="s">
        <v>364</v>
      </c>
      <c r="O1065" s="4"/>
      <c r="P1065" s="4" t="s">
        <v>169</v>
      </c>
      <c r="Q1065" s="4" t="s">
        <v>142</v>
      </c>
      <c r="R1065" s="4"/>
      <c r="S1065" s="4"/>
      <c r="T1065" s="4">
        <v>1</v>
      </c>
      <c r="U1065" s="4">
        <v>-40.02778129</v>
      </c>
      <c r="V1065" s="4">
        <v>175.18871965</v>
      </c>
      <c r="W1065" s="4"/>
      <c r="X1065" s="5">
        <v>42074</v>
      </c>
      <c r="Y1065" s="4"/>
      <c r="Z1065" s="5">
        <v>42228</v>
      </c>
      <c r="AA1065" s="4" t="s">
        <v>145</v>
      </c>
      <c r="AB1065" s="3" t="str">
        <f>HYPERLINK("https://sitebase.nzcomms.co.nz/spm/spmcandidateview/MNW-040-003-B/","MNW-040-003-B")</f>
        <v>MNW-040-003-B</v>
      </c>
      <c r="AC1065" s="4" t="b">
        <v>0</v>
      </c>
      <c r="AD1065" s="4" t="b">
        <v>0</v>
      </c>
      <c r="AE1065" s="4"/>
      <c r="AF1065" s="4"/>
      <c r="AG1065" s="4" t="b">
        <v>0</v>
      </c>
      <c r="AH1065" s="4"/>
      <c r="AI1065" s="5">
        <v>42124</v>
      </c>
      <c r="AJ1065" s="5">
        <v>42124</v>
      </c>
      <c r="AK1065" s="5">
        <v>42146</v>
      </c>
      <c r="AL1065" s="5">
        <v>42151</v>
      </c>
      <c r="AM1065" s="5">
        <v>42185</v>
      </c>
      <c r="AN1065" s="5">
        <v>42178</v>
      </c>
      <c r="AO1065" s="4">
        <v>1</v>
      </c>
      <c r="AP1065" s="4"/>
      <c r="AQ1065" s="5">
        <v>42178</v>
      </c>
      <c r="AR1065" s="5">
        <v>42202</v>
      </c>
      <c r="AS1065" s="5">
        <v>42213</v>
      </c>
      <c r="AT1065" s="5">
        <v>42258</v>
      </c>
      <c r="AU1065" s="5">
        <v>42257</v>
      </c>
      <c r="AV1065" s="4"/>
      <c r="AW1065" s="5">
        <v>42265</v>
      </c>
      <c r="AX1065" s="4"/>
      <c r="AY1065" s="4" t="s">
        <v>172</v>
      </c>
      <c r="AZ1065" s="5">
        <v>42237</v>
      </c>
      <c r="BA1065" s="5">
        <v>42234</v>
      </c>
      <c r="BB1065" s="5">
        <v>42272</v>
      </c>
      <c r="BC1065" s="5">
        <v>42250</v>
      </c>
      <c r="BD1065" s="4">
        <v>1</v>
      </c>
      <c r="BE1065" s="4"/>
      <c r="BF1065" s="5">
        <v>42257</v>
      </c>
      <c r="BG1065" s="5">
        <v>42264</v>
      </c>
      <c r="BH1065" s="5">
        <v>42257</v>
      </c>
      <c r="BI1065" s="5">
        <v>42356</v>
      </c>
      <c r="BJ1065" s="5">
        <v>42335</v>
      </c>
      <c r="BK1065" s="4">
        <v>1</v>
      </c>
      <c r="BL1065" s="4"/>
      <c r="BM1065" s="4"/>
      <c r="BN1065" s="5">
        <v>42335</v>
      </c>
      <c r="BO1065" s="4"/>
      <c r="BP1065" s="4"/>
      <c r="BQ1065" s="4"/>
      <c r="BR1065" s="4"/>
      <c r="BS1065" s="4"/>
      <c r="BT1065" s="5">
        <v>42447</v>
      </c>
      <c r="BU1065" s="4"/>
      <c r="BV1065" s="5">
        <v>42461</v>
      </c>
      <c r="BW1065" s="4"/>
      <c r="BX1065" s="4"/>
      <c r="BY1065" s="5">
        <v>42475</v>
      </c>
      <c r="BZ1065" s="4"/>
      <c r="CA1065" s="4"/>
      <c r="CB1065" s="4"/>
      <c r="CC1065" s="4"/>
      <c r="CD1065" s="4"/>
      <c r="CE1065" s="4"/>
      <c r="CF1065" s="4"/>
      <c r="CG1065" s="4"/>
      <c r="CH1065" s="4"/>
      <c r="CI1065" s="4"/>
      <c r="CJ1065" s="5">
        <v>42496</v>
      </c>
      <c r="CK1065" s="4"/>
      <c r="CL1065" s="4"/>
      <c r="CM1065" s="4"/>
      <c r="CN1065" s="4"/>
      <c r="CO1065" s="4"/>
      <c r="CP1065" s="4" t="s">
        <v>3271</v>
      </c>
      <c r="CQ1065" s="4" t="s">
        <v>230</v>
      </c>
      <c r="CR1065" s="4"/>
      <c r="CS1065" s="4"/>
      <c r="CT1065" s="4"/>
      <c r="CU1065" s="4"/>
      <c r="CV1065" s="4"/>
      <c r="CW1065" s="4"/>
      <c r="CX1065" s="4"/>
      <c r="CY1065" s="4"/>
      <c r="CZ1065" s="4"/>
      <c r="DA1065" s="5">
        <v>42489</v>
      </c>
      <c r="DB1065" s="4"/>
      <c r="DC1065" s="5">
        <v>41015</v>
      </c>
      <c r="DD1065" s="4" t="s">
        <v>586</v>
      </c>
      <c r="DE1065" s="4" t="s">
        <v>3272</v>
      </c>
      <c r="DF1065" s="4"/>
      <c r="DG1065" s="4"/>
      <c r="DH1065" s="4" t="s">
        <v>174</v>
      </c>
      <c r="DI1065" s="4"/>
      <c r="DJ1065" s="4" t="b">
        <v>0</v>
      </c>
      <c r="DK1065" s="4"/>
      <c r="DL1065" s="4">
        <v>2696788</v>
      </c>
      <c r="DM1065" s="4">
        <v>6128567</v>
      </c>
      <c r="DN1065" s="4" t="s">
        <v>3273</v>
      </c>
      <c r="DO1065" s="4"/>
      <c r="DP1065" s="4"/>
      <c r="DQ1065" s="4" t="s">
        <v>148</v>
      </c>
      <c r="DR1065" s="4" t="s">
        <v>255</v>
      </c>
      <c r="DS1065" s="4"/>
      <c r="DT1065" s="4"/>
      <c r="DU1065" s="4" t="s">
        <v>178</v>
      </c>
      <c r="DV1065" s="4"/>
      <c r="DW1065" s="4"/>
      <c r="DX1065" s="5">
        <v>42410</v>
      </c>
      <c r="DY1065" s="5">
        <v>42384</v>
      </c>
      <c r="DZ1065" s="5">
        <v>42381</v>
      </c>
      <c r="EA1065" s="4"/>
      <c r="EB1065" s="4"/>
      <c r="EC1065" s="4"/>
      <c r="ED1065" s="4"/>
      <c r="EE1065" s="5">
        <v>42440</v>
      </c>
      <c r="EF1065" s="4"/>
      <c r="EG1065" s="4"/>
      <c r="EH1065" s="4"/>
      <c r="EI1065" s="5">
        <v>42151</v>
      </c>
    </row>
    <row r="1066" spans="1:139" hidden="1" x14ac:dyDescent="0.2">
      <c r="A1066">
        <f>VLOOKUP(B1066,Sheet1!$A$1:$B$18,2,FALSE)</f>
        <v>0</v>
      </c>
      <c r="B1066" t="str">
        <f>LEFT(D1066,3)</f>
        <v>MNW</v>
      </c>
      <c r="C1066" s="2">
        <v>1065</v>
      </c>
      <c r="D1066" s="3" t="str">
        <f>HYPERLINK("https://sitebase.nzcomms.co.nz/spm/spmnominalview/MNW-038-002/","MNW-038-002")</f>
        <v>MNW-038-002</v>
      </c>
      <c r="E1066" s="4" t="s">
        <v>3274</v>
      </c>
      <c r="F1066" s="3" t="str">
        <f>HYPERLINK("https://sitebase.nzcomms.co.nz/spm/spmcandidateview/MNW-038-002-A/","MNW-038-002-A")</f>
        <v>MNW-038-002-A</v>
      </c>
      <c r="G1066" s="4" t="s">
        <v>3275</v>
      </c>
      <c r="H1066" s="4" t="s">
        <v>3270</v>
      </c>
      <c r="I1066" s="4">
        <v>24</v>
      </c>
      <c r="J1066" s="4" t="s">
        <v>196</v>
      </c>
      <c r="K1066" s="4" t="s">
        <v>141</v>
      </c>
      <c r="L1066" s="4"/>
      <c r="M1066" s="4" t="s">
        <v>166</v>
      </c>
      <c r="N1066" s="4"/>
      <c r="O1066" s="4"/>
      <c r="P1066" s="4" t="s">
        <v>169</v>
      </c>
      <c r="Q1066" s="4"/>
      <c r="R1066" s="4"/>
      <c r="S1066" s="4"/>
      <c r="T1066" s="4"/>
      <c r="U1066" s="4">
        <v>-40.110697289999997</v>
      </c>
      <c r="V1066" s="4">
        <v>175.35932199000001</v>
      </c>
      <c r="W1066" s="4"/>
      <c r="X1066" s="4"/>
      <c r="Y1066" s="4"/>
      <c r="Z1066" s="4"/>
      <c r="AA1066" s="4"/>
      <c r="AB1066" s="4"/>
      <c r="AC1066" s="4" t="b">
        <v>0</v>
      </c>
      <c r="AD1066" s="4" t="b">
        <v>0</v>
      </c>
      <c r="AE1066" s="4"/>
      <c r="AF1066" s="4"/>
      <c r="AG1066" s="4" t="b">
        <v>0</v>
      </c>
      <c r="AH1066" s="4"/>
      <c r="AI1066" s="5">
        <v>42303</v>
      </c>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4"/>
      <c r="CW1066" s="4"/>
      <c r="CX1066" s="4"/>
      <c r="CY1066" s="4"/>
      <c r="CZ1066" s="4"/>
      <c r="DA1066" s="4"/>
      <c r="DB1066" s="4"/>
      <c r="DC1066" s="4"/>
      <c r="DD1066" s="4"/>
      <c r="DE1066" s="4"/>
      <c r="DF1066" s="4"/>
      <c r="DG1066" s="4"/>
      <c r="DH1066" s="4" t="s">
        <v>174</v>
      </c>
      <c r="DI1066" s="4"/>
      <c r="DJ1066" s="4" t="b">
        <v>0</v>
      </c>
      <c r="DK1066" s="4"/>
      <c r="DL1066" s="4">
        <v>2711097</v>
      </c>
      <c r="DM1066" s="4">
        <v>6118989</v>
      </c>
      <c r="DN1066" s="4"/>
      <c r="DO1066" s="4"/>
      <c r="DP1066" s="4"/>
      <c r="DQ1066" s="4" t="s">
        <v>148</v>
      </c>
      <c r="DR1066" s="4"/>
      <c r="DS1066" s="4"/>
      <c r="DT1066" s="4"/>
      <c r="DU1066" s="4" t="s">
        <v>178</v>
      </c>
      <c r="DV1066" s="4"/>
      <c r="DW1066" s="4"/>
      <c r="DX1066" s="4"/>
      <c r="DY1066" s="4"/>
      <c r="DZ1066" s="4"/>
      <c r="EA1066" s="4"/>
      <c r="EB1066" s="4"/>
      <c r="EC1066" s="4"/>
      <c r="ED1066" s="4"/>
      <c r="EE1066" s="4"/>
      <c r="EF1066" s="4"/>
      <c r="EG1066" s="4"/>
      <c r="EH1066" s="4"/>
      <c r="EI1066" s="4"/>
    </row>
    <row r="1067" spans="1:139" hidden="1" x14ac:dyDescent="0.2">
      <c r="A1067">
        <f>VLOOKUP(B1067,Sheet1!$A$1:$B$18,2,FALSE)</f>
        <v>0</v>
      </c>
      <c r="B1067" t="str">
        <f>LEFT(D1067,3)</f>
        <v>MNW</v>
      </c>
      <c r="C1067" s="2">
        <v>1066</v>
      </c>
      <c r="D1067" s="3" t="str">
        <f>HYPERLINK("https://sitebase.nzcomms.co.nz/spm/spmnominalview/MNW-038-003/","MNW-038-003")</f>
        <v>MNW-038-003</v>
      </c>
      <c r="E1067" s="4"/>
      <c r="F1067" s="4"/>
      <c r="G1067" s="4"/>
      <c r="H1067" s="4" t="s">
        <v>3270</v>
      </c>
      <c r="I1067" s="4"/>
      <c r="J1067" s="4" t="s">
        <v>196</v>
      </c>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4"/>
      <c r="BS1067" s="4"/>
      <c r="BT1067" s="4"/>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4"/>
      <c r="CW1067" s="4"/>
      <c r="CX1067" s="4"/>
      <c r="CY1067" s="4"/>
      <c r="CZ1067" s="4"/>
      <c r="DA1067" s="4"/>
      <c r="DB1067" s="4"/>
      <c r="DC1067" s="4"/>
      <c r="DD1067" s="4"/>
      <c r="DE1067" s="4"/>
      <c r="DF1067" s="4"/>
      <c r="DG1067" s="4"/>
      <c r="DH1067" s="4"/>
      <c r="DI1067" s="4"/>
      <c r="DJ1067" s="4"/>
      <c r="DK1067" s="4"/>
      <c r="DL1067" s="4"/>
      <c r="DM1067" s="4"/>
      <c r="DN1067" s="4"/>
      <c r="DO1067" s="4"/>
      <c r="DP1067" s="4"/>
      <c r="DQ1067" s="4"/>
      <c r="DR1067" s="4"/>
      <c r="DS1067" s="4"/>
      <c r="DT1067" s="4"/>
      <c r="DU1067" s="4"/>
      <c r="DV1067" s="4"/>
      <c r="DW1067" s="4"/>
      <c r="DX1067" s="4"/>
      <c r="DY1067" s="4"/>
      <c r="DZ1067" s="4"/>
      <c r="EA1067" s="4"/>
      <c r="EB1067" s="4"/>
      <c r="EC1067" s="4"/>
      <c r="ED1067" s="4"/>
      <c r="EE1067" s="4"/>
      <c r="EF1067" s="4"/>
      <c r="EG1067" s="4"/>
      <c r="EH1067" s="4"/>
      <c r="EI1067" s="4"/>
    </row>
    <row r="1068" spans="1:139" hidden="1" x14ac:dyDescent="0.2">
      <c r="A1068">
        <f>VLOOKUP(B1068,Sheet1!$A$1:$B$18,2,FALSE)</f>
        <v>0</v>
      </c>
      <c r="B1068" t="str">
        <f>LEFT(D1068,3)</f>
        <v>MNW</v>
      </c>
      <c r="C1068" s="2">
        <v>1067</v>
      </c>
      <c r="D1068" s="3" t="str">
        <f>HYPERLINK("https://sitebase.nzcomms.co.nz/spm/spmnominalview/MNW-038-004/","MNW-038-004")</f>
        <v>MNW-038-004</v>
      </c>
      <c r="E1068" s="4"/>
      <c r="F1068" s="4"/>
      <c r="G1068" s="4"/>
      <c r="H1068" s="4" t="s">
        <v>3270</v>
      </c>
      <c r="I1068" s="4"/>
      <c r="J1068" s="4" t="s">
        <v>196</v>
      </c>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4"/>
      <c r="CW1068" s="4"/>
      <c r="CX1068" s="4"/>
      <c r="CY1068" s="4"/>
      <c r="CZ1068" s="4"/>
      <c r="DA1068" s="4"/>
      <c r="DB1068" s="4"/>
      <c r="DC1068" s="4"/>
      <c r="DD1068" s="4"/>
      <c r="DE1068" s="4"/>
      <c r="DF1068" s="4"/>
      <c r="DG1068" s="4"/>
      <c r="DH1068" s="4"/>
      <c r="DI1068" s="4"/>
      <c r="DJ1068" s="4"/>
      <c r="DK1068" s="4"/>
      <c r="DL1068" s="4"/>
      <c r="DM1068" s="4"/>
      <c r="DN1068" s="4"/>
      <c r="DO1068" s="4"/>
      <c r="DP1068" s="4"/>
      <c r="DQ1068" s="4"/>
      <c r="DR1068" s="4"/>
      <c r="DS1068" s="4"/>
      <c r="DT1068" s="4"/>
      <c r="DU1068" s="4"/>
      <c r="DV1068" s="4"/>
      <c r="DW1068" s="4"/>
      <c r="DX1068" s="4"/>
      <c r="DY1068" s="4"/>
      <c r="DZ1068" s="4"/>
      <c r="EA1068" s="4"/>
      <c r="EB1068" s="4"/>
      <c r="EC1068" s="4"/>
      <c r="ED1068" s="4"/>
      <c r="EE1068" s="4"/>
      <c r="EF1068" s="4"/>
      <c r="EG1068" s="4"/>
      <c r="EH1068" s="4"/>
      <c r="EI1068" s="4"/>
    </row>
    <row r="1069" spans="1:139" hidden="1" x14ac:dyDescent="0.2">
      <c r="A1069">
        <f>VLOOKUP(B1069,Sheet1!$A$1:$B$18,2,FALSE)</f>
        <v>0</v>
      </c>
      <c r="B1069" t="str">
        <f>LEFT(D1069,3)</f>
        <v>MNW</v>
      </c>
      <c r="C1069" s="2">
        <v>1068</v>
      </c>
      <c r="D1069" s="3" t="str">
        <f>HYPERLINK("https://sitebase.nzcomms.co.nz/spm/spmnominalview/MNW-038-005/","MNW-038-005")</f>
        <v>MNW-038-005</v>
      </c>
      <c r="E1069" s="4"/>
      <c r="F1069" s="4"/>
      <c r="G1069" s="4"/>
      <c r="H1069" s="4" t="s">
        <v>3270</v>
      </c>
      <c r="I1069" s="4"/>
      <c r="J1069" s="4" t="s">
        <v>196</v>
      </c>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4"/>
      <c r="CW1069" s="4"/>
      <c r="CX1069" s="4"/>
      <c r="CY1069" s="4"/>
      <c r="CZ1069" s="4"/>
      <c r="DA1069" s="4"/>
      <c r="DB1069" s="4"/>
      <c r="DC1069" s="4"/>
      <c r="DD1069" s="4"/>
      <c r="DE1069" s="4"/>
      <c r="DF1069" s="4"/>
      <c r="DG1069" s="4"/>
      <c r="DH1069" s="4"/>
      <c r="DI1069" s="4"/>
      <c r="DJ1069" s="4"/>
      <c r="DK1069" s="4"/>
      <c r="DL1069" s="4"/>
      <c r="DM1069" s="4"/>
      <c r="DN1069" s="4"/>
      <c r="DO1069" s="4"/>
      <c r="DP1069" s="4"/>
      <c r="DQ1069" s="4"/>
      <c r="DR1069" s="4"/>
      <c r="DS1069" s="4"/>
      <c r="DT1069" s="4"/>
      <c r="DU1069" s="4"/>
      <c r="DV1069" s="4"/>
      <c r="DW1069" s="4"/>
      <c r="DX1069" s="4"/>
      <c r="DY1069" s="4"/>
      <c r="DZ1069" s="4"/>
      <c r="EA1069" s="4"/>
      <c r="EB1069" s="4"/>
      <c r="EC1069" s="4"/>
      <c r="ED1069" s="4"/>
      <c r="EE1069" s="4"/>
      <c r="EF1069" s="4"/>
      <c r="EG1069" s="4"/>
      <c r="EH1069" s="4"/>
      <c r="EI1069" s="4"/>
    </row>
    <row r="1070" spans="1:139" hidden="1" x14ac:dyDescent="0.2">
      <c r="A1070">
        <f>VLOOKUP(B1070,Sheet1!$A$1:$B$18,2,FALSE)</f>
        <v>0</v>
      </c>
      <c r="B1070" t="str">
        <f>LEFT(D1070,3)</f>
        <v>MNW</v>
      </c>
      <c r="C1070" s="2">
        <v>1069</v>
      </c>
      <c r="D1070" s="3" t="str">
        <f>HYPERLINK("https://sitebase.nzcomms.co.nz/spm/spmnominalview/MNW-038-006/","MNW-038-006")</f>
        <v>MNW-038-006</v>
      </c>
      <c r="E1070" s="4" t="s">
        <v>3276</v>
      </c>
      <c r="F1070" s="3" t="str">
        <f>HYPERLINK("https://sitebase.nzcomms.co.nz/spm/spmcandidateview/MNW-038-006-B/","MNW-038-006-B")</f>
        <v>MNW-038-006-B</v>
      </c>
      <c r="G1070" s="4" t="s">
        <v>3277</v>
      </c>
      <c r="H1070" s="4" t="s">
        <v>3270</v>
      </c>
      <c r="I1070" s="4">
        <v>24</v>
      </c>
      <c r="J1070" s="4" t="s">
        <v>165</v>
      </c>
      <c r="K1070" s="4" t="s">
        <v>141</v>
      </c>
      <c r="L1070" s="4" t="s">
        <v>150</v>
      </c>
      <c r="M1070" s="4" t="s">
        <v>190</v>
      </c>
      <c r="N1070" s="4" t="s">
        <v>216</v>
      </c>
      <c r="O1070" s="4"/>
      <c r="P1070" s="4" t="s">
        <v>169</v>
      </c>
      <c r="Q1070" s="4" t="s">
        <v>170</v>
      </c>
      <c r="R1070" s="4">
        <v>19</v>
      </c>
      <c r="S1070" s="4">
        <v>20</v>
      </c>
      <c r="T1070" s="4">
        <v>1</v>
      </c>
      <c r="U1070" s="4">
        <v>-39.687861750000003</v>
      </c>
      <c r="V1070" s="4">
        <v>175.80125945</v>
      </c>
      <c r="W1070" s="4"/>
      <c r="X1070" s="5">
        <v>42109</v>
      </c>
      <c r="Y1070" s="4"/>
      <c r="Z1070" s="5">
        <v>42109</v>
      </c>
      <c r="AA1070" s="4" t="s">
        <v>171</v>
      </c>
      <c r="AB1070" s="3" t="str">
        <f>HYPERLINK("https://sitebase.nzcomms.co.nz/spm/spmcandidateview/MNW-038-009-A/","MNW-038-009-A")</f>
        <v>MNW-038-009-A</v>
      </c>
      <c r="AC1070" s="4" t="b">
        <v>0</v>
      </c>
      <c r="AD1070" s="4" t="b">
        <v>0</v>
      </c>
      <c r="AE1070" s="4"/>
      <c r="AF1070" s="4"/>
      <c r="AG1070" s="4" t="b">
        <v>0</v>
      </c>
      <c r="AH1070" s="4"/>
      <c r="AI1070" s="5">
        <v>40991</v>
      </c>
      <c r="AJ1070" s="5">
        <v>40989</v>
      </c>
      <c r="AK1070" s="5">
        <v>40998</v>
      </c>
      <c r="AL1070" s="5">
        <v>40994</v>
      </c>
      <c r="AM1070" s="5">
        <v>41011</v>
      </c>
      <c r="AN1070" s="5">
        <v>41053</v>
      </c>
      <c r="AO1070" s="4">
        <v>2</v>
      </c>
      <c r="AP1070" s="5">
        <v>41011</v>
      </c>
      <c r="AQ1070" s="5">
        <v>41200</v>
      </c>
      <c r="AR1070" s="5">
        <v>41187</v>
      </c>
      <c r="AS1070" s="5">
        <v>41193</v>
      </c>
      <c r="AT1070" s="5">
        <v>41197</v>
      </c>
      <c r="AU1070" s="5">
        <v>41199</v>
      </c>
      <c r="AV1070" s="4">
        <v>1</v>
      </c>
      <c r="AW1070" s="5">
        <v>41204</v>
      </c>
      <c r="AX1070" s="5">
        <v>41199</v>
      </c>
      <c r="AY1070" s="4" t="s">
        <v>172</v>
      </c>
      <c r="AZ1070" s="5">
        <v>41080</v>
      </c>
      <c r="BA1070" s="5">
        <v>41108</v>
      </c>
      <c r="BB1070" s="5">
        <v>41138</v>
      </c>
      <c r="BC1070" s="5">
        <v>41134</v>
      </c>
      <c r="BD1070" s="4">
        <v>1</v>
      </c>
      <c r="BE1070" s="5">
        <v>41145</v>
      </c>
      <c r="BF1070" s="5">
        <v>41137</v>
      </c>
      <c r="BG1070" s="5">
        <v>41950</v>
      </c>
      <c r="BH1070" s="5">
        <v>41950</v>
      </c>
      <c r="BI1070" s="5">
        <v>42041</v>
      </c>
      <c r="BJ1070" s="5">
        <v>42047</v>
      </c>
      <c r="BK1070" s="4">
        <v>1</v>
      </c>
      <c r="BL1070" s="4"/>
      <c r="BM1070" s="5">
        <v>42080</v>
      </c>
      <c r="BN1070" s="5">
        <v>42047</v>
      </c>
      <c r="BO1070" s="4"/>
      <c r="BP1070" s="4"/>
      <c r="BQ1070" s="4"/>
      <c r="BR1070" s="4"/>
      <c r="BS1070" s="4"/>
      <c r="BT1070" s="5">
        <v>42170</v>
      </c>
      <c r="BU1070" s="5">
        <v>42171</v>
      </c>
      <c r="BV1070" s="5">
        <v>42216</v>
      </c>
      <c r="BW1070" s="5">
        <v>42213</v>
      </c>
      <c r="BX1070" s="5">
        <v>42215</v>
      </c>
      <c r="BY1070" s="5">
        <v>42230</v>
      </c>
      <c r="BZ1070" s="5">
        <v>42215</v>
      </c>
      <c r="CA1070" s="5">
        <v>42213</v>
      </c>
      <c r="CB1070" s="5">
        <v>42213</v>
      </c>
      <c r="CC1070" s="5">
        <v>42213</v>
      </c>
      <c r="CD1070" s="5">
        <v>42213</v>
      </c>
      <c r="CE1070" s="5">
        <v>42213</v>
      </c>
      <c r="CF1070" s="5">
        <v>42213</v>
      </c>
      <c r="CG1070" s="5">
        <v>42215</v>
      </c>
      <c r="CH1070" s="5">
        <v>42215</v>
      </c>
      <c r="CI1070" s="4"/>
      <c r="CJ1070" s="5">
        <v>42246</v>
      </c>
      <c r="CK1070" s="5">
        <v>42247</v>
      </c>
      <c r="CL1070" s="4"/>
      <c r="CM1070" s="4"/>
      <c r="CN1070" s="4"/>
      <c r="CO1070" s="4"/>
      <c r="CP1070" s="4" t="s">
        <v>3278</v>
      </c>
      <c r="CQ1070" s="4"/>
      <c r="CR1070" s="4"/>
      <c r="CS1070" s="4"/>
      <c r="CT1070" s="4"/>
      <c r="CU1070" s="4"/>
      <c r="CV1070" s="4"/>
      <c r="CW1070" s="4"/>
      <c r="CX1070" s="4"/>
      <c r="CY1070" s="4"/>
      <c r="CZ1070" s="4"/>
      <c r="DA1070" s="5">
        <v>42243</v>
      </c>
      <c r="DB1070" s="5">
        <v>42240</v>
      </c>
      <c r="DC1070" s="5">
        <v>41050</v>
      </c>
      <c r="DD1070" s="4" t="s">
        <v>586</v>
      </c>
      <c r="DE1070" s="4" t="s">
        <v>3201</v>
      </c>
      <c r="DF1070" s="5">
        <v>42229</v>
      </c>
      <c r="DG1070" s="5">
        <v>42229</v>
      </c>
      <c r="DH1070" s="4" t="s">
        <v>174</v>
      </c>
      <c r="DI1070" s="5">
        <v>42215</v>
      </c>
      <c r="DJ1070" s="4" t="b">
        <v>0</v>
      </c>
      <c r="DK1070" s="4"/>
      <c r="DL1070" s="4">
        <v>2750241</v>
      </c>
      <c r="DM1070" s="4">
        <v>6164807</v>
      </c>
      <c r="DN1070" s="4" t="s">
        <v>3279</v>
      </c>
      <c r="DO1070" s="4"/>
      <c r="DP1070" s="4"/>
      <c r="DQ1070" s="4" t="s">
        <v>148</v>
      </c>
      <c r="DR1070" s="4"/>
      <c r="DS1070" s="4"/>
      <c r="DT1070" s="4"/>
      <c r="DU1070" s="4" t="s">
        <v>178</v>
      </c>
      <c r="DV1070" s="4"/>
      <c r="DW1070" s="5">
        <v>42076</v>
      </c>
      <c r="DX1070" s="5">
        <v>42044</v>
      </c>
      <c r="DY1070" s="5">
        <v>42117</v>
      </c>
      <c r="DZ1070" s="5">
        <v>42117</v>
      </c>
      <c r="EA1070" s="4"/>
      <c r="EB1070" s="4"/>
      <c r="EC1070" s="4"/>
      <c r="ED1070" s="4"/>
      <c r="EE1070" s="5">
        <v>42150</v>
      </c>
      <c r="EF1070" s="5">
        <v>42150</v>
      </c>
      <c r="EG1070" s="4"/>
      <c r="EH1070" s="4"/>
      <c r="EI1070" s="5">
        <v>40994</v>
      </c>
    </row>
    <row r="1071" spans="1:139" hidden="1" x14ac:dyDescent="0.2">
      <c r="A1071">
        <f>VLOOKUP(B1071,Sheet1!$A$1:$B$18,2,FALSE)</f>
        <v>0</v>
      </c>
      <c r="B1071" t="str">
        <f>LEFT(D1071,3)</f>
        <v>MNW</v>
      </c>
      <c r="C1071" s="2">
        <v>1070</v>
      </c>
      <c r="D1071" s="3" t="str">
        <f>HYPERLINK("https://sitebase.nzcomms.co.nz/spm/spmnominalview/MNW-038-007/","MNW-038-007")</f>
        <v>MNW-038-007</v>
      </c>
      <c r="E1071" s="4" t="s">
        <v>137</v>
      </c>
      <c r="F1071" s="4"/>
      <c r="G1071" s="4"/>
      <c r="H1071" s="4" t="s">
        <v>3270</v>
      </c>
      <c r="I1071" s="4"/>
      <c r="J1071" s="4" t="s">
        <v>139</v>
      </c>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4"/>
      <c r="BS1071" s="4"/>
      <c r="BT1071" s="4"/>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4"/>
      <c r="CW1071" s="4"/>
      <c r="CX1071" s="4"/>
      <c r="CY1071" s="4"/>
      <c r="CZ1071" s="4"/>
      <c r="DA1071" s="4"/>
      <c r="DB1071" s="4"/>
      <c r="DC1071" s="4"/>
      <c r="DD1071" s="4"/>
      <c r="DE1071" s="4"/>
      <c r="DF1071" s="4"/>
      <c r="DG1071" s="4"/>
      <c r="DH1071" s="4"/>
      <c r="DI1071" s="4"/>
      <c r="DJ1071" s="4"/>
      <c r="DK1071" s="4"/>
      <c r="DL1071" s="4"/>
      <c r="DM1071" s="4"/>
      <c r="DN1071" s="4"/>
      <c r="DO1071" s="4"/>
      <c r="DP1071" s="4"/>
      <c r="DQ1071" s="4"/>
      <c r="DR1071" s="4"/>
      <c r="DS1071" s="4"/>
      <c r="DT1071" s="4"/>
      <c r="DU1071" s="4"/>
      <c r="DV1071" s="4"/>
      <c r="DW1071" s="4"/>
      <c r="DX1071" s="4"/>
      <c r="DY1071" s="4"/>
      <c r="DZ1071" s="4"/>
      <c r="EA1071" s="4"/>
      <c r="EB1071" s="4"/>
      <c r="EC1071" s="4"/>
      <c r="ED1071" s="4"/>
      <c r="EE1071" s="4"/>
      <c r="EF1071" s="4"/>
      <c r="EG1071" s="4"/>
      <c r="EH1071" s="4"/>
      <c r="EI1071" s="4"/>
    </row>
    <row r="1072" spans="1:139" hidden="1" x14ac:dyDescent="0.2">
      <c r="A1072">
        <f>VLOOKUP(B1072,Sheet1!$A$1:$B$18,2,FALSE)</f>
        <v>0</v>
      </c>
      <c r="B1072" t="str">
        <f>LEFT(D1072,3)</f>
        <v>MNW</v>
      </c>
      <c r="C1072" s="2">
        <v>1071</v>
      </c>
      <c r="D1072" s="3" t="str">
        <f>HYPERLINK("https://sitebase.nzcomms.co.nz/spm/spmnominalview/MNW-038-008/","MNW-038-008")</f>
        <v>MNW-038-008</v>
      </c>
      <c r="E1072" s="4" t="s">
        <v>3280</v>
      </c>
      <c r="F1072" s="3" t="str">
        <f>HYPERLINK("https://sitebase.nzcomms.co.nz/spm/spmcandidateview/MNW-038-008-A/","MNW-038-008-A")</f>
        <v>MNW-038-008-A</v>
      </c>
      <c r="G1072" s="4" t="s">
        <v>3281</v>
      </c>
      <c r="H1072" s="4" t="s">
        <v>3270</v>
      </c>
      <c r="I1072" s="4">
        <v>6</v>
      </c>
      <c r="J1072" s="4" t="s">
        <v>1633</v>
      </c>
      <c r="K1072" s="4" t="s">
        <v>141</v>
      </c>
      <c r="L1072" s="4" t="s">
        <v>722</v>
      </c>
      <c r="M1072" s="4" t="s">
        <v>190</v>
      </c>
      <c r="N1072" s="4" t="s">
        <v>1689</v>
      </c>
      <c r="O1072" s="4"/>
      <c r="P1072" s="4" t="s">
        <v>169</v>
      </c>
      <c r="Q1072" s="4" t="s">
        <v>142</v>
      </c>
      <c r="R1072" s="4"/>
      <c r="S1072" s="4"/>
      <c r="T1072" s="4">
        <v>1</v>
      </c>
      <c r="U1072" s="4">
        <v>-40.079617030000001</v>
      </c>
      <c r="V1072" s="4">
        <v>175.40029021999999</v>
      </c>
      <c r="W1072" s="4"/>
      <c r="X1072" s="5">
        <v>40890</v>
      </c>
      <c r="Y1072" s="4"/>
      <c r="Z1072" s="4"/>
      <c r="AA1072" s="4" t="s">
        <v>152</v>
      </c>
      <c r="AB1072" s="3" t="str">
        <f>HYPERLINK("https://sitebase.nzcomms.co.nz/spm/spmcandidateview/MNW-040-003-B/","MNW-040-003-B")</f>
        <v>MNW-040-003-B</v>
      </c>
      <c r="AC1072" s="4" t="b">
        <v>0</v>
      </c>
      <c r="AD1072" s="4" t="b">
        <v>0</v>
      </c>
      <c r="AE1072" s="4"/>
      <c r="AF1072" s="4"/>
      <c r="AG1072" s="4" t="b">
        <v>0</v>
      </c>
      <c r="AH1072" s="4"/>
      <c r="AI1072" s="5">
        <v>41025</v>
      </c>
      <c r="AJ1072" s="5">
        <v>41025</v>
      </c>
      <c r="AK1072" s="5">
        <v>41025</v>
      </c>
      <c r="AL1072" s="5">
        <v>41025</v>
      </c>
      <c r="AM1072" s="5">
        <v>41025</v>
      </c>
      <c r="AN1072" s="5">
        <v>41029</v>
      </c>
      <c r="AO1072" s="4">
        <v>1</v>
      </c>
      <c r="AP1072" s="5">
        <v>41025</v>
      </c>
      <c r="AQ1072" s="5">
        <v>41029</v>
      </c>
      <c r="AR1072" s="4"/>
      <c r="AS1072" s="5">
        <v>41044</v>
      </c>
      <c r="AT1072" s="4"/>
      <c r="AU1072" s="5">
        <v>41044</v>
      </c>
      <c r="AV1072" s="4"/>
      <c r="AW1072" s="4"/>
      <c r="AX1072" s="5">
        <v>41044</v>
      </c>
      <c r="AY1072" s="4"/>
      <c r="AZ1072" s="4"/>
      <c r="BA1072" s="5">
        <v>41177</v>
      </c>
      <c r="BB1072" s="4"/>
      <c r="BC1072" s="5">
        <v>41177</v>
      </c>
      <c r="BD1072" s="4">
        <v>1</v>
      </c>
      <c r="BE1072" s="4"/>
      <c r="BF1072" s="5">
        <v>41177</v>
      </c>
      <c r="BG1072" s="4"/>
      <c r="BH1072" s="4"/>
      <c r="BI1072" s="4"/>
      <c r="BJ1072" s="5">
        <v>41029</v>
      </c>
      <c r="BK1072" s="4">
        <v>1</v>
      </c>
      <c r="BL1072" s="4"/>
      <c r="BM1072" s="4"/>
      <c r="BN1072" s="5">
        <v>41029</v>
      </c>
      <c r="BO1072" s="4"/>
      <c r="BP1072" s="4"/>
      <c r="BQ1072" s="4"/>
      <c r="BR1072" s="4"/>
      <c r="BS1072" s="4"/>
      <c r="BT1072" s="4"/>
      <c r="BU1072" s="5">
        <v>41131</v>
      </c>
      <c r="BV1072" s="5">
        <v>41131</v>
      </c>
      <c r="BW1072" s="5">
        <v>41128</v>
      </c>
      <c r="BX1072" s="5">
        <v>41159</v>
      </c>
      <c r="BY1072" s="5">
        <v>41173</v>
      </c>
      <c r="BZ1072" s="5">
        <v>41172</v>
      </c>
      <c r="CA1072" s="4"/>
      <c r="CB1072" s="4"/>
      <c r="CC1072" s="4"/>
      <c r="CD1072" s="4"/>
      <c r="CE1072" s="4"/>
      <c r="CF1072" s="4"/>
      <c r="CG1072" s="4"/>
      <c r="CH1072" s="4"/>
      <c r="CI1072" s="5">
        <v>41176</v>
      </c>
      <c r="CJ1072" s="5">
        <v>41188</v>
      </c>
      <c r="CK1072" s="5">
        <v>41187</v>
      </c>
      <c r="CL1072" s="5">
        <v>41188</v>
      </c>
      <c r="CM1072" s="5">
        <v>41187</v>
      </c>
      <c r="CN1072" s="5">
        <v>41389</v>
      </c>
      <c r="CO1072" s="5">
        <v>41390</v>
      </c>
      <c r="CP1072" s="4"/>
      <c r="CQ1072" s="4" t="s">
        <v>230</v>
      </c>
      <c r="CR1072" s="5">
        <v>41174</v>
      </c>
      <c r="CS1072" s="4"/>
      <c r="CT1072" s="4"/>
      <c r="CU1072" s="4"/>
      <c r="CV1072" s="4"/>
      <c r="CW1072" s="4"/>
      <c r="CX1072" s="4"/>
      <c r="CY1072" s="5">
        <v>41166</v>
      </c>
      <c r="CZ1072" s="5">
        <v>41170</v>
      </c>
      <c r="DA1072" s="4"/>
      <c r="DB1072" s="5">
        <v>41178</v>
      </c>
      <c r="DC1072" s="4"/>
      <c r="DD1072" s="4"/>
      <c r="DE1072" s="4" t="s">
        <v>722</v>
      </c>
      <c r="DF1072" s="5">
        <v>41131</v>
      </c>
      <c r="DG1072" s="5">
        <v>41172</v>
      </c>
      <c r="DH1072" s="4" t="s">
        <v>174</v>
      </c>
      <c r="DI1072" s="5">
        <v>41131</v>
      </c>
      <c r="DJ1072" s="4" t="b">
        <v>0</v>
      </c>
      <c r="DK1072" s="4"/>
      <c r="DL1072" s="4">
        <v>2714682</v>
      </c>
      <c r="DM1072" s="4">
        <v>6122344</v>
      </c>
      <c r="DN1072" s="4" t="s">
        <v>3282</v>
      </c>
      <c r="DO1072" s="4"/>
      <c r="DP1072" s="4"/>
      <c r="DQ1072" s="4" t="s">
        <v>148</v>
      </c>
      <c r="DR1072" s="4"/>
      <c r="DS1072" s="4"/>
      <c r="DT1072" s="4"/>
      <c r="DU1072" s="4"/>
      <c r="DV1072" s="4"/>
      <c r="DW1072" s="4"/>
      <c r="DX1072" s="4"/>
      <c r="DY1072" s="4"/>
      <c r="DZ1072" s="4"/>
      <c r="EA1072" s="4"/>
      <c r="EB1072" s="4"/>
      <c r="EC1072" s="4"/>
      <c r="ED1072" s="4"/>
      <c r="EE1072" s="4"/>
      <c r="EF1072" s="4"/>
      <c r="EG1072" s="5">
        <v>41180</v>
      </c>
      <c r="EH1072" s="5">
        <v>41180</v>
      </c>
      <c r="EI1072" s="5">
        <v>41025</v>
      </c>
    </row>
    <row r="1073" spans="1:139" hidden="1" x14ac:dyDescent="0.2">
      <c r="A1073">
        <f>VLOOKUP(B1073,Sheet1!$A$1:$B$18,2,FALSE)</f>
        <v>0</v>
      </c>
      <c r="B1073" t="str">
        <f>LEFT(D1073,3)</f>
        <v>MNW</v>
      </c>
      <c r="C1073" s="2">
        <v>1072</v>
      </c>
      <c r="D1073" s="3" t="str">
        <f>HYPERLINK("https://sitebase.nzcomms.co.nz/spm/spmnominalview/MNW-038-009/","MNW-038-009")</f>
        <v>MNW-038-009</v>
      </c>
      <c r="E1073" s="4" t="s">
        <v>3283</v>
      </c>
      <c r="F1073" s="3" t="str">
        <f>HYPERLINK("https://sitebase.nzcomms.co.nz/spm/spmcandidateview/MNW-038-009-A/","MNW-038-009-A")</f>
        <v>MNW-038-009-A</v>
      </c>
      <c r="G1073" s="4" t="s">
        <v>3283</v>
      </c>
      <c r="H1073" s="4" t="s">
        <v>3270</v>
      </c>
      <c r="I1073" s="4">
        <v>24</v>
      </c>
      <c r="J1073" s="4" t="s">
        <v>165</v>
      </c>
      <c r="K1073" s="4" t="s">
        <v>141</v>
      </c>
      <c r="L1073" s="4" t="s">
        <v>181</v>
      </c>
      <c r="M1073" s="4" t="s">
        <v>324</v>
      </c>
      <c r="N1073" s="4" t="s">
        <v>181</v>
      </c>
      <c r="O1073" s="4"/>
      <c r="P1073" s="4" t="s">
        <v>169</v>
      </c>
      <c r="Q1073" s="4" t="s">
        <v>170</v>
      </c>
      <c r="R1073" s="4"/>
      <c r="S1073" s="4"/>
      <c r="T1073" s="4"/>
      <c r="U1073" s="4">
        <v>-39.678268979999999</v>
      </c>
      <c r="V1073" s="4">
        <v>175.80029488</v>
      </c>
      <c r="W1073" s="4"/>
      <c r="X1073" s="5">
        <v>42109</v>
      </c>
      <c r="Y1073" s="4"/>
      <c r="Z1073" s="5">
        <v>42109</v>
      </c>
      <c r="AA1073" s="4" t="s">
        <v>145</v>
      </c>
      <c r="AB1073" s="3" t="str">
        <f>HYPERLINK("https://sitebase.nzcomms.co.nz/spm/spmcandidateview/MNW-040-003-B/","MNW-040-003-B")</f>
        <v>MNW-040-003-B</v>
      </c>
      <c r="AC1073" s="4" t="b">
        <v>1</v>
      </c>
      <c r="AD1073" s="4" t="b">
        <v>0</v>
      </c>
      <c r="AE1073" s="4"/>
      <c r="AF1073" s="4"/>
      <c r="AG1073" s="4" t="b">
        <v>0</v>
      </c>
      <c r="AH1073" s="4"/>
      <c r="AI1073" s="5">
        <v>40991</v>
      </c>
      <c r="AJ1073" s="5">
        <v>40989</v>
      </c>
      <c r="AK1073" s="5">
        <v>41004</v>
      </c>
      <c r="AL1073" s="5">
        <v>40994</v>
      </c>
      <c r="AM1073" s="5">
        <v>41011</v>
      </c>
      <c r="AN1073" s="5">
        <v>41045</v>
      </c>
      <c r="AO1073" s="4">
        <v>2</v>
      </c>
      <c r="AP1073" s="5">
        <v>41103</v>
      </c>
      <c r="AQ1073" s="5">
        <v>41102</v>
      </c>
      <c r="AR1073" s="5">
        <v>41131</v>
      </c>
      <c r="AS1073" s="5">
        <v>41114</v>
      </c>
      <c r="AT1073" s="5">
        <v>41159</v>
      </c>
      <c r="AU1073" s="5">
        <v>42116</v>
      </c>
      <c r="AV1073" s="4"/>
      <c r="AW1073" s="5">
        <v>42055</v>
      </c>
      <c r="AX1073" s="5">
        <v>42158</v>
      </c>
      <c r="AY1073" s="4" t="s">
        <v>172</v>
      </c>
      <c r="AZ1073" s="5">
        <v>41136</v>
      </c>
      <c r="BA1073" s="5">
        <v>41107</v>
      </c>
      <c r="BB1073" s="5">
        <v>41137</v>
      </c>
      <c r="BC1073" s="5">
        <v>41120</v>
      </c>
      <c r="BD1073" s="4">
        <v>2</v>
      </c>
      <c r="BE1073" s="5">
        <v>41144</v>
      </c>
      <c r="BF1073" s="5">
        <v>41120</v>
      </c>
      <c r="BG1073" s="5">
        <v>41969</v>
      </c>
      <c r="BH1073" s="5">
        <v>41968</v>
      </c>
      <c r="BI1073" s="5">
        <v>42018</v>
      </c>
      <c r="BJ1073" s="5">
        <v>42019</v>
      </c>
      <c r="BK1073" s="4">
        <v>1</v>
      </c>
      <c r="BL1073" s="4"/>
      <c r="BM1073" s="5">
        <v>42117</v>
      </c>
      <c r="BN1073" s="5">
        <v>42019</v>
      </c>
      <c r="BO1073" s="4"/>
      <c r="BP1073" s="4"/>
      <c r="BQ1073" s="4"/>
      <c r="BR1073" s="4"/>
      <c r="BS1073" s="4"/>
      <c r="BT1073" s="5">
        <v>42174</v>
      </c>
      <c r="BU1073" s="5">
        <v>42171</v>
      </c>
      <c r="BV1073" s="5">
        <v>42216</v>
      </c>
      <c r="BW1073" s="5">
        <v>42214</v>
      </c>
      <c r="BX1073" s="5">
        <v>42220</v>
      </c>
      <c r="BY1073" s="5">
        <v>42220</v>
      </c>
      <c r="BZ1073" s="5">
        <v>42220</v>
      </c>
      <c r="CA1073" s="5">
        <v>42220</v>
      </c>
      <c r="CB1073" s="5">
        <v>42220</v>
      </c>
      <c r="CC1073" s="5">
        <v>42220</v>
      </c>
      <c r="CD1073" s="5">
        <v>42220</v>
      </c>
      <c r="CE1073" s="5">
        <v>42220</v>
      </c>
      <c r="CF1073" s="5">
        <v>42220</v>
      </c>
      <c r="CG1073" s="5">
        <v>42220</v>
      </c>
      <c r="CH1073" s="5">
        <v>42220</v>
      </c>
      <c r="CI1073" s="4"/>
      <c r="CJ1073" s="5">
        <v>42246</v>
      </c>
      <c r="CK1073" s="5">
        <v>42247</v>
      </c>
      <c r="CL1073" s="4"/>
      <c r="CM1073" s="4"/>
      <c r="CN1073" s="4"/>
      <c r="CO1073" s="4"/>
      <c r="CP1073" s="4" t="s">
        <v>3284</v>
      </c>
      <c r="CQ1073" s="4"/>
      <c r="CR1073" s="4"/>
      <c r="CS1073" s="4"/>
      <c r="CT1073" s="4"/>
      <c r="CU1073" s="4"/>
      <c r="CV1073" s="4"/>
      <c r="CW1073" s="4"/>
      <c r="CX1073" s="4"/>
      <c r="CY1073" s="4"/>
      <c r="CZ1073" s="4"/>
      <c r="DA1073" s="5">
        <v>42237</v>
      </c>
      <c r="DB1073" s="5">
        <v>42247</v>
      </c>
      <c r="DC1073" s="4"/>
      <c r="DD1073" s="4"/>
      <c r="DE1073" s="4" t="s">
        <v>1982</v>
      </c>
      <c r="DF1073" s="5">
        <v>42174</v>
      </c>
      <c r="DG1073" s="5">
        <v>42220</v>
      </c>
      <c r="DH1073" s="4" t="s">
        <v>174</v>
      </c>
      <c r="DI1073" s="5">
        <v>42219</v>
      </c>
      <c r="DJ1073" s="4" t="b">
        <v>0</v>
      </c>
      <c r="DK1073" s="4"/>
      <c r="DL1073" s="4">
        <v>2750192</v>
      </c>
      <c r="DM1073" s="4">
        <v>6165874</v>
      </c>
      <c r="DN1073" s="4" t="s">
        <v>3285</v>
      </c>
      <c r="DO1073" s="4"/>
      <c r="DP1073" s="4"/>
      <c r="DQ1073" s="4" t="s">
        <v>328</v>
      </c>
      <c r="DR1073" s="4"/>
      <c r="DS1073" s="4"/>
      <c r="DT1073" s="4"/>
      <c r="DU1073" s="4" t="s">
        <v>178</v>
      </c>
      <c r="DV1073" s="4"/>
      <c r="DW1073" s="4"/>
      <c r="DX1073" s="5">
        <v>42044</v>
      </c>
      <c r="DY1073" s="5">
        <v>42117</v>
      </c>
      <c r="DZ1073" s="5">
        <v>42117</v>
      </c>
      <c r="EA1073" s="4"/>
      <c r="EB1073" s="4"/>
      <c r="EC1073" s="4"/>
      <c r="ED1073" s="4"/>
      <c r="EE1073" s="5">
        <v>42150</v>
      </c>
      <c r="EF1073" s="5">
        <v>42150</v>
      </c>
      <c r="EG1073" s="4"/>
      <c r="EH1073" s="4"/>
      <c r="EI1073" s="5">
        <v>40994</v>
      </c>
    </row>
    <row r="1074" spans="1:139" hidden="1" x14ac:dyDescent="0.2">
      <c r="A1074">
        <f>VLOOKUP(B1074,Sheet1!$A$1:$B$18,2,FALSE)</f>
        <v>0</v>
      </c>
      <c r="B1074" t="str">
        <f>LEFT(D1074,3)</f>
        <v>MNW</v>
      </c>
      <c r="C1074" s="2">
        <v>1073</v>
      </c>
      <c r="D1074" s="3" t="str">
        <f>HYPERLINK("https://sitebase.nzcomms.co.nz/spm/spmnominalview/MNW-039-002/","MNW-039-002")</f>
        <v>MNW-039-002</v>
      </c>
      <c r="E1074" s="4" t="s">
        <v>3286</v>
      </c>
      <c r="F1074" s="3" t="str">
        <f>HYPERLINK("https://sitebase.nzcomms.co.nz/spm/spmcandidateview/MNW-039-002-A/","MNW-039-002-A")</f>
        <v>MNW-039-002-A</v>
      </c>
      <c r="G1074" s="4" t="s">
        <v>3287</v>
      </c>
      <c r="H1074" s="4" t="s">
        <v>3288</v>
      </c>
      <c r="I1074" s="4">
        <v>6</v>
      </c>
      <c r="J1074" s="4" t="s">
        <v>180</v>
      </c>
      <c r="K1074" s="4" t="s">
        <v>141</v>
      </c>
      <c r="L1074" s="4" t="s">
        <v>142</v>
      </c>
      <c r="M1074" s="4" t="s">
        <v>190</v>
      </c>
      <c r="N1074" s="4" t="s">
        <v>142</v>
      </c>
      <c r="O1074" s="4"/>
      <c r="P1074" s="4" t="s">
        <v>182</v>
      </c>
      <c r="Q1074" s="4" t="s">
        <v>142</v>
      </c>
      <c r="R1074" s="4"/>
      <c r="S1074" s="4"/>
      <c r="T1074" s="4">
        <v>2</v>
      </c>
      <c r="U1074" s="4">
        <v>-40.210929319999998</v>
      </c>
      <c r="V1074" s="4">
        <v>175.55405046000001</v>
      </c>
      <c r="W1074" s="4"/>
      <c r="X1074" s="5">
        <v>40964</v>
      </c>
      <c r="Y1074" s="4"/>
      <c r="Z1074" s="4"/>
      <c r="AA1074" s="4" t="s">
        <v>152</v>
      </c>
      <c r="AB1074" s="3" t="str">
        <f>HYPERLINK("https://sitebase.nzcomms.co.nz/spm/spmcandidateview/MNW-040-003-B/","MNW-040-003-B")</f>
        <v>MNW-040-003-B</v>
      </c>
      <c r="AC1074" s="4" t="b">
        <v>0</v>
      </c>
      <c r="AD1074" s="4" t="b">
        <v>0</v>
      </c>
      <c r="AE1074" s="4"/>
      <c r="AF1074" s="4"/>
      <c r="AG1074" s="4" t="b">
        <v>0</v>
      </c>
      <c r="AH1074" s="4"/>
      <c r="AI1074" s="4"/>
      <c r="AJ1074" s="5">
        <v>40848</v>
      </c>
      <c r="AK1074" s="4"/>
      <c r="AL1074" s="5">
        <v>40848</v>
      </c>
      <c r="AM1074" s="4"/>
      <c r="AN1074" s="5">
        <v>40767</v>
      </c>
      <c r="AO1074" s="4">
        <v>1</v>
      </c>
      <c r="AP1074" s="4"/>
      <c r="AQ1074" s="5">
        <v>40767</v>
      </c>
      <c r="AR1074" s="4"/>
      <c r="AS1074" s="5">
        <v>40865</v>
      </c>
      <c r="AT1074" s="4"/>
      <c r="AU1074" s="5">
        <v>40990</v>
      </c>
      <c r="AV1074" s="4"/>
      <c r="AW1074" s="4"/>
      <c r="AX1074" s="5">
        <v>40990</v>
      </c>
      <c r="AY1074" s="4"/>
      <c r="AZ1074" s="4"/>
      <c r="BA1074" s="5">
        <v>40770</v>
      </c>
      <c r="BB1074" s="4"/>
      <c r="BC1074" s="5">
        <v>40801</v>
      </c>
      <c r="BD1074" s="4">
        <v>1</v>
      </c>
      <c r="BE1074" s="4"/>
      <c r="BF1074" s="5">
        <v>40801</v>
      </c>
      <c r="BG1074" s="4"/>
      <c r="BH1074" s="4"/>
      <c r="BI1074" s="5">
        <v>41018</v>
      </c>
      <c r="BJ1074" s="5">
        <v>41019</v>
      </c>
      <c r="BK1074" s="4">
        <v>1</v>
      </c>
      <c r="BL1074" s="4"/>
      <c r="BM1074" s="4"/>
      <c r="BN1074" s="5">
        <v>41019</v>
      </c>
      <c r="BO1074" s="5">
        <v>41045</v>
      </c>
      <c r="BP1074" s="4"/>
      <c r="BQ1074" s="4"/>
      <c r="BR1074" s="4"/>
      <c r="BS1074" s="4"/>
      <c r="BT1074" s="5">
        <v>41043</v>
      </c>
      <c r="BU1074" s="5">
        <v>41038</v>
      </c>
      <c r="BV1074" s="5">
        <v>41055</v>
      </c>
      <c r="BW1074" s="5">
        <v>41060</v>
      </c>
      <c r="BX1074" s="5">
        <v>41045</v>
      </c>
      <c r="BY1074" s="5">
        <v>41055</v>
      </c>
      <c r="BZ1074" s="5">
        <v>41058</v>
      </c>
      <c r="CA1074" s="4"/>
      <c r="CB1074" s="4"/>
      <c r="CC1074" s="4"/>
      <c r="CD1074" s="4"/>
      <c r="CE1074" s="4"/>
      <c r="CF1074" s="4"/>
      <c r="CG1074" s="4"/>
      <c r="CH1074" s="4"/>
      <c r="CI1074" s="5">
        <v>41072</v>
      </c>
      <c r="CJ1074" s="5">
        <v>41064</v>
      </c>
      <c r="CK1074" s="5">
        <v>41072</v>
      </c>
      <c r="CL1074" s="5">
        <v>41089</v>
      </c>
      <c r="CM1074" s="5">
        <v>41088</v>
      </c>
      <c r="CN1074" s="5">
        <v>41390</v>
      </c>
      <c r="CO1074" s="5">
        <v>41395</v>
      </c>
      <c r="CP1074" s="4"/>
      <c r="CQ1074" s="4" t="s">
        <v>230</v>
      </c>
      <c r="CR1074" s="5">
        <v>41069</v>
      </c>
      <c r="CS1074" s="5">
        <v>41088</v>
      </c>
      <c r="CT1074" s="5">
        <v>41088</v>
      </c>
      <c r="CU1074" s="5">
        <v>41049</v>
      </c>
      <c r="CV1074" s="5">
        <v>41045</v>
      </c>
      <c r="CW1074" s="5">
        <v>41045</v>
      </c>
      <c r="CX1074" s="5">
        <v>41045</v>
      </c>
      <c r="CY1074" s="5">
        <v>41059</v>
      </c>
      <c r="CZ1074" s="5">
        <v>41065</v>
      </c>
      <c r="DA1074" s="5">
        <v>41057</v>
      </c>
      <c r="DB1074" s="5">
        <v>41057</v>
      </c>
      <c r="DC1074" s="4"/>
      <c r="DD1074" s="4"/>
      <c r="DE1074" s="4" t="s">
        <v>3272</v>
      </c>
      <c r="DF1074" s="5">
        <v>41068</v>
      </c>
      <c r="DG1074" s="5">
        <v>41068</v>
      </c>
      <c r="DH1074" s="4" t="s">
        <v>174</v>
      </c>
      <c r="DI1074" s="5">
        <v>41045</v>
      </c>
      <c r="DJ1074" s="4" t="b">
        <v>0</v>
      </c>
      <c r="DK1074" s="4"/>
      <c r="DL1074" s="4">
        <v>2727368</v>
      </c>
      <c r="DM1074" s="4">
        <v>6107403</v>
      </c>
      <c r="DN1074" s="4" t="s">
        <v>3289</v>
      </c>
      <c r="DO1074" s="4"/>
      <c r="DP1074" s="4"/>
      <c r="DQ1074" s="4" t="s">
        <v>148</v>
      </c>
      <c r="DR1074" s="4"/>
      <c r="DS1074" s="4"/>
      <c r="DT1074" s="5">
        <v>42096</v>
      </c>
      <c r="DU1074" s="4"/>
      <c r="DV1074" s="4"/>
      <c r="DW1074" s="4"/>
      <c r="DX1074" s="4"/>
      <c r="DY1074" s="4"/>
      <c r="DZ1074" s="4"/>
      <c r="EA1074" s="4"/>
      <c r="EB1074" s="4"/>
      <c r="EC1074" s="4"/>
      <c r="ED1074" s="4"/>
      <c r="EE1074" s="4"/>
      <c r="EF1074" s="4"/>
      <c r="EG1074" s="5">
        <v>41058</v>
      </c>
      <c r="EH1074" s="5">
        <v>41075</v>
      </c>
      <c r="EI1074" s="4"/>
    </row>
    <row r="1075" spans="1:139" hidden="1" x14ac:dyDescent="0.2">
      <c r="A1075">
        <f>VLOOKUP(B1075,Sheet1!$A$1:$B$18,2,FALSE)</f>
        <v>0</v>
      </c>
      <c r="B1075" t="str">
        <f>LEFT(D1075,3)</f>
        <v>MNW</v>
      </c>
      <c r="C1075" s="2">
        <v>1074</v>
      </c>
      <c r="D1075" s="3" t="str">
        <f>HYPERLINK("https://sitebase.nzcomms.co.nz/spm/spmnominalview/MNW-039-003/","MNW-039-003")</f>
        <v>MNW-039-003</v>
      </c>
      <c r="E1075" s="4" t="s">
        <v>3290</v>
      </c>
      <c r="F1075" s="3" t="str">
        <f>HYPERLINK("https://sitebase.nzcomms.co.nz/spm/spmcandidateview/MNW-039-003-A/","MNW-039-003-A")</f>
        <v>MNW-039-003-A</v>
      </c>
      <c r="G1075" s="4" t="s">
        <v>3291</v>
      </c>
      <c r="H1075" s="4" t="s">
        <v>3288</v>
      </c>
      <c r="I1075" s="4">
        <v>6</v>
      </c>
      <c r="J1075" s="4" t="s">
        <v>180</v>
      </c>
      <c r="K1075" s="4" t="s">
        <v>141</v>
      </c>
      <c r="L1075" s="4" t="s">
        <v>142</v>
      </c>
      <c r="M1075" s="4" t="s">
        <v>190</v>
      </c>
      <c r="N1075" s="4" t="s">
        <v>142</v>
      </c>
      <c r="O1075" s="4"/>
      <c r="P1075" s="4" t="s">
        <v>182</v>
      </c>
      <c r="Q1075" s="4" t="s">
        <v>142</v>
      </c>
      <c r="R1075" s="4"/>
      <c r="S1075" s="4"/>
      <c r="T1075" s="4">
        <v>1</v>
      </c>
      <c r="U1075" s="4">
        <v>-40.245507869999997</v>
      </c>
      <c r="V1075" s="4">
        <v>175.49304853000001</v>
      </c>
      <c r="W1075" s="4"/>
      <c r="X1075" s="5">
        <v>40896</v>
      </c>
      <c r="Y1075" s="4"/>
      <c r="Z1075" s="4"/>
      <c r="AA1075" s="4" t="s">
        <v>171</v>
      </c>
      <c r="AB1075" s="3" t="str">
        <f>HYPERLINK("https://sitebase.nzcomms.co.nz/spm/spmcandidateview/MNW-040-001-B/","MNW-040-001-B")</f>
        <v>MNW-040-001-B</v>
      </c>
      <c r="AC1075" s="4" t="b">
        <v>0</v>
      </c>
      <c r="AD1075" s="4" t="b">
        <v>0</v>
      </c>
      <c r="AE1075" s="4"/>
      <c r="AF1075" s="4"/>
      <c r="AG1075" s="4" t="b">
        <v>0</v>
      </c>
      <c r="AH1075" s="4"/>
      <c r="AI1075" s="4"/>
      <c r="AJ1075" s="5">
        <v>40848</v>
      </c>
      <c r="AK1075" s="4"/>
      <c r="AL1075" s="5">
        <v>40848</v>
      </c>
      <c r="AM1075" s="4"/>
      <c r="AN1075" s="5">
        <v>40767</v>
      </c>
      <c r="AO1075" s="4">
        <v>1</v>
      </c>
      <c r="AP1075" s="4"/>
      <c r="AQ1075" s="5">
        <v>40767</v>
      </c>
      <c r="AR1075" s="4"/>
      <c r="AS1075" s="5">
        <v>40990</v>
      </c>
      <c r="AT1075" s="4"/>
      <c r="AU1075" s="5">
        <v>40990</v>
      </c>
      <c r="AV1075" s="4"/>
      <c r="AW1075" s="4"/>
      <c r="AX1075" s="5">
        <v>40990</v>
      </c>
      <c r="AY1075" s="4"/>
      <c r="AZ1075" s="4"/>
      <c r="BA1075" s="5">
        <v>40770</v>
      </c>
      <c r="BB1075" s="4"/>
      <c r="BC1075" s="5">
        <v>40801</v>
      </c>
      <c r="BD1075" s="4">
        <v>1</v>
      </c>
      <c r="BE1075" s="4"/>
      <c r="BF1075" s="5">
        <v>40801</v>
      </c>
      <c r="BG1075" s="4"/>
      <c r="BH1075" s="4"/>
      <c r="BI1075" s="5">
        <v>41018</v>
      </c>
      <c r="BJ1075" s="5">
        <v>41019</v>
      </c>
      <c r="BK1075" s="4">
        <v>1</v>
      </c>
      <c r="BL1075" s="4"/>
      <c r="BM1075" s="5">
        <v>41018</v>
      </c>
      <c r="BN1075" s="5">
        <v>41019</v>
      </c>
      <c r="BO1075" s="5">
        <v>41036</v>
      </c>
      <c r="BP1075" s="4"/>
      <c r="BQ1075" s="4"/>
      <c r="BR1075" s="4"/>
      <c r="BS1075" s="4"/>
      <c r="BT1075" s="5">
        <v>41036</v>
      </c>
      <c r="BU1075" s="5">
        <v>41036</v>
      </c>
      <c r="BV1075" s="5">
        <v>41053</v>
      </c>
      <c r="BW1075" s="5">
        <v>41054</v>
      </c>
      <c r="BX1075" s="5">
        <v>41045</v>
      </c>
      <c r="BY1075" s="5">
        <v>41054</v>
      </c>
      <c r="BZ1075" s="5">
        <v>41054</v>
      </c>
      <c r="CA1075" s="4"/>
      <c r="CB1075" s="4"/>
      <c r="CC1075" s="4"/>
      <c r="CD1075" s="4"/>
      <c r="CE1075" s="4"/>
      <c r="CF1075" s="4"/>
      <c r="CG1075" s="4"/>
      <c r="CH1075" s="4"/>
      <c r="CI1075" s="5">
        <v>41057</v>
      </c>
      <c r="CJ1075" s="5">
        <v>41064</v>
      </c>
      <c r="CK1075" s="5">
        <v>41061</v>
      </c>
      <c r="CL1075" s="5">
        <v>41078</v>
      </c>
      <c r="CM1075" s="5">
        <v>41075</v>
      </c>
      <c r="CN1075" s="5">
        <v>41409</v>
      </c>
      <c r="CO1075" s="5">
        <v>41407</v>
      </c>
      <c r="CP1075" s="4"/>
      <c r="CQ1075" s="4" t="s">
        <v>230</v>
      </c>
      <c r="CR1075" s="5">
        <v>41054</v>
      </c>
      <c r="CS1075" s="4"/>
      <c r="CT1075" s="4"/>
      <c r="CU1075" s="5">
        <v>41044</v>
      </c>
      <c r="CV1075" s="5">
        <v>41044</v>
      </c>
      <c r="CW1075" s="5">
        <v>41059</v>
      </c>
      <c r="CX1075" s="5">
        <v>41036</v>
      </c>
      <c r="CY1075" s="5">
        <v>41053</v>
      </c>
      <c r="CZ1075" s="5">
        <v>41059</v>
      </c>
      <c r="DA1075" s="5">
        <v>41057</v>
      </c>
      <c r="DB1075" s="5">
        <v>41059</v>
      </c>
      <c r="DC1075" s="4"/>
      <c r="DD1075" s="4"/>
      <c r="DE1075" s="4" t="s">
        <v>3272</v>
      </c>
      <c r="DF1075" s="4"/>
      <c r="DG1075" s="4"/>
      <c r="DH1075" s="4" t="s">
        <v>174</v>
      </c>
      <c r="DI1075" s="5">
        <v>41045</v>
      </c>
      <c r="DJ1075" s="4" t="b">
        <v>0</v>
      </c>
      <c r="DK1075" s="4"/>
      <c r="DL1075" s="4">
        <v>2722069</v>
      </c>
      <c r="DM1075" s="4">
        <v>6103714</v>
      </c>
      <c r="DN1075" s="4" t="s">
        <v>3292</v>
      </c>
      <c r="DO1075" s="4"/>
      <c r="DP1075" s="4"/>
      <c r="DQ1075" s="4" t="s">
        <v>148</v>
      </c>
      <c r="DR1075" s="4"/>
      <c r="DS1075" s="4"/>
      <c r="DT1075" s="4"/>
      <c r="DU1075" s="4"/>
      <c r="DV1075" s="4"/>
      <c r="DW1075" s="4"/>
      <c r="DX1075" s="4"/>
      <c r="DY1075" s="4"/>
      <c r="DZ1075" s="4"/>
      <c r="EA1075" s="4"/>
      <c r="EB1075" s="4"/>
      <c r="EC1075" s="4"/>
      <c r="ED1075" s="4"/>
      <c r="EE1075" s="4"/>
      <c r="EF1075" s="4"/>
      <c r="EG1075" s="5">
        <v>41058</v>
      </c>
      <c r="EH1075" s="5">
        <v>41068</v>
      </c>
      <c r="EI1075" s="4"/>
    </row>
    <row r="1076" spans="1:139" hidden="1" x14ac:dyDescent="0.2">
      <c r="A1076">
        <f>VLOOKUP(B1076,Sheet1!$A$1:$B$18,2,FALSE)</f>
        <v>0</v>
      </c>
      <c r="B1076" t="str">
        <f>LEFT(D1076,3)</f>
        <v>MNW</v>
      </c>
      <c r="C1076" s="2">
        <v>1075</v>
      </c>
      <c r="D1076" s="3" t="str">
        <f>HYPERLINK("https://sitebase.nzcomms.co.nz/spm/spmnominalview/MNW-039-004/","MNW-039-004")</f>
        <v>MNW-039-004</v>
      </c>
      <c r="E1076" s="4" t="s">
        <v>3293</v>
      </c>
      <c r="F1076" s="3" t="str">
        <f>HYPERLINK("https://sitebase.nzcomms.co.nz/spm/spmcandidateview/MNW-039-004-A/","MNW-039-004-A")</f>
        <v>MNW-039-004-A</v>
      </c>
      <c r="G1076" s="4" t="s">
        <v>3294</v>
      </c>
      <c r="H1076" s="4" t="s">
        <v>3288</v>
      </c>
      <c r="I1076" s="4">
        <v>6</v>
      </c>
      <c r="J1076" s="4" t="s">
        <v>180</v>
      </c>
      <c r="K1076" s="4" t="s">
        <v>141</v>
      </c>
      <c r="L1076" s="4" t="s">
        <v>142</v>
      </c>
      <c r="M1076" s="4" t="s">
        <v>190</v>
      </c>
      <c r="N1076" s="4" t="s">
        <v>142</v>
      </c>
      <c r="O1076" s="4"/>
      <c r="P1076" s="4" t="s">
        <v>169</v>
      </c>
      <c r="Q1076" s="4" t="s">
        <v>142</v>
      </c>
      <c r="R1076" s="4"/>
      <c r="S1076" s="4"/>
      <c r="T1076" s="4">
        <v>1</v>
      </c>
      <c r="U1076" s="4">
        <v>-40.3442528</v>
      </c>
      <c r="V1076" s="4">
        <v>175.33318739000001</v>
      </c>
      <c r="W1076" s="4"/>
      <c r="X1076" s="5">
        <v>40896</v>
      </c>
      <c r="Y1076" s="4"/>
      <c r="Z1076" s="4"/>
      <c r="AA1076" s="4" t="s">
        <v>171</v>
      </c>
      <c r="AB1076" s="3" t="str">
        <f>HYPERLINK("https://sitebase.nzcomms.co.nz/spm/spmcandidateview/MNW-042-001-B/","MNW-042-001-B")</f>
        <v>MNW-042-001-B</v>
      </c>
      <c r="AC1076" s="4" t="b">
        <v>0</v>
      </c>
      <c r="AD1076" s="4" t="b">
        <v>0</v>
      </c>
      <c r="AE1076" s="4"/>
      <c r="AF1076" s="4"/>
      <c r="AG1076" s="4" t="b">
        <v>0</v>
      </c>
      <c r="AH1076" s="4"/>
      <c r="AI1076" s="5">
        <v>40974</v>
      </c>
      <c r="AJ1076" s="5">
        <v>40974</v>
      </c>
      <c r="AK1076" s="5">
        <v>41025</v>
      </c>
      <c r="AL1076" s="5">
        <v>41025</v>
      </c>
      <c r="AM1076" s="5">
        <v>41089</v>
      </c>
      <c r="AN1076" s="5">
        <v>41095</v>
      </c>
      <c r="AO1076" s="4">
        <v>1</v>
      </c>
      <c r="AP1076" s="5">
        <v>41201</v>
      </c>
      <c r="AQ1076" s="5">
        <v>41095</v>
      </c>
      <c r="AR1076" s="5">
        <v>41201</v>
      </c>
      <c r="AS1076" s="5">
        <v>41198</v>
      </c>
      <c r="AT1076" s="5">
        <v>41201</v>
      </c>
      <c r="AU1076" s="5">
        <v>41198</v>
      </c>
      <c r="AV1076" s="4"/>
      <c r="AW1076" s="5">
        <v>41201</v>
      </c>
      <c r="AX1076" s="5">
        <v>41198</v>
      </c>
      <c r="AY1076" s="4" t="s">
        <v>369</v>
      </c>
      <c r="AZ1076" s="5">
        <v>41101</v>
      </c>
      <c r="BA1076" s="5">
        <v>41102</v>
      </c>
      <c r="BB1076" s="5">
        <v>41159</v>
      </c>
      <c r="BC1076" s="5">
        <v>41156</v>
      </c>
      <c r="BD1076" s="4">
        <v>1</v>
      </c>
      <c r="BE1076" s="5">
        <v>41159</v>
      </c>
      <c r="BF1076" s="5">
        <v>41156</v>
      </c>
      <c r="BG1076" s="4"/>
      <c r="BH1076" s="4"/>
      <c r="BI1076" s="5">
        <v>41163</v>
      </c>
      <c r="BJ1076" s="5">
        <v>41176</v>
      </c>
      <c r="BK1076" s="4">
        <v>1</v>
      </c>
      <c r="BL1076" s="4"/>
      <c r="BM1076" s="5">
        <v>41239</v>
      </c>
      <c r="BN1076" s="5">
        <v>41176</v>
      </c>
      <c r="BO1076" s="5">
        <v>41201</v>
      </c>
      <c r="BP1076" s="4"/>
      <c r="BQ1076" s="4"/>
      <c r="BR1076" s="4"/>
      <c r="BS1076" s="4"/>
      <c r="BT1076" s="5">
        <v>41212</v>
      </c>
      <c r="BU1076" s="5">
        <v>41212</v>
      </c>
      <c r="BV1076" s="5">
        <v>41222</v>
      </c>
      <c r="BW1076" s="5">
        <v>41218</v>
      </c>
      <c r="BX1076" s="5">
        <v>41212</v>
      </c>
      <c r="BY1076" s="5">
        <v>41258</v>
      </c>
      <c r="BZ1076" s="5">
        <v>41232</v>
      </c>
      <c r="CA1076" s="4"/>
      <c r="CB1076" s="4"/>
      <c r="CC1076" s="4"/>
      <c r="CD1076" s="4"/>
      <c r="CE1076" s="4"/>
      <c r="CF1076" s="4"/>
      <c r="CG1076" s="4"/>
      <c r="CH1076" s="4"/>
      <c r="CI1076" s="5">
        <v>41258</v>
      </c>
      <c r="CJ1076" s="5">
        <v>41288</v>
      </c>
      <c r="CK1076" s="5">
        <v>41261</v>
      </c>
      <c r="CL1076" s="5">
        <v>41305</v>
      </c>
      <c r="CM1076" s="5">
        <v>41264</v>
      </c>
      <c r="CN1076" s="5">
        <v>41446</v>
      </c>
      <c r="CO1076" s="5">
        <v>41390</v>
      </c>
      <c r="CP1076" s="4" t="s">
        <v>3295</v>
      </c>
      <c r="CQ1076" s="4" t="s">
        <v>230</v>
      </c>
      <c r="CR1076" s="5">
        <v>41258</v>
      </c>
      <c r="CS1076" s="5">
        <v>41155</v>
      </c>
      <c r="CT1076" s="5">
        <v>41155</v>
      </c>
      <c r="CU1076" s="5">
        <v>41178</v>
      </c>
      <c r="CV1076" s="5">
        <v>41201</v>
      </c>
      <c r="CW1076" s="5">
        <v>41178</v>
      </c>
      <c r="CX1076" s="5">
        <v>41201</v>
      </c>
      <c r="CY1076" s="5">
        <v>41233</v>
      </c>
      <c r="CZ1076" s="5">
        <v>41233</v>
      </c>
      <c r="DA1076" s="5">
        <v>41253</v>
      </c>
      <c r="DB1076" s="5">
        <v>41253</v>
      </c>
      <c r="DC1076" s="5">
        <v>41015</v>
      </c>
      <c r="DD1076" s="4" t="s">
        <v>586</v>
      </c>
      <c r="DE1076" s="4" t="s">
        <v>3272</v>
      </c>
      <c r="DF1076" s="4"/>
      <c r="DG1076" s="4"/>
      <c r="DH1076" s="4" t="s">
        <v>174</v>
      </c>
      <c r="DI1076" s="5">
        <v>41212</v>
      </c>
      <c r="DJ1076" s="4" t="b">
        <v>0</v>
      </c>
      <c r="DK1076" s="4"/>
      <c r="DL1076" s="4">
        <v>2708183</v>
      </c>
      <c r="DM1076" s="4">
        <v>6093127</v>
      </c>
      <c r="DN1076" s="4" t="s">
        <v>3296</v>
      </c>
      <c r="DO1076" s="4"/>
      <c r="DP1076" s="4"/>
      <c r="DQ1076" s="4" t="s">
        <v>148</v>
      </c>
      <c r="DR1076" s="4"/>
      <c r="DS1076" s="4"/>
      <c r="DT1076" s="4"/>
      <c r="DU1076" s="4"/>
      <c r="DV1076" s="4"/>
      <c r="DW1076" s="4"/>
      <c r="DX1076" s="4"/>
      <c r="DY1076" s="4"/>
      <c r="DZ1076" s="4"/>
      <c r="EA1076" s="4"/>
      <c r="EB1076" s="4"/>
      <c r="EC1076" s="4"/>
      <c r="ED1076" s="4"/>
      <c r="EE1076" s="4"/>
      <c r="EF1076" s="4"/>
      <c r="EG1076" s="5">
        <v>41263</v>
      </c>
      <c r="EH1076" s="5">
        <v>41263</v>
      </c>
      <c r="EI1076" s="4"/>
    </row>
    <row r="1077" spans="1:139" hidden="1" x14ac:dyDescent="0.2">
      <c r="A1077">
        <f>VLOOKUP(B1077,Sheet1!$A$1:$B$18,2,FALSE)</f>
        <v>0</v>
      </c>
      <c r="B1077" t="str">
        <f>LEFT(D1077,3)</f>
        <v>MNW</v>
      </c>
      <c r="C1077" s="2">
        <v>1076</v>
      </c>
      <c r="D1077" s="3" t="str">
        <f>HYPERLINK("https://sitebase.nzcomms.co.nz/spm/spmnominalview/MNW-039-005/","MNW-039-005")</f>
        <v>MNW-039-005</v>
      </c>
      <c r="E1077" s="4" t="s">
        <v>3297</v>
      </c>
      <c r="F1077" s="3" t="str">
        <f>HYPERLINK("https://sitebase.nzcomms.co.nz/spm/spmcandidateview/MNW-039-005-A/","MNW-039-005-A")</f>
        <v>MNW-039-005-A</v>
      </c>
      <c r="G1077" s="4" t="s">
        <v>3298</v>
      </c>
      <c r="H1077" s="4" t="s">
        <v>3288</v>
      </c>
      <c r="I1077" s="4">
        <v>6</v>
      </c>
      <c r="J1077" s="4" t="s">
        <v>180</v>
      </c>
      <c r="K1077" s="4" t="s">
        <v>141</v>
      </c>
      <c r="L1077" s="4" t="s">
        <v>142</v>
      </c>
      <c r="M1077" s="4" t="s">
        <v>190</v>
      </c>
      <c r="N1077" s="4" t="s">
        <v>142</v>
      </c>
      <c r="O1077" s="4"/>
      <c r="P1077" s="4" t="s">
        <v>169</v>
      </c>
      <c r="Q1077" s="4" t="s">
        <v>142</v>
      </c>
      <c r="R1077" s="4"/>
      <c r="S1077" s="4"/>
      <c r="T1077" s="4">
        <v>2</v>
      </c>
      <c r="U1077" s="4">
        <v>-40.190284669999997</v>
      </c>
      <c r="V1077" s="4">
        <v>175.39207300000001</v>
      </c>
      <c r="W1077" s="4"/>
      <c r="X1077" s="5">
        <v>40933</v>
      </c>
      <c r="Y1077" s="4"/>
      <c r="Z1077" s="4"/>
      <c r="AA1077" s="4" t="s">
        <v>171</v>
      </c>
      <c r="AB1077" s="3" t="str">
        <f>HYPERLINK("https://sitebase.nzcomms.co.nz/spm/spmcandidateview/MNW-039-003-A/","MNW-039-003-A")</f>
        <v>MNW-039-003-A</v>
      </c>
      <c r="AC1077" s="4" t="b">
        <v>0</v>
      </c>
      <c r="AD1077" s="4" t="b">
        <v>0</v>
      </c>
      <c r="AE1077" s="4"/>
      <c r="AF1077" s="4"/>
      <c r="AG1077" s="4" t="b">
        <v>0</v>
      </c>
      <c r="AH1077" s="4"/>
      <c r="AI1077" s="5">
        <v>40974</v>
      </c>
      <c r="AJ1077" s="5">
        <v>40974</v>
      </c>
      <c r="AK1077" s="5">
        <v>41025</v>
      </c>
      <c r="AL1077" s="5">
        <v>41025</v>
      </c>
      <c r="AM1077" s="5">
        <v>41089</v>
      </c>
      <c r="AN1077" s="5">
        <v>41096</v>
      </c>
      <c r="AO1077" s="4">
        <v>1</v>
      </c>
      <c r="AP1077" s="5">
        <v>41089</v>
      </c>
      <c r="AQ1077" s="5">
        <v>41096</v>
      </c>
      <c r="AR1077" s="5">
        <v>41073</v>
      </c>
      <c r="AS1077" s="5">
        <v>41087</v>
      </c>
      <c r="AT1077" s="5">
        <v>41229</v>
      </c>
      <c r="AU1077" s="5">
        <v>41198</v>
      </c>
      <c r="AV1077" s="4"/>
      <c r="AW1077" s="5">
        <v>41229</v>
      </c>
      <c r="AX1077" s="5">
        <v>41198</v>
      </c>
      <c r="AY1077" s="4" t="s">
        <v>247</v>
      </c>
      <c r="AZ1077" s="5">
        <v>41101</v>
      </c>
      <c r="BA1077" s="5">
        <v>41101</v>
      </c>
      <c r="BB1077" s="5">
        <v>41159</v>
      </c>
      <c r="BC1077" s="5">
        <v>41159</v>
      </c>
      <c r="BD1077" s="4">
        <v>1</v>
      </c>
      <c r="BE1077" s="5">
        <v>41159</v>
      </c>
      <c r="BF1077" s="5">
        <v>41159</v>
      </c>
      <c r="BG1077" s="4"/>
      <c r="BH1077" s="4"/>
      <c r="BI1077" s="5">
        <v>41163</v>
      </c>
      <c r="BJ1077" s="5">
        <v>41162</v>
      </c>
      <c r="BK1077" s="4">
        <v>1</v>
      </c>
      <c r="BL1077" s="4"/>
      <c r="BM1077" s="5">
        <v>41163</v>
      </c>
      <c r="BN1077" s="5">
        <v>41162</v>
      </c>
      <c r="BO1077" s="5">
        <v>41183</v>
      </c>
      <c r="BP1077" s="4"/>
      <c r="BQ1077" s="4"/>
      <c r="BR1077" s="4"/>
      <c r="BS1077" s="4"/>
      <c r="BT1077" s="5">
        <v>41246</v>
      </c>
      <c r="BU1077" s="5">
        <v>41246</v>
      </c>
      <c r="BV1077" s="5">
        <v>41247</v>
      </c>
      <c r="BW1077" s="5">
        <v>41248</v>
      </c>
      <c r="BX1077" s="5">
        <v>41243</v>
      </c>
      <c r="BY1077" s="5">
        <v>41258</v>
      </c>
      <c r="BZ1077" s="5">
        <v>41258</v>
      </c>
      <c r="CA1077" s="4"/>
      <c r="CB1077" s="4"/>
      <c r="CC1077" s="4"/>
      <c r="CD1077" s="4"/>
      <c r="CE1077" s="4"/>
      <c r="CF1077" s="4"/>
      <c r="CG1077" s="4"/>
      <c r="CH1077" s="4"/>
      <c r="CI1077" s="5">
        <v>41258</v>
      </c>
      <c r="CJ1077" s="5">
        <v>41288</v>
      </c>
      <c r="CK1077" s="5">
        <v>41261</v>
      </c>
      <c r="CL1077" s="5">
        <v>41297</v>
      </c>
      <c r="CM1077" s="5">
        <v>41297</v>
      </c>
      <c r="CN1077" s="5">
        <v>41533</v>
      </c>
      <c r="CO1077" s="5">
        <v>41498</v>
      </c>
      <c r="CP1077" s="4" t="s">
        <v>3295</v>
      </c>
      <c r="CQ1077" s="4" t="s">
        <v>230</v>
      </c>
      <c r="CR1077" s="5">
        <v>41258</v>
      </c>
      <c r="CS1077" s="5">
        <v>41155</v>
      </c>
      <c r="CT1077" s="5">
        <v>41155</v>
      </c>
      <c r="CU1077" s="5">
        <v>41174</v>
      </c>
      <c r="CV1077" s="5">
        <v>41183</v>
      </c>
      <c r="CW1077" s="5">
        <v>41181</v>
      </c>
      <c r="CX1077" s="5">
        <v>41183</v>
      </c>
      <c r="CY1077" s="5">
        <v>41291</v>
      </c>
      <c r="CZ1077" s="5">
        <v>41291</v>
      </c>
      <c r="DA1077" s="5">
        <v>41258</v>
      </c>
      <c r="DB1077" s="5">
        <v>41258</v>
      </c>
      <c r="DC1077" s="5">
        <v>41015</v>
      </c>
      <c r="DD1077" s="4" t="s">
        <v>586</v>
      </c>
      <c r="DE1077" s="4" t="s">
        <v>3272</v>
      </c>
      <c r="DF1077" s="4"/>
      <c r="DG1077" s="4"/>
      <c r="DH1077" s="4" t="s">
        <v>174</v>
      </c>
      <c r="DI1077" s="5">
        <v>41246</v>
      </c>
      <c r="DJ1077" s="4" t="b">
        <v>0</v>
      </c>
      <c r="DK1077" s="4"/>
      <c r="DL1077" s="4">
        <v>2713648</v>
      </c>
      <c r="DM1077" s="4">
        <v>6110081</v>
      </c>
      <c r="DN1077" s="4" t="s">
        <v>3299</v>
      </c>
      <c r="DO1077" s="4"/>
      <c r="DP1077" s="4"/>
      <c r="DQ1077" s="4" t="s">
        <v>148</v>
      </c>
      <c r="DR1077" s="4"/>
      <c r="DS1077" s="4"/>
      <c r="DT1077" s="4"/>
      <c r="DU1077" s="4"/>
      <c r="DV1077" s="4"/>
      <c r="DW1077" s="4"/>
      <c r="DX1077" s="4"/>
      <c r="DY1077" s="4"/>
      <c r="DZ1077" s="4"/>
      <c r="EA1077" s="4"/>
      <c r="EB1077" s="4"/>
      <c r="EC1077" s="4"/>
      <c r="ED1077" s="4"/>
      <c r="EE1077" s="4"/>
      <c r="EF1077" s="4"/>
      <c r="EG1077" s="5">
        <v>41263</v>
      </c>
      <c r="EH1077" s="5">
        <v>41263</v>
      </c>
      <c r="EI1077" s="4"/>
    </row>
    <row r="1078" spans="1:139" hidden="1" x14ac:dyDescent="0.2">
      <c r="A1078">
        <f>VLOOKUP(B1078,Sheet1!$A$1:$B$18,2,FALSE)</f>
        <v>0</v>
      </c>
      <c r="B1078" t="str">
        <f>LEFT(D1078,3)</f>
        <v>MNW</v>
      </c>
      <c r="C1078" s="2">
        <v>1077</v>
      </c>
      <c r="D1078" s="3" t="str">
        <f>HYPERLINK("https://sitebase.nzcomms.co.nz/spm/spmnominalview/MNW-039-006/","MNW-039-006")</f>
        <v>MNW-039-006</v>
      </c>
      <c r="E1078" s="4"/>
      <c r="F1078" s="4"/>
      <c r="G1078" s="4"/>
      <c r="H1078" s="4" t="s">
        <v>3288</v>
      </c>
      <c r="I1078" s="4"/>
      <c r="J1078" s="4" t="s">
        <v>196</v>
      </c>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4"/>
      <c r="CW1078" s="4"/>
      <c r="CX1078" s="4"/>
      <c r="CY1078" s="4"/>
      <c r="CZ1078" s="4"/>
      <c r="DA1078" s="4"/>
      <c r="DB1078" s="4"/>
      <c r="DC1078" s="4"/>
      <c r="DD1078" s="4"/>
      <c r="DE1078" s="4"/>
      <c r="DF1078" s="4"/>
      <c r="DG1078" s="4"/>
      <c r="DH1078" s="4"/>
      <c r="DI1078" s="4"/>
      <c r="DJ1078" s="4"/>
      <c r="DK1078" s="4"/>
      <c r="DL1078" s="4"/>
      <c r="DM1078" s="4"/>
      <c r="DN1078" s="4"/>
      <c r="DO1078" s="4"/>
      <c r="DP1078" s="4"/>
      <c r="DQ1078" s="4"/>
      <c r="DR1078" s="4"/>
      <c r="DS1078" s="4"/>
      <c r="DT1078" s="4"/>
      <c r="DU1078" s="4"/>
      <c r="DV1078" s="4"/>
      <c r="DW1078" s="4"/>
      <c r="DX1078" s="4"/>
      <c r="DY1078" s="4"/>
      <c r="DZ1078" s="4"/>
      <c r="EA1078" s="4"/>
      <c r="EB1078" s="4"/>
      <c r="EC1078" s="4"/>
      <c r="ED1078" s="4"/>
      <c r="EE1078" s="4"/>
      <c r="EF1078" s="4"/>
      <c r="EG1078" s="4"/>
      <c r="EH1078" s="4"/>
      <c r="EI1078" s="4"/>
    </row>
    <row r="1079" spans="1:139" hidden="1" x14ac:dyDescent="0.2">
      <c r="A1079">
        <f>VLOOKUP(B1079,Sheet1!$A$1:$B$18,2,FALSE)</f>
        <v>0</v>
      </c>
      <c r="B1079" t="str">
        <f>LEFT(D1079,3)</f>
        <v>MNW</v>
      </c>
      <c r="C1079" s="2">
        <v>1078</v>
      </c>
      <c r="D1079" s="3" t="str">
        <f>HYPERLINK("https://sitebase.nzcomms.co.nz/spm/spmnominalview/MNW-039-007/","MNW-039-007")</f>
        <v>MNW-039-007</v>
      </c>
      <c r="E1079" s="4"/>
      <c r="F1079" s="4"/>
      <c r="G1079" s="4"/>
      <c r="H1079" s="4" t="s">
        <v>3288</v>
      </c>
      <c r="I1079" s="4"/>
      <c r="J1079" s="4" t="s">
        <v>196</v>
      </c>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4"/>
      <c r="CW1079" s="4"/>
      <c r="CX1079" s="4"/>
      <c r="CY1079" s="4"/>
      <c r="CZ1079" s="4"/>
      <c r="DA1079" s="4"/>
      <c r="DB1079" s="4"/>
      <c r="DC1079" s="4"/>
      <c r="DD1079" s="4"/>
      <c r="DE1079" s="4"/>
      <c r="DF1079" s="4"/>
      <c r="DG1079" s="4"/>
      <c r="DH1079" s="4"/>
      <c r="DI1079" s="4"/>
      <c r="DJ1079" s="4"/>
      <c r="DK1079" s="4"/>
      <c r="DL1079" s="4"/>
      <c r="DM1079" s="4"/>
      <c r="DN1079" s="4"/>
      <c r="DO1079" s="4"/>
      <c r="DP1079" s="4"/>
      <c r="DQ1079" s="4"/>
      <c r="DR1079" s="4"/>
      <c r="DS1079" s="4"/>
      <c r="DT1079" s="4"/>
      <c r="DU1079" s="4"/>
      <c r="DV1079" s="4"/>
      <c r="DW1079" s="4"/>
      <c r="DX1079" s="4"/>
      <c r="DY1079" s="4"/>
      <c r="DZ1079" s="4"/>
      <c r="EA1079" s="4"/>
      <c r="EB1079" s="4"/>
      <c r="EC1079" s="4"/>
      <c r="ED1079" s="4"/>
      <c r="EE1079" s="4"/>
      <c r="EF1079" s="4"/>
      <c r="EG1079" s="4"/>
      <c r="EH1079" s="4"/>
      <c r="EI1079" s="4"/>
    </row>
    <row r="1080" spans="1:139" hidden="1" x14ac:dyDescent="0.2">
      <c r="A1080">
        <f>VLOOKUP(B1080,Sheet1!$A$1:$B$18,2,FALSE)</f>
        <v>0</v>
      </c>
      <c r="B1080" t="str">
        <f>LEFT(D1080,3)</f>
        <v>MNW</v>
      </c>
      <c r="C1080" s="2">
        <v>1079</v>
      </c>
      <c r="D1080" s="3" t="str">
        <f>HYPERLINK("https://sitebase.nzcomms.co.nz/spm/spmnominalview/MNW-039-008/","MNW-039-008")</f>
        <v>MNW-039-008</v>
      </c>
      <c r="E1080" s="4" t="s">
        <v>3300</v>
      </c>
      <c r="F1080" s="3" t="str">
        <f>HYPERLINK("https://sitebase.nzcomms.co.nz/spm/spmcandidateview/MNW-039-008-B/","MNW-039-008-B")</f>
        <v>MNW-039-008-B</v>
      </c>
      <c r="G1080" s="4" t="s">
        <v>3301</v>
      </c>
      <c r="H1080" s="4" t="s">
        <v>3288</v>
      </c>
      <c r="I1080" s="4">
        <v>24</v>
      </c>
      <c r="J1080" s="4" t="s">
        <v>570</v>
      </c>
      <c r="K1080" s="4" t="s">
        <v>141</v>
      </c>
      <c r="L1080" s="4" t="s">
        <v>150</v>
      </c>
      <c r="M1080" s="4" t="s">
        <v>571</v>
      </c>
      <c r="N1080" s="4" t="s">
        <v>269</v>
      </c>
      <c r="O1080" s="4"/>
      <c r="P1080" s="4" t="s">
        <v>169</v>
      </c>
      <c r="Q1080" s="4" t="s">
        <v>192</v>
      </c>
      <c r="R1080" s="4">
        <v>21</v>
      </c>
      <c r="S1080" s="4">
        <v>23</v>
      </c>
      <c r="T1080" s="4"/>
      <c r="U1080" s="4">
        <v>-40.226529450000001</v>
      </c>
      <c r="V1080" s="4">
        <v>175.57051007000001</v>
      </c>
      <c r="W1080" s="4"/>
      <c r="X1080" s="5">
        <v>42117</v>
      </c>
      <c r="Y1080" s="4"/>
      <c r="Z1080" s="5">
        <v>42117</v>
      </c>
      <c r="AA1080" s="4" t="s">
        <v>152</v>
      </c>
      <c r="AB1080" s="3" t="str">
        <f>HYPERLINK("https://sitebase.nzcomms.co.nz/spm/spmcandidateview/MNW-040-003-B/","MNW-040-003-B")</f>
        <v>MNW-040-003-B</v>
      </c>
      <c r="AC1080" s="4" t="b">
        <v>0</v>
      </c>
      <c r="AD1080" s="4" t="b">
        <v>0</v>
      </c>
      <c r="AE1080" s="4"/>
      <c r="AF1080" s="4"/>
      <c r="AG1080" s="4" t="b">
        <v>0</v>
      </c>
      <c r="AH1080" s="4"/>
      <c r="AI1080" s="5">
        <v>41879</v>
      </c>
      <c r="AJ1080" s="5">
        <v>41879</v>
      </c>
      <c r="AK1080" s="5">
        <v>41898</v>
      </c>
      <c r="AL1080" s="5">
        <v>41899</v>
      </c>
      <c r="AM1080" s="5">
        <v>41956</v>
      </c>
      <c r="AN1080" s="5">
        <v>41957</v>
      </c>
      <c r="AO1080" s="4">
        <v>2</v>
      </c>
      <c r="AP1080" s="5">
        <v>41956</v>
      </c>
      <c r="AQ1080" s="5">
        <v>42081</v>
      </c>
      <c r="AR1080" s="5">
        <v>41914</v>
      </c>
      <c r="AS1080" s="5">
        <v>41914</v>
      </c>
      <c r="AT1080" s="5">
        <v>42039</v>
      </c>
      <c r="AU1080" s="5">
        <v>42016</v>
      </c>
      <c r="AV1080" s="4">
        <v>1</v>
      </c>
      <c r="AW1080" s="5">
        <v>42058</v>
      </c>
      <c r="AX1080" s="5">
        <v>42074</v>
      </c>
      <c r="AY1080" s="4" t="s">
        <v>247</v>
      </c>
      <c r="AZ1080" s="5">
        <v>41970</v>
      </c>
      <c r="BA1080" s="5">
        <v>41969</v>
      </c>
      <c r="BB1080" s="5">
        <v>42039</v>
      </c>
      <c r="BC1080" s="5">
        <v>41985</v>
      </c>
      <c r="BD1080" s="4">
        <v>1</v>
      </c>
      <c r="BE1080" s="5">
        <v>42031</v>
      </c>
      <c r="BF1080" s="5">
        <v>41988</v>
      </c>
      <c r="BG1080" s="5">
        <v>42073</v>
      </c>
      <c r="BH1080" s="5">
        <v>42073</v>
      </c>
      <c r="BI1080" s="5">
        <v>42124</v>
      </c>
      <c r="BJ1080" s="5">
        <v>42128</v>
      </c>
      <c r="BK1080" s="4">
        <v>1</v>
      </c>
      <c r="BL1080" s="4"/>
      <c r="BM1080" s="5">
        <v>42130</v>
      </c>
      <c r="BN1080" s="5">
        <v>42128</v>
      </c>
      <c r="BO1080" s="4"/>
      <c r="BP1080" s="4"/>
      <c r="BQ1080" s="4"/>
      <c r="BR1080" s="5">
        <v>42174</v>
      </c>
      <c r="BS1080" s="4"/>
      <c r="BT1080" s="5">
        <v>42186</v>
      </c>
      <c r="BU1080" s="5">
        <v>42177</v>
      </c>
      <c r="BV1080" s="5">
        <v>42223</v>
      </c>
      <c r="BW1080" s="5">
        <v>42228</v>
      </c>
      <c r="BX1080" s="5">
        <v>42215</v>
      </c>
      <c r="BY1080" s="5">
        <v>42222</v>
      </c>
      <c r="BZ1080" s="5">
        <v>42229</v>
      </c>
      <c r="CA1080" s="5">
        <v>42234</v>
      </c>
      <c r="CB1080" s="5">
        <v>42241</v>
      </c>
      <c r="CC1080" s="5">
        <v>42213</v>
      </c>
      <c r="CD1080" s="5">
        <v>42213</v>
      </c>
      <c r="CE1080" s="5">
        <v>42213</v>
      </c>
      <c r="CF1080" s="5">
        <v>42213</v>
      </c>
      <c r="CG1080" s="5">
        <v>42213</v>
      </c>
      <c r="CH1080" s="5">
        <v>42213</v>
      </c>
      <c r="CI1080" s="4"/>
      <c r="CJ1080" s="5">
        <v>42285</v>
      </c>
      <c r="CK1080" s="5">
        <v>42284</v>
      </c>
      <c r="CL1080" s="4"/>
      <c r="CM1080" s="4"/>
      <c r="CN1080" s="4"/>
      <c r="CO1080" s="4"/>
      <c r="CP1080" s="4" t="s">
        <v>3302</v>
      </c>
      <c r="CQ1080" s="4"/>
      <c r="CR1080" s="4"/>
      <c r="CS1080" s="4"/>
      <c r="CT1080" s="4"/>
      <c r="CU1080" s="4"/>
      <c r="CV1080" s="4"/>
      <c r="CW1080" s="4"/>
      <c r="CX1080" s="4"/>
      <c r="CY1080" s="4"/>
      <c r="CZ1080" s="4"/>
      <c r="DA1080" s="5">
        <v>42271</v>
      </c>
      <c r="DB1080" s="5">
        <v>42264</v>
      </c>
      <c r="DC1080" s="4"/>
      <c r="DD1080" s="4" t="s">
        <v>586</v>
      </c>
      <c r="DE1080" s="4"/>
      <c r="DF1080" s="5">
        <v>42213</v>
      </c>
      <c r="DG1080" s="5">
        <v>42213</v>
      </c>
      <c r="DH1080" s="4" t="s">
        <v>174</v>
      </c>
      <c r="DI1080" s="5">
        <v>42215</v>
      </c>
      <c r="DJ1080" s="4" t="b">
        <v>1</v>
      </c>
      <c r="DK1080" s="5">
        <v>42124</v>
      </c>
      <c r="DL1080" s="4">
        <v>2728718</v>
      </c>
      <c r="DM1080" s="4">
        <v>6105631</v>
      </c>
      <c r="DN1080" s="4" t="s">
        <v>3303</v>
      </c>
      <c r="DO1080" s="4" t="s">
        <v>3304</v>
      </c>
      <c r="DP1080" s="4"/>
      <c r="DQ1080" s="4" t="s">
        <v>148</v>
      </c>
      <c r="DR1080" s="4"/>
      <c r="DS1080" s="4"/>
      <c r="DT1080" s="5">
        <v>42284</v>
      </c>
      <c r="DU1080" s="4" t="s">
        <v>577</v>
      </c>
      <c r="DV1080" s="4"/>
      <c r="DW1080" s="5">
        <v>42082</v>
      </c>
      <c r="DX1080" s="5">
        <v>42143</v>
      </c>
      <c r="DY1080" s="5">
        <v>42130</v>
      </c>
      <c r="DZ1080" s="5">
        <v>42130</v>
      </c>
      <c r="EA1080" s="4"/>
      <c r="EB1080" s="4"/>
      <c r="EC1080" s="4"/>
      <c r="ED1080" s="4"/>
      <c r="EE1080" s="5">
        <v>42167</v>
      </c>
      <c r="EF1080" s="5">
        <v>42167</v>
      </c>
      <c r="EG1080" s="4"/>
      <c r="EH1080" s="4"/>
      <c r="EI1080" s="5">
        <v>41899</v>
      </c>
    </row>
    <row r="1081" spans="1:139" hidden="1" x14ac:dyDescent="0.2">
      <c r="A1081">
        <f>VLOOKUP(B1081,Sheet1!$A$1:$B$18,2,FALSE)</f>
        <v>0</v>
      </c>
      <c r="B1081" t="str">
        <f>LEFT(D1081,3)</f>
        <v>MNW</v>
      </c>
      <c r="C1081" s="2">
        <v>1080</v>
      </c>
      <c r="D1081" s="3" t="str">
        <f>HYPERLINK("https://sitebase.nzcomms.co.nz/spm/spmnominalview/MNW-039-009/","MNW-039-009")</f>
        <v>MNW-039-009</v>
      </c>
      <c r="E1081" s="4" t="s">
        <v>3305</v>
      </c>
      <c r="F1081" s="3" t="str">
        <f>HYPERLINK("https://sitebase.nzcomms.co.nz/spm/spmcandidateview/MNW-039-009-A/","MNW-039-009-A")</f>
        <v>MNW-039-009-A</v>
      </c>
      <c r="G1081" s="4" t="s">
        <v>3306</v>
      </c>
      <c r="H1081" s="4" t="s">
        <v>3288</v>
      </c>
      <c r="I1081" s="4">
        <v>25</v>
      </c>
      <c r="J1081" s="4" t="s">
        <v>331</v>
      </c>
      <c r="K1081" s="4" t="s">
        <v>141</v>
      </c>
      <c r="L1081" s="4" t="s">
        <v>722</v>
      </c>
      <c r="M1081" s="4" t="s">
        <v>166</v>
      </c>
      <c r="N1081" s="4" t="s">
        <v>1689</v>
      </c>
      <c r="O1081" s="4"/>
      <c r="P1081" s="4" t="s">
        <v>169</v>
      </c>
      <c r="Q1081" s="4" t="s">
        <v>142</v>
      </c>
      <c r="R1081" s="4">
        <v>36</v>
      </c>
      <c r="S1081" s="4">
        <v>40</v>
      </c>
      <c r="T1081" s="4"/>
      <c r="U1081" s="4">
        <v>-40.368228690000002</v>
      </c>
      <c r="V1081" s="4">
        <v>175.24949061999999</v>
      </c>
      <c r="W1081" s="4"/>
      <c r="X1081" s="4"/>
      <c r="Y1081" s="4"/>
      <c r="Z1081" s="4"/>
      <c r="AA1081" s="4"/>
      <c r="AB1081" s="4"/>
      <c r="AC1081" s="4" t="b">
        <v>0</v>
      </c>
      <c r="AD1081" s="4" t="b">
        <v>0</v>
      </c>
      <c r="AE1081" s="4"/>
      <c r="AF1081" s="4"/>
      <c r="AG1081" s="4" t="b">
        <v>0</v>
      </c>
      <c r="AH1081" s="4"/>
      <c r="AI1081" s="5">
        <v>42258</v>
      </c>
      <c r="AJ1081" s="5">
        <v>42256</v>
      </c>
      <c r="AK1081" s="5">
        <v>42296</v>
      </c>
      <c r="AL1081" s="5">
        <v>42298</v>
      </c>
      <c r="AM1081" s="5">
        <v>42297</v>
      </c>
      <c r="AN1081" s="5">
        <v>42310</v>
      </c>
      <c r="AO1081" s="4">
        <v>1</v>
      </c>
      <c r="AP1081" s="5">
        <v>42310</v>
      </c>
      <c r="AQ1081" s="5">
        <v>42310</v>
      </c>
      <c r="AR1081" s="5">
        <v>42340</v>
      </c>
      <c r="AS1081" s="5">
        <v>42340</v>
      </c>
      <c r="AT1081" s="5">
        <v>42341</v>
      </c>
      <c r="AU1081" s="5">
        <v>42340</v>
      </c>
      <c r="AV1081" s="4"/>
      <c r="AW1081" s="5">
        <v>42405</v>
      </c>
      <c r="AX1081" s="4"/>
      <c r="AY1081" s="4" t="s">
        <v>172</v>
      </c>
      <c r="AZ1081" s="5">
        <v>42341</v>
      </c>
      <c r="BA1081" s="5">
        <v>42346</v>
      </c>
      <c r="BB1081" s="5">
        <v>42342</v>
      </c>
      <c r="BC1081" s="5">
        <v>42356</v>
      </c>
      <c r="BD1081" s="4">
        <v>1</v>
      </c>
      <c r="BE1081" s="5">
        <v>42345</v>
      </c>
      <c r="BF1081" s="5">
        <v>42346</v>
      </c>
      <c r="BG1081" s="5">
        <v>42325</v>
      </c>
      <c r="BH1081" s="5">
        <v>42325</v>
      </c>
      <c r="BI1081" s="5">
        <v>42327</v>
      </c>
      <c r="BJ1081" s="5">
        <v>42345</v>
      </c>
      <c r="BK1081" s="4">
        <v>1</v>
      </c>
      <c r="BL1081" s="4"/>
      <c r="BM1081" s="5">
        <v>42328</v>
      </c>
      <c r="BN1081" s="5">
        <v>42345</v>
      </c>
      <c r="BO1081" s="4"/>
      <c r="BP1081" s="4"/>
      <c r="BQ1081" s="4"/>
      <c r="BR1081" s="4"/>
      <c r="BS1081" s="4"/>
      <c r="BT1081" s="5">
        <v>42443</v>
      </c>
      <c r="BU1081" s="4"/>
      <c r="BV1081" s="5">
        <v>42447</v>
      </c>
      <c r="BW1081" s="4"/>
      <c r="BX1081" s="4"/>
      <c r="BY1081" s="5">
        <v>42447</v>
      </c>
      <c r="BZ1081" s="4"/>
      <c r="CA1081" s="5">
        <v>42433</v>
      </c>
      <c r="CB1081" s="4"/>
      <c r="CC1081" s="5">
        <v>42438</v>
      </c>
      <c r="CD1081" s="4"/>
      <c r="CE1081" s="5">
        <v>42430</v>
      </c>
      <c r="CF1081" s="4"/>
      <c r="CG1081" s="5">
        <v>42431</v>
      </c>
      <c r="CH1081" s="4"/>
      <c r="CI1081" s="4"/>
      <c r="CJ1081" s="5">
        <v>42460</v>
      </c>
      <c r="CK1081" s="4"/>
      <c r="CL1081" s="4"/>
      <c r="CM1081" s="4"/>
      <c r="CN1081" s="4"/>
      <c r="CO1081" s="4"/>
      <c r="CP1081" s="4" t="s">
        <v>3307</v>
      </c>
      <c r="CQ1081" s="4" t="s">
        <v>230</v>
      </c>
      <c r="CR1081" s="4"/>
      <c r="CS1081" s="4"/>
      <c r="CT1081" s="4"/>
      <c r="CU1081" s="4"/>
      <c r="CV1081" s="4"/>
      <c r="CW1081" s="4"/>
      <c r="CX1081" s="4"/>
      <c r="CY1081" s="4"/>
      <c r="CZ1081" s="4"/>
      <c r="DA1081" s="5">
        <v>42454</v>
      </c>
      <c r="DB1081" s="4"/>
      <c r="DC1081" s="4"/>
      <c r="DD1081" s="4"/>
      <c r="DE1081" s="4"/>
      <c r="DF1081" s="5">
        <v>42444</v>
      </c>
      <c r="DG1081" s="4"/>
      <c r="DH1081" s="4" t="s">
        <v>174</v>
      </c>
      <c r="DI1081" s="5">
        <v>42443</v>
      </c>
      <c r="DJ1081" s="4" t="b">
        <v>0</v>
      </c>
      <c r="DK1081" s="4"/>
      <c r="DL1081" s="4">
        <v>2701007</v>
      </c>
      <c r="DM1081" s="4">
        <v>6090651</v>
      </c>
      <c r="DN1081" s="4" t="s">
        <v>3308</v>
      </c>
      <c r="DO1081" s="4"/>
      <c r="DP1081" s="4" t="s">
        <v>1686</v>
      </c>
      <c r="DQ1081" s="4" t="s">
        <v>148</v>
      </c>
      <c r="DR1081" s="4"/>
      <c r="DS1081" s="4"/>
      <c r="DT1081" s="4"/>
      <c r="DU1081" s="4" t="s">
        <v>178</v>
      </c>
      <c r="DV1081" s="4"/>
      <c r="DW1081" s="4"/>
      <c r="DX1081" s="5">
        <v>42410</v>
      </c>
      <c r="DY1081" s="5">
        <v>42328</v>
      </c>
      <c r="DZ1081" s="5">
        <v>42348</v>
      </c>
      <c r="EA1081" s="5">
        <v>42292</v>
      </c>
      <c r="EB1081" s="5">
        <v>42293</v>
      </c>
      <c r="EC1081" s="5">
        <v>42319</v>
      </c>
      <c r="ED1081" s="5">
        <v>42319</v>
      </c>
      <c r="EE1081" s="5">
        <v>42361</v>
      </c>
      <c r="EF1081" s="4"/>
      <c r="EG1081" s="4"/>
      <c r="EH1081" s="4"/>
      <c r="EI1081" s="5">
        <v>42306</v>
      </c>
    </row>
    <row r="1082" spans="1:139" hidden="1" x14ac:dyDescent="0.2">
      <c r="A1082">
        <f>VLOOKUP(B1082,Sheet1!$A$1:$B$18,2,FALSE)</f>
        <v>0</v>
      </c>
      <c r="B1082" t="str">
        <f>LEFT(D1082,3)</f>
        <v>MNW</v>
      </c>
      <c r="C1082" s="2">
        <v>1081</v>
      </c>
      <c r="D1082" s="3" t="str">
        <f>HYPERLINK("https://sitebase.nzcomms.co.nz/spm/spmnominalview/MNW-039-010/","MNW-039-010")</f>
        <v>MNW-039-010</v>
      </c>
      <c r="E1082" s="4" t="s">
        <v>3309</v>
      </c>
      <c r="F1082" s="4"/>
      <c r="G1082" s="4"/>
      <c r="H1082" s="4" t="s">
        <v>3288</v>
      </c>
      <c r="I1082" s="4"/>
      <c r="J1082" s="4" t="s">
        <v>196</v>
      </c>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t="b">
        <v>0</v>
      </c>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4"/>
      <c r="BS1082" s="4"/>
      <c r="BT1082" s="4"/>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4"/>
      <c r="CW1082" s="4"/>
      <c r="CX1082" s="4"/>
      <c r="CY1082" s="4"/>
      <c r="CZ1082" s="4"/>
      <c r="DA1082" s="4"/>
      <c r="DB1082" s="4"/>
      <c r="DC1082" s="4"/>
      <c r="DD1082" s="4"/>
      <c r="DE1082" s="4"/>
      <c r="DF1082" s="4"/>
      <c r="DG1082" s="4"/>
      <c r="DH1082" s="4"/>
      <c r="DI1082" s="4"/>
      <c r="DJ1082" s="4"/>
      <c r="DK1082" s="4"/>
      <c r="DL1082" s="4"/>
      <c r="DM1082" s="4"/>
      <c r="DN1082" s="4"/>
      <c r="DO1082" s="4"/>
      <c r="DP1082" s="4"/>
      <c r="DQ1082" s="4"/>
      <c r="DR1082" s="4"/>
      <c r="DS1082" s="4"/>
      <c r="DT1082" s="4"/>
      <c r="DU1082" s="4"/>
      <c r="DV1082" s="4"/>
      <c r="DW1082" s="4"/>
      <c r="DX1082" s="4"/>
      <c r="DY1082" s="4"/>
      <c r="DZ1082" s="4"/>
      <c r="EA1082" s="4"/>
      <c r="EB1082" s="4"/>
      <c r="EC1082" s="4"/>
      <c r="ED1082" s="4"/>
      <c r="EE1082" s="4"/>
      <c r="EF1082" s="4"/>
      <c r="EG1082" s="4"/>
      <c r="EH1082" s="4"/>
      <c r="EI1082" s="4"/>
    </row>
    <row r="1083" spans="1:139" hidden="1" x14ac:dyDescent="0.2">
      <c r="A1083">
        <f>VLOOKUP(B1083,Sheet1!$A$1:$B$18,2,FALSE)</f>
        <v>0</v>
      </c>
      <c r="B1083" t="str">
        <f>LEFT(D1083,3)</f>
        <v>MNW</v>
      </c>
      <c r="C1083" s="2">
        <v>1082</v>
      </c>
      <c r="D1083" s="3" t="str">
        <f>HYPERLINK("https://sitebase.nzcomms.co.nz/spm/spmnominalview/MNW-040-001/","MNW-040-001")</f>
        <v>MNW-040-001</v>
      </c>
      <c r="E1083" s="4" t="s">
        <v>3310</v>
      </c>
      <c r="F1083" s="3" t="str">
        <f>HYPERLINK("https://sitebase.nzcomms.co.nz/spm/spmcandidateview/MNW-040-001-B/","MNW-040-001-B")</f>
        <v>MNW-040-001-B</v>
      </c>
      <c r="G1083" s="4" t="s">
        <v>3311</v>
      </c>
      <c r="H1083" s="4" t="s">
        <v>3312</v>
      </c>
      <c r="I1083" s="4">
        <v>6</v>
      </c>
      <c r="J1083" s="4" t="s">
        <v>1633</v>
      </c>
      <c r="K1083" s="4" t="s">
        <v>141</v>
      </c>
      <c r="L1083" s="4" t="s">
        <v>142</v>
      </c>
      <c r="M1083" s="4" t="s">
        <v>190</v>
      </c>
      <c r="N1083" s="4" t="s">
        <v>142</v>
      </c>
      <c r="O1083" s="4" t="s">
        <v>144</v>
      </c>
      <c r="P1083" s="4" t="s">
        <v>169</v>
      </c>
      <c r="Q1083" s="4" t="s">
        <v>142</v>
      </c>
      <c r="R1083" s="4">
        <v>31</v>
      </c>
      <c r="S1083" s="4">
        <v>45.1</v>
      </c>
      <c r="T1083" s="4">
        <v>1</v>
      </c>
      <c r="U1083" s="4">
        <v>-40.335378589999998</v>
      </c>
      <c r="V1083" s="4">
        <v>175.61520894</v>
      </c>
      <c r="W1083" s="4"/>
      <c r="X1083" s="5">
        <v>40423</v>
      </c>
      <c r="Y1083" s="4"/>
      <c r="Z1083" s="5">
        <v>40221</v>
      </c>
      <c r="AA1083" s="4" t="s">
        <v>171</v>
      </c>
      <c r="AB1083" s="3" t="str">
        <f>HYPERLINK("https://sitebase.nzcomms.co.nz/spm/spmcandidateview/MNW-040-003-B/","MNW-040-003-B")</f>
        <v>MNW-040-003-B</v>
      </c>
      <c r="AC1083" s="4" t="b">
        <v>1</v>
      </c>
      <c r="AD1083" s="4" t="b">
        <v>0</v>
      </c>
      <c r="AE1083" s="5">
        <v>40576</v>
      </c>
      <c r="AF1083" s="4"/>
      <c r="AG1083" s="4" t="b">
        <v>0</v>
      </c>
      <c r="AH1083" s="4" t="s">
        <v>3313</v>
      </c>
      <c r="AI1083" s="5">
        <v>40619</v>
      </c>
      <c r="AJ1083" s="5">
        <v>40605</v>
      </c>
      <c r="AK1083" s="5">
        <v>40624</v>
      </c>
      <c r="AL1083" s="5">
        <v>40610</v>
      </c>
      <c r="AM1083" s="5">
        <v>40641</v>
      </c>
      <c r="AN1083" s="5">
        <v>40632</v>
      </c>
      <c r="AO1083" s="4">
        <v>1</v>
      </c>
      <c r="AP1083" s="5">
        <v>40624</v>
      </c>
      <c r="AQ1083" s="5">
        <v>40632</v>
      </c>
      <c r="AR1083" s="5">
        <v>40681</v>
      </c>
      <c r="AS1083" s="5">
        <v>40680</v>
      </c>
      <c r="AT1083" s="5">
        <v>40712</v>
      </c>
      <c r="AU1083" s="5">
        <v>40704</v>
      </c>
      <c r="AV1083" s="4"/>
      <c r="AW1083" s="5">
        <v>40706</v>
      </c>
      <c r="AX1083" s="5">
        <v>40751</v>
      </c>
      <c r="AY1083" s="4" t="s">
        <v>247</v>
      </c>
      <c r="AZ1083" s="5">
        <v>40648</v>
      </c>
      <c r="BA1083" s="5">
        <v>40637</v>
      </c>
      <c r="BB1083" s="5">
        <v>40690</v>
      </c>
      <c r="BC1083" s="5">
        <v>40669</v>
      </c>
      <c r="BD1083" s="4">
        <v>1</v>
      </c>
      <c r="BE1083" s="5">
        <v>40712</v>
      </c>
      <c r="BF1083" s="5">
        <v>40669</v>
      </c>
      <c r="BG1083" s="4"/>
      <c r="BH1083" s="4"/>
      <c r="BI1083" s="5">
        <v>40718</v>
      </c>
      <c r="BJ1083" s="5">
        <v>40743</v>
      </c>
      <c r="BK1083" s="4">
        <v>1</v>
      </c>
      <c r="BL1083" s="4"/>
      <c r="BM1083" s="5">
        <v>40725</v>
      </c>
      <c r="BN1083" s="5">
        <v>40743</v>
      </c>
      <c r="BO1083" s="5">
        <v>40798</v>
      </c>
      <c r="BP1083" s="4"/>
      <c r="BQ1083" s="4"/>
      <c r="BR1083" s="4"/>
      <c r="BS1083" s="4"/>
      <c r="BT1083" s="5">
        <v>40806</v>
      </c>
      <c r="BU1083" s="5">
        <v>40787</v>
      </c>
      <c r="BV1083" s="5">
        <v>40813</v>
      </c>
      <c r="BW1083" s="5">
        <v>40801</v>
      </c>
      <c r="BX1083" s="5">
        <v>40791</v>
      </c>
      <c r="BY1083" s="5">
        <v>40807</v>
      </c>
      <c r="BZ1083" s="5">
        <v>40811</v>
      </c>
      <c r="CA1083" s="4"/>
      <c r="CB1083" s="4"/>
      <c r="CC1083" s="4"/>
      <c r="CD1083" s="4"/>
      <c r="CE1083" s="4"/>
      <c r="CF1083" s="4"/>
      <c r="CG1083" s="4"/>
      <c r="CH1083" s="4"/>
      <c r="CI1083" s="5">
        <v>40822</v>
      </c>
      <c r="CJ1083" s="5">
        <v>40814</v>
      </c>
      <c r="CK1083" s="5">
        <v>40828</v>
      </c>
      <c r="CL1083" s="5">
        <v>40816</v>
      </c>
      <c r="CM1083" s="5">
        <v>40862</v>
      </c>
      <c r="CN1083" s="5">
        <v>41532</v>
      </c>
      <c r="CO1083" s="5">
        <v>41592</v>
      </c>
      <c r="CP1083" s="4"/>
      <c r="CQ1083" s="4" t="s">
        <v>230</v>
      </c>
      <c r="CR1083" s="5">
        <v>40808</v>
      </c>
      <c r="CS1083" s="5">
        <v>40751</v>
      </c>
      <c r="CT1083" s="5">
        <v>40751</v>
      </c>
      <c r="CU1083" s="5">
        <v>40797</v>
      </c>
      <c r="CV1083" s="5">
        <v>40804</v>
      </c>
      <c r="CW1083" s="5">
        <v>40812</v>
      </c>
      <c r="CX1083" s="5">
        <v>40798</v>
      </c>
      <c r="CY1083" s="5">
        <v>40836</v>
      </c>
      <c r="CZ1083" s="4"/>
      <c r="DA1083" s="4"/>
      <c r="DB1083" s="5">
        <v>40826</v>
      </c>
      <c r="DC1083" s="4"/>
      <c r="DD1083" s="4"/>
      <c r="DE1083" s="4"/>
      <c r="DF1083" s="4"/>
      <c r="DG1083" s="4"/>
      <c r="DH1083" s="4" t="s">
        <v>174</v>
      </c>
      <c r="DI1083" s="5">
        <v>40791</v>
      </c>
      <c r="DJ1083" s="4" t="b">
        <v>0</v>
      </c>
      <c r="DK1083" s="4"/>
      <c r="DL1083" s="4">
        <v>2732162</v>
      </c>
      <c r="DM1083" s="4">
        <v>6093439</v>
      </c>
      <c r="DN1083" s="4" t="s">
        <v>3314</v>
      </c>
      <c r="DO1083" s="4"/>
      <c r="DP1083" s="4" t="s">
        <v>3315</v>
      </c>
      <c r="DQ1083" s="4" t="s">
        <v>148</v>
      </c>
      <c r="DR1083" s="4"/>
      <c r="DS1083" s="4"/>
      <c r="DT1083" s="5">
        <v>42101</v>
      </c>
      <c r="DU1083" s="4"/>
      <c r="DV1083" s="4"/>
      <c r="DW1083" s="4"/>
      <c r="DX1083" s="4"/>
      <c r="DY1083" s="4"/>
      <c r="DZ1083" s="4"/>
      <c r="EA1083" s="4"/>
      <c r="EB1083" s="4"/>
      <c r="EC1083" s="4"/>
      <c r="ED1083" s="4"/>
      <c r="EE1083" s="4"/>
      <c r="EF1083" s="4"/>
      <c r="EG1083" s="5">
        <v>40852</v>
      </c>
      <c r="EH1083" s="5">
        <v>40857</v>
      </c>
      <c r="EI1083" s="5">
        <v>40610</v>
      </c>
    </row>
    <row r="1084" spans="1:139" hidden="1" x14ac:dyDescent="0.2">
      <c r="A1084">
        <f>VLOOKUP(B1084,Sheet1!$A$1:$B$18,2,FALSE)</f>
        <v>0</v>
      </c>
      <c r="B1084" t="str">
        <f>LEFT(D1084,3)</f>
        <v>MNW</v>
      </c>
      <c r="C1084" s="2">
        <v>1083</v>
      </c>
      <c r="D1084" s="3" t="str">
        <f>HYPERLINK("https://sitebase.nzcomms.co.nz/spm/spmnominalview/MNW-040-002/","MNW-040-002")</f>
        <v>MNW-040-002</v>
      </c>
      <c r="E1084" s="4" t="s">
        <v>3316</v>
      </c>
      <c r="F1084" s="3" t="str">
        <f>HYPERLINK("https://sitebase.nzcomms.co.nz/spm/spmcandidateview/MNW-040-002-B/","MNW-040-002-B")</f>
        <v>MNW-040-002-B</v>
      </c>
      <c r="G1084" s="4" t="s">
        <v>3317</v>
      </c>
      <c r="H1084" s="4" t="s">
        <v>3312</v>
      </c>
      <c r="I1084" s="4">
        <v>6</v>
      </c>
      <c r="J1084" s="4" t="s">
        <v>1633</v>
      </c>
      <c r="K1084" s="4" t="s">
        <v>141</v>
      </c>
      <c r="L1084" s="4" t="s">
        <v>142</v>
      </c>
      <c r="M1084" s="4" t="s">
        <v>190</v>
      </c>
      <c r="N1084" s="4" t="s">
        <v>142</v>
      </c>
      <c r="O1084" s="4" t="s">
        <v>144</v>
      </c>
      <c r="P1084" s="4" t="s">
        <v>169</v>
      </c>
      <c r="Q1084" s="4" t="s">
        <v>142</v>
      </c>
      <c r="R1084" s="4">
        <v>28</v>
      </c>
      <c r="S1084" s="4">
        <v>28.5</v>
      </c>
      <c r="T1084" s="4">
        <v>1</v>
      </c>
      <c r="U1084" s="4">
        <v>-40.338753060000002</v>
      </c>
      <c r="V1084" s="4">
        <v>175.64421196999999</v>
      </c>
      <c r="W1084" s="4"/>
      <c r="X1084" s="5">
        <v>40423</v>
      </c>
      <c r="Y1084" s="4"/>
      <c r="Z1084" s="5">
        <v>40221</v>
      </c>
      <c r="AA1084" s="4" t="s">
        <v>171</v>
      </c>
      <c r="AB1084" s="3" t="str">
        <f>HYPERLINK("https://sitebase.nzcomms.co.nz/spm/spmcandidateview/MNW-040-004-A/","MNW-040-004-A")</f>
        <v>MNW-040-004-A</v>
      </c>
      <c r="AC1084" s="4" t="b">
        <v>0</v>
      </c>
      <c r="AD1084" s="4" t="b">
        <v>1</v>
      </c>
      <c r="AE1084" s="5">
        <v>40576</v>
      </c>
      <c r="AF1084" s="4"/>
      <c r="AG1084" s="4" t="b">
        <v>0</v>
      </c>
      <c r="AH1084" s="4" t="s">
        <v>3318</v>
      </c>
      <c r="AI1084" s="5">
        <v>40591</v>
      </c>
      <c r="AJ1084" s="5">
        <v>40591</v>
      </c>
      <c r="AK1084" s="5">
        <v>40595</v>
      </c>
      <c r="AL1084" s="5">
        <v>40596</v>
      </c>
      <c r="AM1084" s="5">
        <v>40609</v>
      </c>
      <c r="AN1084" s="5">
        <v>40616</v>
      </c>
      <c r="AO1084" s="4">
        <v>1</v>
      </c>
      <c r="AP1084" s="5">
        <v>40609</v>
      </c>
      <c r="AQ1084" s="5">
        <v>40616</v>
      </c>
      <c r="AR1084" s="5">
        <v>40685</v>
      </c>
      <c r="AS1084" s="5">
        <v>40680</v>
      </c>
      <c r="AT1084" s="5">
        <v>40712</v>
      </c>
      <c r="AU1084" s="5">
        <v>40704</v>
      </c>
      <c r="AV1084" s="4">
        <v>1</v>
      </c>
      <c r="AW1084" s="5">
        <v>40714</v>
      </c>
      <c r="AX1084" s="5">
        <v>40725</v>
      </c>
      <c r="AY1084" s="4" t="s">
        <v>247</v>
      </c>
      <c r="AZ1084" s="5">
        <v>40632</v>
      </c>
      <c r="BA1084" s="5">
        <v>40637</v>
      </c>
      <c r="BB1084" s="5">
        <v>40688</v>
      </c>
      <c r="BC1084" s="5">
        <v>40669</v>
      </c>
      <c r="BD1084" s="4">
        <v>1</v>
      </c>
      <c r="BE1084" s="5">
        <v>40714</v>
      </c>
      <c r="BF1084" s="5">
        <v>40669</v>
      </c>
      <c r="BG1084" s="5">
        <v>40696</v>
      </c>
      <c r="BH1084" s="4"/>
      <c r="BI1084" s="5">
        <v>40728</v>
      </c>
      <c r="BJ1084" s="5">
        <v>40743</v>
      </c>
      <c r="BK1084" s="4">
        <v>1</v>
      </c>
      <c r="BL1084" s="4"/>
      <c r="BM1084" s="5">
        <v>40732</v>
      </c>
      <c r="BN1084" s="5">
        <v>40743</v>
      </c>
      <c r="BO1084" s="5">
        <v>40777</v>
      </c>
      <c r="BP1084" s="4"/>
      <c r="BQ1084" s="4"/>
      <c r="BR1084" s="4"/>
      <c r="BS1084" s="4"/>
      <c r="BT1084" s="5">
        <v>40778</v>
      </c>
      <c r="BU1084" s="5">
        <v>40778</v>
      </c>
      <c r="BV1084" s="5">
        <v>40807</v>
      </c>
      <c r="BW1084" s="5">
        <v>40810</v>
      </c>
      <c r="BX1084" s="5">
        <v>40806</v>
      </c>
      <c r="BY1084" s="5">
        <v>40811</v>
      </c>
      <c r="BZ1084" s="5">
        <v>40811</v>
      </c>
      <c r="CA1084" s="4"/>
      <c r="CB1084" s="4"/>
      <c r="CC1084" s="4"/>
      <c r="CD1084" s="4"/>
      <c r="CE1084" s="4"/>
      <c r="CF1084" s="4"/>
      <c r="CG1084" s="4"/>
      <c r="CH1084" s="4"/>
      <c r="CI1084" s="5">
        <v>40823</v>
      </c>
      <c r="CJ1084" s="5">
        <v>40840</v>
      </c>
      <c r="CK1084" s="5">
        <v>40842</v>
      </c>
      <c r="CL1084" s="5">
        <v>40816</v>
      </c>
      <c r="CM1084" s="5">
        <v>40862</v>
      </c>
      <c r="CN1084" s="5">
        <v>40952</v>
      </c>
      <c r="CO1084" s="5">
        <v>41089</v>
      </c>
      <c r="CP1084" s="4" t="s">
        <v>3319</v>
      </c>
      <c r="CQ1084" s="4" t="s">
        <v>230</v>
      </c>
      <c r="CR1084" s="5">
        <v>40812</v>
      </c>
      <c r="CS1084" s="5">
        <v>40751</v>
      </c>
      <c r="CT1084" s="5">
        <v>40751</v>
      </c>
      <c r="CU1084" s="5">
        <v>40797</v>
      </c>
      <c r="CV1084" s="5">
        <v>40804</v>
      </c>
      <c r="CW1084" s="5">
        <v>40777</v>
      </c>
      <c r="CX1084" s="5">
        <v>40777</v>
      </c>
      <c r="CY1084" s="5">
        <v>40809</v>
      </c>
      <c r="CZ1084" s="5">
        <v>40810</v>
      </c>
      <c r="DA1084" s="4"/>
      <c r="DB1084" s="5">
        <v>40826</v>
      </c>
      <c r="DC1084" s="4"/>
      <c r="DD1084" s="4"/>
      <c r="DE1084" s="4"/>
      <c r="DF1084" s="4"/>
      <c r="DG1084" s="4"/>
      <c r="DH1084" s="4"/>
      <c r="DI1084" s="5">
        <v>40805</v>
      </c>
      <c r="DJ1084" s="4" t="b">
        <v>0</v>
      </c>
      <c r="DK1084" s="4"/>
      <c r="DL1084" s="4">
        <v>2734614</v>
      </c>
      <c r="DM1084" s="4">
        <v>6092991</v>
      </c>
      <c r="DN1084" s="4" t="s">
        <v>3320</v>
      </c>
      <c r="DO1084" s="4"/>
      <c r="DP1084" s="4" t="s">
        <v>3321</v>
      </c>
      <c r="DQ1084" s="4" t="s">
        <v>148</v>
      </c>
      <c r="DR1084" s="4"/>
      <c r="DS1084" s="4"/>
      <c r="DT1084" s="5">
        <v>42101</v>
      </c>
      <c r="DU1084" s="4"/>
      <c r="DV1084" s="4"/>
      <c r="DW1084" s="4"/>
      <c r="DX1084" s="4"/>
      <c r="DY1084" s="4"/>
      <c r="DZ1084" s="4"/>
      <c r="EA1084" s="4"/>
      <c r="EB1084" s="4"/>
      <c r="EC1084" s="4"/>
      <c r="ED1084" s="4"/>
      <c r="EE1084" s="4"/>
      <c r="EF1084" s="4"/>
      <c r="EG1084" s="5">
        <v>40841</v>
      </c>
      <c r="EH1084" s="5">
        <v>40857</v>
      </c>
      <c r="EI1084" s="5">
        <v>40596</v>
      </c>
    </row>
    <row r="1085" spans="1:139" hidden="1" x14ac:dyDescent="0.2">
      <c r="A1085">
        <f>VLOOKUP(B1085,Sheet1!$A$1:$B$18,2,FALSE)</f>
        <v>0</v>
      </c>
      <c r="B1085" t="str">
        <f>LEFT(D1085,3)</f>
        <v>MNW</v>
      </c>
      <c r="C1085" s="2">
        <v>1084</v>
      </c>
      <c r="D1085" s="3" t="str">
        <f>HYPERLINK("https://sitebase.nzcomms.co.nz/spm/spmnominalview/MNW-040-003/","MNW-040-003")</f>
        <v>MNW-040-003</v>
      </c>
      <c r="E1085" s="4" t="s">
        <v>3322</v>
      </c>
      <c r="F1085" s="3" t="str">
        <f>HYPERLINK("https://sitebase.nzcomms.co.nz/spm/spmcandidateview/MNW-040-003-B/","MNW-040-003-B")</f>
        <v>MNW-040-003-B</v>
      </c>
      <c r="G1085" s="4" t="s">
        <v>3323</v>
      </c>
      <c r="H1085" s="4" t="s">
        <v>3312</v>
      </c>
      <c r="I1085" s="4">
        <v>6</v>
      </c>
      <c r="J1085" s="4" t="s">
        <v>1633</v>
      </c>
      <c r="K1085" s="4" t="s">
        <v>141</v>
      </c>
      <c r="L1085" s="4" t="s">
        <v>181</v>
      </c>
      <c r="M1085" s="4" t="s">
        <v>166</v>
      </c>
      <c r="N1085" s="4" t="s">
        <v>181</v>
      </c>
      <c r="O1085" s="4" t="s">
        <v>144</v>
      </c>
      <c r="P1085" s="4" t="s">
        <v>182</v>
      </c>
      <c r="Q1085" s="4" t="s">
        <v>170</v>
      </c>
      <c r="R1085" s="4"/>
      <c r="S1085" s="4"/>
      <c r="T1085" s="4">
        <v>1</v>
      </c>
      <c r="U1085" s="4">
        <v>-40.354415590000002</v>
      </c>
      <c r="V1085" s="4">
        <v>175.61012916000001</v>
      </c>
      <c r="W1085" s="4"/>
      <c r="X1085" s="4"/>
      <c r="Y1085" s="4"/>
      <c r="Z1085" s="4"/>
      <c r="AA1085" s="4" t="s">
        <v>145</v>
      </c>
      <c r="AB1085" s="3" t="str">
        <f>HYPERLINK("https://sitebase.nzcomms.co.nz/spm/spmcandidateview/WLG-047-071-A/","WLG-047-071-A")</f>
        <v>WLG-047-071-A</v>
      </c>
      <c r="AC1085" s="4" t="b">
        <v>1</v>
      </c>
      <c r="AD1085" s="4" t="b">
        <v>1</v>
      </c>
      <c r="AE1085" s="5">
        <v>40576</v>
      </c>
      <c r="AF1085" s="4"/>
      <c r="AG1085" s="4" t="b">
        <v>0</v>
      </c>
      <c r="AH1085" s="4" t="s">
        <v>3224</v>
      </c>
      <c r="AI1085" s="5">
        <v>40619</v>
      </c>
      <c r="AJ1085" s="5">
        <v>40605</v>
      </c>
      <c r="AK1085" s="5">
        <v>40610</v>
      </c>
      <c r="AL1085" s="5">
        <v>40610</v>
      </c>
      <c r="AM1085" s="5">
        <v>40627</v>
      </c>
      <c r="AN1085" s="5">
        <v>40632</v>
      </c>
      <c r="AO1085" s="4">
        <v>4</v>
      </c>
      <c r="AP1085" s="5">
        <v>40624</v>
      </c>
      <c r="AQ1085" s="5">
        <v>41977</v>
      </c>
      <c r="AR1085" s="5">
        <v>40710</v>
      </c>
      <c r="AS1085" s="5">
        <v>40704</v>
      </c>
      <c r="AT1085" s="5">
        <v>40719</v>
      </c>
      <c r="AU1085" s="5">
        <v>40725</v>
      </c>
      <c r="AV1085" s="4"/>
      <c r="AW1085" s="5">
        <v>40721</v>
      </c>
      <c r="AX1085" s="5">
        <v>40725</v>
      </c>
      <c r="AY1085" s="4" t="s">
        <v>247</v>
      </c>
      <c r="AZ1085" s="5">
        <v>40664</v>
      </c>
      <c r="BA1085" s="5">
        <v>40638</v>
      </c>
      <c r="BB1085" s="5">
        <v>40675</v>
      </c>
      <c r="BC1085" s="5">
        <v>40669</v>
      </c>
      <c r="BD1085" s="4">
        <v>2</v>
      </c>
      <c r="BE1085" s="5">
        <v>40689</v>
      </c>
      <c r="BF1085" s="5">
        <v>40669</v>
      </c>
      <c r="BG1085" s="5">
        <v>40696</v>
      </c>
      <c r="BH1085" s="4"/>
      <c r="BI1085" s="5">
        <v>40728</v>
      </c>
      <c r="BJ1085" s="5">
        <v>40743</v>
      </c>
      <c r="BK1085" s="4">
        <v>1</v>
      </c>
      <c r="BL1085" s="4"/>
      <c r="BM1085" s="5">
        <v>40732</v>
      </c>
      <c r="BN1085" s="5">
        <v>40743</v>
      </c>
      <c r="BO1085" s="5">
        <v>40799</v>
      </c>
      <c r="BP1085" s="4"/>
      <c r="BQ1085" s="4"/>
      <c r="BR1085" s="4"/>
      <c r="BS1085" s="4"/>
      <c r="BT1085" s="5">
        <v>40777</v>
      </c>
      <c r="BU1085" s="5">
        <v>40772</v>
      </c>
      <c r="BV1085" s="5">
        <v>40844</v>
      </c>
      <c r="BW1085" s="5">
        <v>40865</v>
      </c>
      <c r="BX1085" s="5">
        <v>40781</v>
      </c>
      <c r="BY1085" s="5">
        <v>40809</v>
      </c>
      <c r="BZ1085" s="5">
        <v>40812</v>
      </c>
      <c r="CA1085" s="4"/>
      <c r="CB1085" s="4"/>
      <c r="CC1085" s="4"/>
      <c r="CD1085" s="4"/>
      <c r="CE1085" s="4"/>
      <c r="CF1085" s="4"/>
      <c r="CG1085" s="4"/>
      <c r="CH1085" s="4"/>
      <c r="CI1085" s="5">
        <v>40806</v>
      </c>
      <c r="CJ1085" s="5">
        <v>40814</v>
      </c>
      <c r="CK1085" s="5">
        <v>40828</v>
      </c>
      <c r="CL1085" s="5">
        <v>40816</v>
      </c>
      <c r="CM1085" s="5">
        <v>40862</v>
      </c>
      <c r="CN1085" s="5">
        <v>41532</v>
      </c>
      <c r="CO1085" s="5">
        <v>41624</v>
      </c>
      <c r="CP1085" s="4"/>
      <c r="CQ1085" s="4"/>
      <c r="CR1085" s="5">
        <v>40804</v>
      </c>
      <c r="CS1085" s="5">
        <v>40751</v>
      </c>
      <c r="CT1085" s="5">
        <v>40751</v>
      </c>
      <c r="CU1085" s="5">
        <v>40788</v>
      </c>
      <c r="CV1085" s="5">
        <v>40788</v>
      </c>
      <c r="CW1085" s="5">
        <v>40794</v>
      </c>
      <c r="CX1085" s="5">
        <v>40799</v>
      </c>
      <c r="CY1085" s="5">
        <v>40786</v>
      </c>
      <c r="CZ1085" s="5">
        <v>40805</v>
      </c>
      <c r="DA1085" s="4"/>
      <c r="DB1085" s="5">
        <v>40826</v>
      </c>
      <c r="DC1085" s="4"/>
      <c r="DD1085" s="4"/>
      <c r="DE1085" s="4"/>
      <c r="DF1085" s="4"/>
      <c r="DG1085" s="4"/>
      <c r="DH1085" s="4" t="s">
        <v>174</v>
      </c>
      <c r="DI1085" s="5">
        <v>40785</v>
      </c>
      <c r="DJ1085" s="4" t="b">
        <v>0</v>
      </c>
      <c r="DK1085" s="4"/>
      <c r="DL1085" s="4">
        <v>2731668</v>
      </c>
      <c r="DM1085" s="4">
        <v>6091339</v>
      </c>
      <c r="DN1085" s="4" t="s">
        <v>3324</v>
      </c>
      <c r="DO1085" s="4"/>
      <c r="DP1085" s="4" t="s">
        <v>3325</v>
      </c>
      <c r="DQ1085" s="4" t="s">
        <v>148</v>
      </c>
      <c r="DR1085" s="4"/>
      <c r="DS1085" s="4"/>
      <c r="DT1085" s="5">
        <v>42101</v>
      </c>
      <c r="DU1085" s="4"/>
      <c r="DV1085" s="4"/>
      <c r="DW1085" s="4"/>
      <c r="DX1085" s="4"/>
      <c r="DY1085" s="4"/>
      <c r="DZ1085" s="4"/>
      <c r="EA1085" s="4"/>
      <c r="EB1085" s="4"/>
      <c r="EC1085" s="4"/>
      <c r="ED1085" s="4"/>
      <c r="EE1085" s="4"/>
      <c r="EF1085" s="4"/>
      <c r="EG1085" s="5">
        <v>40841</v>
      </c>
      <c r="EH1085" s="5">
        <v>40858</v>
      </c>
      <c r="EI1085" s="5">
        <v>40610</v>
      </c>
    </row>
    <row r="1086" spans="1:139" hidden="1" x14ac:dyDescent="0.2">
      <c r="A1086">
        <f>VLOOKUP(B1086,Sheet1!$A$1:$B$18,2,FALSE)</f>
        <v>0</v>
      </c>
      <c r="B1086" t="str">
        <f>LEFT(D1086,3)</f>
        <v>MNW</v>
      </c>
      <c r="C1086" s="2">
        <v>1085</v>
      </c>
      <c r="D1086" s="3" t="str">
        <f>HYPERLINK("https://sitebase.nzcomms.co.nz/spm/spmnominalview/MNW-040-004/","MNW-040-004")</f>
        <v>MNW-040-004</v>
      </c>
      <c r="E1086" s="4" t="s">
        <v>3326</v>
      </c>
      <c r="F1086" s="3" t="str">
        <f>HYPERLINK("https://sitebase.nzcomms.co.nz/spm/spmcandidateview/MNW-040-004-A/","MNW-040-004-A")</f>
        <v>MNW-040-004-A</v>
      </c>
      <c r="G1086" s="4" t="s">
        <v>3327</v>
      </c>
      <c r="H1086" s="4" t="s">
        <v>3312</v>
      </c>
      <c r="I1086" s="4">
        <v>6</v>
      </c>
      <c r="J1086" s="4" t="s">
        <v>1633</v>
      </c>
      <c r="K1086" s="4" t="s">
        <v>141</v>
      </c>
      <c r="L1086" s="4" t="s">
        <v>181</v>
      </c>
      <c r="M1086" s="4" t="s">
        <v>166</v>
      </c>
      <c r="N1086" s="4" t="s">
        <v>181</v>
      </c>
      <c r="O1086" s="4" t="s">
        <v>144</v>
      </c>
      <c r="P1086" s="4" t="s">
        <v>169</v>
      </c>
      <c r="Q1086" s="4" t="s">
        <v>192</v>
      </c>
      <c r="R1086" s="4">
        <v>25.8</v>
      </c>
      <c r="S1086" s="4">
        <v>26.3</v>
      </c>
      <c r="T1086" s="4">
        <v>1</v>
      </c>
      <c r="U1086" s="4">
        <v>-40.357844389999997</v>
      </c>
      <c r="V1086" s="4">
        <v>175.61626878999999</v>
      </c>
      <c r="W1086" s="4"/>
      <c r="X1086" s="5">
        <v>40423</v>
      </c>
      <c r="Y1086" s="4"/>
      <c r="Z1086" s="4"/>
      <c r="AA1086" s="4" t="s">
        <v>145</v>
      </c>
      <c r="AB1086" s="3" t="str">
        <f>HYPERLINK("https://sitebase.nzcomms.co.nz/spm/spmcandidateview/MNW-040-003-B/","MNW-040-003-B")</f>
        <v>MNW-040-003-B</v>
      </c>
      <c r="AC1086" s="4" t="b">
        <v>1</v>
      </c>
      <c r="AD1086" s="4" t="b">
        <v>1</v>
      </c>
      <c r="AE1086" s="5">
        <v>40576</v>
      </c>
      <c r="AF1086" s="4"/>
      <c r="AG1086" s="4" t="b">
        <v>0</v>
      </c>
      <c r="AH1086" s="4" t="s">
        <v>3328</v>
      </c>
      <c r="AI1086" s="5">
        <v>40591</v>
      </c>
      <c r="AJ1086" s="5">
        <v>40591</v>
      </c>
      <c r="AK1086" s="5">
        <v>40595</v>
      </c>
      <c r="AL1086" s="5">
        <v>40596</v>
      </c>
      <c r="AM1086" s="5">
        <v>40609</v>
      </c>
      <c r="AN1086" s="5">
        <v>40616</v>
      </c>
      <c r="AO1086" s="4">
        <v>4</v>
      </c>
      <c r="AP1086" s="5">
        <v>40609</v>
      </c>
      <c r="AQ1086" s="5">
        <v>41977</v>
      </c>
      <c r="AR1086" s="5">
        <v>40710</v>
      </c>
      <c r="AS1086" s="5">
        <v>40751</v>
      </c>
      <c r="AT1086" s="5">
        <v>40704</v>
      </c>
      <c r="AU1086" s="5">
        <v>40751</v>
      </c>
      <c r="AV1086" s="4">
        <v>2</v>
      </c>
      <c r="AW1086" s="5">
        <v>40709</v>
      </c>
      <c r="AX1086" s="5">
        <v>40751</v>
      </c>
      <c r="AY1086" s="4" t="s">
        <v>247</v>
      </c>
      <c r="AZ1086" s="5">
        <v>40616</v>
      </c>
      <c r="BA1086" s="5">
        <v>40616</v>
      </c>
      <c r="BB1086" s="5">
        <v>40688</v>
      </c>
      <c r="BC1086" s="5">
        <v>40669</v>
      </c>
      <c r="BD1086" s="4">
        <v>2</v>
      </c>
      <c r="BE1086" s="5">
        <v>40712</v>
      </c>
      <c r="BF1086" s="5">
        <v>40851</v>
      </c>
      <c r="BG1086" s="5">
        <v>40695</v>
      </c>
      <c r="BH1086" s="4"/>
      <c r="BI1086" s="5">
        <v>40809</v>
      </c>
      <c r="BJ1086" s="5">
        <v>40886</v>
      </c>
      <c r="BK1086" s="4">
        <v>1</v>
      </c>
      <c r="BL1086" s="4"/>
      <c r="BM1086" s="5">
        <v>40809</v>
      </c>
      <c r="BN1086" s="5">
        <v>40886</v>
      </c>
      <c r="BO1086" s="5">
        <v>40805</v>
      </c>
      <c r="BP1086" s="4"/>
      <c r="BQ1086" s="4"/>
      <c r="BR1086" s="4"/>
      <c r="BS1086" s="4"/>
      <c r="BT1086" s="5">
        <v>40805</v>
      </c>
      <c r="BU1086" s="5">
        <v>40805</v>
      </c>
      <c r="BV1086" s="5">
        <v>40844</v>
      </c>
      <c r="BW1086" s="5">
        <v>40865</v>
      </c>
      <c r="BX1086" s="5">
        <v>40808</v>
      </c>
      <c r="BY1086" s="5">
        <v>40815</v>
      </c>
      <c r="BZ1086" s="5">
        <v>40817</v>
      </c>
      <c r="CA1086" s="4"/>
      <c r="CB1086" s="4"/>
      <c r="CC1086" s="4"/>
      <c r="CD1086" s="4"/>
      <c r="CE1086" s="4"/>
      <c r="CF1086" s="4"/>
      <c r="CG1086" s="4"/>
      <c r="CH1086" s="4"/>
      <c r="CI1086" s="5">
        <v>40823</v>
      </c>
      <c r="CJ1086" s="5">
        <v>40844</v>
      </c>
      <c r="CK1086" s="5">
        <v>40828</v>
      </c>
      <c r="CL1086" s="5">
        <v>40866</v>
      </c>
      <c r="CM1086" s="5">
        <v>40862</v>
      </c>
      <c r="CN1086" s="5">
        <v>41532</v>
      </c>
      <c r="CO1086" s="5">
        <v>41624</v>
      </c>
      <c r="CP1086" s="4" t="s">
        <v>3329</v>
      </c>
      <c r="CQ1086" s="4"/>
      <c r="CR1086" s="5">
        <v>40816</v>
      </c>
      <c r="CS1086" s="5">
        <v>40704</v>
      </c>
      <c r="CT1086" s="5">
        <v>40704</v>
      </c>
      <c r="CU1086" s="5">
        <v>40801</v>
      </c>
      <c r="CV1086" s="5">
        <v>40805</v>
      </c>
      <c r="CW1086" s="5">
        <v>40805</v>
      </c>
      <c r="CX1086" s="5">
        <v>40805</v>
      </c>
      <c r="CY1086" s="5">
        <v>40808</v>
      </c>
      <c r="CZ1086" s="5">
        <v>40812</v>
      </c>
      <c r="DA1086" s="4"/>
      <c r="DB1086" s="5">
        <v>40826</v>
      </c>
      <c r="DC1086" s="4"/>
      <c r="DD1086" s="4"/>
      <c r="DE1086" s="4"/>
      <c r="DF1086" s="4"/>
      <c r="DG1086" s="4"/>
      <c r="DH1086" s="4" t="s">
        <v>174</v>
      </c>
      <c r="DI1086" s="5">
        <v>40808</v>
      </c>
      <c r="DJ1086" s="4" t="b">
        <v>0</v>
      </c>
      <c r="DK1086" s="4"/>
      <c r="DL1086" s="4">
        <v>2732178</v>
      </c>
      <c r="DM1086" s="4">
        <v>6090943</v>
      </c>
      <c r="DN1086" s="4" t="s">
        <v>3330</v>
      </c>
      <c r="DO1086" s="4"/>
      <c r="DP1086" s="4" t="s">
        <v>3331</v>
      </c>
      <c r="DQ1086" s="4" t="s">
        <v>148</v>
      </c>
      <c r="DR1086" s="4"/>
      <c r="DS1086" s="4"/>
      <c r="DT1086" s="5">
        <v>42101</v>
      </c>
      <c r="DU1086" s="4"/>
      <c r="DV1086" s="4"/>
      <c r="DW1086" s="4"/>
      <c r="DX1086" s="4"/>
      <c r="DY1086" s="4"/>
      <c r="DZ1086" s="4"/>
      <c r="EA1086" s="4"/>
      <c r="EB1086" s="4"/>
      <c r="EC1086" s="4"/>
      <c r="ED1086" s="4"/>
      <c r="EE1086" s="4"/>
      <c r="EF1086" s="4"/>
      <c r="EG1086" s="5">
        <v>40841</v>
      </c>
      <c r="EH1086" s="5">
        <v>40858</v>
      </c>
      <c r="EI1086" s="5">
        <v>40596</v>
      </c>
    </row>
    <row r="1087" spans="1:139" hidden="1" x14ac:dyDescent="0.2">
      <c r="A1087">
        <f>VLOOKUP(B1087,Sheet1!$A$1:$B$18,2,FALSE)</f>
        <v>0</v>
      </c>
      <c r="B1087" t="str">
        <f>LEFT(D1087,3)</f>
        <v>MNW</v>
      </c>
      <c r="C1087" s="2">
        <v>1086</v>
      </c>
      <c r="D1087" s="3" t="str">
        <f>HYPERLINK("https://sitebase.nzcomms.co.nz/spm/spmnominalview/MNW-040-005/","MNW-040-005")</f>
        <v>MNW-040-005</v>
      </c>
      <c r="E1087" s="4" t="s">
        <v>3332</v>
      </c>
      <c r="F1087" s="3" t="str">
        <f>HYPERLINK("https://sitebase.nzcomms.co.nz/spm/spmcandidateview/MNW-040-005-A/","MNW-040-005-A")</f>
        <v>MNW-040-005-A</v>
      </c>
      <c r="G1087" s="4" t="s">
        <v>3333</v>
      </c>
      <c r="H1087" s="4" t="s">
        <v>3312</v>
      </c>
      <c r="I1087" s="4">
        <v>6</v>
      </c>
      <c r="J1087" s="4" t="s">
        <v>1633</v>
      </c>
      <c r="K1087" s="4" t="s">
        <v>141</v>
      </c>
      <c r="L1087" s="4" t="s">
        <v>150</v>
      </c>
      <c r="M1087" s="4" t="s">
        <v>190</v>
      </c>
      <c r="N1087" s="4" t="s">
        <v>291</v>
      </c>
      <c r="O1087" s="4" t="s">
        <v>144</v>
      </c>
      <c r="P1087" s="4" t="s">
        <v>169</v>
      </c>
      <c r="Q1087" s="4" t="s">
        <v>170</v>
      </c>
      <c r="R1087" s="4">
        <v>21.3</v>
      </c>
      <c r="S1087" s="4">
        <v>21.8</v>
      </c>
      <c r="T1087" s="4">
        <v>1</v>
      </c>
      <c r="U1087" s="4">
        <v>-40.349827699999999</v>
      </c>
      <c r="V1087" s="4">
        <v>175.58463148999999</v>
      </c>
      <c r="W1087" s="4"/>
      <c r="X1087" s="5">
        <v>40423</v>
      </c>
      <c r="Y1087" s="4"/>
      <c r="Z1087" s="5">
        <v>40221</v>
      </c>
      <c r="AA1087" s="4" t="s">
        <v>171</v>
      </c>
      <c r="AB1087" s="3" t="str">
        <f>HYPERLINK("https://sitebase.nzcomms.co.nz/spm/spmcandidateview/MNW-040-003-B/","MNW-040-003-B")</f>
        <v>MNW-040-003-B</v>
      </c>
      <c r="AC1087" s="4" t="b">
        <v>1</v>
      </c>
      <c r="AD1087" s="4" t="b">
        <v>1</v>
      </c>
      <c r="AE1087" s="5">
        <v>40604</v>
      </c>
      <c r="AF1087" s="4"/>
      <c r="AG1087" s="4" t="b">
        <v>0</v>
      </c>
      <c r="AH1087" s="4" t="s">
        <v>3334</v>
      </c>
      <c r="AI1087" s="5">
        <v>40618</v>
      </c>
      <c r="AJ1087" s="5">
        <v>40618</v>
      </c>
      <c r="AK1087" s="5">
        <v>40623</v>
      </c>
      <c r="AL1087" s="5">
        <v>40624</v>
      </c>
      <c r="AM1087" s="5">
        <v>40652</v>
      </c>
      <c r="AN1087" s="5">
        <v>40649</v>
      </c>
      <c r="AO1087" s="4">
        <v>1</v>
      </c>
      <c r="AP1087" s="5">
        <v>40654</v>
      </c>
      <c r="AQ1087" s="5">
        <v>40649</v>
      </c>
      <c r="AR1087" s="5">
        <v>40731</v>
      </c>
      <c r="AS1087" s="5">
        <v>40690</v>
      </c>
      <c r="AT1087" s="5">
        <v>40761</v>
      </c>
      <c r="AU1087" s="5">
        <v>40690</v>
      </c>
      <c r="AV1087" s="4">
        <v>1</v>
      </c>
      <c r="AW1087" s="5">
        <v>40711</v>
      </c>
      <c r="AX1087" s="5">
        <v>40767</v>
      </c>
      <c r="AY1087" s="4" t="s">
        <v>247</v>
      </c>
      <c r="AZ1087" s="5">
        <v>40658</v>
      </c>
      <c r="BA1087" s="5">
        <v>40661</v>
      </c>
      <c r="BB1087" s="5">
        <v>40704</v>
      </c>
      <c r="BC1087" s="5">
        <v>40695</v>
      </c>
      <c r="BD1087" s="4">
        <v>1</v>
      </c>
      <c r="BE1087" s="5">
        <v>40765</v>
      </c>
      <c r="BF1087" s="5">
        <v>40695</v>
      </c>
      <c r="BG1087" s="5">
        <v>40695</v>
      </c>
      <c r="BH1087" s="4"/>
      <c r="BI1087" s="5">
        <v>40800</v>
      </c>
      <c r="BJ1087" s="5">
        <v>40799</v>
      </c>
      <c r="BK1087" s="4">
        <v>1</v>
      </c>
      <c r="BL1087" s="4"/>
      <c r="BM1087" s="5">
        <v>40800</v>
      </c>
      <c r="BN1087" s="5">
        <v>40799</v>
      </c>
      <c r="BO1087" s="5">
        <v>40833</v>
      </c>
      <c r="BP1087" s="4"/>
      <c r="BQ1087" s="4"/>
      <c r="BR1087" s="4"/>
      <c r="BS1087" s="4"/>
      <c r="BT1087" s="5">
        <v>40807</v>
      </c>
      <c r="BU1087" s="5">
        <v>40807</v>
      </c>
      <c r="BV1087" s="5">
        <v>40851</v>
      </c>
      <c r="BW1087" s="5">
        <v>40865</v>
      </c>
      <c r="BX1087" s="5">
        <v>40830</v>
      </c>
      <c r="BY1087" s="5">
        <v>40852</v>
      </c>
      <c r="BZ1087" s="5">
        <v>40852</v>
      </c>
      <c r="CA1087" s="4"/>
      <c r="CB1087" s="4"/>
      <c r="CC1087" s="4"/>
      <c r="CD1087" s="4"/>
      <c r="CE1087" s="4"/>
      <c r="CF1087" s="4"/>
      <c r="CG1087" s="4"/>
      <c r="CH1087" s="4"/>
      <c r="CI1087" s="5">
        <v>40844</v>
      </c>
      <c r="CJ1087" s="5">
        <v>40844</v>
      </c>
      <c r="CK1087" s="5">
        <v>40848</v>
      </c>
      <c r="CL1087" s="5">
        <v>40866</v>
      </c>
      <c r="CM1087" s="5">
        <v>40878</v>
      </c>
      <c r="CN1087" s="5">
        <v>40968</v>
      </c>
      <c r="CO1087" s="5">
        <v>41089</v>
      </c>
      <c r="CP1087" s="4"/>
      <c r="CQ1087" s="4"/>
      <c r="CR1087" s="5">
        <v>40854</v>
      </c>
      <c r="CS1087" s="5">
        <v>40778</v>
      </c>
      <c r="CT1087" s="5">
        <v>40778</v>
      </c>
      <c r="CU1087" s="5">
        <v>40838</v>
      </c>
      <c r="CV1087" s="5">
        <v>40837</v>
      </c>
      <c r="CW1087" s="5">
        <v>40833</v>
      </c>
      <c r="CX1087" s="5">
        <v>40833</v>
      </c>
      <c r="CY1087" s="5">
        <v>40834</v>
      </c>
      <c r="CZ1087" s="5">
        <v>40837</v>
      </c>
      <c r="DA1087" s="4"/>
      <c r="DB1087" s="5">
        <v>40871</v>
      </c>
      <c r="DC1087" s="4"/>
      <c r="DD1087" s="4"/>
      <c r="DE1087" s="4"/>
      <c r="DF1087" s="4"/>
      <c r="DG1087" s="4"/>
      <c r="DH1087" s="4"/>
      <c r="DI1087" s="5">
        <v>40836</v>
      </c>
      <c r="DJ1087" s="4" t="b">
        <v>0</v>
      </c>
      <c r="DK1087" s="4"/>
      <c r="DL1087" s="4">
        <v>2729518</v>
      </c>
      <c r="DM1087" s="4">
        <v>6091912</v>
      </c>
      <c r="DN1087" s="4" t="s">
        <v>3335</v>
      </c>
      <c r="DO1087" s="4"/>
      <c r="DP1087" s="4" t="s">
        <v>3336</v>
      </c>
      <c r="DQ1087" s="4" t="s">
        <v>148</v>
      </c>
      <c r="DR1087" s="4"/>
      <c r="DS1087" s="4"/>
      <c r="DT1087" s="5">
        <v>42101</v>
      </c>
      <c r="DU1087" s="4"/>
      <c r="DV1087" s="4"/>
      <c r="DW1087" s="4"/>
      <c r="DX1087" s="4"/>
      <c r="DY1087" s="4"/>
      <c r="DZ1087" s="4"/>
      <c r="EA1087" s="4"/>
      <c r="EB1087" s="4"/>
      <c r="EC1087" s="4"/>
      <c r="ED1087" s="4"/>
      <c r="EE1087" s="4"/>
      <c r="EF1087" s="4"/>
      <c r="EG1087" s="5">
        <v>40872</v>
      </c>
      <c r="EH1087" s="5">
        <v>40871</v>
      </c>
      <c r="EI1087" s="5">
        <v>40624</v>
      </c>
    </row>
    <row r="1088" spans="1:139" hidden="1" x14ac:dyDescent="0.2">
      <c r="A1088">
        <f>VLOOKUP(B1088,Sheet1!$A$1:$B$18,2,FALSE)</f>
        <v>0</v>
      </c>
      <c r="B1088" t="str">
        <f>LEFT(D1088,3)</f>
        <v>MNW</v>
      </c>
      <c r="C1088" s="2">
        <v>1087</v>
      </c>
      <c r="D1088" s="3" t="str">
        <f>HYPERLINK("https://sitebase.nzcomms.co.nz/spm/spmnominalview/MNW-040-006/","MNW-040-006")</f>
        <v>MNW-040-006</v>
      </c>
      <c r="E1088" s="4" t="s">
        <v>3337</v>
      </c>
      <c r="F1088" s="3" t="str">
        <f>HYPERLINK("https://sitebase.nzcomms.co.nz/spm/spmcandidateview/MNW-040-006-B/","MNW-040-006-B")</f>
        <v>MNW-040-006-B</v>
      </c>
      <c r="G1088" s="4" t="s">
        <v>3338</v>
      </c>
      <c r="H1088" s="4" t="s">
        <v>3312</v>
      </c>
      <c r="I1088" s="4">
        <v>6</v>
      </c>
      <c r="J1088" s="4" t="s">
        <v>1633</v>
      </c>
      <c r="K1088" s="4" t="s">
        <v>141</v>
      </c>
      <c r="L1088" s="4" t="s">
        <v>142</v>
      </c>
      <c r="M1088" s="4" t="s">
        <v>190</v>
      </c>
      <c r="N1088" s="4" t="s">
        <v>142</v>
      </c>
      <c r="O1088" s="4" t="s">
        <v>144</v>
      </c>
      <c r="P1088" s="4" t="s">
        <v>169</v>
      </c>
      <c r="Q1088" s="4" t="s">
        <v>142</v>
      </c>
      <c r="R1088" s="4">
        <v>22.5</v>
      </c>
      <c r="S1088" s="4">
        <v>23</v>
      </c>
      <c r="T1088" s="4">
        <v>1</v>
      </c>
      <c r="U1088" s="4">
        <v>-40.364002069999998</v>
      </c>
      <c r="V1088" s="4">
        <v>175.59939254</v>
      </c>
      <c r="W1088" s="4"/>
      <c r="X1088" s="5">
        <v>40423</v>
      </c>
      <c r="Y1088" s="4"/>
      <c r="Z1088" s="5">
        <v>40221</v>
      </c>
      <c r="AA1088" s="4" t="s">
        <v>171</v>
      </c>
      <c r="AB1088" s="3" t="str">
        <f>HYPERLINK("https://sitebase.nzcomms.co.nz/spm/spmcandidateview/MNW-040-003-B/","MNW-040-003-B")</f>
        <v>MNW-040-003-B</v>
      </c>
      <c r="AC1088" s="4" t="b">
        <v>1</v>
      </c>
      <c r="AD1088" s="4" t="b">
        <v>1</v>
      </c>
      <c r="AE1088" s="5">
        <v>40576</v>
      </c>
      <c r="AF1088" s="4"/>
      <c r="AG1088" s="4" t="b">
        <v>0</v>
      </c>
      <c r="AH1088" s="4" t="s">
        <v>3339</v>
      </c>
      <c r="AI1088" s="5">
        <v>40591</v>
      </c>
      <c r="AJ1088" s="5">
        <v>40591</v>
      </c>
      <c r="AK1088" s="5">
        <v>40595</v>
      </c>
      <c r="AL1088" s="5">
        <v>40602</v>
      </c>
      <c r="AM1088" s="5">
        <v>40619</v>
      </c>
      <c r="AN1088" s="5">
        <v>40625</v>
      </c>
      <c r="AO1088" s="4">
        <v>1</v>
      </c>
      <c r="AP1088" s="5">
        <v>40609</v>
      </c>
      <c r="AQ1088" s="5">
        <v>40625</v>
      </c>
      <c r="AR1088" s="5">
        <v>40681</v>
      </c>
      <c r="AS1088" s="5">
        <v>40645</v>
      </c>
      <c r="AT1088" s="5">
        <v>40712</v>
      </c>
      <c r="AU1088" s="5">
        <v>40704</v>
      </c>
      <c r="AV1088" s="4">
        <v>1</v>
      </c>
      <c r="AW1088" s="5">
        <v>40688</v>
      </c>
      <c r="AX1088" s="5">
        <v>40704</v>
      </c>
      <c r="AY1088" s="4" t="s">
        <v>247</v>
      </c>
      <c r="AZ1088" s="5">
        <v>40632</v>
      </c>
      <c r="BA1088" s="5">
        <v>40630</v>
      </c>
      <c r="BB1088" s="5">
        <v>40678</v>
      </c>
      <c r="BC1088" s="5">
        <v>40676</v>
      </c>
      <c r="BD1088" s="4">
        <v>1</v>
      </c>
      <c r="BE1088" s="5">
        <v>40714</v>
      </c>
      <c r="BF1088" s="5">
        <v>40676</v>
      </c>
      <c r="BG1088" s="5">
        <v>40695</v>
      </c>
      <c r="BH1088" s="5">
        <v>40725</v>
      </c>
      <c r="BI1088" s="5">
        <v>40718</v>
      </c>
      <c r="BJ1088" s="5">
        <v>40735</v>
      </c>
      <c r="BK1088" s="4">
        <v>1</v>
      </c>
      <c r="BL1088" s="4"/>
      <c r="BM1088" s="5">
        <v>40725</v>
      </c>
      <c r="BN1088" s="5">
        <v>40735</v>
      </c>
      <c r="BO1088" s="5">
        <v>40798</v>
      </c>
      <c r="BP1088" s="4"/>
      <c r="BQ1088" s="4"/>
      <c r="BR1088" s="4"/>
      <c r="BS1088" s="4"/>
      <c r="BT1088" s="5">
        <v>40798</v>
      </c>
      <c r="BU1088" s="5">
        <v>40798</v>
      </c>
      <c r="BV1088" s="5">
        <v>40851</v>
      </c>
      <c r="BW1088" s="5">
        <v>40865</v>
      </c>
      <c r="BX1088" s="5">
        <v>40815</v>
      </c>
      <c r="BY1088" s="5">
        <v>40814</v>
      </c>
      <c r="BZ1088" s="5">
        <v>40825</v>
      </c>
      <c r="CA1088" s="4"/>
      <c r="CB1088" s="4"/>
      <c r="CC1088" s="4"/>
      <c r="CD1088" s="4"/>
      <c r="CE1088" s="4"/>
      <c r="CF1088" s="4"/>
      <c r="CG1088" s="4"/>
      <c r="CH1088" s="4"/>
      <c r="CI1088" s="5">
        <v>40826</v>
      </c>
      <c r="CJ1088" s="5">
        <v>40814</v>
      </c>
      <c r="CK1088" s="5">
        <v>40828</v>
      </c>
      <c r="CL1088" s="5">
        <v>40816</v>
      </c>
      <c r="CM1088" s="5">
        <v>40862</v>
      </c>
      <c r="CN1088" s="5">
        <v>40952</v>
      </c>
      <c r="CO1088" s="5">
        <v>41089</v>
      </c>
      <c r="CP1088" s="4"/>
      <c r="CQ1088" s="4" t="s">
        <v>230</v>
      </c>
      <c r="CR1088" s="5">
        <v>40814</v>
      </c>
      <c r="CS1088" s="5">
        <v>40751</v>
      </c>
      <c r="CT1088" s="5">
        <v>40751</v>
      </c>
      <c r="CU1088" s="5">
        <v>40797</v>
      </c>
      <c r="CV1088" s="5">
        <v>40804</v>
      </c>
      <c r="CW1088" s="5">
        <v>40798</v>
      </c>
      <c r="CX1088" s="5">
        <v>40798</v>
      </c>
      <c r="CY1088" s="5">
        <v>40814</v>
      </c>
      <c r="CZ1088" s="5">
        <v>40815</v>
      </c>
      <c r="DA1088" s="4"/>
      <c r="DB1088" s="5">
        <v>40826</v>
      </c>
      <c r="DC1088" s="4"/>
      <c r="DD1088" s="4"/>
      <c r="DE1088" s="4"/>
      <c r="DF1088" s="4"/>
      <c r="DG1088" s="4"/>
      <c r="DH1088" s="4"/>
      <c r="DI1088" s="5">
        <v>40814</v>
      </c>
      <c r="DJ1088" s="4" t="b">
        <v>0</v>
      </c>
      <c r="DK1088" s="4"/>
      <c r="DL1088" s="4">
        <v>2730725</v>
      </c>
      <c r="DM1088" s="4">
        <v>6090302</v>
      </c>
      <c r="DN1088" s="4" t="s">
        <v>3340</v>
      </c>
      <c r="DO1088" s="4"/>
      <c r="DP1088" s="4" t="s">
        <v>3341</v>
      </c>
      <c r="DQ1088" s="4" t="s">
        <v>148</v>
      </c>
      <c r="DR1088" s="4"/>
      <c r="DS1088" s="4"/>
      <c r="DT1088" s="5">
        <v>42101</v>
      </c>
      <c r="DU1088" s="4"/>
      <c r="DV1088" s="4"/>
      <c r="DW1088" s="4"/>
      <c r="DX1088" s="4"/>
      <c r="DY1088" s="4"/>
      <c r="DZ1088" s="4"/>
      <c r="EA1088" s="4"/>
      <c r="EB1088" s="4"/>
      <c r="EC1088" s="4"/>
      <c r="ED1088" s="4"/>
      <c r="EE1088" s="4"/>
      <c r="EF1088" s="4"/>
      <c r="EG1088" s="5">
        <v>40841</v>
      </c>
      <c r="EH1088" s="5">
        <v>40857</v>
      </c>
      <c r="EI1088" s="4"/>
    </row>
    <row r="1089" spans="1:139" hidden="1" x14ac:dyDescent="0.2">
      <c r="A1089">
        <f>VLOOKUP(B1089,Sheet1!$A$1:$B$18,2,FALSE)</f>
        <v>0</v>
      </c>
      <c r="B1089" t="str">
        <f>LEFT(D1089,3)</f>
        <v>MNW</v>
      </c>
      <c r="C1089" s="2">
        <v>1088</v>
      </c>
      <c r="D1089" s="3" t="str">
        <f>HYPERLINK("https://sitebase.nzcomms.co.nz/spm/spmnominalview/MNW-040-007/","MNW-040-007")</f>
        <v>MNW-040-007</v>
      </c>
      <c r="E1089" s="4"/>
      <c r="F1089" s="4"/>
      <c r="G1089" s="4"/>
      <c r="H1089" s="4" t="s">
        <v>3312</v>
      </c>
      <c r="I1089" s="4"/>
      <c r="J1089" s="4" t="s">
        <v>196</v>
      </c>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c r="BT1089" s="4"/>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4"/>
      <c r="CW1089" s="4"/>
      <c r="CX1089" s="4"/>
      <c r="CY1089" s="4"/>
      <c r="CZ1089" s="4"/>
      <c r="DA1089" s="4"/>
      <c r="DB1089" s="4"/>
      <c r="DC1089" s="4"/>
      <c r="DD1089" s="4"/>
      <c r="DE1089" s="4"/>
      <c r="DF1089" s="4"/>
      <c r="DG1089" s="4"/>
      <c r="DH1089" s="4"/>
      <c r="DI1089" s="4"/>
      <c r="DJ1089" s="4"/>
      <c r="DK1089" s="4"/>
      <c r="DL1089" s="4"/>
      <c r="DM1089" s="4"/>
      <c r="DN1089" s="4"/>
      <c r="DO1089" s="4"/>
      <c r="DP1089" s="4"/>
      <c r="DQ1089" s="4"/>
      <c r="DR1089" s="4"/>
      <c r="DS1089" s="4"/>
      <c r="DT1089" s="4"/>
      <c r="DU1089" s="4"/>
      <c r="DV1089" s="4"/>
      <c r="DW1089" s="4"/>
      <c r="DX1089" s="4"/>
      <c r="DY1089" s="4"/>
      <c r="DZ1089" s="4"/>
      <c r="EA1089" s="4"/>
      <c r="EB1089" s="4"/>
      <c r="EC1089" s="4"/>
      <c r="ED1089" s="4"/>
      <c r="EE1089" s="4"/>
      <c r="EF1089" s="4"/>
      <c r="EG1089" s="4"/>
      <c r="EH1089" s="4"/>
      <c r="EI1089" s="4"/>
    </row>
    <row r="1090" spans="1:139" hidden="1" x14ac:dyDescent="0.2">
      <c r="A1090">
        <f>VLOOKUP(B1090,Sheet1!$A$1:$B$18,2,FALSE)</f>
        <v>0</v>
      </c>
      <c r="B1090" t="str">
        <f>LEFT(D1090,3)</f>
        <v>MNW</v>
      </c>
      <c r="C1090" s="2">
        <v>1089</v>
      </c>
      <c r="D1090" s="3" t="str">
        <f>HYPERLINK("https://sitebase.nzcomms.co.nz/spm/spmnominalview/MNW-040-008/","MNW-040-008")</f>
        <v>MNW-040-008</v>
      </c>
      <c r="E1090" s="4" t="s">
        <v>3342</v>
      </c>
      <c r="F1090" s="3" t="str">
        <f>HYPERLINK("https://sitebase.nzcomms.co.nz/spm/spmcandidateview/MNW-040-008-D/","MNW-040-008-D")</f>
        <v>MNW-040-008-D</v>
      </c>
      <c r="G1090" s="4" t="s">
        <v>3343</v>
      </c>
      <c r="H1090" s="4" t="s">
        <v>3312</v>
      </c>
      <c r="I1090" s="4">
        <v>24</v>
      </c>
      <c r="J1090" s="4" t="s">
        <v>331</v>
      </c>
      <c r="K1090" s="4" t="s">
        <v>141</v>
      </c>
      <c r="L1090" s="4" t="s">
        <v>181</v>
      </c>
      <c r="M1090" s="4" t="s">
        <v>166</v>
      </c>
      <c r="N1090" s="4" t="s">
        <v>181</v>
      </c>
      <c r="O1090" s="4"/>
      <c r="P1090" s="4" t="s">
        <v>169</v>
      </c>
      <c r="Q1090" s="4" t="s">
        <v>170</v>
      </c>
      <c r="R1090" s="4"/>
      <c r="S1090" s="4"/>
      <c r="T1090" s="4"/>
      <c r="U1090" s="4">
        <v>-40.385015369999998</v>
      </c>
      <c r="V1090" s="4">
        <v>175.61605112999999</v>
      </c>
      <c r="W1090" s="4"/>
      <c r="X1090" s="4"/>
      <c r="Y1090" s="4"/>
      <c r="Z1090" s="4"/>
      <c r="AA1090" s="4"/>
      <c r="AB1090" s="4"/>
      <c r="AC1090" s="4" t="b">
        <v>0</v>
      </c>
      <c r="AD1090" s="4" t="b">
        <v>0</v>
      </c>
      <c r="AE1090" s="4"/>
      <c r="AF1090" s="4"/>
      <c r="AG1090" s="4" t="b">
        <v>0</v>
      </c>
      <c r="AH1090" s="4"/>
      <c r="AI1090" s="5">
        <v>42327</v>
      </c>
      <c r="AJ1090" s="5">
        <v>42345</v>
      </c>
      <c r="AK1090" s="5">
        <v>42359</v>
      </c>
      <c r="AL1090" s="5">
        <v>42359</v>
      </c>
      <c r="AM1090" s="5">
        <v>42398</v>
      </c>
      <c r="AN1090" s="5">
        <v>42397</v>
      </c>
      <c r="AO1090" s="4">
        <v>1</v>
      </c>
      <c r="AP1090" s="4"/>
      <c r="AQ1090" s="5">
        <v>42397</v>
      </c>
      <c r="AR1090" s="5">
        <v>42433</v>
      </c>
      <c r="AS1090" s="4"/>
      <c r="AT1090" s="5">
        <v>42489</v>
      </c>
      <c r="AU1090" s="4"/>
      <c r="AV1090" s="4"/>
      <c r="AW1090" s="4"/>
      <c r="AX1090" s="4"/>
      <c r="AY1090" s="4" t="s">
        <v>247</v>
      </c>
      <c r="AZ1090" s="5">
        <v>42447</v>
      </c>
      <c r="BA1090" s="5">
        <v>42401</v>
      </c>
      <c r="BB1090" s="5">
        <v>42482</v>
      </c>
      <c r="BC1090" s="4"/>
      <c r="BD1090" s="4">
        <v>1</v>
      </c>
      <c r="BE1090" s="4"/>
      <c r="BF1090" s="4"/>
      <c r="BG1090" s="5">
        <v>42461</v>
      </c>
      <c r="BH1090" s="4"/>
      <c r="BI1090" s="5">
        <v>42489</v>
      </c>
      <c r="BJ1090" s="4"/>
      <c r="BK1090" s="4"/>
      <c r="BL1090" s="4"/>
      <c r="BM1090" s="4"/>
      <c r="BN1090" s="4"/>
      <c r="BO1090" s="4"/>
      <c r="BP1090" s="4"/>
      <c r="BQ1090" s="4"/>
      <c r="BR1090" s="4"/>
      <c r="BS1090" s="4"/>
      <c r="BT1090" s="5">
        <v>42524</v>
      </c>
      <c r="BU1090" s="4"/>
      <c r="BV1090" s="5">
        <v>42551</v>
      </c>
      <c r="BW1090" s="4"/>
      <c r="BX1090" s="4"/>
      <c r="BY1090" s="5">
        <v>42566</v>
      </c>
      <c r="BZ1090" s="4"/>
      <c r="CA1090" s="4"/>
      <c r="CB1090" s="4"/>
      <c r="CC1090" s="4"/>
      <c r="CD1090" s="4"/>
      <c r="CE1090" s="4"/>
      <c r="CF1090" s="4"/>
      <c r="CG1090" s="4"/>
      <c r="CH1090" s="4"/>
      <c r="CI1090" s="4"/>
      <c r="CJ1090" s="5">
        <v>42594</v>
      </c>
      <c r="CK1090" s="4"/>
      <c r="CL1090" s="4"/>
      <c r="CM1090" s="4"/>
      <c r="CN1090" s="4"/>
      <c r="CO1090" s="4"/>
      <c r="CP1090" s="4"/>
      <c r="CQ1090" s="4"/>
      <c r="CR1090" s="4"/>
      <c r="CS1090" s="4"/>
      <c r="CT1090" s="4"/>
      <c r="CU1090" s="4"/>
      <c r="CV1090" s="4"/>
      <c r="CW1090" s="4"/>
      <c r="CX1090" s="4"/>
      <c r="CY1090" s="4"/>
      <c r="CZ1090" s="4"/>
      <c r="DA1090" s="5">
        <v>42580</v>
      </c>
      <c r="DB1090" s="4"/>
      <c r="DC1090" s="5">
        <v>42405</v>
      </c>
      <c r="DD1090" s="4" t="s">
        <v>586</v>
      </c>
      <c r="DE1090" s="4"/>
      <c r="DF1090" s="4"/>
      <c r="DG1090" s="4"/>
      <c r="DH1090" s="4" t="s">
        <v>174</v>
      </c>
      <c r="DI1090" s="4"/>
      <c r="DJ1090" s="4" t="b">
        <v>0</v>
      </c>
      <c r="DK1090" s="4"/>
      <c r="DL1090" s="4">
        <v>2732070</v>
      </c>
      <c r="DM1090" s="4">
        <v>6087928</v>
      </c>
      <c r="DN1090" s="4"/>
      <c r="DO1090" s="4"/>
      <c r="DP1090" s="4"/>
      <c r="DQ1090" s="4" t="s">
        <v>148</v>
      </c>
      <c r="DR1090" s="4"/>
      <c r="DS1090" s="4"/>
      <c r="DT1090" s="4"/>
      <c r="DU1090" s="4" t="s">
        <v>178</v>
      </c>
      <c r="DV1090" s="4"/>
      <c r="DW1090" s="4"/>
      <c r="DX1090" s="4"/>
      <c r="DY1090" s="5">
        <v>42496</v>
      </c>
      <c r="DZ1090" s="4"/>
      <c r="EA1090" s="4"/>
      <c r="EB1090" s="4"/>
      <c r="EC1090" s="4"/>
      <c r="ED1090" s="4"/>
      <c r="EE1090" s="5">
        <v>42521</v>
      </c>
      <c r="EF1090" s="4"/>
      <c r="EG1090" s="4"/>
      <c r="EH1090" s="4"/>
      <c r="EI1090" s="5">
        <v>42359</v>
      </c>
    </row>
    <row r="1091" spans="1:139" hidden="1" x14ac:dyDescent="0.2">
      <c r="A1091">
        <f>VLOOKUP(B1091,Sheet1!$A$1:$B$18,2,FALSE)</f>
        <v>0</v>
      </c>
      <c r="B1091" t="str">
        <f>LEFT(D1091,3)</f>
        <v>MNW</v>
      </c>
      <c r="C1091" s="2">
        <v>1090</v>
      </c>
      <c r="D1091" s="3" t="str">
        <f>HYPERLINK("https://sitebase.nzcomms.co.nz/spm/spmnominalview/MNW-040-009/","MNW-040-009")</f>
        <v>MNW-040-009</v>
      </c>
      <c r="E1091" s="4" t="s">
        <v>3344</v>
      </c>
      <c r="F1091" s="3" t="str">
        <f>HYPERLINK("https://sitebase.nzcomms.co.nz/spm/spmcandidateview/MNW-040-009-B/","MNW-040-009-B")</f>
        <v>MNW-040-009-B</v>
      </c>
      <c r="G1091" s="4" t="s">
        <v>3345</v>
      </c>
      <c r="H1091" s="4" t="s">
        <v>3312</v>
      </c>
      <c r="I1091" s="4">
        <v>6</v>
      </c>
      <c r="J1091" s="4" t="s">
        <v>1633</v>
      </c>
      <c r="K1091" s="4" t="s">
        <v>141</v>
      </c>
      <c r="L1091" s="4" t="s">
        <v>142</v>
      </c>
      <c r="M1091" s="4" t="s">
        <v>190</v>
      </c>
      <c r="N1091" s="4" t="s">
        <v>142</v>
      </c>
      <c r="O1091" s="4" t="s">
        <v>3256</v>
      </c>
      <c r="P1091" s="4" t="s">
        <v>169</v>
      </c>
      <c r="Q1091" s="4" t="s">
        <v>142</v>
      </c>
      <c r="R1091" s="4">
        <v>23.6</v>
      </c>
      <c r="S1091" s="4">
        <v>25</v>
      </c>
      <c r="T1091" s="4">
        <v>1</v>
      </c>
      <c r="U1091" s="4">
        <v>-40.410085070000001</v>
      </c>
      <c r="V1091" s="4">
        <v>175.58114472</v>
      </c>
      <c r="W1091" s="4"/>
      <c r="X1091" s="5">
        <v>40423</v>
      </c>
      <c r="Y1091" s="4"/>
      <c r="Z1091" s="5">
        <v>40221</v>
      </c>
      <c r="AA1091" s="4" t="s">
        <v>171</v>
      </c>
      <c r="AB1091" s="3" t="str">
        <f>HYPERLINK("https://sitebase.nzcomms.co.nz/spm/spmcandidateview/MNW-042-002-B/","MNW-042-002-B")</f>
        <v>MNW-042-002-B</v>
      </c>
      <c r="AC1091" s="4" t="b">
        <v>1</v>
      </c>
      <c r="AD1091" s="4" t="b">
        <v>1</v>
      </c>
      <c r="AE1091" s="5">
        <v>40576</v>
      </c>
      <c r="AF1091" s="4"/>
      <c r="AG1091" s="4" t="b">
        <v>0</v>
      </c>
      <c r="AH1091" s="4" t="s">
        <v>3346</v>
      </c>
      <c r="AI1091" s="5">
        <v>40591</v>
      </c>
      <c r="AJ1091" s="5">
        <v>40591</v>
      </c>
      <c r="AK1091" s="5">
        <v>40596</v>
      </c>
      <c r="AL1091" s="5">
        <v>40596</v>
      </c>
      <c r="AM1091" s="5">
        <v>40613</v>
      </c>
      <c r="AN1091" s="5">
        <v>40616</v>
      </c>
      <c r="AO1091" s="4">
        <v>1</v>
      </c>
      <c r="AP1091" s="5">
        <v>40609</v>
      </c>
      <c r="AQ1091" s="5">
        <v>40616</v>
      </c>
      <c r="AR1091" s="5">
        <v>40683</v>
      </c>
      <c r="AS1091" s="5">
        <v>40680</v>
      </c>
      <c r="AT1091" s="5">
        <v>40704</v>
      </c>
      <c r="AU1091" s="5">
        <v>40732</v>
      </c>
      <c r="AV1091" s="4">
        <v>1</v>
      </c>
      <c r="AW1091" s="5">
        <v>40714</v>
      </c>
      <c r="AX1091" s="5">
        <v>40732</v>
      </c>
      <c r="AY1091" s="4" t="s">
        <v>247</v>
      </c>
      <c r="AZ1091" s="5">
        <v>40620</v>
      </c>
      <c r="BA1091" s="5">
        <v>40616</v>
      </c>
      <c r="BB1091" s="5">
        <v>40662</v>
      </c>
      <c r="BC1091" s="5">
        <v>40652</v>
      </c>
      <c r="BD1091" s="4">
        <v>1</v>
      </c>
      <c r="BE1091" s="5">
        <v>40719</v>
      </c>
      <c r="BF1091" s="5">
        <v>40652</v>
      </c>
      <c r="BG1091" s="5">
        <v>40695</v>
      </c>
      <c r="BH1091" s="4"/>
      <c r="BI1091" s="5">
        <v>40728</v>
      </c>
      <c r="BJ1091" s="5">
        <v>40743</v>
      </c>
      <c r="BK1091" s="4">
        <v>2</v>
      </c>
      <c r="BL1091" s="4">
        <v>1</v>
      </c>
      <c r="BM1091" s="5">
        <v>40732</v>
      </c>
      <c r="BN1091" s="5">
        <v>40745</v>
      </c>
      <c r="BO1091" s="5">
        <v>40786</v>
      </c>
      <c r="BP1091" s="4"/>
      <c r="BQ1091" s="4"/>
      <c r="BR1091" s="4"/>
      <c r="BS1091" s="4"/>
      <c r="BT1091" s="5">
        <v>40784</v>
      </c>
      <c r="BU1091" s="5">
        <v>40784</v>
      </c>
      <c r="BV1091" s="5">
        <v>40863</v>
      </c>
      <c r="BW1091" s="5">
        <v>40863</v>
      </c>
      <c r="BX1091" s="5">
        <v>40794</v>
      </c>
      <c r="BY1091" s="5">
        <v>40864</v>
      </c>
      <c r="BZ1091" s="5">
        <v>40864</v>
      </c>
      <c r="CA1091" s="4"/>
      <c r="CB1091" s="4"/>
      <c r="CC1091" s="4"/>
      <c r="CD1091" s="4"/>
      <c r="CE1091" s="4"/>
      <c r="CF1091" s="4"/>
      <c r="CG1091" s="4"/>
      <c r="CH1091" s="4"/>
      <c r="CI1091" s="5">
        <v>40881</v>
      </c>
      <c r="CJ1091" s="5">
        <v>40886</v>
      </c>
      <c r="CK1091" s="5">
        <v>40885</v>
      </c>
      <c r="CL1091" s="5">
        <v>40878</v>
      </c>
      <c r="CM1091" s="5">
        <v>40896</v>
      </c>
      <c r="CN1091" s="5">
        <v>40987</v>
      </c>
      <c r="CO1091" s="5">
        <v>41089</v>
      </c>
      <c r="CP1091" s="4" t="s">
        <v>3347</v>
      </c>
      <c r="CQ1091" s="4" t="s">
        <v>230</v>
      </c>
      <c r="CR1091" s="5">
        <v>40879</v>
      </c>
      <c r="CS1091" s="5">
        <v>40732</v>
      </c>
      <c r="CT1091" s="5">
        <v>40751</v>
      </c>
      <c r="CU1091" s="5">
        <v>40797</v>
      </c>
      <c r="CV1091" s="5">
        <v>40834</v>
      </c>
      <c r="CW1091" s="5">
        <v>40790</v>
      </c>
      <c r="CX1091" s="5">
        <v>40786</v>
      </c>
      <c r="CY1091" s="5">
        <v>40844</v>
      </c>
      <c r="CZ1091" s="5">
        <v>40844</v>
      </c>
      <c r="DA1091" s="4"/>
      <c r="DB1091" s="5">
        <v>40882</v>
      </c>
      <c r="DC1091" s="4"/>
      <c r="DD1091" s="4"/>
      <c r="DE1091" s="4"/>
      <c r="DF1091" s="4"/>
      <c r="DG1091" s="4"/>
      <c r="DH1091" s="4"/>
      <c r="DI1091" s="5">
        <v>40794</v>
      </c>
      <c r="DJ1091" s="4" t="b">
        <v>0</v>
      </c>
      <c r="DK1091" s="4"/>
      <c r="DL1091" s="4">
        <v>2729026</v>
      </c>
      <c r="DM1091" s="4">
        <v>6085233</v>
      </c>
      <c r="DN1091" s="4" t="s">
        <v>3348</v>
      </c>
      <c r="DO1091" s="4"/>
      <c r="DP1091" s="4" t="s">
        <v>3349</v>
      </c>
      <c r="DQ1091" s="4" t="s">
        <v>148</v>
      </c>
      <c r="DR1091" s="4"/>
      <c r="DS1091" s="4"/>
      <c r="DT1091" s="5">
        <v>42101</v>
      </c>
      <c r="DU1091" s="4"/>
      <c r="DV1091" s="4"/>
      <c r="DW1091" s="4"/>
      <c r="DX1091" s="4"/>
      <c r="DY1091" s="4"/>
      <c r="DZ1091" s="4"/>
      <c r="EA1091" s="4"/>
      <c r="EB1091" s="4"/>
      <c r="EC1091" s="4"/>
      <c r="ED1091" s="4"/>
      <c r="EE1091" s="4"/>
      <c r="EF1091" s="4"/>
      <c r="EG1091" s="5">
        <v>40884</v>
      </c>
      <c r="EH1091" s="5">
        <v>40882</v>
      </c>
      <c r="EI1091" s="5">
        <v>40596</v>
      </c>
    </row>
    <row r="1092" spans="1:139" hidden="1" x14ac:dyDescent="0.2">
      <c r="A1092">
        <f>VLOOKUP(B1092,Sheet1!$A$1:$B$18,2,FALSE)</f>
        <v>0</v>
      </c>
      <c r="B1092" t="str">
        <f>LEFT(D1092,3)</f>
        <v>MNW</v>
      </c>
      <c r="C1092" s="2">
        <v>1091</v>
      </c>
      <c r="D1092" s="3" t="str">
        <f>HYPERLINK("https://sitebase.nzcomms.co.nz/spm/spmnominalview/MNW-040-010/","MNW-040-010")</f>
        <v>MNW-040-010</v>
      </c>
      <c r="E1092" s="4" t="s">
        <v>3350</v>
      </c>
      <c r="F1092" s="3" t="str">
        <f>HYPERLINK("https://sitebase.nzcomms.co.nz/spm/spmcandidateview/MNW-040-010-A/","MNW-040-010-A")</f>
        <v>MNW-040-010-A</v>
      </c>
      <c r="G1092" s="4" t="s">
        <v>3351</v>
      </c>
      <c r="H1092" s="4" t="s">
        <v>3312</v>
      </c>
      <c r="I1092" s="4">
        <v>6</v>
      </c>
      <c r="J1092" s="4" t="s">
        <v>1633</v>
      </c>
      <c r="K1092" s="4" t="s">
        <v>141</v>
      </c>
      <c r="L1092" s="4" t="s">
        <v>142</v>
      </c>
      <c r="M1092" s="4" t="s">
        <v>190</v>
      </c>
      <c r="N1092" s="4" t="s">
        <v>142</v>
      </c>
      <c r="O1092" s="4" t="s">
        <v>144</v>
      </c>
      <c r="P1092" s="4" t="s">
        <v>169</v>
      </c>
      <c r="Q1092" s="4" t="s">
        <v>142</v>
      </c>
      <c r="R1092" s="4">
        <v>22.5</v>
      </c>
      <c r="S1092" s="4">
        <v>23</v>
      </c>
      <c r="T1092" s="4">
        <v>1</v>
      </c>
      <c r="U1092" s="4">
        <v>-40.346480030000002</v>
      </c>
      <c r="V1092" s="4">
        <v>175.62587302</v>
      </c>
      <c r="W1092" s="4"/>
      <c r="X1092" s="5">
        <v>40423</v>
      </c>
      <c r="Y1092" s="4"/>
      <c r="Z1092" s="5">
        <v>40221</v>
      </c>
      <c r="AA1092" s="4" t="s">
        <v>171</v>
      </c>
      <c r="AB1092" s="3" t="str">
        <f>HYPERLINK("https://sitebase.nzcomms.co.nz/spm/spmcandidateview/MNW-040-003-B/","MNW-040-003-B")</f>
        <v>MNW-040-003-B</v>
      </c>
      <c r="AC1092" s="4" t="b">
        <v>1</v>
      </c>
      <c r="AD1092" s="4" t="b">
        <v>1</v>
      </c>
      <c r="AE1092" s="5">
        <v>40576</v>
      </c>
      <c r="AF1092" s="4"/>
      <c r="AG1092" s="4" t="b">
        <v>0</v>
      </c>
      <c r="AH1092" s="4"/>
      <c r="AI1092" s="5">
        <v>40591</v>
      </c>
      <c r="AJ1092" s="5">
        <v>40591</v>
      </c>
      <c r="AK1092" s="5">
        <v>40596</v>
      </c>
      <c r="AL1092" s="5">
        <v>40596</v>
      </c>
      <c r="AM1092" s="5">
        <v>40613</v>
      </c>
      <c r="AN1092" s="5">
        <v>40616</v>
      </c>
      <c r="AO1092" s="4">
        <v>1</v>
      </c>
      <c r="AP1092" s="5">
        <v>40609</v>
      </c>
      <c r="AQ1092" s="5">
        <v>40616</v>
      </c>
      <c r="AR1092" s="5">
        <v>40648</v>
      </c>
      <c r="AS1092" s="5">
        <v>40648</v>
      </c>
      <c r="AT1092" s="5">
        <v>40713</v>
      </c>
      <c r="AU1092" s="5">
        <v>40718</v>
      </c>
      <c r="AV1092" s="4">
        <v>1</v>
      </c>
      <c r="AW1092" s="5">
        <v>40714</v>
      </c>
      <c r="AX1092" s="5">
        <v>40732</v>
      </c>
      <c r="AY1092" s="4" t="s">
        <v>247</v>
      </c>
      <c r="AZ1092" s="5">
        <v>40620</v>
      </c>
      <c r="BA1092" s="5">
        <v>40616</v>
      </c>
      <c r="BB1092" s="5">
        <v>40662</v>
      </c>
      <c r="BC1092" s="5">
        <v>40644</v>
      </c>
      <c r="BD1092" s="4">
        <v>1</v>
      </c>
      <c r="BE1092" s="5">
        <v>40718</v>
      </c>
      <c r="BF1092" s="5">
        <v>40644</v>
      </c>
      <c r="BG1092" s="4"/>
      <c r="BH1092" s="4"/>
      <c r="BI1092" s="5">
        <v>40718</v>
      </c>
      <c r="BJ1092" s="5">
        <v>40735</v>
      </c>
      <c r="BK1092" s="4">
        <v>2</v>
      </c>
      <c r="BL1092" s="4">
        <v>1</v>
      </c>
      <c r="BM1092" s="5">
        <v>40725</v>
      </c>
      <c r="BN1092" s="5">
        <v>40745</v>
      </c>
      <c r="BO1092" s="5">
        <v>40798</v>
      </c>
      <c r="BP1092" s="4"/>
      <c r="BQ1092" s="4"/>
      <c r="BR1092" s="4"/>
      <c r="BS1092" s="4"/>
      <c r="BT1092" s="5">
        <v>40798</v>
      </c>
      <c r="BU1092" s="5">
        <v>40798</v>
      </c>
      <c r="BV1092" s="5">
        <v>40840</v>
      </c>
      <c r="BW1092" s="5">
        <v>40865</v>
      </c>
      <c r="BX1092" s="5">
        <v>40814</v>
      </c>
      <c r="BY1092" s="5">
        <v>40814</v>
      </c>
      <c r="BZ1092" s="5">
        <v>40817</v>
      </c>
      <c r="CA1092" s="4"/>
      <c r="CB1092" s="4"/>
      <c r="CC1092" s="4"/>
      <c r="CD1092" s="4"/>
      <c r="CE1092" s="4"/>
      <c r="CF1092" s="4"/>
      <c r="CG1092" s="4"/>
      <c r="CH1092" s="4"/>
      <c r="CI1092" s="5">
        <v>40823</v>
      </c>
      <c r="CJ1092" s="5">
        <v>40814</v>
      </c>
      <c r="CK1092" s="5">
        <v>40828</v>
      </c>
      <c r="CL1092" s="5">
        <v>40816</v>
      </c>
      <c r="CM1092" s="5">
        <v>40862</v>
      </c>
      <c r="CN1092" s="5">
        <v>40952</v>
      </c>
      <c r="CO1092" s="5">
        <v>41089</v>
      </c>
      <c r="CP1092" s="4" t="s">
        <v>3352</v>
      </c>
      <c r="CQ1092" s="4" t="s">
        <v>230</v>
      </c>
      <c r="CR1092" s="5">
        <v>40814</v>
      </c>
      <c r="CS1092" s="5">
        <v>40751</v>
      </c>
      <c r="CT1092" s="5">
        <v>40751</v>
      </c>
      <c r="CU1092" s="5">
        <v>40797</v>
      </c>
      <c r="CV1092" s="5">
        <v>40804</v>
      </c>
      <c r="CW1092" s="5">
        <v>40798</v>
      </c>
      <c r="CX1092" s="5">
        <v>40798</v>
      </c>
      <c r="CY1092" s="5">
        <v>40813</v>
      </c>
      <c r="CZ1092" s="5">
        <v>40815</v>
      </c>
      <c r="DA1092" s="4"/>
      <c r="DB1092" s="5">
        <v>40826</v>
      </c>
      <c r="DC1092" s="4"/>
      <c r="DD1092" s="4"/>
      <c r="DE1092" s="4"/>
      <c r="DF1092" s="4"/>
      <c r="DG1092" s="4"/>
      <c r="DH1092" s="4"/>
      <c r="DI1092" s="5">
        <v>40813</v>
      </c>
      <c r="DJ1092" s="4" t="b">
        <v>0</v>
      </c>
      <c r="DK1092" s="4"/>
      <c r="DL1092" s="4">
        <v>2733031</v>
      </c>
      <c r="DM1092" s="4">
        <v>6092180</v>
      </c>
      <c r="DN1092" s="4" t="s">
        <v>3353</v>
      </c>
      <c r="DO1092" s="4"/>
      <c r="DP1092" s="4" t="s">
        <v>3354</v>
      </c>
      <c r="DQ1092" s="4" t="s">
        <v>148</v>
      </c>
      <c r="DR1092" s="4"/>
      <c r="DS1092" s="4"/>
      <c r="DT1092" s="5">
        <v>42101</v>
      </c>
      <c r="DU1092" s="4"/>
      <c r="DV1092" s="4"/>
      <c r="DW1092" s="4"/>
      <c r="DX1092" s="4"/>
      <c r="DY1092" s="4"/>
      <c r="DZ1092" s="4"/>
      <c r="EA1092" s="4"/>
      <c r="EB1092" s="4"/>
      <c r="EC1092" s="4"/>
      <c r="ED1092" s="4"/>
      <c r="EE1092" s="4"/>
      <c r="EF1092" s="4"/>
      <c r="EG1092" s="5">
        <v>40841</v>
      </c>
      <c r="EH1092" s="5">
        <v>40858</v>
      </c>
      <c r="EI1092" s="5">
        <v>40596</v>
      </c>
    </row>
    <row r="1093" spans="1:139" hidden="1" x14ac:dyDescent="0.2">
      <c r="A1093">
        <f>VLOOKUP(B1093,Sheet1!$A$1:$B$18,2,FALSE)</f>
        <v>0</v>
      </c>
      <c r="B1093" t="str">
        <f>LEFT(D1093,3)</f>
        <v>MNW</v>
      </c>
      <c r="C1093" s="2">
        <v>1092</v>
      </c>
      <c r="D1093" s="3" t="str">
        <f>HYPERLINK("https://sitebase.nzcomms.co.nz/spm/spmnominalview/MNW-040-011/","MNW-040-011")</f>
        <v>MNW-040-011</v>
      </c>
      <c r="E1093" s="4" t="s">
        <v>3355</v>
      </c>
      <c r="F1093" s="3" t="str">
        <f>HYPERLINK("https://sitebase.nzcomms.co.nz/spm/spmcandidateview/MNW-040-011-B/","MNW-040-011-B")</f>
        <v>MNW-040-011-B</v>
      </c>
      <c r="G1093" s="4" t="s">
        <v>3356</v>
      </c>
      <c r="H1093" s="4" t="s">
        <v>3312</v>
      </c>
      <c r="I1093" s="4">
        <v>6</v>
      </c>
      <c r="J1093" s="4" t="s">
        <v>1633</v>
      </c>
      <c r="K1093" s="4" t="s">
        <v>141</v>
      </c>
      <c r="L1093" s="4" t="s">
        <v>150</v>
      </c>
      <c r="M1093" s="4" t="s">
        <v>190</v>
      </c>
      <c r="N1093" s="4" t="s">
        <v>291</v>
      </c>
      <c r="O1093" s="4" t="s">
        <v>144</v>
      </c>
      <c r="P1093" s="4" t="s">
        <v>169</v>
      </c>
      <c r="Q1093" s="4" t="s">
        <v>192</v>
      </c>
      <c r="R1093" s="4">
        <v>19.5</v>
      </c>
      <c r="S1093" s="4">
        <v>20</v>
      </c>
      <c r="T1093" s="4">
        <v>1</v>
      </c>
      <c r="U1093" s="4">
        <v>-40.342669370000003</v>
      </c>
      <c r="V1093" s="4">
        <v>175.60202039999999</v>
      </c>
      <c r="W1093" s="4"/>
      <c r="X1093" s="5">
        <v>40423</v>
      </c>
      <c r="Y1093" s="4"/>
      <c r="Z1093" s="5">
        <v>40221</v>
      </c>
      <c r="AA1093" s="4" t="s">
        <v>171</v>
      </c>
      <c r="AB1093" s="3" t="str">
        <f>HYPERLINK("https://sitebase.nzcomms.co.nz/spm/spmcandidateview/MNW-040-003-B/","MNW-040-003-B")</f>
        <v>MNW-040-003-B</v>
      </c>
      <c r="AC1093" s="4" t="b">
        <v>1</v>
      </c>
      <c r="AD1093" s="4" t="b">
        <v>1</v>
      </c>
      <c r="AE1093" s="5">
        <v>40588</v>
      </c>
      <c r="AF1093" s="4"/>
      <c r="AG1093" s="4" t="b">
        <v>0</v>
      </c>
      <c r="AH1093" s="4" t="s">
        <v>3328</v>
      </c>
      <c r="AI1093" s="5">
        <v>40619</v>
      </c>
      <c r="AJ1093" s="5">
        <v>40591</v>
      </c>
      <c r="AK1093" s="5">
        <v>40602</v>
      </c>
      <c r="AL1093" s="5">
        <v>40602</v>
      </c>
      <c r="AM1093" s="5">
        <v>40623</v>
      </c>
      <c r="AN1093" s="5">
        <v>40625</v>
      </c>
      <c r="AO1093" s="4">
        <v>1</v>
      </c>
      <c r="AP1093" s="5">
        <v>40640</v>
      </c>
      <c r="AQ1093" s="5">
        <v>40625</v>
      </c>
      <c r="AR1093" s="5">
        <v>40675</v>
      </c>
      <c r="AS1093" s="5">
        <v>40645</v>
      </c>
      <c r="AT1093" s="5">
        <v>40706</v>
      </c>
      <c r="AU1093" s="5">
        <v>40680</v>
      </c>
      <c r="AV1093" s="4"/>
      <c r="AW1093" s="5">
        <v>40688</v>
      </c>
      <c r="AX1093" s="5">
        <v>40680</v>
      </c>
      <c r="AY1093" s="4" t="s">
        <v>172</v>
      </c>
      <c r="AZ1093" s="5">
        <v>40632</v>
      </c>
      <c r="BA1093" s="5">
        <v>40630</v>
      </c>
      <c r="BB1093" s="5">
        <v>40668</v>
      </c>
      <c r="BC1093" s="5">
        <v>40652</v>
      </c>
      <c r="BD1093" s="4">
        <v>1</v>
      </c>
      <c r="BE1093" s="5">
        <v>40688</v>
      </c>
      <c r="BF1093" s="5">
        <v>40652</v>
      </c>
      <c r="BG1093" s="5">
        <v>40695</v>
      </c>
      <c r="BH1093" s="5">
        <v>40725</v>
      </c>
      <c r="BI1093" s="5">
        <v>40718</v>
      </c>
      <c r="BJ1093" s="5">
        <v>40736</v>
      </c>
      <c r="BK1093" s="4">
        <v>1</v>
      </c>
      <c r="BL1093" s="4"/>
      <c r="BM1093" s="5">
        <v>40725</v>
      </c>
      <c r="BN1093" s="5">
        <v>40736</v>
      </c>
      <c r="BO1093" s="5">
        <v>40785</v>
      </c>
      <c r="BP1093" s="4"/>
      <c r="BQ1093" s="4"/>
      <c r="BR1093" s="4"/>
      <c r="BS1093" s="4"/>
      <c r="BT1093" s="5">
        <v>40790</v>
      </c>
      <c r="BU1093" s="5">
        <v>40765</v>
      </c>
      <c r="BV1093" s="5">
        <v>40770</v>
      </c>
      <c r="BW1093" s="5">
        <v>40770</v>
      </c>
      <c r="BX1093" s="5">
        <v>40789</v>
      </c>
      <c r="BY1093" s="5">
        <v>40805</v>
      </c>
      <c r="BZ1093" s="5">
        <v>40805</v>
      </c>
      <c r="CA1093" s="4"/>
      <c r="CB1093" s="4"/>
      <c r="CC1093" s="4"/>
      <c r="CD1093" s="4"/>
      <c r="CE1093" s="4"/>
      <c r="CF1093" s="4"/>
      <c r="CG1093" s="4"/>
      <c r="CH1093" s="4"/>
      <c r="CI1093" s="5">
        <v>40815</v>
      </c>
      <c r="CJ1093" s="5">
        <v>40814</v>
      </c>
      <c r="CK1093" s="5">
        <v>40828</v>
      </c>
      <c r="CL1093" s="5">
        <v>40816</v>
      </c>
      <c r="CM1093" s="5">
        <v>40862</v>
      </c>
      <c r="CN1093" s="5">
        <v>40952</v>
      </c>
      <c r="CO1093" s="5">
        <v>41089</v>
      </c>
      <c r="CP1093" s="4"/>
      <c r="CQ1093" s="4"/>
      <c r="CR1093" s="5">
        <v>40813</v>
      </c>
      <c r="CS1093" s="5">
        <v>40751</v>
      </c>
      <c r="CT1093" s="5">
        <v>40751</v>
      </c>
      <c r="CU1093" s="5">
        <v>40797</v>
      </c>
      <c r="CV1093" s="5">
        <v>40804</v>
      </c>
      <c r="CW1093" s="5">
        <v>40779</v>
      </c>
      <c r="CX1093" s="5">
        <v>40785</v>
      </c>
      <c r="CY1093" s="5">
        <v>40800</v>
      </c>
      <c r="CZ1093" s="5">
        <v>40802</v>
      </c>
      <c r="DA1093" s="4"/>
      <c r="DB1093" s="5">
        <v>40826</v>
      </c>
      <c r="DC1093" s="4"/>
      <c r="DD1093" s="4"/>
      <c r="DE1093" s="4"/>
      <c r="DF1093" s="4"/>
      <c r="DG1093" s="4"/>
      <c r="DH1093" s="4"/>
      <c r="DI1093" s="5">
        <v>40789</v>
      </c>
      <c r="DJ1093" s="4" t="b">
        <v>0</v>
      </c>
      <c r="DK1093" s="4"/>
      <c r="DL1093" s="4">
        <v>2731018</v>
      </c>
      <c r="DM1093" s="4">
        <v>6092663</v>
      </c>
      <c r="DN1093" s="4" t="s">
        <v>3357</v>
      </c>
      <c r="DO1093" s="4"/>
      <c r="DP1093" s="4" t="s">
        <v>3358</v>
      </c>
      <c r="DQ1093" s="4" t="s">
        <v>148</v>
      </c>
      <c r="DR1093" s="4"/>
      <c r="DS1093" s="4"/>
      <c r="DT1093" s="5">
        <v>42101</v>
      </c>
      <c r="DU1093" s="4"/>
      <c r="DV1093" s="4"/>
      <c r="DW1093" s="4"/>
      <c r="DX1093" s="4"/>
      <c r="DY1093" s="4"/>
      <c r="DZ1093" s="4"/>
      <c r="EA1093" s="4"/>
      <c r="EB1093" s="4"/>
      <c r="EC1093" s="4"/>
      <c r="ED1093" s="4"/>
      <c r="EE1093" s="4"/>
      <c r="EF1093" s="4"/>
      <c r="EG1093" s="5">
        <v>40841</v>
      </c>
      <c r="EH1093" s="5">
        <v>40857</v>
      </c>
      <c r="EI1093" s="5">
        <v>40598</v>
      </c>
    </row>
    <row r="1094" spans="1:139" hidden="1" x14ac:dyDescent="0.2">
      <c r="A1094">
        <f>VLOOKUP(B1094,Sheet1!$A$1:$B$18,2,FALSE)</f>
        <v>0</v>
      </c>
      <c r="B1094" t="str">
        <f>LEFT(D1094,3)</f>
        <v>MNW</v>
      </c>
      <c r="C1094" s="2">
        <v>1093</v>
      </c>
      <c r="D1094" s="3" t="str">
        <f>HYPERLINK("https://sitebase.nzcomms.co.nz/spm/spmnominalview/MNW-040-012/","MNW-040-012")</f>
        <v>MNW-040-012</v>
      </c>
      <c r="E1094" s="4" t="s">
        <v>3359</v>
      </c>
      <c r="F1094" s="3" t="str">
        <f>HYPERLINK("https://sitebase.nzcomms.co.nz/spm/spmcandidateview/MNW-040-012-E/","MNW-040-012-E")</f>
        <v>MNW-040-012-E</v>
      </c>
      <c r="G1094" s="4" t="s">
        <v>3360</v>
      </c>
      <c r="H1094" s="4" t="s">
        <v>3312</v>
      </c>
      <c r="I1094" s="4">
        <v>6</v>
      </c>
      <c r="J1094" s="4" t="s">
        <v>1633</v>
      </c>
      <c r="K1094" s="4" t="s">
        <v>141</v>
      </c>
      <c r="L1094" s="4" t="s">
        <v>189</v>
      </c>
      <c r="M1094" s="4" t="s">
        <v>190</v>
      </c>
      <c r="N1094" s="4" t="s">
        <v>274</v>
      </c>
      <c r="O1094" s="4"/>
      <c r="P1094" s="4" t="s">
        <v>169</v>
      </c>
      <c r="Q1094" s="4" t="s">
        <v>192</v>
      </c>
      <c r="R1094" s="4"/>
      <c r="S1094" s="4"/>
      <c r="T1094" s="4">
        <v>2</v>
      </c>
      <c r="U1094" s="4">
        <v>-40.362573879999999</v>
      </c>
      <c r="V1094" s="4">
        <v>175.63370861999999</v>
      </c>
      <c r="W1094" s="4"/>
      <c r="X1094" s="5">
        <v>40423</v>
      </c>
      <c r="Y1094" s="4"/>
      <c r="Z1094" s="5">
        <v>40221</v>
      </c>
      <c r="AA1094" s="4"/>
      <c r="AB1094" s="4"/>
      <c r="AC1094" s="4" t="b">
        <v>1</v>
      </c>
      <c r="AD1094" s="4" t="b">
        <v>1</v>
      </c>
      <c r="AE1094" s="5">
        <v>40604</v>
      </c>
      <c r="AF1094" s="4"/>
      <c r="AG1094" s="4" t="b">
        <v>0</v>
      </c>
      <c r="AH1094" s="4"/>
      <c r="AI1094" s="5">
        <v>40668</v>
      </c>
      <c r="AJ1094" s="5">
        <v>41004</v>
      </c>
      <c r="AK1094" s="5">
        <v>40673</v>
      </c>
      <c r="AL1094" s="5">
        <v>41026</v>
      </c>
      <c r="AM1094" s="5">
        <v>41039</v>
      </c>
      <c r="AN1094" s="5">
        <v>41094</v>
      </c>
      <c r="AO1094" s="4">
        <v>2</v>
      </c>
      <c r="AP1094" s="5">
        <v>41043</v>
      </c>
      <c r="AQ1094" s="5">
        <v>41967</v>
      </c>
      <c r="AR1094" s="5">
        <v>40720</v>
      </c>
      <c r="AS1094" s="5">
        <v>41075</v>
      </c>
      <c r="AT1094" s="5">
        <v>40750</v>
      </c>
      <c r="AU1094" s="5">
        <v>41123</v>
      </c>
      <c r="AV1094" s="4">
        <v>1</v>
      </c>
      <c r="AW1094" s="5">
        <v>40755</v>
      </c>
      <c r="AX1094" s="5">
        <v>41123</v>
      </c>
      <c r="AY1094" s="4" t="s">
        <v>172</v>
      </c>
      <c r="AZ1094" s="5">
        <v>40727</v>
      </c>
      <c r="BA1094" s="5">
        <v>41095</v>
      </c>
      <c r="BB1094" s="5">
        <v>40773</v>
      </c>
      <c r="BC1094" s="5">
        <v>41229</v>
      </c>
      <c r="BD1094" s="4">
        <v>1</v>
      </c>
      <c r="BE1094" s="5">
        <v>40778</v>
      </c>
      <c r="BF1094" s="5">
        <v>41229</v>
      </c>
      <c r="BG1094" s="4"/>
      <c r="BH1094" s="4"/>
      <c r="BI1094" s="5">
        <v>41138</v>
      </c>
      <c r="BJ1094" s="5">
        <v>41162</v>
      </c>
      <c r="BK1094" s="4">
        <v>1</v>
      </c>
      <c r="BL1094" s="4"/>
      <c r="BM1094" s="5">
        <v>41138</v>
      </c>
      <c r="BN1094" s="5">
        <v>41162</v>
      </c>
      <c r="BO1094" s="5">
        <v>41144</v>
      </c>
      <c r="BP1094" s="4"/>
      <c r="BQ1094" s="4"/>
      <c r="BR1094" s="4"/>
      <c r="BS1094" s="4"/>
      <c r="BT1094" s="5">
        <v>41162</v>
      </c>
      <c r="BU1094" s="5">
        <v>41159</v>
      </c>
      <c r="BV1094" s="5">
        <v>41176</v>
      </c>
      <c r="BW1094" s="5">
        <v>41206</v>
      </c>
      <c r="BX1094" s="5">
        <v>41170</v>
      </c>
      <c r="BY1094" s="5">
        <v>41172</v>
      </c>
      <c r="BZ1094" s="5">
        <v>41172</v>
      </c>
      <c r="CA1094" s="4"/>
      <c r="CB1094" s="4"/>
      <c r="CC1094" s="4"/>
      <c r="CD1094" s="4"/>
      <c r="CE1094" s="4"/>
      <c r="CF1094" s="4"/>
      <c r="CG1094" s="4"/>
      <c r="CH1094" s="4"/>
      <c r="CI1094" s="5">
        <v>41191</v>
      </c>
      <c r="CJ1094" s="5">
        <v>41197</v>
      </c>
      <c r="CK1094" s="5">
        <v>41194</v>
      </c>
      <c r="CL1094" s="5">
        <v>41216</v>
      </c>
      <c r="CM1094" s="5">
        <v>41213</v>
      </c>
      <c r="CN1094" s="5">
        <v>41419</v>
      </c>
      <c r="CO1094" s="5">
        <v>41417</v>
      </c>
      <c r="CP1094" s="4"/>
      <c r="CQ1094" s="4"/>
      <c r="CR1094" s="5">
        <v>41184</v>
      </c>
      <c r="CS1094" s="5">
        <v>41088</v>
      </c>
      <c r="CT1094" s="5">
        <v>41088</v>
      </c>
      <c r="CU1094" s="5">
        <v>41131</v>
      </c>
      <c r="CV1094" s="5">
        <v>41134</v>
      </c>
      <c r="CW1094" s="5">
        <v>41142</v>
      </c>
      <c r="CX1094" s="5">
        <v>41144</v>
      </c>
      <c r="CY1094" s="5">
        <v>41171</v>
      </c>
      <c r="CZ1094" s="5">
        <v>41171</v>
      </c>
      <c r="DA1094" s="4"/>
      <c r="DB1094" s="5">
        <v>41194</v>
      </c>
      <c r="DC1094" s="5">
        <v>41095</v>
      </c>
      <c r="DD1094" s="4" t="s">
        <v>573</v>
      </c>
      <c r="DE1094" s="4"/>
      <c r="DF1094" s="4"/>
      <c r="DG1094" s="4"/>
      <c r="DH1094" s="4" t="s">
        <v>174</v>
      </c>
      <c r="DI1094" s="5">
        <v>41170</v>
      </c>
      <c r="DJ1094" s="4" t="b">
        <v>0</v>
      </c>
      <c r="DK1094" s="4"/>
      <c r="DL1094" s="4">
        <v>2733643</v>
      </c>
      <c r="DM1094" s="4">
        <v>6090374</v>
      </c>
      <c r="DN1094" s="4" t="s">
        <v>3361</v>
      </c>
      <c r="DO1094" s="4"/>
      <c r="DP1094" s="4" t="s">
        <v>3362</v>
      </c>
      <c r="DQ1094" s="4" t="s">
        <v>148</v>
      </c>
      <c r="DR1094" s="4"/>
      <c r="DS1094" s="4"/>
      <c r="DT1094" s="5">
        <v>42101</v>
      </c>
      <c r="DU1094" s="4"/>
      <c r="DV1094" s="4"/>
      <c r="DW1094" s="4"/>
      <c r="DX1094" s="4"/>
      <c r="DY1094" s="4"/>
      <c r="DZ1094" s="4"/>
      <c r="EA1094" s="4"/>
      <c r="EB1094" s="4"/>
      <c r="EC1094" s="4"/>
      <c r="ED1094" s="4"/>
      <c r="EE1094" s="4"/>
      <c r="EF1094" s="4"/>
      <c r="EG1094" s="5">
        <v>41181</v>
      </c>
      <c r="EH1094" s="5">
        <v>41199</v>
      </c>
      <c r="EI1094" s="5">
        <v>41026</v>
      </c>
    </row>
    <row r="1095" spans="1:139" hidden="1" x14ac:dyDescent="0.2">
      <c r="A1095">
        <f>VLOOKUP(B1095,Sheet1!$A$1:$B$18,2,FALSE)</f>
        <v>0</v>
      </c>
      <c r="B1095" t="str">
        <f>LEFT(D1095,3)</f>
        <v>MNW</v>
      </c>
      <c r="C1095" s="2">
        <v>1094</v>
      </c>
      <c r="D1095" s="3" t="str">
        <f>HYPERLINK("https://sitebase.nzcomms.co.nz/spm/spmnominalview/MNW-040-013/","MNW-040-013")</f>
        <v>MNW-040-013</v>
      </c>
      <c r="E1095" s="4" t="s">
        <v>3363</v>
      </c>
      <c r="F1095" s="3" t="str">
        <f>HYPERLINK("https://sitebase.nzcomms.co.nz/spm/spmcandidateview/MNW-040-013-A/","MNW-040-013-A")</f>
        <v>MNW-040-013-A</v>
      </c>
      <c r="G1095" s="4" t="s">
        <v>3364</v>
      </c>
      <c r="H1095" s="4" t="s">
        <v>3312</v>
      </c>
      <c r="I1095" s="4">
        <v>6</v>
      </c>
      <c r="J1095" s="4" t="s">
        <v>1633</v>
      </c>
      <c r="K1095" s="4" t="s">
        <v>141</v>
      </c>
      <c r="L1095" s="4" t="s">
        <v>142</v>
      </c>
      <c r="M1095" s="4" t="s">
        <v>190</v>
      </c>
      <c r="N1095" s="4" t="s">
        <v>142</v>
      </c>
      <c r="O1095" s="4" t="s">
        <v>144</v>
      </c>
      <c r="P1095" s="4" t="s">
        <v>169</v>
      </c>
      <c r="Q1095" s="4" t="s">
        <v>142</v>
      </c>
      <c r="R1095" s="4">
        <v>28</v>
      </c>
      <c r="S1095" s="4">
        <v>28.5</v>
      </c>
      <c r="T1095" s="4">
        <v>1</v>
      </c>
      <c r="U1095" s="4">
        <v>-40.366982389999997</v>
      </c>
      <c r="V1095" s="4">
        <v>175.57178984999999</v>
      </c>
      <c r="W1095" s="4"/>
      <c r="X1095" s="5">
        <v>40423</v>
      </c>
      <c r="Y1095" s="4"/>
      <c r="Z1095" s="5">
        <v>40221</v>
      </c>
      <c r="AA1095" s="4" t="s">
        <v>171</v>
      </c>
      <c r="AB1095" s="3" t="str">
        <f>HYPERLINK("https://sitebase.nzcomms.co.nz/spm/spmcandidateview/MNW-040-003-B/","MNW-040-003-B")</f>
        <v>MNW-040-003-B</v>
      </c>
      <c r="AC1095" s="4" t="b">
        <v>1</v>
      </c>
      <c r="AD1095" s="4" t="b">
        <v>1</v>
      </c>
      <c r="AE1095" s="5">
        <v>40576</v>
      </c>
      <c r="AF1095" s="4"/>
      <c r="AG1095" s="4" t="b">
        <v>0</v>
      </c>
      <c r="AH1095" s="4"/>
      <c r="AI1095" s="5">
        <v>40619</v>
      </c>
      <c r="AJ1095" s="5">
        <v>40591</v>
      </c>
      <c r="AK1095" s="5">
        <v>40624</v>
      </c>
      <c r="AL1095" s="5">
        <v>40596</v>
      </c>
      <c r="AM1095" s="5">
        <v>40641</v>
      </c>
      <c r="AN1095" s="5">
        <v>40616</v>
      </c>
      <c r="AO1095" s="4">
        <v>1</v>
      </c>
      <c r="AP1095" s="5">
        <v>40640</v>
      </c>
      <c r="AQ1095" s="5">
        <v>40616</v>
      </c>
      <c r="AR1095" s="5">
        <v>40702</v>
      </c>
      <c r="AS1095" s="5">
        <v>40680</v>
      </c>
      <c r="AT1095" s="5">
        <v>40731</v>
      </c>
      <c r="AU1095" s="5">
        <v>40704</v>
      </c>
      <c r="AV1095" s="4">
        <v>1</v>
      </c>
      <c r="AW1095" s="5">
        <v>40736</v>
      </c>
      <c r="AX1095" s="5">
        <v>40704</v>
      </c>
      <c r="AY1095" s="4" t="s">
        <v>247</v>
      </c>
      <c r="AZ1095" s="5">
        <v>40648</v>
      </c>
      <c r="BA1095" s="5">
        <v>40616</v>
      </c>
      <c r="BB1095" s="5">
        <v>40690</v>
      </c>
      <c r="BC1095" s="5">
        <v>40652</v>
      </c>
      <c r="BD1095" s="4">
        <v>1</v>
      </c>
      <c r="BE1095" s="5">
        <v>40739</v>
      </c>
      <c r="BF1095" s="5">
        <v>40652</v>
      </c>
      <c r="BG1095" s="4"/>
      <c r="BH1095" s="4"/>
      <c r="BI1095" s="5">
        <v>40718</v>
      </c>
      <c r="BJ1095" s="5">
        <v>40735</v>
      </c>
      <c r="BK1095" s="4">
        <v>2</v>
      </c>
      <c r="BL1095" s="4">
        <v>1</v>
      </c>
      <c r="BM1095" s="5">
        <v>40725</v>
      </c>
      <c r="BN1095" s="5">
        <v>40745</v>
      </c>
      <c r="BO1095" s="5">
        <v>40773</v>
      </c>
      <c r="BP1095" s="4"/>
      <c r="BQ1095" s="4"/>
      <c r="BR1095" s="4"/>
      <c r="BS1095" s="4"/>
      <c r="BT1095" s="5">
        <v>40775</v>
      </c>
      <c r="BU1095" s="5">
        <v>40775</v>
      </c>
      <c r="BV1095" s="5">
        <v>40851</v>
      </c>
      <c r="BW1095" s="5">
        <v>40865</v>
      </c>
      <c r="BX1095" s="5">
        <v>40775</v>
      </c>
      <c r="BY1095" s="5">
        <v>40813</v>
      </c>
      <c r="BZ1095" s="5">
        <v>40817</v>
      </c>
      <c r="CA1095" s="4"/>
      <c r="CB1095" s="4"/>
      <c r="CC1095" s="4"/>
      <c r="CD1095" s="4"/>
      <c r="CE1095" s="4"/>
      <c r="CF1095" s="4"/>
      <c r="CG1095" s="4"/>
      <c r="CH1095" s="4"/>
      <c r="CI1095" s="5">
        <v>40821</v>
      </c>
      <c r="CJ1095" s="5">
        <v>40841</v>
      </c>
      <c r="CK1095" s="5">
        <v>40848</v>
      </c>
      <c r="CL1095" s="5">
        <v>40816</v>
      </c>
      <c r="CM1095" s="5">
        <v>40862</v>
      </c>
      <c r="CN1095" s="5">
        <v>40952</v>
      </c>
      <c r="CO1095" s="5">
        <v>41089</v>
      </c>
      <c r="CP1095" s="4" t="s">
        <v>3365</v>
      </c>
      <c r="CQ1095" s="4" t="s">
        <v>230</v>
      </c>
      <c r="CR1095" s="5">
        <v>40813</v>
      </c>
      <c r="CS1095" s="5">
        <v>40751</v>
      </c>
      <c r="CT1095" s="5">
        <v>40751</v>
      </c>
      <c r="CU1095" s="5">
        <v>40797</v>
      </c>
      <c r="CV1095" s="5">
        <v>40804</v>
      </c>
      <c r="CW1095" s="5">
        <v>40773</v>
      </c>
      <c r="CX1095" s="5">
        <v>40773</v>
      </c>
      <c r="CY1095" s="5">
        <v>40808</v>
      </c>
      <c r="CZ1095" s="5">
        <v>40806</v>
      </c>
      <c r="DA1095" s="4"/>
      <c r="DB1095" s="5">
        <v>40861</v>
      </c>
      <c r="DC1095" s="4"/>
      <c r="DD1095" s="4"/>
      <c r="DE1095" s="4"/>
      <c r="DF1095" s="4"/>
      <c r="DG1095" s="4"/>
      <c r="DH1095" s="4"/>
      <c r="DI1095" s="5">
        <v>40775</v>
      </c>
      <c r="DJ1095" s="4" t="b">
        <v>0</v>
      </c>
      <c r="DK1095" s="4"/>
      <c r="DL1095" s="4">
        <v>2728372</v>
      </c>
      <c r="DM1095" s="4">
        <v>6090040</v>
      </c>
      <c r="DN1095" s="4" t="s">
        <v>3366</v>
      </c>
      <c r="DO1095" s="4"/>
      <c r="DP1095" s="4" t="s">
        <v>3367</v>
      </c>
      <c r="DQ1095" s="4" t="s">
        <v>148</v>
      </c>
      <c r="DR1095" s="4"/>
      <c r="DS1095" s="4"/>
      <c r="DT1095" s="5">
        <v>42101</v>
      </c>
      <c r="DU1095" s="4"/>
      <c r="DV1095" s="4"/>
      <c r="DW1095" s="4"/>
      <c r="DX1095" s="4"/>
      <c r="DY1095" s="4"/>
      <c r="DZ1095" s="4"/>
      <c r="EA1095" s="4"/>
      <c r="EB1095" s="4"/>
      <c r="EC1095" s="4"/>
      <c r="ED1095" s="4"/>
      <c r="EE1095" s="4"/>
      <c r="EF1095" s="4"/>
      <c r="EG1095" s="5">
        <v>40841</v>
      </c>
      <c r="EH1095" s="5">
        <v>40858</v>
      </c>
      <c r="EI1095" s="5">
        <v>40596</v>
      </c>
    </row>
    <row r="1096" spans="1:139" hidden="1" x14ac:dyDescent="0.2">
      <c r="A1096">
        <f>VLOOKUP(B1096,Sheet1!$A$1:$B$18,2,FALSE)</f>
        <v>0</v>
      </c>
      <c r="B1096" t="str">
        <f>LEFT(D1096,3)</f>
        <v>MNW</v>
      </c>
      <c r="C1096" s="2">
        <v>1095</v>
      </c>
      <c r="D1096" s="3" t="str">
        <f>HYPERLINK("https://sitebase.nzcomms.co.nz/spm/spmnominalview/MNW-040-014/","MNW-040-014")</f>
        <v>MNW-040-014</v>
      </c>
      <c r="E1096" s="4" t="s">
        <v>3368</v>
      </c>
      <c r="F1096" s="4"/>
      <c r="G1096" s="4"/>
      <c r="H1096" s="4" t="s">
        <v>3312</v>
      </c>
      <c r="I1096" s="4"/>
      <c r="J1096" s="4" t="s">
        <v>196</v>
      </c>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t="b">
        <v>0</v>
      </c>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c r="BF1096" s="4"/>
      <c r="BG1096" s="4"/>
      <c r="BH1096" s="4"/>
      <c r="BI1096" s="4"/>
      <c r="BJ1096" s="4"/>
      <c r="BK1096" s="4"/>
      <c r="BL1096" s="4"/>
      <c r="BM1096" s="4"/>
      <c r="BN1096" s="4"/>
      <c r="BO1096" s="4"/>
      <c r="BP1096" s="4"/>
      <c r="BQ1096" s="4"/>
      <c r="BR1096" s="4"/>
      <c r="BS1096" s="4"/>
      <c r="BT1096" s="4"/>
      <c r="BU1096" s="4"/>
      <c r="BV1096" s="4"/>
      <c r="BW1096" s="4"/>
      <c r="BX1096" s="4"/>
      <c r="BY1096" s="4"/>
      <c r="BZ1096" s="4"/>
      <c r="CA1096" s="4"/>
      <c r="CB1096" s="4"/>
      <c r="CC1096" s="4"/>
      <c r="CD1096" s="4"/>
      <c r="CE1096" s="4"/>
      <c r="CF1096" s="4"/>
      <c r="CG1096" s="4"/>
      <c r="CH1096" s="4"/>
      <c r="CI1096" s="4"/>
      <c r="CJ1096" s="4"/>
      <c r="CK1096" s="4"/>
      <c r="CL1096" s="4"/>
      <c r="CM1096" s="4"/>
      <c r="CN1096" s="4"/>
      <c r="CO1096" s="4"/>
      <c r="CP1096" s="4"/>
      <c r="CQ1096" s="4"/>
      <c r="CR1096" s="4"/>
      <c r="CS1096" s="4"/>
      <c r="CT1096" s="4"/>
      <c r="CU1096" s="4"/>
      <c r="CV1096" s="4"/>
      <c r="CW1096" s="4"/>
      <c r="CX1096" s="4"/>
      <c r="CY1096" s="4"/>
      <c r="CZ1096" s="4"/>
      <c r="DA1096" s="4"/>
      <c r="DB1096" s="4"/>
      <c r="DC1096" s="4"/>
      <c r="DD1096" s="4"/>
      <c r="DE1096" s="4"/>
      <c r="DF1096" s="4"/>
      <c r="DG1096" s="4"/>
      <c r="DH1096" s="4"/>
      <c r="DI1096" s="4"/>
      <c r="DJ1096" s="4"/>
      <c r="DK1096" s="4"/>
      <c r="DL1096" s="4"/>
      <c r="DM1096" s="4"/>
      <c r="DN1096" s="4"/>
      <c r="DO1096" s="4"/>
      <c r="DP1096" s="4"/>
      <c r="DQ1096" s="4"/>
      <c r="DR1096" s="4"/>
      <c r="DS1096" s="4"/>
      <c r="DT1096" s="4"/>
      <c r="DU1096" s="4"/>
      <c r="DV1096" s="4"/>
      <c r="DW1096" s="4"/>
      <c r="DX1096" s="4"/>
      <c r="DY1096" s="4"/>
      <c r="DZ1096" s="4"/>
      <c r="EA1096" s="4"/>
      <c r="EB1096" s="4"/>
      <c r="EC1096" s="4"/>
      <c r="ED1096" s="4"/>
      <c r="EE1096" s="4"/>
      <c r="EF1096" s="4"/>
      <c r="EG1096" s="4"/>
      <c r="EH1096" s="4"/>
      <c r="EI1096" s="4"/>
    </row>
    <row r="1097" spans="1:139" hidden="1" x14ac:dyDescent="0.2">
      <c r="A1097">
        <f>VLOOKUP(B1097,Sheet1!$A$1:$B$18,2,FALSE)</f>
        <v>0</v>
      </c>
      <c r="B1097" t="str">
        <f>LEFT(D1097,3)</f>
        <v>MNW</v>
      </c>
      <c r="C1097" s="2">
        <v>1096</v>
      </c>
      <c r="D1097" s="3" t="str">
        <f>HYPERLINK("https://sitebase.nzcomms.co.nz/spm/spmnominalview/MNW-040-015/","MNW-040-015")</f>
        <v>MNW-040-015</v>
      </c>
      <c r="E1097" s="4" t="s">
        <v>3369</v>
      </c>
      <c r="F1097" s="3" t="str">
        <f>HYPERLINK("https://sitebase.nzcomms.co.nz/spm/spmcandidateview/MNW-040-015-C/","MNW-040-015-C")</f>
        <v>MNW-040-015-C</v>
      </c>
      <c r="G1097" s="4" t="s">
        <v>3370</v>
      </c>
      <c r="H1097" s="4" t="s">
        <v>3312</v>
      </c>
      <c r="I1097" s="4">
        <v>6</v>
      </c>
      <c r="J1097" s="4" t="s">
        <v>1633</v>
      </c>
      <c r="K1097" s="4" t="s">
        <v>141</v>
      </c>
      <c r="L1097" s="4" t="s">
        <v>142</v>
      </c>
      <c r="M1097" s="4" t="s">
        <v>190</v>
      </c>
      <c r="N1097" s="4" t="s">
        <v>1986</v>
      </c>
      <c r="O1097" s="4"/>
      <c r="P1097" s="4" t="s">
        <v>169</v>
      </c>
      <c r="Q1097" s="4" t="s">
        <v>142</v>
      </c>
      <c r="R1097" s="4">
        <v>32</v>
      </c>
      <c r="S1097" s="4">
        <v>33.9</v>
      </c>
      <c r="T1097" s="4">
        <v>1</v>
      </c>
      <c r="U1097" s="4">
        <v>-40.39001004</v>
      </c>
      <c r="V1097" s="4">
        <v>175.63844566</v>
      </c>
      <c r="W1097" s="4"/>
      <c r="X1097" s="5">
        <v>40423</v>
      </c>
      <c r="Y1097" s="4"/>
      <c r="Z1097" s="5">
        <v>40221</v>
      </c>
      <c r="AA1097" s="4" t="s">
        <v>171</v>
      </c>
      <c r="AB1097" s="3" t="str">
        <f>HYPERLINK("https://sitebase.nzcomms.co.nz/spm/spmcandidateview/MNW-040-004-A/","MNW-040-004-A")</f>
        <v>MNW-040-004-A</v>
      </c>
      <c r="AC1097" s="4" t="b">
        <v>1</v>
      </c>
      <c r="AD1097" s="4" t="b">
        <v>1</v>
      </c>
      <c r="AE1097" s="5">
        <v>40589</v>
      </c>
      <c r="AF1097" s="4"/>
      <c r="AG1097" s="4" t="b">
        <v>0</v>
      </c>
      <c r="AH1097" s="4" t="s">
        <v>3371</v>
      </c>
      <c r="AI1097" s="5">
        <v>40709</v>
      </c>
      <c r="AJ1097" s="5">
        <v>40709</v>
      </c>
      <c r="AK1097" s="5">
        <v>40710</v>
      </c>
      <c r="AL1097" s="5">
        <v>40710</v>
      </c>
      <c r="AM1097" s="5">
        <v>40747</v>
      </c>
      <c r="AN1097" s="5">
        <v>40760</v>
      </c>
      <c r="AO1097" s="4">
        <v>4</v>
      </c>
      <c r="AP1097" s="5">
        <v>40751</v>
      </c>
      <c r="AQ1097" s="5">
        <v>41967</v>
      </c>
      <c r="AR1097" s="5">
        <v>40978</v>
      </c>
      <c r="AS1097" s="5">
        <v>40959</v>
      </c>
      <c r="AT1097" s="5">
        <v>40980</v>
      </c>
      <c r="AU1097" s="5">
        <v>40959</v>
      </c>
      <c r="AV1097" s="4"/>
      <c r="AW1097" s="5">
        <v>40990</v>
      </c>
      <c r="AX1097" s="5">
        <v>40959</v>
      </c>
      <c r="AY1097" s="4" t="s">
        <v>247</v>
      </c>
      <c r="AZ1097" s="5">
        <v>40806</v>
      </c>
      <c r="BA1097" s="5">
        <v>40794</v>
      </c>
      <c r="BB1097" s="5">
        <v>40988</v>
      </c>
      <c r="BC1097" s="5">
        <v>40982</v>
      </c>
      <c r="BD1097" s="4">
        <v>2</v>
      </c>
      <c r="BE1097" s="5">
        <v>40988</v>
      </c>
      <c r="BF1097" s="5">
        <v>40982</v>
      </c>
      <c r="BG1097" s="4"/>
      <c r="BH1097" s="4"/>
      <c r="BI1097" s="5">
        <v>40967</v>
      </c>
      <c r="BJ1097" s="5">
        <v>41073</v>
      </c>
      <c r="BK1097" s="4">
        <v>1</v>
      </c>
      <c r="BL1097" s="4"/>
      <c r="BM1097" s="5">
        <v>40967</v>
      </c>
      <c r="BN1097" s="5">
        <v>41073</v>
      </c>
      <c r="BO1097" s="5">
        <v>41088</v>
      </c>
      <c r="BP1097" s="4"/>
      <c r="BQ1097" s="4"/>
      <c r="BR1097" s="4"/>
      <c r="BS1097" s="4"/>
      <c r="BT1097" s="5">
        <v>41009</v>
      </c>
      <c r="BU1097" s="5">
        <v>41009</v>
      </c>
      <c r="BV1097" s="5">
        <v>41029</v>
      </c>
      <c r="BW1097" s="5">
        <v>41088</v>
      </c>
      <c r="BX1097" s="5">
        <v>41029</v>
      </c>
      <c r="BY1097" s="5">
        <v>41036</v>
      </c>
      <c r="BZ1097" s="5">
        <v>41054</v>
      </c>
      <c r="CA1097" s="4"/>
      <c r="CB1097" s="4"/>
      <c r="CC1097" s="4"/>
      <c r="CD1097" s="4"/>
      <c r="CE1097" s="4"/>
      <c r="CF1097" s="4"/>
      <c r="CG1097" s="4"/>
      <c r="CH1097" s="4"/>
      <c r="CI1097" s="5">
        <v>41054</v>
      </c>
      <c r="CJ1097" s="5">
        <v>41054</v>
      </c>
      <c r="CK1097" s="5">
        <v>41061</v>
      </c>
      <c r="CL1097" s="5">
        <v>41089</v>
      </c>
      <c r="CM1097" s="5">
        <v>41088</v>
      </c>
      <c r="CN1097" s="5">
        <v>41511</v>
      </c>
      <c r="CO1097" s="5">
        <v>41611</v>
      </c>
      <c r="CP1097" s="4"/>
      <c r="CQ1097" s="4" t="s">
        <v>205</v>
      </c>
      <c r="CR1097" s="5">
        <v>41040</v>
      </c>
      <c r="CS1097" s="5">
        <v>40914</v>
      </c>
      <c r="CT1097" s="5">
        <v>40914</v>
      </c>
      <c r="CU1097" s="5">
        <v>40920</v>
      </c>
      <c r="CV1097" s="5">
        <v>40959</v>
      </c>
      <c r="CW1097" s="5">
        <v>41020</v>
      </c>
      <c r="CX1097" s="5">
        <v>41088</v>
      </c>
      <c r="CY1097" s="5">
        <v>41024</v>
      </c>
      <c r="CZ1097" s="5">
        <v>41024</v>
      </c>
      <c r="DA1097" s="4"/>
      <c r="DB1097" s="5">
        <v>41059</v>
      </c>
      <c r="DC1097" s="4"/>
      <c r="DD1097" s="4"/>
      <c r="DE1097" s="4"/>
      <c r="DF1097" s="4"/>
      <c r="DG1097" s="4"/>
      <c r="DH1097" s="4" t="s">
        <v>174</v>
      </c>
      <c r="DI1097" s="5">
        <v>41022</v>
      </c>
      <c r="DJ1097" s="4" t="b">
        <v>0</v>
      </c>
      <c r="DK1097" s="4"/>
      <c r="DL1097" s="4">
        <v>2733954</v>
      </c>
      <c r="DM1097" s="4">
        <v>6087317</v>
      </c>
      <c r="DN1097" s="4" t="s">
        <v>3372</v>
      </c>
      <c r="DO1097" s="4"/>
      <c r="DP1097" s="4" t="s">
        <v>3373</v>
      </c>
      <c r="DQ1097" s="4" t="s">
        <v>148</v>
      </c>
      <c r="DR1097" s="4"/>
      <c r="DS1097" s="4"/>
      <c r="DT1097" s="5">
        <v>42101</v>
      </c>
      <c r="DU1097" s="4"/>
      <c r="DV1097" s="4"/>
      <c r="DW1097" s="4"/>
      <c r="DX1097" s="4"/>
      <c r="DY1097" s="4"/>
      <c r="DZ1097" s="4"/>
      <c r="EA1097" s="4"/>
      <c r="EB1097" s="4"/>
      <c r="EC1097" s="4"/>
      <c r="ED1097" s="4"/>
      <c r="EE1097" s="4"/>
      <c r="EF1097" s="4"/>
      <c r="EG1097" s="5">
        <v>41050</v>
      </c>
      <c r="EH1097" s="5">
        <v>41071</v>
      </c>
      <c r="EI1097" s="4"/>
    </row>
    <row r="1098" spans="1:139" hidden="1" x14ac:dyDescent="0.2">
      <c r="A1098">
        <f>VLOOKUP(B1098,Sheet1!$A$1:$B$18,2,FALSE)</f>
        <v>0</v>
      </c>
      <c r="B1098" t="str">
        <f>LEFT(D1098,3)</f>
        <v>MNW</v>
      </c>
      <c r="C1098" s="2">
        <v>1097</v>
      </c>
      <c r="D1098" s="3" t="str">
        <f>HYPERLINK("https://sitebase.nzcomms.co.nz/spm/spmnominalview/MNW-040-016/","MNW-040-016")</f>
        <v>MNW-040-016</v>
      </c>
      <c r="E1098" s="4" t="s">
        <v>3374</v>
      </c>
      <c r="F1098" s="3" t="str">
        <f>HYPERLINK("https://sitebase.nzcomms.co.nz/spm/spmcandidateview/MNW-040-016-F/","MNW-040-016-F")</f>
        <v>MNW-040-016-F</v>
      </c>
      <c r="G1098" s="4" t="s">
        <v>3375</v>
      </c>
      <c r="H1098" s="4" t="s">
        <v>3312</v>
      </c>
      <c r="I1098" s="4">
        <v>6</v>
      </c>
      <c r="J1098" s="4" t="s">
        <v>1633</v>
      </c>
      <c r="K1098" s="4" t="s">
        <v>141</v>
      </c>
      <c r="L1098" s="4" t="s">
        <v>150</v>
      </c>
      <c r="M1098" s="4" t="s">
        <v>190</v>
      </c>
      <c r="N1098" s="4" t="s">
        <v>291</v>
      </c>
      <c r="O1098" s="4" t="s">
        <v>144</v>
      </c>
      <c r="P1098" s="4" t="s">
        <v>169</v>
      </c>
      <c r="Q1098" s="4" t="s">
        <v>192</v>
      </c>
      <c r="R1098" s="4">
        <v>22.7</v>
      </c>
      <c r="S1098" s="4">
        <v>23.2</v>
      </c>
      <c r="T1098" s="4">
        <v>2</v>
      </c>
      <c r="U1098" s="4">
        <v>-40.327861009999999</v>
      </c>
      <c r="V1098" s="4">
        <v>175.63313044</v>
      </c>
      <c r="W1098" s="4"/>
      <c r="X1098" s="5">
        <v>40423</v>
      </c>
      <c r="Y1098" s="4"/>
      <c r="Z1098" s="5">
        <v>40221</v>
      </c>
      <c r="AA1098" s="4" t="s">
        <v>171</v>
      </c>
      <c r="AB1098" s="3" t="str">
        <f>HYPERLINK("https://sitebase.nzcomms.co.nz/spm/spmcandidateview/MNW-040-003-B/","MNW-040-003-B")</f>
        <v>MNW-040-003-B</v>
      </c>
      <c r="AC1098" s="4" t="b">
        <v>1</v>
      </c>
      <c r="AD1098" s="4" t="b">
        <v>1</v>
      </c>
      <c r="AE1098" s="5">
        <v>40589</v>
      </c>
      <c r="AF1098" s="4"/>
      <c r="AG1098" s="4" t="b">
        <v>0</v>
      </c>
      <c r="AH1098" s="4" t="s">
        <v>3376</v>
      </c>
      <c r="AI1098" s="4"/>
      <c r="AJ1098" s="5">
        <v>40695</v>
      </c>
      <c r="AK1098" s="4"/>
      <c r="AL1098" s="5">
        <v>40702</v>
      </c>
      <c r="AM1098" s="5">
        <v>40711</v>
      </c>
      <c r="AN1098" s="5">
        <v>40711</v>
      </c>
      <c r="AO1098" s="4">
        <v>3</v>
      </c>
      <c r="AP1098" s="5">
        <v>40714</v>
      </c>
      <c r="AQ1098" s="5">
        <v>42017</v>
      </c>
      <c r="AR1098" s="5">
        <v>40719</v>
      </c>
      <c r="AS1098" s="5">
        <v>40718</v>
      </c>
      <c r="AT1098" s="5">
        <v>40744</v>
      </c>
      <c r="AU1098" s="5">
        <v>40738</v>
      </c>
      <c r="AV1098" s="4">
        <v>1</v>
      </c>
      <c r="AW1098" s="5">
        <v>40754</v>
      </c>
      <c r="AX1098" s="5">
        <v>40738</v>
      </c>
      <c r="AY1098" s="4" t="s">
        <v>247</v>
      </c>
      <c r="AZ1098" s="5">
        <v>40719</v>
      </c>
      <c r="BA1098" s="5">
        <v>40709</v>
      </c>
      <c r="BB1098" s="5">
        <v>40749</v>
      </c>
      <c r="BC1098" s="5">
        <v>40736</v>
      </c>
      <c r="BD1098" s="4">
        <v>1</v>
      </c>
      <c r="BE1098" s="5">
        <v>40894</v>
      </c>
      <c r="BF1098" s="5">
        <v>40959</v>
      </c>
      <c r="BG1098" s="4"/>
      <c r="BH1098" s="4"/>
      <c r="BI1098" s="5">
        <v>40800</v>
      </c>
      <c r="BJ1098" s="5">
        <v>40799</v>
      </c>
      <c r="BK1098" s="4">
        <v>1</v>
      </c>
      <c r="BL1098" s="4"/>
      <c r="BM1098" s="5">
        <v>40800</v>
      </c>
      <c r="BN1098" s="5">
        <v>40799</v>
      </c>
      <c r="BO1098" s="5">
        <v>40833</v>
      </c>
      <c r="BP1098" s="4"/>
      <c r="BQ1098" s="4"/>
      <c r="BR1098" s="4"/>
      <c r="BS1098" s="4"/>
      <c r="BT1098" s="5">
        <v>40833</v>
      </c>
      <c r="BU1098" s="5">
        <v>40828</v>
      </c>
      <c r="BV1098" s="5">
        <v>40877</v>
      </c>
      <c r="BW1098" s="5">
        <v>40871</v>
      </c>
      <c r="BX1098" s="5">
        <v>40847</v>
      </c>
      <c r="BY1098" s="5">
        <v>40852</v>
      </c>
      <c r="BZ1098" s="5">
        <v>40853</v>
      </c>
      <c r="CA1098" s="4"/>
      <c r="CB1098" s="4"/>
      <c r="CC1098" s="4"/>
      <c r="CD1098" s="4"/>
      <c r="CE1098" s="4"/>
      <c r="CF1098" s="4"/>
      <c r="CG1098" s="4"/>
      <c r="CH1098" s="4"/>
      <c r="CI1098" s="5">
        <v>40852</v>
      </c>
      <c r="CJ1098" s="5">
        <v>40865</v>
      </c>
      <c r="CK1098" s="5">
        <v>40862</v>
      </c>
      <c r="CL1098" s="5">
        <v>40866</v>
      </c>
      <c r="CM1098" s="5">
        <v>40885</v>
      </c>
      <c r="CN1098" s="5">
        <v>40975</v>
      </c>
      <c r="CO1098" s="5">
        <v>41089</v>
      </c>
      <c r="CP1098" s="4"/>
      <c r="CQ1098" s="4"/>
      <c r="CR1098" s="5">
        <v>40853</v>
      </c>
      <c r="CS1098" s="5">
        <v>40778</v>
      </c>
      <c r="CT1098" s="5">
        <v>40704</v>
      </c>
      <c r="CU1098" s="5">
        <v>40838</v>
      </c>
      <c r="CV1098" s="5">
        <v>40846</v>
      </c>
      <c r="CW1098" s="5">
        <v>40830</v>
      </c>
      <c r="CX1098" s="5">
        <v>40833</v>
      </c>
      <c r="CY1098" s="5">
        <v>40848</v>
      </c>
      <c r="CZ1098" s="5">
        <v>40850</v>
      </c>
      <c r="DA1098" s="4"/>
      <c r="DB1098" s="5">
        <v>40875</v>
      </c>
      <c r="DC1098" s="4"/>
      <c r="DD1098" s="4"/>
      <c r="DE1098" s="4"/>
      <c r="DF1098" s="4"/>
      <c r="DG1098" s="4"/>
      <c r="DH1098" s="4"/>
      <c r="DI1098" s="5">
        <v>40843</v>
      </c>
      <c r="DJ1098" s="4" t="b">
        <v>0</v>
      </c>
      <c r="DK1098" s="4"/>
      <c r="DL1098" s="4">
        <v>2733709</v>
      </c>
      <c r="DM1098" s="4">
        <v>6094228</v>
      </c>
      <c r="DN1098" s="4" t="s">
        <v>3377</v>
      </c>
      <c r="DO1098" s="4"/>
      <c r="DP1098" s="4"/>
      <c r="DQ1098" s="4" t="s">
        <v>148</v>
      </c>
      <c r="DR1098" s="4"/>
      <c r="DS1098" s="4"/>
      <c r="DT1098" s="5">
        <v>42101</v>
      </c>
      <c r="DU1098" s="4"/>
      <c r="DV1098" s="4"/>
      <c r="DW1098" s="4"/>
      <c r="DX1098" s="4"/>
      <c r="DY1098" s="4"/>
      <c r="DZ1098" s="4"/>
      <c r="EA1098" s="4"/>
      <c r="EB1098" s="4"/>
      <c r="EC1098" s="4"/>
      <c r="ED1098" s="4"/>
      <c r="EE1098" s="4"/>
      <c r="EF1098" s="4"/>
      <c r="EG1098" s="5">
        <v>40875</v>
      </c>
      <c r="EH1098" s="5">
        <v>40875</v>
      </c>
      <c r="EI1098" s="5">
        <v>40695</v>
      </c>
    </row>
    <row r="1099" spans="1:139" hidden="1" x14ac:dyDescent="0.2">
      <c r="A1099">
        <f>VLOOKUP(B1099,Sheet1!$A$1:$B$18,2,FALSE)</f>
        <v>0</v>
      </c>
      <c r="B1099" t="str">
        <f>LEFT(D1099,3)</f>
        <v>MNW</v>
      </c>
      <c r="C1099" s="2">
        <v>1098</v>
      </c>
      <c r="D1099" s="3" t="str">
        <f>HYPERLINK("https://sitebase.nzcomms.co.nz/spm/spmnominalview/MNW-040-017/","MNW-040-017")</f>
        <v>MNW-040-017</v>
      </c>
      <c r="E1099" s="4" t="s">
        <v>3378</v>
      </c>
      <c r="F1099" s="3" t="str">
        <f>HYPERLINK("https://sitebase.nzcomms.co.nz/spm/spmcandidateview/MNW-040-017-C/","MNW-040-017-C")</f>
        <v>MNW-040-017-C</v>
      </c>
      <c r="G1099" s="4" t="s">
        <v>3379</v>
      </c>
      <c r="H1099" s="4" t="s">
        <v>3312</v>
      </c>
      <c r="I1099" s="4">
        <v>6</v>
      </c>
      <c r="J1099" s="4" t="s">
        <v>1633</v>
      </c>
      <c r="K1099" s="4" t="s">
        <v>141</v>
      </c>
      <c r="L1099" s="4" t="s">
        <v>150</v>
      </c>
      <c r="M1099" s="4" t="s">
        <v>190</v>
      </c>
      <c r="N1099" s="4" t="s">
        <v>269</v>
      </c>
      <c r="O1099" s="4" t="s">
        <v>356</v>
      </c>
      <c r="P1099" s="4" t="s">
        <v>169</v>
      </c>
      <c r="Q1099" s="4" t="s">
        <v>192</v>
      </c>
      <c r="R1099" s="4">
        <v>23</v>
      </c>
      <c r="S1099" s="4">
        <v>24.5</v>
      </c>
      <c r="T1099" s="4">
        <v>1</v>
      </c>
      <c r="U1099" s="4">
        <v>-40.2969887</v>
      </c>
      <c r="V1099" s="4">
        <v>175.75119412000001</v>
      </c>
      <c r="W1099" s="4"/>
      <c r="X1099" s="4"/>
      <c r="Y1099" s="4"/>
      <c r="Z1099" s="4"/>
      <c r="AA1099" s="4" t="s">
        <v>171</v>
      </c>
      <c r="AB1099" s="3" t="str">
        <f>HYPERLINK("https://sitebase.nzcomms.co.nz/spm/spmcandidateview/MNW-040-003-B/","MNW-040-003-B")</f>
        <v>MNW-040-003-B</v>
      </c>
      <c r="AC1099" s="4" t="b">
        <v>1</v>
      </c>
      <c r="AD1099" s="4" t="b">
        <v>1</v>
      </c>
      <c r="AE1099" s="4"/>
      <c r="AF1099" s="4"/>
      <c r="AG1099" s="4" t="b">
        <v>0</v>
      </c>
      <c r="AH1099" s="4" t="s">
        <v>3346</v>
      </c>
      <c r="AI1099" s="5">
        <v>40640</v>
      </c>
      <c r="AJ1099" s="5">
        <v>40640</v>
      </c>
      <c r="AK1099" s="5">
        <v>40655</v>
      </c>
      <c r="AL1099" s="5">
        <v>40659</v>
      </c>
      <c r="AM1099" s="5">
        <v>40676</v>
      </c>
      <c r="AN1099" s="5">
        <v>40694</v>
      </c>
      <c r="AO1099" s="4">
        <v>2</v>
      </c>
      <c r="AP1099" s="5">
        <v>40675</v>
      </c>
      <c r="AQ1099" s="5">
        <v>41737</v>
      </c>
      <c r="AR1099" s="5">
        <v>40712</v>
      </c>
      <c r="AS1099" s="5">
        <v>40704</v>
      </c>
      <c r="AT1099" s="5">
        <v>40742</v>
      </c>
      <c r="AU1099" s="5">
        <v>40725</v>
      </c>
      <c r="AV1099" s="4"/>
      <c r="AW1099" s="5">
        <v>40737</v>
      </c>
      <c r="AX1099" s="5">
        <v>40725</v>
      </c>
      <c r="AY1099" s="4" t="s">
        <v>247</v>
      </c>
      <c r="AZ1099" s="5">
        <v>40683</v>
      </c>
      <c r="BA1099" s="5">
        <v>41764</v>
      </c>
      <c r="BB1099" s="5">
        <v>40721</v>
      </c>
      <c r="BC1099" s="5">
        <v>41764</v>
      </c>
      <c r="BD1099" s="4">
        <v>2</v>
      </c>
      <c r="BE1099" s="5">
        <v>40742</v>
      </c>
      <c r="BF1099" s="5">
        <v>40732</v>
      </c>
      <c r="BG1099" s="4"/>
      <c r="BH1099" s="4"/>
      <c r="BI1099" s="5">
        <v>40785</v>
      </c>
      <c r="BJ1099" s="5">
        <v>40799</v>
      </c>
      <c r="BK1099" s="4">
        <v>2</v>
      </c>
      <c r="BL1099" s="4"/>
      <c r="BM1099" s="5">
        <v>40785</v>
      </c>
      <c r="BN1099" s="5">
        <v>40884</v>
      </c>
      <c r="BO1099" s="5">
        <v>40878</v>
      </c>
      <c r="BP1099" s="4"/>
      <c r="BQ1099" s="4"/>
      <c r="BR1099" s="4"/>
      <c r="BS1099" s="4"/>
      <c r="BT1099" s="5">
        <v>40841</v>
      </c>
      <c r="BU1099" s="5">
        <v>40837</v>
      </c>
      <c r="BV1099" s="5">
        <v>40897</v>
      </c>
      <c r="BW1099" s="5">
        <v>40884</v>
      </c>
      <c r="BX1099" s="5">
        <v>40854</v>
      </c>
      <c r="BY1099" s="5">
        <v>40886</v>
      </c>
      <c r="BZ1099" s="5">
        <v>40889</v>
      </c>
      <c r="CA1099" s="4"/>
      <c r="CB1099" s="4"/>
      <c r="CC1099" s="4"/>
      <c r="CD1099" s="4"/>
      <c r="CE1099" s="4"/>
      <c r="CF1099" s="4"/>
      <c r="CG1099" s="4"/>
      <c r="CH1099" s="4"/>
      <c r="CI1099" s="5">
        <v>40889</v>
      </c>
      <c r="CJ1099" s="5">
        <v>40893</v>
      </c>
      <c r="CK1099" s="5">
        <v>40891</v>
      </c>
      <c r="CL1099" s="5">
        <v>40866</v>
      </c>
      <c r="CM1099" s="5">
        <v>40927</v>
      </c>
      <c r="CN1099" s="5">
        <v>41389</v>
      </c>
      <c r="CO1099" s="5">
        <v>41394</v>
      </c>
      <c r="CP1099" s="4"/>
      <c r="CQ1099" s="4"/>
      <c r="CR1099" s="5">
        <v>40886</v>
      </c>
      <c r="CS1099" s="5">
        <v>40778</v>
      </c>
      <c r="CT1099" s="5">
        <v>40778</v>
      </c>
      <c r="CU1099" s="5">
        <v>40840</v>
      </c>
      <c r="CV1099" s="5">
        <v>40840</v>
      </c>
      <c r="CW1099" s="5">
        <v>40882</v>
      </c>
      <c r="CX1099" s="5">
        <v>40878</v>
      </c>
      <c r="CY1099" s="5">
        <v>40883</v>
      </c>
      <c r="CZ1099" s="5">
        <v>40883</v>
      </c>
      <c r="DA1099" s="4"/>
      <c r="DB1099" s="5">
        <v>40891</v>
      </c>
      <c r="DC1099" s="4"/>
      <c r="DD1099" s="4"/>
      <c r="DE1099" s="4"/>
      <c r="DF1099" s="4"/>
      <c r="DG1099" s="4"/>
      <c r="DH1099" s="4"/>
      <c r="DI1099" s="5">
        <v>40861</v>
      </c>
      <c r="DJ1099" s="4" t="b">
        <v>0</v>
      </c>
      <c r="DK1099" s="4"/>
      <c r="DL1099" s="4">
        <v>2743844</v>
      </c>
      <c r="DM1099" s="4">
        <v>6097348</v>
      </c>
      <c r="DN1099" s="4" t="s">
        <v>3380</v>
      </c>
      <c r="DO1099" s="4"/>
      <c r="DP1099" s="4" t="s">
        <v>3381</v>
      </c>
      <c r="DQ1099" s="4" t="s">
        <v>148</v>
      </c>
      <c r="DR1099" s="4"/>
      <c r="DS1099" s="4"/>
      <c r="DT1099" s="4"/>
      <c r="DU1099" s="4"/>
      <c r="DV1099" s="4"/>
      <c r="DW1099" s="4"/>
      <c r="DX1099" s="4"/>
      <c r="DY1099" s="4"/>
      <c r="DZ1099" s="4"/>
      <c r="EA1099" s="4"/>
      <c r="EB1099" s="4"/>
      <c r="EC1099" s="4"/>
      <c r="ED1099" s="4"/>
      <c r="EE1099" s="4"/>
      <c r="EF1099" s="4"/>
      <c r="EG1099" s="5">
        <v>40890</v>
      </c>
      <c r="EH1099" s="5">
        <v>40900</v>
      </c>
      <c r="EI1099" s="5">
        <v>40659</v>
      </c>
    </row>
    <row r="1100" spans="1:139" hidden="1" x14ac:dyDescent="0.2">
      <c r="A1100">
        <f>VLOOKUP(B1100,Sheet1!$A$1:$B$18,2,FALSE)</f>
        <v>0</v>
      </c>
      <c r="B1100" t="str">
        <f>LEFT(D1100,3)</f>
        <v>MNW</v>
      </c>
      <c r="C1100" s="2">
        <v>1099</v>
      </c>
      <c r="D1100" s="3" t="str">
        <f>HYPERLINK("https://sitebase.nzcomms.co.nz/spm/spmnominalview/MNW-040-018/","MNW-040-018")</f>
        <v>MNW-040-018</v>
      </c>
      <c r="E1100" s="4" t="s">
        <v>3382</v>
      </c>
      <c r="F1100" s="3" t="str">
        <f>HYPERLINK("https://sitebase.nzcomms.co.nz/spm/spmcandidateview/MNW-040-018-D/","MNW-040-018-D")</f>
        <v>MNW-040-018-D</v>
      </c>
      <c r="G1100" s="4" t="s">
        <v>3383</v>
      </c>
      <c r="H1100" s="4" t="s">
        <v>3312</v>
      </c>
      <c r="I1100" s="4">
        <v>6</v>
      </c>
      <c r="J1100" s="4" t="s">
        <v>1633</v>
      </c>
      <c r="K1100" s="4" t="s">
        <v>141</v>
      </c>
      <c r="L1100" s="4" t="s">
        <v>189</v>
      </c>
      <c r="M1100" s="4" t="s">
        <v>190</v>
      </c>
      <c r="N1100" s="4" t="s">
        <v>274</v>
      </c>
      <c r="O1100" s="4" t="s">
        <v>356</v>
      </c>
      <c r="P1100" s="4" t="s">
        <v>182</v>
      </c>
      <c r="Q1100" s="4" t="s">
        <v>192</v>
      </c>
      <c r="R1100" s="4">
        <v>14.3</v>
      </c>
      <c r="S1100" s="4">
        <v>14.3</v>
      </c>
      <c r="T1100" s="4"/>
      <c r="U1100" s="4">
        <v>-40.373370209999997</v>
      </c>
      <c r="V1100" s="4">
        <v>175.59110674999999</v>
      </c>
      <c r="W1100" s="4"/>
      <c r="X1100" s="5">
        <v>40423</v>
      </c>
      <c r="Y1100" s="4"/>
      <c r="Z1100" s="5">
        <v>40221</v>
      </c>
      <c r="AA1100" s="4" t="s">
        <v>171</v>
      </c>
      <c r="AB1100" s="3" t="str">
        <f>HYPERLINK("https://sitebase.nzcomms.co.nz/spm/spmcandidateview/MNW-040-004-A/","MNW-040-004-A")</f>
        <v>MNW-040-004-A</v>
      </c>
      <c r="AC1100" s="4" t="b">
        <v>1</v>
      </c>
      <c r="AD1100" s="4" t="b">
        <v>1</v>
      </c>
      <c r="AE1100" s="5">
        <v>40576</v>
      </c>
      <c r="AF1100" s="4"/>
      <c r="AG1100" s="4" t="b">
        <v>0</v>
      </c>
      <c r="AH1100" s="4" t="s">
        <v>3384</v>
      </c>
      <c r="AI1100" s="4"/>
      <c r="AJ1100" s="5">
        <v>40709</v>
      </c>
      <c r="AK1100" s="4"/>
      <c r="AL1100" s="5">
        <v>40715</v>
      </c>
      <c r="AM1100" s="4"/>
      <c r="AN1100" s="5">
        <v>40732</v>
      </c>
      <c r="AO1100" s="4">
        <v>2</v>
      </c>
      <c r="AP1100" s="5">
        <v>40725</v>
      </c>
      <c r="AQ1100" s="5">
        <v>41967</v>
      </c>
      <c r="AR1100" s="5">
        <v>40791</v>
      </c>
      <c r="AS1100" s="5">
        <v>40815</v>
      </c>
      <c r="AT1100" s="5">
        <v>40821</v>
      </c>
      <c r="AU1100" s="5">
        <v>40815</v>
      </c>
      <c r="AV1100" s="4">
        <v>1</v>
      </c>
      <c r="AW1100" s="5">
        <v>40821</v>
      </c>
      <c r="AX1100" s="5">
        <v>40815</v>
      </c>
      <c r="AY1100" s="4" t="s">
        <v>193</v>
      </c>
      <c r="AZ1100" s="4"/>
      <c r="BA1100" s="5">
        <v>40736</v>
      </c>
      <c r="BB1100" s="5">
        <v>40770</v>
      </c>
      <c r="BC1100" s="5">
        <v>40765</v>
      </c>
      <c r="BD1100" s="4">
        <v>1</v>
      </c>
      <c r="BE1100" s="5">
        <v>40770</v>
      </c>
      <c r="BF1100" s="5">
        <v>40765</v>
      </c>
      <c r="BG1100" s="4"/>
      <c r="BH1100" s="4"/>
      <c r="BI1100" s="5">
        <v>40851</v>
      </c>
      <c r="BJ1100" s="5">
        <v>40886</v>
      </c>
      <c r="BK1100" s="4">
        <v>1</v>
      </c>
      <c r="BL1100" s="4"/>
      <c r="BM1100" s="5">
        <v>40851</v>
      </c>
      <c r="BN1100" s="5">
        <v>40886</v>
      </c>
      <c r="BO1100" s="5">
        <v>40851</v>
      </c>
      <c r="BP1100" s="4"/>
      <c r="BQ1100" s="4"/>
      <c r="BR1100" s="4"/>
      <c r="BS1100" s="4"/>
      <c r="BT1100" s="5">
        <v>40879</v>
      </c>
      <c r="BU1100" s="5">
        <v>40878</v>
      </c>
      <c r="BV1100" s="5">
        <v>40900</v>
      </c>
      <c r="BW1100" s="5">
        <v>40900</v>
      </c>
      <c r="BX1100" s="5">
        <v>40886</v>
      </c>
      <c r="BY1100" s="5">
        <v>40891</v>
      </c>
      <c r="BZ1100" s="5">
        <v>40891</v>
      </c>
      <c r="CA1100" s="4"/>
      <c r="CB1100" s="4"/>
      <c r="CC1100" s="4"/>
      <c r="CD1100" s="4"/>
      <c r="CE1100" s="4"/>
      <c r="CF1100" s="4"/>
      <c r="CG1100" s="4"/>
      <c r="CH1100" s="4"/>
      <c r="CI1100" s="5">
        <v>40891</v>
      </c>
      <c r="CJ1100" s="5">
        <v>40893</v>
      </c>
      <c r="CK1100" s="5">
        <v>40891</v>
      </c>
      <c r="CL1100" s="5">
        <v>40935</v>
      </c>
      <c r="CM1100" s="5">
        <v>40927</v>
      </c>
      <c r="CN1100" s="5">
        <v>41532</v>
      </c>
      <c r="CO1100" s="5">
        <v>41592</v>
      </c>
      <c r="CP1100" s="4"/>
      <c r="CQ1100" s="4"/>
      <c r="CR1100" s="5">
        <v>40891</v>
      </c>
      <c r="CS1100" s="5">
        <v>40865</v>
      </c>
      <c r="CT1100" s="5">
        <v>40878</v>
      </c>
      <c r="CU1100" s="5">
        <v>40877</v>
      </c>
      <c r="CV1100" s="5">
        <v>40882</v>
      </c>
      <c r="CW1100" s="5">
        <v>40858</v>
      </c>
      <c r="CX1100" s="5">
        <v>40851</v>
      </c>
      <c r="CY1100" s="5">
        <v>40890</v>
      </c>
      <c r="CZ1100" s="5">
        <v>40890</v>
      </c>
      <c r="DA1100" s="4"/>
      <c r="DB1100" s="5">
        <v>40891</v>
      </c>
      <c r="DC1100" s="4"/>
      <c r="DD1100" s="4"/>
      <c r="DE1100" s="4"/>
      <c r="DF1100" s="4"/>
      <c r="DG1100" s="4"/>
      <c r="DH1100" s="4" t="s">
        <v>174</v>
      </c>
      <c r="DI1100" s="5">
        <v>40884</v>
      </c>
      <c r="DJ1100" s="4" t="b">
        <v>0</v>
      </c>
      <c r="DK1100" s="4"/>
      <c r="DL1100" s="4">
        <v>2729991</v>
      </c>
      <c r="DM1100" s="4">
        <v>6089283</v>
      </c>
      <c r="DN1100" s="4" t="s">
        <v>3385</v>
      </c>
      <c r="DO1100" s="4"/>
      <c r="DP1100" s="4"/>
      <c r="DQ1100" s="4" t="s">
        <v>148</v>
      </c>
      <c r="DR1100" s="4"/>
      <c r="DS1100" s="4"/>
      <c r="DT1100" s="5">
        <v>42101</v>
      </c>
      <c r="DU1100" s="4"/>
      <c r="DV1100" s="4"/>
      <c r="DW1100" s="4"/>
      <c r="DX1100" s="4"/>
      <c r="DY1100" s="4"/>
      <c r="DZ1100" s="4"/>
      <c r="EA1100" s="4"/>
      <c r="EB1100" s="4"/>
      <c r="EC1100" s="4"/>
      <c r="ED1100" s="4"/>
      <c r="EE1100" s="4"/>
      <c r="EF1100" s="4"/>
      <c r="EG1100" s="5">
        <v>40923</v>
      </c>
      <c r="EH1100" s="5">
        <v>40900</v>
      </c>
      <c r="EI1100" s="5">
        <v>40715</v>
      </c>
    </row>
    <row r="1101" spans="1:139" hidden="1" x14ac:dyDescent="0.2">
      <c r="A1101">
        <f>VLOOKUP(B1101,Sheet1!$A$1:$B$18,2,FALSE)</f>
        <v>0</v>
      </c>
      <c r="B1101" t="str">
        <f>LEFT(D1101,3)</f>
        <v>MNW</v>
      </c>
      <c r="C1101" s="2">
        <v>1100</v>
      </c>
      <c r="D1101" s="3" t="str">
        <f>HYPERLINK("https://sitebase.nzcomms.co.nz/spm/spmnominalview/MNW-040-019/","MNW-040-019")</f>
        <v>MNW-040-019</v>
      </c>
      <c r="E1101" s="4" t="s">
        <v>3386</v>
      </c>
      <c r="F1101" s="4"/>
      <c r="G1101" s="4"/>
      <c r="H1101" s="4" t="s">
        <v>3312</v>
      </c>
      <c r="I1101" s="4"/>
      <c r="J1101" s="4" t="s">
        <v>722</v>
      </c>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t="b">
        <v>0</v>
      </c>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4"/>
      <c r="BF1101" s="4"/>
      <c r="BG1101" s="4"/>
      <c r="BH1101" s="4"/>
      <c r="BI1101" s="4"/>
      <c r="BJ1101" s="4"/>
      <c r="BK1101" s="4"/>
      <c r="BL1101" s="4"/>
      <c r="BM1101" s="4"/>
      <c r="BN1101" s="4"/>
      <c r="BO1101" s="4"/>
      <c r="BP1101" s="4"/>
      <c r="BQ1101" s="4"/>
      <c r="BR1101" s="4"/>
      <c r="BS1101" s="4"/>
      <c r="BT1101" s="4"/>
      <c r="BU1101" s="4"/>
      <c r="BV1101" s="4"/>
      <c r="BW1101" s="4"/>
      <c r="BX1101" s="4"/>
      <c r="BY1101" s="4"/>
      <c r="BZ1101" s="4"/>
      <c r="CA1101" s="4"/>
      <c r="CB1101" s="4"/>
      <c r="CC1101" s="4"/>
      <c r="CD1101" s="4"/>
      <c r="CE1101" s="4"/>
      <c r="CF1101" s="4"/>
      <c r="CG1101" s="4"/>
      <c r="CH1101" s="4"/>
      <c r="CI1101" s="4"/>
      <c r="CJ1101" s="4"/>
      <c r="CK1101" s="4"/>
      <c r="CL1101" s="4"/>
      <c r="CM1101" s="4"/>
      <c r="CN1101" s="4"/>
      <c r="CO1101" s="4"/>
      <c r="CP1101" s="4"/>
      <c r="CQ1101" s="4"/>
      <c r="CR1101" s="4"/>
      <c r="CS1101" s="4"/>
      <c r="CT1101" s="4"/>
      <c r="CU1101" s="4"/>
      <c r="CV1101" s="4"/>
      <c r="CW1101" s="4"/>
      <c r="CX1101" s="4"/>
      <c r="CY1101" s="4"/>
      <c r="CZ1101" s="4"/>
      <c r="DA1101" s="4"/>
      <c r="DB1101" s="4"/>
      <c r="DC1101" s="4"/>
      <c r="DD1101" s="4"/>
      <c r="DE1101" s="4"/>
      <c r="DF1101" s="4"/>
      <c r="DG1101" s="4"/>
      <c r="DH1101" s="4"/>
      <c r="DI1101" s="4"/>
      <c r="DJ1101" s="4"/>
      <c r="DK1101" s="4"/>
      <c r="DL1101" s="4"/>
      <c r="DM1101" s="4"/>
      <c r="DN1101" s="4"/>
      <c r="DO1101" s="4"/>
      <c r="DP1101" s="4"/>
      <c r="DQ1101" s="4"/>
      <c r="DR1101" s="4"/>
      <c r="DS1101" s="4"/>
      <c r="DT1101" s="4"/>
      <c r="DU1101" s="4"/>
      <c r="DV1101" s="4"/>
      <c r="DW1101" s="4"/>
      <c r="DX1101" s="4"/>
      <c r="DY1101" s="4"/>
      <c r="DZ1101" s="4"/>
      <c r="EA1101" s="4"/>
      <c r="EB1101" s="4"/>
      <c r="EC1101" s="4"/>
      <c r="ED1101" s="4"/>
      <c r="EE1101" s="4"/>
      <c r="EF1101" s="4"/>
      <c r="EG1101" s="4"/>
      <c r="EH1101" s="4"/>
      <c r="EI1101" s="4"/>
    </row>
    <row r="1102" spans="1:139" hidden="1" x14ac:dyDescent="0.2">
      <c r="A1102">
        <f>VLOOKUP(B1102,Sheet1!$A$1:$B$18,2,FALSE)</f>
        <v>0</v>
      </c>
      <c r="B1102" t="str">
        <f>LEFT(D1102,3)</f>
        <v>MNW</v>
      </c>
      <c r="C1102" s="2">
        <v>1101</v>
      </c>
      <c r="D1102" s="3" t="str">
        <f>HYPERLINK("https://sitebase.nzcomms.co.nz/spm/spmnominalview/MNW-040-020/","MNW-040-020")</f>
        <v>MNW-040-020</v>
      </c>
      <c r="E1102" s="4" t="s">
        <v>3387</v>
      </c>
      <c r="F1102" s="3" t="str">
        <f>HYPERLINK("https://sitebase.nzcomms.co.nz/spm/spmcandidateview/MNW-040-020-A/","MNW-040-020-A")</f>
        <v>MNW-040-020-A</v>
      </c>
      <c r="G1102" s="4" t="s">
        <v>2108</v>
      </c>
      <c r="H1102" s="4" t="s">
        <v>3312</v>
      </c>
      <c r="I1102" s="4">
        <v>23</v>
      </c>
      <c r="J1102" s="4" t="s">
        <v>331</v>
      </c>
      <c r="K1102" s="4" t="s">
        <v>141</v>
      </c>
      <c r="L1102" s="4"/>
      <c r="M1102" s="4"/>
      <c r="N1102" s="4"/>
      <c r="O1102" s="4"/>
      <c r="P1102" s="4"/>
      <c r="Q1102" s="4" t="s">
        <v>170</v>
      </c>
      <c r="R1102" s="4"/>
      <c r="S1102" s="4"/>
      <c r="T1102" s="4"/>
      <c r="U1102" s="4"/>
      <c r="V1102" s="4"/>
      <c r="W1102" s="4"/>
      <c r="X1102" s="4"/>
      <c r="Y1102" s="4"/>
      <c r="Z1102" s="4"/>
      <c r="AA1102" s="4"/>
      <c r="AB1102" s="4"/>
      <c r="AC1102" s="4" t="b">
        <v>0</v>
      </c>
      <c r="AD1102" s="4" t="b">
        <v>0</v>
      </c>
      <c r="AE1102" s="4"/>
      <c r="AF1102" s="4"/>
      <c r="AG1102" s="4" t="b">
        <v>0</v>
      </c>
      <c r="AH1102" s="4"/>
      <c r="AI1102" s="5">
        <v>42460</v>
      </c>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4"/>
      <c r="BS1102" s="4"/>
      <c r="BT1102" s="4"/>
      <c r="BU1102" s="4"/>
      <c r="BV1102" s="4"/>
      <c r="BW1102" s="4"/>
      <c r="BX1102" s="4"/>
      <c r="BY1102" s="4"/>
      <c r="BZ1102" s="4"/>
      <c r="CA1102" s="4"/>
      <c r="CB1102" s="4"/>
      <c r="CC1102" s="4"/>
      <c r="CD1102" s="4"/>
      <c r="CE1102" s="4"/>
      <c r="CF1102" s="4"/>
      <c r="CG1102" s="4"/>
      <c r="CH1102" s="4"/>
      <c r="CI1102" s="4"/>
      <c r="CJ1102" s="4"/>
      <c r="CK1102" s="4"/>
      <c r="CL1102" s="4"/>
      <c r="CM1102" s="4"/>
      <c r="CN1102" s="4"/>
      <c r="CO1102" s="4"/>
      <c r="CP1102" s="4" t="s">
        <v>3388</v>
      </c>
      <c r="CQ1102" s="4"/>
      <c r="CR1102" s="4"/>
      <c r="CS1102" s="4"/>
      <c r="CT1102" s="4"/>
      <c r="CU1102" s="4"/>
      <c r="CV1102" s="4"/>
      <c r="CW1102" s="4"/>
      <c r="CX1102" s="4"/>
      <c r="CY1102" s="4"/>
      <c r="CZ1102" s="4"/>
      <c r="DA1102" s="4"/>
      <c r="DB1102" s="4"/>
      <c r="DC1102" s="4"/>
      <c r="DD1102" s="4"/>
      <c r="DE1102" s="4"/>
      <c r="DF1102" s="4"/>
      <c r="DG1102" s="4"/>
      <c r="DH1102" s="4"/>
      <c r="DI1102" s="4"/>
      <c r="DJ1102" s="4" t="b">
        <v>0</v>
      </c>
      <c r="DK1102" s="4"/>
      <c r="DL1102" s="4"/>
      <c r="DM1102" s="4"/>
      <c r="DN1102" s="4"/>
      <c r="DO1102" s="4"/>
      <c r="DP1102" s="4"/>
      <c r="DQ1102" s="4"/>
      <c r="DR1102" s="4" t="s">
        <v>255</v>
      </c>
      <c r="DS1102" s="4"/>
      <c r="DT1102" s="4"/>
      <c r="DU1102" s="4" t="s">
        <v>577</v>
      </c>
      <c r="DV1102" s="4"/>
      <c r="DW1102" s="4"/>
      <c r="DX1102" s="4"/>
      <c r="DY1102" s="4"/>
      <c r="DZ1102" s="4"/>
      <c r="EA1102" s="4"/>
      <c r="EB1102" s="4"/>
      <c r="EC1102" s="4"/>
      <c r="ED1102" s="4"/>
      <c r="EE1102" s="4"/>
      <c r="EF1102" s="4"/>
      <c r="EG1102" s="4"/>
      <c r="EH1102" s="4"/>
      <c r="EI1102" s="4"/>
    </row>
    <row r="1103" spans="1:139" hidden="1" x14ac:dyDescent="0.2">
      <c r="A1103">
        <f>VLOOKUP(B1103,Sheet1!$A$1:$B$18,2,FALSE)</f>
        <v>0</v>
      </c>
      <c r="B1103" t="str">
        <f>LEFT(D1103,3)</f>
        <v>MNW</v>
      </c>
      <c r="C1103" s="2">
        <v>1102</v>
      </c>
      <c r="D1103" s="3" t="str">
        <f>HYPERLINK("https://sitebase.nzcomms.co.nz/spm/spmnominalview/MNW-041-001/","MNW-041-001")</f>
        <v>MNW-041-001</v>
      </c>
      <c r="E1103" s="4" t="s">
        <v>3389</v>
      </c>
      <c r="F1103" s="4"/>
      <c r="G1103" s="4"/>
      <c r="H1103" s="4" t="s">
        <v>3390</v>
      </c>
      <c r="I1103" s="4"/>
      <c r="J1103" s="4" t="s">
        <v>196</v>
      </c>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t="b">
        <v>0</v>
      </c>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4"/>
      <c r="BS1103" s="4"/>
      <c r="BT1103" s="4"/>
      <c r="BU1103" s="4"/>
      <c r="BV1103" s="4"/>
      <c r="BW1103" s="4"/>
      <c r="BX1103" s="4"/>
      <c r="BY1103" s="4"/>
      <c r="BZ1103" s="4"/>
      <c r="CA1103" s="4"/>
      <c r="CB1103" s="4"/>
      <c r="CC1103" s="4"/>
      <c r="CD1103" s="4"/>
      <c r="CE1103" s="4"/>
      <c r="CF1103" s="4"/>
      <c r="CG1103" s="4"/>
      <c r="CH1103" s="4"/>
      <c r="CI1103" s="4"/>
      <c r="CJ1103" s="4"/>
      <c r="CK1103" s="4"/>
      <c r="CL1103" s="4"/>
      <c r="CM1103" s="4"/>
      <c r="CN1103" s="4"/>
      <c r="CO1103" s="4"/>
      <c r="CP1103" s="4"/>
      <c r="CQ1103" s="4"/>
      <c r="CR1103" s="4"/>
      <c r="CS1103" s="4"/>
      <c r="CT1103" s="4"/>
      <c r="CU1103" s="4"/>
      <c r="CV1103" s="4"/>
      <c r="CW1103" s="4"/>
      <c r="CX1103" s="4"/>
      <c r="CY1103" s="4"/>
      <c r="CZ1103" s="4"/>
      <c r="DA1103" s="4"/>
      <c r="DB1103" s="4"/>
      <c r="DC1103" s="4"/>
      <c r="DD1103" s="4"/>
      <c r="DE1103" s="4"/>
      <c r="DF1103" s="4"/>
      <c r="DG1103" s="4"/>
      <c r="DH1103" s="4"/>
      <c r="DI1103" s="4"/>
      <c r="DJ1103" s="4"/>
      <c r="DK1103" s="4"/>
      <c r="DL1103" s="4"/>
      <c r="DM1103" s="4"/>
      <c r="DN1103" s="4"/>
      <c r="DO1103" s="4"/>
      <c r="DP1103" s="4"/>
      <c r="DQ1103" s="4"/>
      <c r="DR1103" s="4"/>
      <c r="DS1103" s="4"/>
      <c r="DT1103" s="4"/>
      <c r="DU1103" s="4"/>
      <c r="DV1103" s="4"/>
      <c r="DW1103" s="4"/>
      <c r="DX1103" s="4"/>
      <c r="DY1103" s="4"/>
      <c r="DZ1103" s="4"/>
      <c r="EA1103" s="4"/>
      <c r="EB1103" s="4"/>
      <c r="EC1103" s="4"/>
      <c r="ED1103" s="4"/>
      <c r="EE1103" s="4"/>
      <c r="EF1103" s="4"/>
      <c r="EG1103" s="4"/>
      <c r="EH1103" s="4"/>
      <c r="EI1103" s="4"/>
    </row>
    <row r="1104" spans="1:139" hidden="1" x14ac:dyDescent="0.2">
      <c r="A1104">
        <f>VLOOKUP(B1104,Sheet1!$A$1:$B$18,2,FALSE)</f>
        <v>0</v>
      </c>
      <c r="B1104" t="str">
        <f>LEFT(D1104,3)</f>
        <v>MNW</v>
      </c>
      <c r="C1104" s="2">
        <v>1103</v>
      </c>
      <c r="D1104" s="3" t="str">
        <f>HYPERLINK("https://sitebase.nzcomms.co.nz/spm/spmnominalview/MNW-041-002/","MNW-041-002")</f>
        <v>MNW-041-002</v>
      </c>
      <c r="E1104" s="4" t="s">
        <v>3391</v>
      </c>
      <c r="F1104" s="3" t="str">
        <f>HYPERLINK("https://sitebase.nzcomms.co.nz/spm/spmcandidateview/MNW-041-002-A/","MNW-041-002-A")</f>
        <v>MNW-041-002-A</v>
      </c>
      <c r="G1104" s="4" t="s">
        <v>3392</v>
      </c>
      <c r="H1104" s="4" t="s">
        <v>3390</v>
      </c>
      <c r="I1104" s="4">
        <v>6</v>
      </c>
      <c r="J1104" s="4" t="s">
        <v>180</v>
      </c>
      <c r="K1104" s="4" t="s">
        <v>141</v>
      </c>
      <c r="L1104" s="4" t="s">
        <v>142</v>
      </c>
      <c r="M1104" s="4" t="s">
        <v>190</v>
      </c>
      <c r="N1104" s="4" t="s">
        <v>142</v>
      </c>
      <c r="O1104" s="4"/>
      <c r="P1104" s="4" t="s">
        <v>169</v>
      </c>
      <c r="Q1104" s="4" t="s">
        <v>142</v>
      </c>
      <c r="R1104" s="4"/>
      <c r="S1104" s="4"/>
      <c r="T1104" s="4">
        <v>1</v>
      </c>
      <c r="U1104" s="4">
        <v>-40.201172800000002</v>
      </c>
      <c r="V1104" s="4">
        <v>176.08574372000001</v>
      </c>
      <c r="W1104" s="4"/>
      <c r="X1104" s="5">
        <v>40941</v>
      </c>
      <c r="Y1104" s="4"/>
      <c r="Z1104" s="4"/>
      <c r="AA1104" s="4" t="s">
        <v>171</v>
      </c>
      <c r="AB1104" s="3" t="str">
        <f>HYPERLINK("https://sitebase.nzcomms.co.nz/spm/spmcandidateview/MNW-041-003-A/","MNW-041-003-A")</f>
        <v>MNW-041-003-A</v>
      </c>
      <c r="AC1104" s="4" t="b">
        <v>0</v>
      </c>
      <c r="AD1104" s="4" t="b">
        <v>0</v>
      </c>
      <c r="AE1104" s="4"/>
      <c r="AF1104" s="4"/>
      <c r="AG1104" s="4" t="b">
        <v>0</v>
      </c>
      <c r="AH1104" s="4"/>
      <c r="AI1104" s="5">
        <v>40974</v>
      </c>
      <c r="AJ1104" s="5">
        <v>40974</v>
      </c>
      <c r="AK1104" s="5">
        <v>40988</v>
      </c>
      <c r="AL1104" s="5">
        <v>40976</v>
      </c>
      <c r="AM1104" s="5">
        <v>41027</v>
      </c>
      <c r="AN1104" s="5">
        <v>41101</v>
      </c>
      <c r="AO1104" s="4">
        <v>1</v>
      </c>
      <c r="AP1104" s="5">
        <v>41030</v>
      </c>
      <c r="AQ1104" s="5">
        <v>41101</v>
      </c>
      <c r="AR1104" s="5">
        <v>41202</v>
      </c>
      <c r="AS1104" s="5">
        <v>41198</v>
      </c>
      <c r="AT1104" s="5">
        <v>41202</v>
      </c>
      <c r="AU1104" s="5">
        <v>41198</v>
      </c>
      <c r="AV1104" s="4"/>
      <c r="AW1104" s="5">
        <v>41202</v>
      </c>
      <c r="AX1104" s="5">
        <v>41198</v>
      </c>
      <c r="AY1104" s="4" t="s">
        <v>172</v>
      </c>
      <c r="AZ1104" s="5">
        <v>41036</v>
      </c>
      <c r="BA1104" s="5">
        <v>41101</v>
      </c>
      <c r="BB1104" s="5">
        <v>41067</v>
      </c>
      <c r="BC1104" s="5">
        <v>41101</v>
      </c>
      <c r="BD1104" s="4">
        <v>1</v>
      </c>
      <c r="BE1104" s="5">
        <v>41071</v>
      </c>
      <c r="BF1104" s="5">
        <v>41101</v>
      </c>
      <c r="BG1104" s="4"/>
      <c r="BH1104" s="4"/>
      <c r="BI1104" s="5">
        <v>41163</v>
      </c>
      <c r="BJ1104" s="5">
        <v>41164</v>
      </c>
      <c r="BK1104" s="4">
        <v>1</v>
      </c>
      <c r="BL1104" s="4"/>
      <c r="BM1104" s="5">
        <v>41163</v>
      </c>
      <c r="BN1104" s="5">
        <v>41164</v>
      </c>
      <c r="BO1104" s="5">
        <v>41201</v>
      </c>
      <c r="BP1104" s="4"/>
      <c r="BQ1104" s="4"/>
      <c r="BR1104" s="4"/>
      <c r="BS1104" s="4"/>
      <c r="BT1104" s="5">
        <v>41197</v>
      </c>
      <c r="BU1104" s="5">
        <v>41194</v>
      </c>
      <c r="BV1104" s="5">
        <v>41215</v>
      </c>
      <c r="BW1104" s="5">
        <v>41208</v>
      </c>
      <c r="BX1104" s="5">
        <v>41201</v>
      </c>
      <c r="BY1104" s="5">
        <v>41238</v>
      </c>
      <c r="BZ1104" s="5">
        <v>41219</v>
      </c>
      <c r="CA1104" s="4"/>
      <c r="CB1104" s="4"/>
      <c r="CC1104" s="4"/>
      <c r="CD1104" s="4"/>
      <c r="CE1104" s="4"/>
      <c r="CF1104" s="4"/>
      <c r="CG1104" s="4"/>
      <c r="CH1104" s="4"/>
      <c r="CI1104" s="5">
        <v>41332</v>
      </c>
      <c r="CJ1104" s="5">
        <v>41348</v>
      </c>
      <c r="CK1104" s="5">
        <v>41341</v>
      </c>
      <c r="CL1104" s="5">
        <v>41348</v>
      </c>
      <c r="CM1104" s="5">
        <v>41348</v>
      </c>
      <c r="CN1104" s="5">
        <v>41468</v>
      </c>
      <c r="CO1104" s="5">
        <v>41458</v>
      </c>
      <c r="CP1104" s="4"/>
      <c r="CQ1104" s="4" t="s">
        <v>230</v>
      </c>
      <c r="CR1104" s="5">
        <v>41331</v>
      </c>
      <c r="CS1104" s="4"/>
      <c r="CT1104" s="4"/>
      <c r="CU1104" s="5">
        <v>41174</v>
      </c>
      <c r="CV1104" s="5">
        <v>41201</v>
      </c>
      <c r="CW1104" s="5">
        <v>41181</v>
      </c>
      <c r="CX1104" s="5">
        <v>41201</v>
      </c>
      <c r="CY1104" s="5">
        <v>41316</v>
      </c>
      <c r="CZ1104" s="5">
        <v>41320</v>
      </c>
      <c r="DA1104" s="5">
        <v>41343</v>
      </c>
      <c r="DB1104" s="5">
        <v>41337</v>
      </c>
      <c r="DC1104" s="5">
        <v>41101</v>
      </c>
      <c r="DD1104" s="4" t="s">
        <v>586</v>
      </c>
      <c r="DE1104" s="4" t="s">
        <v>2918</v>
      </c>
      <c r="DF1104" s="4"/>
      <c r="DG1104" s="4"/>
      <c r="DH1104" s="4" t="s">
        <v>174</v>
      </c>
      <c r="DI1104" s="5">
        <v>41215</v>
      </c>
      <c r="DJ1104" s="4" t="b">
        <v>0</v>
      </c>
      <c r="DK1104" s="4"/>
      <c r="DL1104" s="4">
        <v>2772643</v>
      </c>
      <c r="DM1104" s="4">
        <v>6107041</v>
      </c>
      <c r="DN1104" s="4" t="s">
        <v>3393</v>
      </c>
      <c r="DO1104" s="4"/>
      <c r="DP1104" s="4"/>
      <c r="DQ1104" s="4" t="s">
        <v>148</v>
      </c>
      <c r="DR1104" s="4"/>
      <c r="DS1104" s="4"/>
      <c r="DT1104" s="4"/>
      <c r="DU1104" s="4"/>
      <c r="DV1104" s="4"/>
      <c r="DW1104" s="4"/>
      <c r="DX1104" s="4"/>
      <c r="DY1104" s="4"/>
      <c r="DZ1104" s="4"/>
      <c r="EA1104" s="4"/>
      <c r="EB1104" s="4"/>
      <c r="EC1104" s="4"/>
      <c r="ED1104" s="4"/>
      <c r="EE1104" s="4"/>
      <c r="EF1104" s="4"/>
      <c r="EG1104" s="5">
        <v>41334</v>
      </c>
      <c r="EH1104" s="5">
        <v>41334</v>
      </c>
      <c r="EI1104" s="4"/>
    </row>
    <row r="1105" spans="1:139" hidden="1" x14ac:dyDescent="0.2">
      <c r="A1105">
        <f>VLOOKUP(B1105,Sheet1!$A$1:$B$18,2,FALSE)</f>
        <v>0</v>
      </c>
      <c r="B1105" t="str">
        <f>LEFT(D1105,3)</f>
        <v>MNW</v>
      </c>
      <c r="C1105" s="2">
        <v>1104</v>
      </c>
      <c r="D1105" s="3" t="str">
        <f>HYPERLINK("https://sitebase.nzcomms.co.nz/spm/spmnominalview/MNW-041-003/","MNW-041-003")</f>
        <v>MNW-041-003</v>
      </c>
      <c r="E1105" s="4" t="s">
        <v>3394</v>
      </c>
      <c r="F1105" s="3" t="str">
        <f>HYPERLINK("https://sitebase.nzcomms.co.nz/spm/spmcandidateview/MNW-041-003-A/","MNW-041-003-A")</f>
        <v>MNW-041-003-A</v>
      </c>
      <c r="G1105" s="4" t="s">
        <v>3395</v>
      </c>
      <c r="H1105" s="4" t="s">
        <v>3390</v>
      </c>
      <c r="I1105" s="4">
        <v>6</v>
      </c>
      <c r="J1105" s="4" t="s">
        <v>180</v>
      </c>
      <c r="K1105" s="4" t="s">
        <v>141</v>
      </c>
      <c r="L1105" s="4" t="s">
        <v>142</v>
      </c>
      <c r="M1105" s="4" t="s">
        <v>190</v>
      </c>
      <c r="N1105" s="4" t="s">
        <v>1986</v>
      </c>
      <c r="O1105" s="4"/>
      <c r="P1105" s="4" t="s">
        <v>169</v>
      </c>
      <c r="Q1105" s="4" t="s">
        <v>142</v>
      </c>
      <c r="R1105" s="4"/>
      <c r="S1105" s="4"/>
      <c r="T1105" s="4">
        <v>2</v>
      </c>
      <c r="U1105" s="4">
        <v>-40.25531376</v>
      </c>
      <c r="V1105" s="4">
        <v>175.85744056999999</v>
      </c>
      <c r="W1105" s="4"/>
      <c r="X1105" s="5">
        <v>40896</v>
      </c>
      <c r="Y1105" s="4"/>
      <c r="Z1105" s="4"/>
      <c r="AA1105" s="4" t="s">
        <v>171</v>
      </c>
      <c r="AB1105" s="3" t="str">
        <f>HYPERLINK("https://sitebase.nzcomms.co.nz/spm/spmcandidateview/MNW-040-001-B/","MNW-040-001-B")</f>
        <v>MNW-040-001-B</v>
      </c>
      <c r="AC1105" s="4" t="b">
        <v>0</v>
      </c>
      <c r="AD1105" s="4" t="b">
        <v>0</v>
      </c>
      <c r="AE1105" s="4"/>
      <c r="AF1105" s="4"/>
      <c r="AG1105" s="4" t="b">
        <v>0</v>
      </c>
      <c r="AH1105" s="4"/>
      <c r="AI1105" s="5">
        <v>40974</v>
      </c>
      <c r="AJ1105" s="5">
        <v>40974</v>
      </c>
      <c r="AK1105" s="5">
        <v>41025</v>
      </c>
      <c r="AL1105" s="5">
        <v>41015</v>
      </c>
      <c r="AM1105" s="5">
        <v>41228</v>
      </c>
      <c r="AN1105" s="5">
        <v>41225</v>
      </c>
      <c r="AO1105" s="4">
        <v>1</v>
      </c>
      <c r="AP1105" s="5">
        <v>41228</v>
      </c>
      <c r="AQ1105" s="5">
        <v>41225</v>
      </c>
      <c r="AR1105" s="5">
        <v>41228</v>
      </c>
      <c r="AS1105" s="5">
        <v>41236</v>
      </c>
      <c r="AT1105" s="5">
        <v>41231</v>
      </c>
      <c r="AU1105" s="5">
        <v>41236</v>
      </c>
      <c r="AV1105" s="4"/>
      <c r="AW1105" s="5">
        <v>41365</v>
      </c>
      <c r="AX1105" s="4"/>
      <c r="AY1105" s="4" t="s">
        <v>1901</v>
      </c>
      <c r="AZ1105" s="5">
        <v>41233</v>
      </c>
      <c r="BA1105" s="5">
        <v>41239</v>
      </c>
      <c r="BB1105" s="5">
        <v>41233</v>
      </c>
      <c r="BC1105" s="5">
        <v>41239</v>
      </c>
      <c r="BD1105" s="4">
        <v>1</v>
      </c>
      <c r="BE1105" s="5">
        <v>41238</v>
      </c>
      <c r="BF1105" s="5">
        <v>41239</v>
      </c>
      <c r="BG1105" s="4"/>
      <c r="BH1105" s="4"/>
      <c r="BI1105" s="5">
        <v>41277</v>
      </c>
      <c r="BJ1105" s="5">
        <v>41317</v>
      </c>
      <c r="BK1105" s="4">
        <v>1</v>
      </c>
      <c r="BL1105" s="4"/>
      <c r="BM1105" s="4"/>
      <c r="BN1105" s="5">
        <v>41317</v>
      </c>
      <c r="BO1105" s="4"/>
      <c r="BP1105" s="4"/>
      <c r="BQ1105" s="4"/>
      <c r="BR1105" s="4"/>
      <c r="BS1105" s="4"/>
      <c r="BT1105" s="5">
        <v>41295</v>
      </c>
      <c r="BU1105" s="5">
        <v>41281</v>
      </c>
      <c r="BV1105" s="5">
        <v>41496</v>
      </c>
      <c r="BW1105" s="5">
        <v>41487</v>
      </c>
      <c r="BX1105" s="5">
        <v>41324</v>
      </c>
      <c r="BY1105" s="5">
        <v>41501</v>
      </c>
      <c r="BZ1105" s="5">
        <v>41509</v>
      </c>
      <c r="CA1105" s="4"/>
      <c r="CB1105" s="4"/>
      <c r="CC1105" s="4"/>
      <c r="CD1105" s="4"/>
      <c r="CE1105" s="4"/>
      <c r="CF1105" s="4"/>
      <c r="CG1105" s="4"/>
      <c r="CH1105" s="4"/>
      <c r="CI1105" s="4"/>
      <c r="CJ1105" s="5">
        <v>41501</v>
      </c>
      <c r="CK1105" s="5">
        <v>41521</v>
      </c>
      <c r="CL1105" s="5">
        <v>41540</v>
      </c>
      <c r="CM1105" s="5">
        <v>41540</v>
      </c>
      <c r="CN1105" s="5">
        <v>41513</v>
      </c>
      <c r="CO1105" s="5">
        <v>41628</v>
      </c>
      <c r="CP1105" s="4"/>
      <c r="CQ1105" s="4" t="s">
        <v>1657</v>
      </c>
      <c r="CR1105" s="5">
        <v>41470</v>
      </c>
      <c r="CS1105" s="4"/>
      <c r="CT1105" s="4"/>
      <c r="CU1105" s="4"/>
      <c r="CV1105" s="4"/>
      <c r="CW1105" s="4"/>
      <c r="CX1105" s="4"/>
      <c r="CY1105" s="4"/>
      <c r="CZ1105" s="4"/>
      <c r="DA1105" s="5">
        <v>41501</v>
      </c>
      <c r="DB1105" s="5">
        <v>41509</v>
      </c>
      <c r="DC1105" s="5">
        <v>41239</v>
      </c>
      <c r="DD1105" s="4" t="s">
        <v>586</v>
      </c>
      <c r="DE1105" s="4" t="s">
        <v>3396</v>
      </c>
      <c r="DF1105" s="4"/>
      <c r="DG1105" s="4"/>
      <c r="DH1105" s="4" t="s">
        <v>174</v>
      </c>
      <c r="DI1105" s="5">
        <v>41299</v>
      </c>
      <c r="DJ1105" s="4" t="b">
        <v>0</v>
      </c>
      <c r="DK1105" s="4"/>
      <c r="DL1105" s="4">
        <v>2753022</v>
      </c>
      <c r="DM1105" s="4">
        <v>6101686</v>
      </c>
      <c r="DN1105" s="4" t="s">
        <v>3394</v>
      </c>
      <c r="DO1105" s="4"/>
      <c r="DP1105" s="4" t="s">
        <v>3397</v>
      </c>
      <c r="DQ1105" s="4" t="s">
        <v>148</v>
      </c>
      <c r="DR1105" s="4"/>
      <c r="DS1105" s="4"/>
      <c r="DT1105" s="4"/>
      <c r="DU1105" s="4"/>
      <c r="DV1105" s="4"/>
      <c r="DW1105" s="4"/>
      <c r="DX1105" s="4"/>
      <c r="DY1105" s="4"/>
      <c r="DZ1105" s="4"/>
      <c r="EA1105" s="4"/>
      <c r="EB1105" s="4"/>
      <c r="EC1105" s="4"/>
      <c r="ED1105" s="4"/>
      <c r="EE1105" s="4"/>
      <c r="EF1105" s="4"/>
      <c r="EG1105" s="4"/>
      <c r="EH1105" s="4"/>
      <c r="EI1105" s="4"/>
    </row>
    <row r="1106" spans="1:139" hidden="1" x14ac:dyDescent="0.2">
      <c r="A1106">
        <f>VLOOKUP(B1106,Sheet1!$A$1:$B$18,2,FALSE)</f>
        <v>0</v>
      </c>
      <c r="B1106" t="str">
        <f>LEFT(D1106,3)</f>
        <v>MNW</v>
      </c>
      <c r="C1106" s="2">
        <v>1105</v>
      </c>
      <c r="D1106" s="3" t="str">
        <f>HYPERLINK("https://sitebase.nzcomms.co.nz/spm/spmnominalview/MNW-041-004/","MNW-041-004")</f>
        <v>MNW-041-004</v>
      </c>
      <c r="E1106" s="4"/>
      <c r="F1106" s="4"/>
      <c r="G1106" s="4"/>
      <c r="H1106" s="4" t="s">
        <v>3390</v>
      </c>
      <c r="I1106" s="4"/>
      <c r="J1106" s="4" t="s">
        <v>196</v>
      </c>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c r="BI1106" s="4"/>
      <c r="BJ1106" s="4"/>
      <c r="BK1106" s="4"/>
      <c r="BL1106" s="4"/>
      <c r="BM1106" s="4"/>
      <c r="BN1106" s="4"/>
      <c r="BO1106" s="4"/>
      <c r="BP1106" s="4"/>
      <c r="BQ1106" s="4"/>
      <c r="BR1106" s="4"/>
      <c r="BS1106" s="4"/>
      <c r="BT1106" s="4"/>
      <c r="BU1106" s="4"/>
      <c r="BV1106" s="4"/>
      <c r="BW1106" s="4"/>
      <c r="BX1106" s="4"/>
      <c r="BY1106" s="4"/>
      <c r="BZ1106" s="4"/>
      <c r="CA1106" s="4"/>
      <c r="CB1106" s="4"/>
      <c r="CC1106" s="4"/>
      <c r="CD1106" s="4"/>
      <c r="CE1106" s="4"/>
      <c r="CF1106" s="4"/>
      <c r="CG1106" s="4"/>
      <c r="CH1106" s="4"/>
      <c r="CI1106" s="4"/>
      <c r="CJ1106" s="4"/>
      <c r="CK1106" s="4"/>
      <c r="CL1106" s="4"/>
      <c r="CM1106" s="4"/>
      <c r="CN1106" s="4"/>
      <c r="CO1106" s="4"/>
      <c r="CP1106" s="4"/>
      <c r="CQ1106" s="4"/>
      <c r="CR1106" s="4"/>
      <c r="CS1106" s="4"/>
      <c r="CT1106" s="4"/>
      <c r="CU1106" s="4"/>
      <c r="CV1106" s="4"/>
      <c r="CW1106" s="4"/>
      <c r="CX1106" s="4"/>
      <c r="CY1106" s="4"/>
      <c r="CZ1106" s="4"/>
      <c r="DA1106" s="4"/>
      <c r="DB1106" s="4"/>
      <c r="DC1106" s="4"/>
      <c r="DD1106" s="4"/>
      <c r="DE1106" s="4"/>
      <c r="DF1106" s="4"/>
      <c r="DG1106" s="4"/>
      <c r="DH1106" s="4"/>
      <c r="DI1106" s="4"/>
      <c r="DJ1106" s="4"/>
      <c r="DK1106" s="4"/>
      <c r="DL1106" s="4"/>
      <c r="DM1106" s="4"/>
      <c r="DN1106" s="4"/>
      <c r="DO1106" s="4"/>
      <c r="DP1106" s="4"/>
      <c r="DQ1106" s="4"/>
      <c r="DR1106" s="4"/>
      <c r="DS1106" s="4"/>
      <c r="DT1106" s="4"/>
      <c r="DU1106" s="4"/>
      <c r="DV1106" s="4"/>
      <c r="DW1106" s="4"/>
      <c r="DX1106" s="4"/>
      <c r="DY1106" s="4"/>
      <c r="DZ1106" s="4"/>
      <c r="EA1106" s="4"/>
      <c r="EB1106" s="4"/>
      <c r="EC1106" s="4"/>
      <c r="ED1106" s="4"/>
      <c r="EE1106" s="4"/>
      <c r="EF1106" s="4"/>
      <c r="EG1106" s="4"/>
      <c r="EH1106" s="4"/>
      <c r="EI1106" s="4"/>
    </row>
    <row r="1107" spans="1:139" hidden="1" x14ac:dyDescent="0.2">
      <c r="A1107">
        <f>VLOOKUP(B1107,Sheet1!$A$1:$B$18,2,FALSE)</f>
        <v>0</v>
      </c>
      <c r="B1107" t="str">
        <f>LEFT(D1107,3)</f>
        <v>MNW</v>
      </c>
      <c r="C1107" s="2">
        <v>1106</v>
      </c>
      <c r="D1107" s="3" t="str">
        <f>HYPERLINK("https://sitebase.nzcomms.co.nz/spm/spmnominalview/MNW-041-005/","MNW-041-005")</f>
        <v>MNW-041-005</v>
      </c>
      <c r="E1107" s="4" t="s">
        <v>3398</v>
      </c>
      <c r="F1107" s="3" t="str">
        <f>HYPERLINK("https://sitebase.nzcomms.co.nz/spm/spmcandidateview/MNW-041-005-A/","MNW-041-005-A")</f>
        <v>MNW-041-005-A</v>
      </c>
      <c r="G1107" s="4" t="s">
        <v>3399</v>
      </c>
      <c r="H1107" s="4" t="s">
        <v>3390</v>
      </c>
      <c r="I1107" s="4">
        <v>6</v>
      </c>
      <c r="J1107" s="4" t="s">
        <v>180</v>
      </c>
      <c r="K1107" s="4" t="s">
        <v>141</v>
      </c>
      <c r="L1107" s="4" t="s">
        <v>142</v>
      </c>
      <c r="M1107" s="4" t="s">
        <v>190</v>
      </c>
      <c r="N1107" s="4" t="s">
        <v>142</v>
      </c>
      <c r="O1107" s="4"/>
      <c r="P1107" s="4" t="s">
        <v>169</v>
      </c>
      <c r="Q1107" s="4" t="s">
        <v>142</v>
      </c>
      <c r="R1107" s="4"/>
      <c r="S1107" s="4"/>
      <c r="T1107" s="4">
        <v>1</v>
      </c>
      <c r="U1107" s="4">
        <v>-40.424726</v>
      </c>
      <c r="V1107" s="4">
        <v>175.85197844999999</v>
      </c>
      <c r="W1107" s="4"/>
      <c r="X1107" s="5">
        <v>40933</v>
      </c>
      <c r="Y1107" s="4"/>
      <c r="Z1107" s="4"/>
      <c r="AA1107" s="4" t="s">
        <v>171</v>
      </c>
      <c r="AB1107" s="3" t="str">
        <f>HYPERLINK("https://sitebase.nzcomms.co.nz/spm/spmcandidateview/MNW-041-003-A/","MNW-041-003-A")</f>
        <v>MNW-041-003-A</v>
      </c>
      <c r="AC1107" s="4" t="b">
        <v>0</v>
      </c>
      <c r="AD1107" s="4" t="b">
        <v>0</v>
      </c>
      <c r="AE1107" s="4"/>
      <c r="AF1107" s="4"/>
      <c r="AG1107" s="4" t="b">
        <v>0</v>
      </c>
      <c r="AH1107" s="4"/>
      <c r="AI1107" s="5">
        <v>40974</v>
      </c>
      <c r="AJ1107" s="5">
        <v>40975</v>
      </c>
      <c r="AK1107" s="5">
        <v>41019</v>
      </c>
      <c r="AL1107" s="5">
        <v>41025</v>
      </c>
      <c r="AM1107" s="5">
        <v>41086</v>
      </c>
      <c r="AN1107" s="5">
        <v>41093</v>
      </c>
      <c r="AO1107" s="4">
        <v>1</v>
      </c>
      <c r="AP1107" s="5">
        <v>41086</v>
      </c>
      <c r="AQ1107" s="5">
        <v>41093</v>
      </c>
      <c r="AR1107" s="5">
        <v>41083</v>
      </c>
      <c r="AS1107" s="5">
        <v>41109</v>
      </c>
      <c r="AT1107" s="5">
        <v>41194</v>
      </c>
      <c r="AU1107" s="5">
        <v>41197</v>
      </c>
      <c r="AV1107" s="4"/>
      <c r="AW1107" s="5">
        <v>41194</v>
      </c>
      <c r="AX1107" s="5">
        <v>41198</v>
      </c>
      <c r="AY1107" s="4" t="s">
        <v>183</v>
      </c>
      <c r="AZ1107" s="5">
        <v>41101</v>
      </c>
      <c r="BA1107" s="5">
        <v>41101</v>
      </c>
      <c r="BB1107" s="5">
        <v>41132</v>
      </c>
      <c r="BC1107" s="5">
        <v>41137</v>
      </c>
      <c r="BD1107" s="4">
        <v>1</v>
      </c>
      <c r="BE1107" s="5">
        <v>41132</v>
      </c>
      <c r="BF1107" s="5">
        <v>41334</v>
      </c>
      <c r="BG1107" s="4"/>
      <c r="BH1107" s="4"/>
      <c r="BI1107" s="5">
        <v>41145</v>
      </c>
      <c r="BJ1107" s="5">
        <v>41162</v>
      </c>
      <c r="BK1107" s="4">
        <v>2</v>
      </c>
      <c r="BL1107" s="4">
        <v>1</v>
      </c>
      <c r="BM1107" s="5">
        <v>41422</v>
      </c>
      <c r="BN1107" s="5">
        <v>41442</v>
      </c>
      <c r="BO1107" s="5">
        <v>41183</v>
      </c>
      <c r="BP1107" s="4"/>
      <c r="BQ1107" s="4"/>
      <c r="BR1107" s="4"/>
      <c r="BS1107" s="4"/>
      <c r="BT1107" s="5">
        <v>41299</v>
      </c>
      <c r="BU1107" s="5">
        <v>41303</v>
      </c>
      <c r="BV1107" s="5">
        <v>41320</v>
      </c>
      <c r="BW1107" s="5">
        <v>41320</v>
      </c>
      <c r="BX1107" s="5">
        <v>41320</v>
      </c>
      <c r="BY1107" s="5">
        <v>41422</v>
      </c>
      <c r="BZ1107" s="5">
        <v>41438</v>
      </c>
      <c r="CA1107" s="4"/>
      <c r="CB1107" s="4"/>
      <c r="CC1107" s="4"/>
      <c r="CD1107" s="4"/>
      <c r="CE1107" s="4"/>
      <c r="CF1107" s="4"/>
      <c r="CG1107" s="4"/>
      <c r="CH1107" s="4"/>
      <c r="CI1107" s="5">
        <v>41435</v>
      </c>
      <c r="CJ1107" s="5">
        <v>41455</v>
      </c>
      <c r="CK1107" s="5">
        <v>41446</v>
      </c>
      <c r="CL1107" s="5">
        <v>41456</v>
      </c>
      <c r="CM1107" s="5">
        <v>41453</v>
      </c>
      <c r="CN1107" s="5">
        <v>41544</v>
      </c>
      <c r="CO1107" s="5">
        <v>41570</v>
      </c>
      <c r="CP1107" s="4"/>
      <c r="CQ1107" s="4" t="s">
        <v>230</v>
      </c>
      <c r="CR1107" s="5">
        <v>41362</v>
      </c>
      <c r="CS1107" s="5">
        <v>41173</v>
      </c>
      <c r="CT1107" s="4"/>
      <c r="CU1107" s="5">
        <v>41213</v>
      </c>
      <c r="CV1107" s="5">
        <v>41204</v>
      </c>
      <c r="CW1107" s="5">
        <v>41163</v>
      </c>
      <c r="CX1107" s="5">
        <v>41183</v>
      </c>
      <c r="CY1107" s="5">
        <v>41302</v>
      </c>
      <c r="CZ1107" s="5">
        <v>41303</v>
      </c>
      <c r="DA1107" s="5">
        <v>41432</v>
      </c>
      <c r="DB1107" s="5">
        <v>41438</v>
      </c>
      <c r="DC1107" s="5">
        <v>41015</v>
      </c>
      <c r="DD1107" s="4" t="s">
        <v>586</v>
      </c>
      <c r="DE1107" s="4" t="s">
        <v>3396</v>
      </c>
      <c r="DF1107" s="4"/>
      <c r="DG1107" s="4"/>
      <c r="DH1107" s="4" t="s">
        <v>174</v>
      </c>
      <c r="DI1107" s="5">
        <v>41320</v>
      </c>
      <c r="DJ1107" s="4" t="b">
        <v>0</v>
      </c>
      <c r="DK1107" s="4"/>
      <c r="DL1107" s="4">
        <v>2751950</v>
      </c>
      <c r="DM1107" s="4">
        <v>6082900</v>
      </c>
      <c r="DN1107" s="4" t="s">
        <v>3400</v>
      </c>
      <c r="DO1107" s="4"/>
      <c r="DP1107" s="4"/>
      <c r="DQ1107" s="4" t="s">
        <v>148</v>
      </c>
      <c r="DR1107" s="4"/>
      <c r="DS1107" s="4"/>
      <c r="DT1107" s="4"/>
      <c r="DU1107" s="4"/>
      <c r="DV1107" s="4"/>
      <c r="DW1107" s="4"/>
      <c r="DX1107" s="4"/>
      <c r="DY1107" s="4"/>
      <c r="DZ1107" s="4"/>
      <c r="EA1107" s="4"/>
      <c r="EB1107" s="4"/>
      <c r="EC1107" s="4"/>
      <c r="ED1107" s="4"/>
      <c r="EE1107" s="4"/>
      <c r="EF1107" s="4"/>
      <c r="EG1107" s="5">
        <v>41432</v>
      </c>
      <c r="EH1107" s="5">
        <v>41439</v>
      </c>
      <c r="EI1107" s="4"/>
    </row>
    <row r="1108" spans="1:139" hidden="1" x14ac:dyDescent="0.2">
      <c r="A1108">
        <f>VLOOKUP(B1108,Sheet1!$A$1:$B$18,2,FALSE)</f>
        <v>0</v>
      </c>
      <c r="B1108" t="str">
        <f>LEFT(D1108,3)</f>
        <v>MNW</v>
      </c>
      <c r="C1108" s="2">
        <v>1107</v>
      </c>
      <c r="D1108" s="3" t="str">
        <f>HYPERLINK("https://sitebase.nzcomms.co.nz/spm/spmnominalview/MNW-041-006/","MNW-041-006")</f>
        <v>MNW-041-006</v>
      </c>
      <c r="E1108" s="4"/>
      <c r="F1108" s="4"/>
      <c r="G1108" s="4"/>
      <c r="H1108" s="4" t="s">
        <v>3390</v>
      </c>
      <c r="I1108" s="4"/>
      <c r="J1108" s="4" t="s">
        <v>196</v>
      </c>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4"/>
      <c r="BB1108" s="4"/>
      <c r="BC1108" s="4"/>
      <c r="BD1108" s="4"/>
      <c r="BE1108" s="4"/>
      <c r="BF1108" s="4"/>
      <c r="BG1108" s="4"/>
      <c r="BH1108" s="4"/>
      <c r="BI1108" s="4"/>
      <c r="BJ1108" s="4"/>
      <c r="BK1108" s="4"/>
      <c r="BL1108" s="4"/>
      <c r="BM1108" s="4"/>
      <c r="BN1108" s="4"/>
      <c r="BO1108" s="4"/>
      <c r="BP1108" s="4"/>
      <c r="BQ1108" s="4"/>
      <c r="BR1108" s="4"/>
      <c r="BS1108" s="4"/>
      <c r="BT1108" s="4"/>
      <c r="BU1108" s="4"/>
      <c r="BV1108" s="4"/>
      <c r="BW1108" s="4"/>
      <c r="BX1108" s="4"/>
      <c r="BY1108" s="4"/>
      <c r="BZ1108" s="4"/>
      <c r="CA1108" s="4"/>
      <c r="CB1108" s="4"/>
      <c r="CC1108" s="4"/>
      <c r="CD1108" s="4"/>
      <c r="CE1108" s="4"/>
      <c r="CF1108" s="4"/>
      <c r="CG1108" s="4"/>
      <c r="CH1108" s="4"/>
      <c r="CI1108" s="4"/>
      <c r="CJ1108" s="4"/>
      <c r="CK1108" s="4"/>
      <c r="CL1108" s="4"/>
      <c r="CM1108" s="4"/>
      <c r="CN1108" s="4"/>
      <c r="CO1108" s="4"/>
      <c r="CP1108" s="4"/>
      <c r="CQ1108" s="4"/>
      <c r="CR1108" s="4"/>
      <c r="CS1108" s="4"/>
      <c r="CT1108" s="4"/>
      <c r="CU1108" s="4"/>
      <c r="CV1108" s="4"/>
      <c r="CW1108" s="4"/>
      <c r="CX1108" s="4"/>
      <c r="CY1108" s="4"/>
      <c r="CZ1108" s="4"/>
      <c r="DA1108" s="4"/>
      <c r="DB1108" s="4"/>
      <c r="DC1108" s="4"/>
      <c r="DD1108" s="4"/>
      <c r="DE1108" s="4"/>
      <c r="DF1108" s="4"/>
      <c r="DG1108" s="4"/>
      <c r="DH1108" s="4"/>
      <c r="DI1108" s="4"/>
      <c r="DJ1108" s="4"/>
      <c r="DK1108" s="4"/>
      <c r="DL1108" s="4"/>
      <c r="DM1108" s="4"/>
      <c r="DN1108" s="4"/>
      <c r="DO1108" s="4"/>
      <c r="DP1108" s="4"/>
      <c r="DQ1108" s="4"/>
      <c r="DR1108" s="4"/>
      <c r="DS1108" s="4"/>
      <c r="DT1108" s="4"/>
      <c r="DU1108" s="4"/>
      <c r="DV1108" s="4"/>
      <c r="DW1108" s="4"/>
      <c r="DX1108" s="4"/>
      <c r="DY1108" s="4"/>
      <c r="DZ1108" s="4"/>
      <c r="EA1108" s="4"/>
      <c r="EB1108" s="4"/>
      <c r="EC1108" s="4"/>
      <c r="ED1108" s="4"/>
      <c r="EE1108" s="4"/>
      <c r="EF1108" s="4"/>
      <c r="EG1108" s="4"/>
      <c r="EH1108" s="4"/>
      <c r="EI1108" s="4"/>
    </row>
    <row r="1109" spans="1:139" hidden="1" x14ac:dyDescent="0.2">
      <c r="A1109">
        <f>VLOOKUP(B1109,Sheet1!$A$1:$B$18,2,FALSE)</f>
        <v>0</v>
      </c>
      <c r="B1109" t="str">
        <f>LEFT(D1109,3)</f>
        <v>MNW</v>
      </c>
      <c r="C1109" s="2">
        <v>1108</v>
      </c>
      <c r="D1109" s="3" t="str">
        <f>HYPERLINK("https://sitebase.nzcomms.co.nz/spm/spmnominalview/MNW-042-001/","MNW-042-001")</f>
        <v>MNW-042-001</v>
      </c>
      <c r="E1109" s="4" t="s">
        <v>3401</v>
      </c>
      <c r="F1109" s="3" t="str">
        <f>HYPERLINK("https://sitebase.nzcomms.co.nz/spm/spmcandidateview/MNW-042-001-B/","MNW-042-001-B")</f>
        <v>MNW-042-001-B</v>
      </c>
      <c r="G1109" s="4" t="s">
        <v>3402</v>
      </c>
      <c r="H1109" s="4" t="s">
        <v>3403</v>
      </c>
      <c r="I1109" s="4">
        <v>6</v>
      </c>
      <c r="J1109" s="4" t="s">
        <v>1633</v>
      </c>
      <c r="K1109" s="4" t="s">
        <v>141</v>
      </c>
      <c r="L1109" s="4" t="s">
        <v>142</v>
      </c>
      <c r="M1109" s="4" t="s">
        <v>190</v>
      </c>
      <c r="N1109" s="4" t="s">
        <v>142</v>
      </c>
      <c r="O1109" s="4" t="s">
        <v>144</v>
      </c>
      <c r="P1109" s="4" t="s">
        <v>169</v>
      </c>
      <c r="Q1109" s="4" t="s">
        <v>142</v>
      </c>
      <c r="R1109" s="4">
        <v>20</v>
      </c>
      <c r="S1109" s="4">
        <v>23</v>
      </c>
      <c r="T1109" s="4">
        <v>1</v>
      </c>
      <c r="U1109" s="4">
        <v>-40.649501360000002</v>
      </c>
      <c r="V1109" s="4">
        <v>175.34739070000001</v>
      </c>
      <c r="W1109" s="4"/>
      <c r="X1109" s="4"/>
      <c r="Y1109" s="4"/>
      <c r="Z1109" s="4"/>
      <c r="AA1109" s="4" t="s">
        <v>171</v>
      </c>
      <c r="AB1109" s="3" t="str">
        <f>HYPERLINK("https://sitebase.nzcomms.co.nz/spm/spmcandidateview/MNW-042-003-A/","MNW-042-003-A")</f>
        <v>MNW-042-003-A</v>
      </c>
      <c r="AC1109" s="4" t="b">
        <v>0</v>
      </c>
      <c r="AD1109" s="4" t="b">
        <v>0</v>
      </c>
      <c r="AE1109" s="4"/>
      <c r="AF1109" s="4"/>
      <c r="AG1109" s="4" t="b">
        <v>0</v>
      </c>
      <c r="AH1109" s="4" t="s">
        <v>3346</v>
      </c>
      <c r="AI1109" s="5">
        <v>40633</v>
      </c>
      <c r="AJ1109" s="5">
        <v>40632</v>
      </c>
      <c r="AK1109" s="5">
        <v>40651</v>
      </c>
      <c r="AL1109" s="5">
        <v>40659</v>
      </c>
      <c r="AM1109" s="5">
        <v>40676</v>
      </c>
      <c r="AN1109" s="5">
        <v>40687</v>
      </c>
      <c r="AO1109" s="4">
        <v>4</v>
      </c>
      <c r="AP1109" s="5">
        <v>40677</v>
      </c>
      <c r="AQ1109" s="5">
        <v>41239</v>
      </c>
      <c r="AR1109" s="5">
        <v>40837</v>
      </c>
      <c r="AS1109" s="5">
        <v>40841</v>
      </c>
      <c r="AT1109" s="5">
        <v>40882</v>
      </c>
      <c r="AU1109" s="5">
        <v>40889</v>
      </c>
      <c r="AV1109" s="4"/>
      <c r="AW1109" s="5">
        <v>40882</v>
      </c>
      <c r="AX1109" s="5">
        <v>40959</v>
      </c>
      <c r="AY1109" s="4" t="s">
        <v>203</v>
      </c>
      <c r="AZ1109" s="5">
        <v>40683</v>
      </c>
      <c r="BA1109" s="5">
        <v>40690</v>
      </c>
      <c r="BB1109" s="5">
        <v>40723</v>
      </c>
      <c r="BC1109" s="5">
        <v>40717</v>
      </c>
      <c r="BD1109" s="4">
        <v>1</v>
      </c>
      <c r="BE1109" s="5">
        <v>40735</v>
      </c>
      <c r="BF1109" s="5">
        <v>40717</v>
      </c>
      <c r="BG1109" s="4"/>
      <c r="BH1109" s="5">
        <v>40753</v>
      </c>
      <c r="BI1109" s="5">
        <v>40732</v>
      </c>
      <c r="BJ1109" s="5">
        <v>40753</v>
      </c>
      <c r="BK1109" s="4">
        <v>2</v>
      </c>
      <c r="BL1109" s="4"/>
      <c r="BM1109" s="5">
        <v>40739</v>
      </c>
      <c r="BN1109" s="5">
        <v>40833</v>
      </c>
      <c r="BO1109" s="5">
        <v>40872</v>
      </c>
      <c r="BP1109" s="4"/>
      <c r="BQ1109" s="4"/>
      <c r="BR1109" s="4"/>
      <c r="BS1109" s="4"/>
      <c r="BT1109" s="5">
        <v>40919</v>
      </c>
      <c r="BU1109" s="5">
        <v>40921</v>
      </c>
      <c r="BV1109" s="5">
        <v>40942</v>
      </c>
      <c r="BW1109" s="5">
        <v>40942</v>
      </c>
      <c r="BX1109" s="5">
        <v>40935</v>
      </c>
      <c r="BY1109" s="5">
        <v>40942</v>
      </c>
      <c r="BZ1109" s="5">
        <v>40943</v>
      </c>
      <c r="CA1109" s="4"/>
      <c r="CB1109" s="4"/>
      <c r="CC1109" s="4"/>
      <c r="CD1109" s="4"/>
      <c r="CE1109" s="4"/>
      <c r="CF1109" s="4"/>
      <c r="CG1109" s="4"/>
      <c r="CH1109" s="4"/>
      <c r="CI1109" s="5">
        <v>40942</v>
      </c>
      <c r="CJ1109" s="5">
        <v>40951</v>
      </c>
      <c r="CK1109" s="5">
        <v>40955</v>
      </c>
      <c r="CL1109" s="5">
        <v>40949</v>
      </c>
      <c r="CM1109" s="5">
        <v>40968</v>
      </c>
      <c r="CN1109" s="5">
        <v>41419</v>
      </c>
      <c r="CO1109" s="5">
        <v>41423</v>
      </c>
      <c r="CP1109" s="4"/>
      <c r="CQ1109" s="4" t="s">
        <v>230</v>
      </c>
      <c r="CR1109" s="5">
        <v>40942</v>
      </c>
      <c r="CS1109" s="5">
        <v>40751</v>
      </c>
      <c r="CT1109" s="5">
        <v>40751</v>
      </c>
      <c r="CU1109" s="5">
        <v>40812</v>
      </c>
      <c r="CV1109" s="5">
        <v>40935</v>
      </c>
      <c r="CW1109" s="5">
        <v>40872</v>
      </c>
      <c r="CX1109" s="5">
        <v>40872</v>
      </c>
      <c r="CY1109" s="5">
        <v>40940</v>
      </c>
      <c r="CZ1109" s="5">
        <v>40940</v>
      </c>
      <c r="DA1109" s="5">
        <v>40951</v>
      </c>
      <c r="DB1109" s="5">
        <v>40959</v>
      </c>
      <c r="DC1109" s="4"/>
      <c r="DD1109" s="4"/>
      <c r="DE1109" s="4"/>
      <c r="DF1109" s="4"/>
      <c r="DG1109" s="4"/>
      <c r="DH1109" s="4" t="s">
        <v>174</v>
      </c>
      <c r="DI1109" s="5">
        <v>40938</v>
      </c>
      <c r="DJ1109" s="4" t="b">
        <v>0</v>
      </c>
      <c r="DK1109" s="4"/>
      <c r="DL1109" s="4">
        <v>2708485</v>
      </c>
      <c r="DM1109" s="4">
        <v>6059214</v>
      </c>
      <c r="DN1109" s="4" t="s">
        <v>3404</v>
      </c>
      <c r="DO1109" s="4"/>
      <c r="DP1109" s="4" t="s">
        <v>3405</v>
      </c>
      <c r="DQ1109" s="4" t="s">
        <v>148</v>
      </c>
      <c r="DR1109" s="4"/>
      <c r="DS1109" s="4"/>
      <c r="DT1109" s="5">
        <v>42096</v>
      </c>
      <c r="DU1109" s="4"/>
      <c r="DV1109" s="4"/>
      <c r="DW1109" s="4"/>
      <c r="DX1109" s="4"/>
      <c r="DY1109" s="4"/>
      <c r="DZ1109" s="4"/>
      <c r="EA1109" s="4"/>
      <c r="EB1109" s="4"/>
      <c r="EC1109" s="4"/>
      <c r="ED1109" s="4"/>
      <c r="EE1109" s="4"/>
      <c r="EF1109" s="4"/>
      <c r="EG1109" s="5">
        <v>40966</v>
      </c>
      <c r="EH1109" s="5">
        <v>40959</v>
      </c>
      <c r="EI1109" s="5">
        <v>40659</v>
      </c>
    </row>
    <row r="1110" spans="1:139" hidden="1" x14ac:dyDescent="0.2">
      <c r="A1110">
        <f>VLOOKUP(B1110,Sheet1!$A$1:$B$18,2,FALSE)</f>
        <v>0</v>
      </c>
      <c r="B1110" t="str">
        <f>LEFT(D1110,3)</f>
        <v>MNW</v>
      </c>
      <c r="C1110" s="2">
        <v>1109</v>
      </c>
      <c r="D1110" s="3" t="str">
        <f>HYPERLINK("https://sitebase.nzcomms.co.nz/spm/spmnominalview/MNW-042-002/","MNW-042-002")</f>
        <v>MNW-042-002</v>
      </c>
      <c r="E1110" s="4" t="s">
        <v>3406</v>
      </c>
      <c r="F1110" s="3" t="str">
        <f>HYPERLINK("https://sitebase.nzcomms.co.nz/spm/spmcandidateview/MNW-042-002-B/","MNW-042-002-B")</f>
        <v>MNW-042-002-B</v>
      </c>
      <c r="G1110" s="4" t="s">
        <v>3407</v>
      </c>
      <c r="H1110" s="4" t="s">
        <v>3403</v>
      </c>
      <c r="I1110" s="4">
        <v>6</v>
      </c>
      <c r="J1110" s="4" t="s">
        <v>1633</v>
      </c>
      <c r="K1110" s="4" t="s">
        <v>141</v>
      </c>
      <c r="L1110" s="4" t="s">
        <v>142</v>
      </c>
      <c r="M1110" s="4" t="s">
        <v>190</v>
      </c>
      <c r="N1110" s="4" t="s">
        <v>142</v>
      </c>
      <c r="O1110" s="4" t="s">
        <v>144</v>
      </c>
      <c r="P1110" s="4" t="s">
        <v>169</v>
      </c>
      <c r="Q1110" s="4" t="s">
        <v>142</v>
      </c>
      <c r="R1110" s="4">
        <v>29</v>
      </c>
      <c r="S1110" s="4">
        <v>30</v>
      </c>
      <c r="T1110" s="4">
        <v>1</v>
      </c>
      <c r="U1110" s="4">
        <v>-40.480530819999998</v>
      </c>
      <c r="V1110" s="4">
        <v>175.54401389</v>
      </c>
      <c r="W1110" s="4"/>
      <c r="X1110" s="4"/>
      <c r="Y1110" s="4"/>
      <c r="Z1110" s="4"/>
      <c r="AA1110" s="4" t="s">
        <v>171</v>
      </c>
      <c r="AB1110" s="3" t="str">
        <f>HYPERLINK("https://sitebase.nzcomms.co.nz/spm/spmcandidateview/MNW-040-004-A/","MNW-040-004-A")</f>
        <v>MNW-040-004-A</v>
      </c>
      <c r="AC1110" s="4" t="b">
        <v>0</v>
      </c>
      <c r="AD1110" s="4" t="b">
        <v>0</v>
      </c>
      <c r="AE1110" s="4"/>
      <c r="AF1110" s="4"/>
      <c r="AG1110" s="4" t="b">
        <v>0</v>
      </c>
      <c r="AH1110" s="4" t="s">
        <v>3408</v>
      </c>
      <c r="AI1110" s="5">
        <v>40632</v>
      </c>
      <c r="AJ1110" s="5">
        <v>40632</v>
      </c>
      <c r="AK1110" s="5">
        <v>40651</v>
      </c>
      <c r="AL1110" s="5">
        <v>40659</v>
      </c>
      <c r="AM1110" s="5">
        <v>40676</v>
      </c>
      <c r="AN1110" s="5">
        <v>40686</v>
      </c>
      <c r="AO1110" s="4">
        <v>1</v>
      </c>
      <c r="AP1110" s="5">
        <v>40678</v>
      </c>
      <c r="AQ1110" s="5">
        <v>40686</v>
      </c>
      <c r="AR1110" s="5">
        <v>40815</v>
      </c>
      <c r="AS1110" s="5">
        <v>40808</v>
      </c>
      <c r="AT1110" s="5">
        <v>40815</v>
      </c>
      <c r="AU1110" s="5">
        <v>40808</v>
      </c>
      <c r="AV1110" s="4"/>
      <c r="AW1110" s="5">
        <v>40815</v>
      </c>
      <c r="AX1110" s="5">
        <v>40826</v>
      </c>
      <c r="AY1110" s="4" t="s">
        <v>183</v>
      </c>
      <c r="AZ1110" s="5">
        <v>40683</v>
      </c>
      <c r="BA1110" s="5">
        <v>40690</v>
      </c>
      <c r="BB1110" s="5">
        <v>40723</v>
      </c>
      <c r="BC1110" s="5">
        <v>40721</v>
      </c>
      <c r="BD1110" s="4">
        <v>1</v>
      </c>
      <c r="BE1110" s="5">
        <v>40893</v>
      </c>
      <c r="BF1110" s="5">
        <v>40960</v>
      </c>
      <c r="BG1110" s="4"/>
      <c r="BH1110" s="4"/>
      <c r="BI1110" s="5">
        <v>40732</v>
      </c>
      <c r="BJ1110" s="5">
        <v>40753</v>
      </c>
      <c r="BK1110" s="4">
        <v>1</v>
      </c>
      <c r="BL1110" s="4"/>
      <c r="BM1110" s="5">
        <v>40739</v>
      </c>
      <c r="BN1110" s="5">
        <v>40753</v>
      </c>
      <c r="BO1110" s="5">
        <v>40819</v>
      </c>
      <c r="BP1110" s="4"/>
      <c r="BQ1110" s="4"/>
      <c r="BR1110" s="4"/>
      <c r="BS1110" s="4"/>
      <c r="BT1110" s="5">
        <v>40857</v>
      </c>
      <c r="BU1110" s="5">
        <v>40858</v>
      </c>
      <c r="BV1110" s="5">
        <v>40877</v>
      </c>
      <c r="BW1110" s="5">
        <v>40868</v>
      </c>
      <c r="BX1110" s="5">
        <v>40867</v>
      </c>
      <c r="BY1110" s="5">
        <v>40879</v>
      </c>
      <c r="BZ1110" s="5">
        <v>40881</v>
      </c>
      <c r="CA1110" s="4"/>
      <c r="CB1110" s="4"/>
      <c r="CC1110" s="4"/>
      <c r="CD1110" s="4"/>
      <c r="CE1110" s="4"/>
      <c r="CF1110" s="4"/>
      <c r="CG1110" s="4"/>
      <c r="CH1110" s="4"/>
      <c r="CI1110" s="5">
        <v>40881</v>
      </c>
      <c r="CJ1110" s="5">
        <v>40886</v>
      </c>
      <c r="CK1110" s="5">
        <v>40885</v>
      </c>
      <c r="CL1110" s="5">
        <v>40878</v>
      </c>
      <c r="CM1110" s="5">
        <v>40896</v>
      </c>
      <c r="CN1110" s="5">
        <v>40987</v>
      </c>
      <c r="CO1110" s="5">
        <v>41089</v>
      </c>
      <c r="CP1110" s="4"/>
      <c r="CQ1110" s="4" t="s">
        <v>230</v>
      </c>
      <c r="CR1110" s="5">
        <v>40881</v>
      </c>
      <c r="CS1110" s="5">
        <v>40751</v>
      </c>
      <c r="CT1110" s="5">
        <v>40751</v>
      </c>
      <c r="CU1110" s="5">
        <v>40830</v>
      </c>
      <c r="CV1110" s="5">
        <v>40834</v>
      </c>
      <c r="CW1110" s="5">
        <v>40798</v>
      </c>
      <c r="CX1110" s="5">
        <v>40819</v>
      </c>
      <c r="CY1110" s="5">
        <v>40872</v>
      </c>
      <c r="CZ1110" s="5">
        <v>40872</v>
      </c>
      <c r="DA1110" s="4"/>
      <c r="DB1110" s="5">
        <v>40883</v>
      </c>
      <c r="DC1110" s="4"/>
      <c r="DD1110" s="4"/>
      <c r="DE1110" s="4"/>
      <c r="DF1110" s="4"/>
      <c r="DG1110" s="4"/>
      <c r="DH1110" s="4"/>
      <c r="DI1110" s="5">
        <v>40862</v>
      </c>
      <c r="DJ1110" s="4" t="b">
        <v>0</v>
      </c>
      <c r="DK1110" s="4"/>
      <c r="DL1110" s="4">
        <v>2725650</v>
      </c>
      <c r="DM1110" s="4">
        <v>6077506</v>
      </c>
      <c r="DN1110" s="4" t="s">
        <v>3409</v>
      </c>
      <c r="DO1110" s="4"/>
      <c r="DP1110" s="4" t="s">
        <v>3410</v>
      </c>
      <c r="DQ1110" s="4" t="s">
        <v>148</v>
      </c>
      <c r="DR1110" s="4"/>
      <c r="DS1110" s="4"/>
      <c r="DT1110" s="4"/>
      <c r="DU1110" s="4"/>
      <c r="DV1110" s="4"/>
      <c r="DW1110" s="4"/>
      <c r="DX1110" s="4"/>
      <c r="DY1110" s="4"/>
      <c r="DZ1110" s="4"/>
      <c r="EA1110" s="4"/>
      <c r="EB1110" s="4"/>
      <c r="EC1110" s="4"/>
      <c r="ED1110" s="4"/>
      <c r="EE1110" s="4"/>
      <c r="EF1110" s="4"/>
      <c r="EG1110" s="5">
        <v>40884</v>
      </c>
      <c r="EH1110" s="5">
        <v>40883</v>
      </c>
      <c r="EI1110" s="5">
        <v>40659</v>
      </c>
    </row>
    <row r="1111" spans="1:139" hidden="1" x14ac:dyDescent="0.2">
      <c r="A1111">
        <f>VLOOKUP(B1111,Sheet1!$A$1:$B$18,2,FALSE)</f>
        <v>0</v>
      </c>
      <c r="B1111" t="str">
        <f>LEFT(D1111,3)</f>
        <v>MNW</v>
      </c>
      <c r="C1111" s="2">
        <v>1110</v>
      </c>
      <c r="D1111" s="3" t="str">
        <f>HYPERLINK("https://sitebase.nzcomms.co.nz/spm/spmnominalview/MNW-042-003/","MNW-042-003")</f>
        <v>MNW-042-003</v>
      </c>
      <c r="E1111" s="4" t="s">
        <v>3411</v>
      </c>
      <c r="F1111" s="3" t="str">
        <f>HYPERLINK("https://sitebase.nzcomms.co.nz/spm/spmcandidateview/MNW-042-003-A/","MNW-042-003-A")</f>
        <v>MNW-042-003-A</v>
      </c>
      <c r="G1111" s="4" t="s">
        <v>3412</v>
      </c>
      <c r="H1111" s="4" t="s">
        <v>3403</v>
      </c>
      <c r="I1111" s="4">
        <v>6</v>
      </c>
      <c r="J1111" s="4" t="s">
        <v>1633</v>
      </c>
      <c r="K1111" s="4" t="s">
        <v>141</v>
      </c>
      <c r="L1111" s="4" t="s">
        <v>142</v>
      </c>
      <c r="M1111" s="4" t="s">
        <v>190</v>
      </c>
      <c r="N1111" s="4" t="s">
        <v>142</v>
      </c>
      <c r="O1111" s="4" t="s">
        <v>144</v>
      </c>
      <c r="P1111" s="4" t="s">
        <v>169</v>
      </c>
      <c r="Q1111" s="4" t="s">
        <v>142</v>
      </c>
      <c r="R1111" s="4">
        <v>23.5</v>
      </c>
      <c r="S1111" s="4">
        <v>24</v>
      </c>
      <c r="T1111" s="4">
        <v>1</v>
      </c>
      <c r="U1111" s="4">
        <v>-40.62113643</v>
      </c>
      <c r="V1111" s="4">
        <v>175.28663058999999</v>
      </c>
      <c r="W1111" s="4"/>
      <c r="X1111" s="4"/>
      <c r="Y1111" s="4"/>
      <c r="Z1111" s="4"/>
      <c r="AA1111" s="4" t="s">
        <v>145</v>
      </c>
      <c r="AB1111" s="3" t="str">
        <f>HYPERLINK("https://sitebase.nzcomms.co.nz/spm/spmcandidateview/WLG-047-071-A/","WLG-047-071-A")</f>
        <v>WLG-047-071-A</v>
      </c>
      <c r="AC1111" s="4" t="b">
        <v>0</v>
      </c>
      <c r="AD1111" s="4" t="b">
        <v>0</v>
      </c>
      <c r="AE1111" s="4"/>
      <c r="AF1111" s="4"/>
      <c r="AG1111" s="4" t="b">
        <v>0</v>
      </c>
      <c r="AH1111" s="4" t="s">
        <v>3346</v>
      </c>
      <c r="AI1111" s="5">
        <v>40633</v>
      </c>
      <c r="AJ1111" s="5">
        <v>40632</v>
      </c>
      <c r="AK1111" s="5">
        <v>40651</v>
      </c>
      <c r="AL1111" s="5">
        <v>40659</v>
      </c>
      <c r="AM1111" s="5">
        <v>40676</v>
      </c>
      <c r="AN1111" s="5">
        <v>40675</v>
      </c>
      <c r="AO1111" s="4">
        <v>1</v>
      </c>
      <c r="AP1111" s="5">
        <v>40676</v>
      </c>
      <c r="AQ1111" s="5">
        <v>40675</v>
      </c>
      <c r="AR1111" s="5">
        <v>40698</v>
      </c>
      <c r="AS1111" s="5">
        <v>40725</v>
      </c>
      <c r="AT1111" s="5">
        <v>40728</v>
      </c>
      <c r="AU1111" s="5">
        <v>40725</v>
      </c>
      <c r="AV1111" s="4">
        <v>1</v>
      </c>
      <c r="AW1111" s="5">
        <v>40733</v>
      </c>
      <c r="AX1111" s="5">
        <v>40725</v>
      </c>
      <c r="AY1111" s="4" t="s">
        <v>247</v>
      </c>
      <c r="AZ1111" s="5">
        <v>40683</v>
      </c>
      <c r="BA1111" s="5">
        <v>40690</v>
      </c>
      <c r="BB1111" s="5">
        <v>40723</v>
      </c>
      <c r="BC1111" s="5">
        <v>40722</v>
      </c>
      <c r="BD1111" s="4">
        <v>1</v>
      </c>
      <c r="BE1111" s="5">
        <v>40728</v>
      </c>
      <c r="BF1111" s="5">
        <v>40722</v>
      </c>
      <c r="BG1111" s="4"/>
      <c r="BH1111" s="4"/>
      <c r="BI1111" s="5">
        <v>40732</v>
      </c>
      <c r="BJ1111" s="5">
        <v>40753</v>
      </c>
      <c r="BK1111" s="4">
        <v>2</v>
      </c>
      <c r="BL1111" s="4"/>
      <c r="BM1111" s="5">
        <v>40739</v>
      </c>
      <c r="BN1111" s="5">
        <v>40772</v>
      </c>
      <c r="BO1111" s="5">
        <v>40848</v>
      </c>
      <c r="BP1111" s="4"/>
      <c r="BQ1111" s="4"/>
      <c r="BR1111" s="4"/>
      <c r="BS1111" s="4"/>
      <c r="BT1111" s="5">
        <v>40856</v>
      </c>
      <c r="BU1111" s="5">
        <v>40856</v>
      </c>
      <c r="BV1111" s="5">
        <v>40877</v>
      </c>
      <c r="BW1111" s="5">
        <v>40881</v>
      </c>
      <c r="BX1111" s="5">
        <v>40867</v>
      </c>
      <c r="BY1111" s="5">
        <v>40877</v>
      </c>
      <c r="BZ1111" s="5">
        <v>40881</v>
      </c>
      <c r="CA1111" s="4"/>
      <c r="CB1111" s="4"/>
      <c r="CC1111" s="4"/>
      <c r="CD1111" s="4"/>
      <c r="CE1111" s="4"/>
      <c r="CF1111" s="4"/>
      <c r="CG1111" s="4"/>
      <c r="CH1111" s="4"/>
      <c r="CI1111" s="5">
        <v>40881</v>
      </c>
      <c r="CJ1111" s="5">
        <v>40886</v>
      </c>
      <c r="CK1111" s="5">
        <v>40885</v>
      </c>
      <c r="CL1111" s="5">
        <v>40878</v>
      </c>
      <c r="CM1111" s="5">
        <v>40896</v>
      </c>
      <c r="CN1111" s="5">
        <v>40987</v>
      </c>
      <c r="CO1111" s="5">
        <v>41089</v>
      </c>
      <c r="CP1111" s="4"/>
      <c r="CQ1111" s="4" t="s">
        <v>230</v>
      </c>
      <c r="CR1111" s="5">
        <v>40878</v>
      </c>
      <c r="CS1111" s="5">
        <v>40751</v>
      </c>
      <c r="CT1111" s="5">
        <v>40751</v>
      </c>
      <c r="CU1111" s="5">
        <v>40863</v>
      </c>
      <c r="CV1111" s="5">
        <v>40861</v>
      </c>
      <c r="CW1111" s="5">
        <v>40841</v>
      </c>
      <c r="CX1111" s="5">
        <v>40848</v>
      </c>
      <c r="CY1111" s="5">
        <v>40875</v>
      </c>
      <c r="CZ1111" s="5">
        <v>40875</v>
      </c>
      <c r="DA1111" s="4"/>
      <c r="DB1111" s="5">
        <v>40883</v>
      </c>
      <c r="DC1111" s="4"/>
      <c r="DD1111" s="4"/>
      <c r="DE1111" s="4"/>
      <c r="DF1111" s="4"/>
      <c r="DG1111" s="4"/>
      <c r="DH1111" s="4"/>
      <c r="DI1111" s="5">
        <v>40857</v>
      </c>
      <c r="DJ1111" s="4" t="b">
        <v>0</v>
      </c>
      <c r="DK1111" s="4"/>
      <c r="DL1111" s="4">
        <v>2703430</v>
      </c>
      <c r="DM1111" s="4">
        <v>6062498</v>
      </c>
      <c r="DN1111" s="4" t="s">
        <v>3413</v>
      </c>
      <c r="DO1111" s="4"/>
      <c r="DP1111" s="4" t="s">
        <v>3414</v>
      </c>
      <c r="DQ1111" s="4" t="s">
        <v>148</v>
      </c>
      <c r="DR1111" s="4"/>
      <c r="DS1111" s="4"/>
      <c r="DT1111" s="5">
        <v>42096</v>
      </c>
      <c r="DU1111" s="4"/>
      <c r="DV1111" s="4"/>
      <c r="DW1111" s="4"/>
      <c r="DX1111" s="4"/>
      <c r="DY1111" s="4"/>
      <c r="DZ1111" s="4"/>
      <c r="EA1111" s="4"/>
      <c r="EB1111" s="4"/>
      <c r="EC1111" s="4"/>
      <c r="ED1111" s="4"/>
      <c r="EE1111" s="4"/>
      <c r="EF1111" s="4"/>
      <c r="EG1111" s="5">
        <v>40884</v>
      </c>
      <c r="EH1111" s="5">
        <v>40883</v>
      </c>
      <c r="EI1111" s="5">
        <v>40659</v>
      </c>
    </row>
    <row r="1112" spans="1:139" hidden="1" x14ac:dyDescent="0.2">
      <c r="A1112">
        <f>VLOOKUP(B1112,Sheet1!$A$1:$B$18,2,FALSE)</f>
        <v>0</v>
      </c>
      <c r="B1112" t="str">
        <f>LEFT(D1112,3)</f>
        <v>MNW</v>
      </c>
      <c r="C1112" s="2">
        <v>1111</v>
      </c>
      <c r="D1112" s="3" t="str">
        <f>HYPERLINK("https://sitebase.nzcomms.co.nz/spm/spmnominalview/MNW-042-004/","MNW-042-004")</f>
        <v>MNW-042-004</v>
      </c>
      <c r="E1112" s="4" t="s">
        <v>3415</v>
      </c>
      <c r="F1112" s="3" t="str">
        <f>HYPERLINK("https://sitebase.nzcomms.co.nz/spm/spmcandidateview/MNW-042-004-A/","MNW-042-004-A")</f>
        <v>MNW-042-004-A</v>
      </c>
      <c r="G1112" s="4" t="s">
        <v>3416</v>
      </c>
      <c r="H1112" s="4" t="s">
        <v>3403</v>
      </c>
      <c r="I1112" s="4">
        <v>6</v>
      </c>
      <c r="J1112" s="4" t="s">
        <v>180</v>
      </c>
      <c r="K1112" s="4" t="s">
        <v>141</v>
      </c>
      <c r="L1112" s="4" t="s">
        <v>142</v>
      </c>
      <c r="M1112" s="4" t="s">
        <v>324</v>
      </c>
      <c r="N1112" s="4" t="s">
        <v>142</v>
      </c>
      <c r="O1112" s="4"/>
      <c r="P1112" s="4" t="s">
        <v>182</v>
      </c>
      <c r="Q1112" s="4" t="s">
        <v>170</v>
      </c>
      <c r="R1112" s="4"/>
      <c r="S1112" s="4"/>
      <c r="T1112" s="4"/>
      <c r="U1112" s="4">
        <v>-40.742354249999998</v>
      </c>
      <c r="V1112" s="4">
        <v>175.18982907</v>
      </c>
      <c r="W1112" s="4"/>
      <c r="X1112" s="4"/>
      <c r="Y1112" s="4"/>
      <c r="Z1112" s="4"/>
      <c r="AA1112" s="4"/>
      <c r="AB1112" s="4"/>
      <c r="AC1112" s="4" t="b">
        <v>1</v>
      </c>
      <c r="AD1112" s="4" t="b">
        <v>1</v>
      </c>
      <c r="AE1112" s="4"/>
      <c r="AF1112" s="4"/>
      <c r="AG1112" s="4" t="b">
        <v>1</v>
      </c>
      <c r="AH1112" s="4"/>
      <c r="AI1112" s="4"/>
      <c r="AJ1112" s="5">
        <v>41317</v>
      </c>
      <c r="AK1112" s="4"/>
      <c r="AL1112" s="5">
        <v>41317</v>
      </c>
      <c r="AM1112" s="4"/>
      <c r="AN1112" s="5">
        <v>41323</v>
      </c>
      <c r="AO1112" s="4">
        <v>1</v>
      </c>
      <c r="AP1112" s="4"/>
      <c r="AQ1112" s="5">
        <v>41323</v>
      </c>
      <c r="AR1112" s="4"/>
      <c r="AS1112" s="5">
        <v>41317</v>
      </c>
      <c r="AT1112" s="4"/>
      <c r="AU1112" s="5">
        <v>41318</v>
      </c>
      <c r="AV1112" s="4"/>
      <c r="AW1112" s="5">
        <v>41730</v>
      </c>
      <c r="AX1112" s="4"/>
      <c r="AY1112" s="4"/>
      <c r="AZ1112" s="4"/>
      <c r="BA1112" s="5">
        <v>41323</v>
      </c>
      <c r="BB1112" s="4"/>
      <c r="BC1112" s="5">
        <v>41323</v>
      </c>
      <c r="BD1112" s="4">
        <v>1</v>
      </c>
      <c r="BE1112" s="4"/>
      <c r="BF1112" s="5">
        <v>41323</v>
      </c>
      <c r="BG1112" s="4"/>
      <c r="BH1112" s="4"/>
      <c r="BI1112" s="4"/>
      <c r="BJ1112" s="4"/>
      <c r="BK1112" s="4"/>
      <c r="BL1112" s="4"/>
      <c r="BM1112" s="4"/>
      <c r="BN1112" s="4"/>
      <c r="BO1112" s="4"/>
      <c r="BP1112" s="4"/>
      <c r="BQ1112" s="4"/>
      <c r="BR1112" s="4"/>
      <c r="BS1112" s="4"/>
      <c r="BT1112" s="5">
        <v>41306</v>
      </c>
      <c r="BU1112" s="5">
        <v>41306</v>
      </c>
      <c r="BV1112" s="5">
        <v>41310</v>
      </c>
      <c r="BW1112" s="5">
        <v>41310</v>
      </c>
      <c r="BX1112" s="5">
        <v>41312</v>
      </c>
      <c r="BY1112" s="5">
        <v>41319</v>
      </c>
      <c r="BZ1112" s="5">
        <v>41319</v>
      </c>
      <c r="CA1112" s="4"/>
      <c r="CB1112" s="4"/>
      <c r="CC1112" s="4"/>
      <c r="CD1112" s="4"/>
      <c r="CE1112" s="4"/>
      <c r="CF1112" s="4"/>
      <c r="CG1112" s="4"/>
      <c r="CH1112" s="4"/>
      <c r="CI1112" s="4"/>
      <c r="CJ1112" s="4"/>
      <c r="CK1112" s="5">
        <v>41340</v>
      </c>
      <c r="CL1112" s="4"/>
      <c r="CM1112" s="5">
        <v>41542</v>
      </c>
      <c r="CN1112" s="4"/>
      <c r="CO1112" s="5">
        <v>41436</v>
      </c>
      <c r="CP1112" s="4" t="s">
        <v>3417</v>
      </c>
      <c r="CQ1112" s="4"/>
      <c r="CR1112" s="5">
        <v>41320</v>
      </c>
      <c r="CS1112" s="4"/>
      <c r="CT1112" s="4"/>
      <c r="CU1112" s="4"/>
      <c r="CV1112" s="4"/>
      <c r="CW1112" s="4"/>
      <c r="CX1112" s="4"/>
      <c r="CY1112" s="4"/>
      <c r="CZ1112" s="4"/>
      <c r="DA1112" s="4"/>
      <c r="DB1112" s="5">
        <v>41340</v>
      </c>
      <c r="DC1112" s="4"/>
      <c r="DD1112" s="4"/>
      <c r="DE1112" s="4" t="s">
        <v>1982</v>
      </c>
      <c r="DF1112" s="4"/>
      <c r="DG1112" s="4"/>
      <c r="DH1112" s="4" t="s">
        <v>174</v>
      </c>
      <c r="DI1112" s="5">
        <v>41312</v>
      </c>
      <c r="DJ1112" s="4" t="b">
        <v>0</v>
      </c>
      <c r="DK1112" s="4"/>
      <c r="DL1112" s="4">
        <v>2694907</v>
      </c>
      <c r="DM1112" s="4">
        <v>6049251</v>
      </c>
      <c r="DN1112" s="4"/>
      <c r="DO1112" s="4"/>
      <c r="DP1112" s="4"/>
      <c r="DQ1112" s="4" t="s">
        <v>328</v>
      </c>
      <c r="DR1112" s="4"/>
      <c r="DS1112" s="4"/>
      <c r="DT1112" s="4"/>
      <c r="DU1112" s="4"/>
      <c r="DV1112" s="4"/>
      <c r="DW1112" s="4"/>
      <c r="DX1112" s="4"/>
      <c r="DY1112" s="4"/>
      <c r="DZ1112" s="4"/>
      <c r="EA1112" s="4"/>
      <c r="EB1112" s="4"/>
      <c r="EC1112" s="4"/>
      <c r="ED1112" s="4"/>
      <c r="EE1112" s="4"/>
      <c r="EF1112" s="4"/>
      <c r="EG1112" s="4"/>
      <c r="EH1112" s="4"/>
      <c r="EI1112" s="4"/>
    </row>
    <row r="1113" spans="1:139" hidden="1" x14ac:dyDescent="0.2">
      <c r="A1113">
        <f>VLOOKUP(B1113,Sheet1!$A$1:$B$18,2,FALSE)</f>
        <v>0</v>
      </c>
      <c r="B1113" t="str">
        <f>LEFT(D1113,3)</f>
        <v>MNW</v>
      </c>
      <c r="C1113" s="2">
        <v>1112</v>
      </c>
      <c r="D1113" s="3" t="str">
        <f>HYPERLINK("https://sitebase.nzcomms.co.nz/spm/spmnominalview/MNW-042-005/","MNW-042-005")</f>
        <v>MNW-042-005</v>
      </c>
      <c r="E1113" s="4" t="s">
        <v>3418</v>
      </c>
      <c r="F1113" s="3" t="str">
        <f>HYPERLINK("https://sitebase.nzcomms.co.nz/spm/spmcandidateview/MNW-042-005-B/","MNW-042-005-B")</f>
        <v>MNW-042-005-B</v>
      </c>
      <c r="G1113" s="4" t="s">
        <v>3419</v>
      </c>
      <c r="H1113" s="4" t="s">
        <v>3403</v>
      </c>
      <c r="I1113" s="4">
        <v>6</v>
      </c>
      <c r="J1113" s="4" t="s">
        <v>180</v>
      </c>
      <c r="K1113" s="4" t="s">
        <v>141</v>
      </c>
      <c r="L1113" s="4" t="s">
        <v>150</v>
      </c>
      <c r="M1113" s="4" t="s">
        <v>190</v>
      </c>
      <c r="N1113" s="4" t="s">
        <v>335</v>
      </c>
      <c r="O1113" s="4"/>
      <c r="P1113" s="4" t="s">
        <v>169</v>
      </c>
      <c r="Q1113" s="4" t="s">
        <v>192</v>
      </c>
      <c r="R1113" s="4">
        <v>22.3</v>
      </c>
      <c r="S1113" s="4">
        <v>23</v>
      </c>
      <c r="T1113" s="4">
        <v>1</v>
      </c>
      <c r="U1113" s="4">
        <v>-40.707650809999997</v>
      </c>
      <c r="V1113" s="4">
        <v>175.21730456</v>
      </c>
      <c r="W1113" s="4"/>
      <c r="X1113" s="4"/>
      <c r="Y1113" s="4"/>
      <c r="Z1113" s="4"/>
      <c r="AA1113" s="4" t="s">
        <v>171</v>
      </c>
      <c r="AB1113" s="3" t="str">
        <f>HYPERLINK("https://sitebase.nzcomms.co.nz/spm/spmcandidateview/WLG-043-011-A/","WLG-043-011-A")</f>
        <v>WLG-043-011-A</v>
      </c>
      <c r="AC1113" s="4" t="b">
        <v>0</v>
      </c>
      <c r="AD1113" s="4" t="b">
        <v>0</v>
      </c>
      <c r="AE1113" s="4"/>
      <c r="AF1113" s="4"/>
      <c r="AG1113" s="4" t="b">
        <v>0</v>
      </c>
      <c r="AH1113" s="4"/>
      <c r="AI1113" s="5">
        <v>40843</v>
      </c>
      <c r="AJ1113" s="5">
        <v>40843</v>
      </c>
      <c r="AK1113" s="5">
        <v>40850</v>
      </c>
      <c r="AL1113" s="5">
        <v>40861</v>
      </c>
      <c r="AM1113" s="5">
        <v>40952</v>
      </c>
      <c r="AN1113" s="5">
        <v>40952</v>
      </c>
      <c r="AO1113" s="4">
        <v>1</v>
      </c>
      <c r="AP1113" s="5">
        <v>40952</v>
      </c>
      <c r="AQ1113" s="5">
        <v>40952</v>
      </c>
      <c r="AR1113" s="5">
        <v>40953</v>
      </c>
      <c r="AS1113" s="5">
        <v>40941</v>
      </c>
      <c r="AT1113" s="5">
        <v>40967</v>
      </c>
      <c r="AU1113" s="5">
        <v>40977</v>
      </c>
      <c r="AV1113" s="4">
        <v>1</v>
      </c>
      <c r="AW1113" s="5">
        <v>40967</v>
      </c>
      <c r="AX1113" s="5">
        <v>40977</v>
      </c>
      <c r="AY1113" s="4" t="s">
        <v>247</v>
      </c>
      <c r="AZ1113" s="5">
        <v>40964</v>
      </c>
      <c r="BA1113" s="5">
        <v>40953</v>
      </c>
      <c r="BB1113" s="5">
        <v>40989</v>
      </c>
      <c r="BC1113" s="5">
        <v>41012</v>
      </c>
      <c r="BD1113" s="4">
        <v>1</v>
      </c>
      <c r="BE1113" s="5">
        <v>40989</v>
      </c>
      <c r="BF1113" s="5">
        <v>41012</v>
      </c>
      <c r="BG1113" s="4"/>
      <c r="BH1113" s="4"/>
      <c r="BI1113" s="4"/>
      <c r="BJ1113" s="5">
        <v>41107</v>
      </c>
      <c r="BK1113" s="4">
        <v>1</v>
      </c>
      <c r="BL1113" s="4"/>
      <c r="BM1113" s="4"/>
      <c r="BN1113" s="5">
        <v>41107</v>
      </c>
      <c r="BO1113" s="5">
        <v>41102</v>
      </c>
      <c r="BP1113" s="4"/>
      <c r="BQ1113" s="4"/>
      <c r="BR1113" s="4"/>
      <c r="BS1113" s="4"/>
      <c r="BT1113" s="5">
        <v>41074</v>
      </c>
      <c r="BU1113" s="5">
        <v>41074</v>
      </c>
      <c r="BV1113" s="5">
        <v>41110</v>
      </c>
      <c r="BW1113" s="5">
        <v>41113</v>
      </c>
      <c r="BX1113" s="5">
        <v>41109</v>
      </c>
      <c r="BY1113" s="5">
        <v>41306</v>
      </c>
      <c r="BZ1113" s="5">
        <v>41117</v>
      </c>
      <c r="CA1113" s="4"/>
      <c r="CB1113" s="4"/>
      <c r="CC1113" s="4"/>
      <c r="CD1113" s="4"/>
      <c r="CE1113" s="4"/>
      <c r="CF1113" s="4"/>
      <c r="CG1113" s="4"/>
      <c r="CH1113" s="4"/>
      <c r="CI1113" s="5">
        <v>41325</v>
      </c>
      <c r="CJ1113" s="5">
        <v>41341</v>
      </c>
      <c r="CK1113" s="5">
        <v>41340</v>
      </c>
      <c r="CL1113" s="5">
        <v>41342</v>
      </c>
      <c r="CM1113" s="5">
        <v>41341</v>
      </c>
      <c r="CN1113" s="5">
        <v>41460</v>
      </c>
      <c r="CO1113" s="5">
        <v>41436</v>
      </c>
      <c r="CP1113" s="4" t="s">
        <v>3420</v>
      </c>
      <c r="CQ1113" s="4"/>
      <c r="CR1113" s="5">
        <v>41324</v>
      </c>
      <c r="CS1113" s="5">
        <v>41065</v>
      </c>
      <c r="CT1113" s="4"/>
      <c r="CU1113" s="5">
        <v>41089</v>
      </c>
      <c r="CV1113" s="5">
        <v>41102</v>
      </c>
      <c r="CW1113" s="5">
        <v>41088</v>
      </c>
      <c r="CX1113" s="5">
        <v>41102</v>
      </c>
      <c r="CY1113" s="5">
        <v>41110</v>
      </c>
      <c r="CZ1113" s="5">
        <v>41114</v>
      </c>
      <c r="DA1113" s="5">
        <v>41338</v>
      </c>
      <c r="DB1113" s="5">
        <v>41327</v>
      </c>
      <c r="DC1113" s="4"/>
      <c r="DD1113" s="4"/>
      <c r="DE1113" s="4" t="s">
        <v>3272</v>
      </c>
      <c r="DF1113" s="4"/>
      <c r="DG1113" s="4"/>
      <c r="DH1113" s="4" t="s">
        <v>174</v>
      </c>
      <c r="DI1113" s="5">
        <v>41108</v>
      </c>
      <c r="DJ1113" s="4" t="b">
        <v>0</v>
      </c>
      <c r="DK1113" s="4"/>
      <c r="DL1113" s="4">
        <v>2697324</v>
      </c>
      <c r="DM1113" s="4">
        <v>6053045</v>
      </c>
      <c r="DN1113" s="4" t="s">
        <v>3421</v>
      </c>
      <c r="DO1113" s="4"/>
      <c r="DP1113" s="4"/>
      <c r="DQ1113" s="4" t="s">
        <v>148</v>
      </c>
      <c r="DR1113" s="4"/>
      <c r="DS1113" s="4"/>
      <c r="DT1113" s="4"/>
      <c r="DU1113" s="4"/>
      <c r="DV1113" s="4"/>
      <c r="DW1113" s="4"/>
      <c r="DX1113" s="4"/>
      <c r="DY1113" s="4"/>
      <c r="DZ1113" s="4"/>
      <c r="EA1113" s="4"/>
      <c r="EB1113" s="4"/>
      <c r="EC1113" s="4"/>
      <c r="ED1113" s="4"/>
      <c r="EE1113" s="4"/>
      <c r="EF1113" s="4"/>
      <c r="EG1113" s="5">
        <v>41326</v>
      </c>
      <c r="EH1113" s="5">
        <v>41327</v>
      </c>
      <c r="EI1113" s="4"/>
    </row>
    <row r="1114" spans="1:139" hidden="1" x14ac:dyDescent="0.2">
      <c r="A1114">
        <f>VLOOKUP(B1114,Sheet1!$A$1:$B$18,2,FALSE)</f>
        <v>0</v>
      </c>
      <c r="B1114" t="str">
        <f>LEFT(D1114,3)</f>
        <v>MNW</v>
      </c>
      <c r="C1114" s="2">
        <v>1113</v>
      </c>
      <c r="D1114" s="3" t="str">
        <f>HYPERLINK("https://sitebase.nzcomms.co.nz/spm/spmnominalview/MNW-042-006/","MNW-042-006")</f>
        <v>MNW-042-006</v>
      </c>
      <c r="E1114" s="4" t="s">
        <v>3422</v>
      </c>
      <c r="F1114" s="3" t="str">
        <f>HYPERLINK("https://sitebase.nzcomms.co.nz/spm/spmcandidateview/MNW-042-006-A/","MNW-042-006-A")</f>
        <v>MNW-042-006-A</v>
      </c>
      <c r="G1114" s="4" t="s">
        <v>3423</v>
      </c>
      <c r="H1114" s="4" t="s">
        <v>3403</v>
      </c>
      <c r="I1114" s="4">
        <v>6</v>
      </c>
      <c r="J1114" s="4" t="s">
        <v>1633</v>
      </c>
      <c r="K1114" s="4" t="s">
        <v>141</v>
      </c>
      <c r="L1114" s="4" t="s">
        <v>325</v>
      </c>
      <c r="M1114" s="4" t="s">
        <v>166</v>
      </c>
      <c r="N1114" s="4" t="s">
        <v>325</v>
      </c>
      <c r="O1114" s="4" t="s">
        <v>144</v>
      </c>
      <c r="P1114" s="4" t="s">
        <v>169</v>
      </c>
      <c r="Q1114" s="4" t="s">
        <v>170</v>
      </c>
      <c r="R1114" s="4">
        <v>21.2</v>
      </c>
      <c r="S1114" s="4">
        <v>30</v>
      </c>
      <c r="T1114" s="4">
        <v>1</v>
      </c>
      <c r="U1114" s="4">
        <v>-40.478114560000002</v>
      </c>
      <c r="V1114" s="4">
        <v>175.28212500000001</v>
      </c>
      <c r="W1114" s="4"/>
      <c r="X1114" s="4"/>
      <c r="Y1114" s="4"/>
      <c r="Z1114" s="4"/>
      <c r="AA1114" s="4" t="s">
        <v>171</v>
      </c>
      <c r="AB1114" s="3" t="str">
        <f>HYPERLINK("https://sitebase.nzcomms.co.nz/spm/spmcandidateview/MNW-042-002-B/","MNW-042-002-B")</f>
        <v>MNW-042-002-B</v>
      </c>
      <c r="AC1114" s="4" t="b">
        <v>0</v>
      </c>
      <c r="AD1114" s="4" t="b">
        <v>0</v>
      </c>
      <c r="AE1114" s="4"/>
      <c r="AF1114" s="4"/>
      <c r="AG1114" s="4" t="b">
        <v>0</v>
      </c>
      <c r="AH1114" s="4" t="s">
        <v>3230</v>
      </c>
      <c r="AI1114" s="5">
        <v>40632</v>
      </c>
      <c r="AJ1114" s="5">
        <v>40632</v>
      </c>
      <c r="AK1114" s="5">
        <v>40651</v>
      </c>
      <c r="AL1114" s="5">
        <v>40659</v>
      </c>
      <c r="AM1114" s="5">
        <v>40714</v>
      </c>
      <c r="AN1114" s="5">
        <v>40725</v>
      </c>
      <c r="AO1114" s="4">
        <v>1</v>
      </c>
      <c r="AP1114" s="5">
        <v>40721</v>
      </c>
      <c r="AQ1114" s="5">
        <v>40725</v>
      </c>
      <c r="AR1114" s="5">
        <v>40825</v>
      </c>
      <c r="AS1114" s="5">
        <v>40822</v>
      </c>
      <c r="AT1114" s="5">
        <v>40825</v>
      </c>
      <c r="AU1114" s="5">
        <v>40822</v>
      </c>
      <c r="AV1114" s="4">
        <v>1</v>
      </c>
      <c r="AW1114" s="5">
        <v>40831</v>
      </c>
      <c r="AX1114" s="5">
        <v>40822</v>
      </c>
      <c r="AY1114" s="4" t="s">
        <v>247</v>
      </c>
      <c r="AZ1114" s="5">
        <v>40724</v>
      </c>
      <c r="BA1114" s="5">
        <v>40737</v>
      </c>
      <c r="BB1114" s="5">
        <v>40793</v>
      </c>
      <c r="BC1114" s="5">
        <v>40815</v>
      </c>
      <c r="BD1114" s="4">
        <v>1</v>
      </c>
      <c r="BE1114" s="5">
        <v>40793</v>
      </c>
      <c r="BF1114" s="5">
        <v>40815</v>
      </c>
      <c r="BG1114" s="4"/>
      <c r="BH1114" s="5">
        <v>40954</v>
      </c>
      <c r="BI1114" s="5">
        <v>40970</v>
      </c>
      <c r="BJ1114" s="5">
        <v>40941</v>
      </c>
      <c r="BK1114" s="4">
        <v>1</v>
      </c>
      <c r="BL1114" s="4"/>
      <c r="BM1114" s="5">
        <v>40970</v>
      </c>
      <c r="BN1114" s="5">
        <v>40941</v>
      </c>
      <c r="BO1114" s="5">
        <v>40967</v>
      </c>
      <c r="BP1114" s="4"/>
      <c r="BQ1114" s="4"/>
      <c r="BR1114" s="4"/>
      <c r="BS1114" s="4"/>
      <c r="BT1114" s="5">
        <v>40897</v>
      </c>
      <c r="BU1114" s="5">
        <v>40897</v>
      </c>
      <c r="BV1114" s="5">
        <v>40984</v>
      </c>
      <c r="BW1114" s="5">
        <v>40981</v>
      </c>
      <c r="BX1114" s="5">
        <v>40959</v>
      </c>
      <c r="BY1114" s="5">
        <v>40966</v>
      </c>
      <c r="BZ1114" s="5">
        <v>40969</v>
      </c>
      <c r="CA1114" s="4"/>
      <c r="CB1114" s="4"/>
      <c r="CC1114" s="4"/>
      <c r="CD1114" s="4"/>
      <c r="CE1114" s="4"/>
      <c r="CF1114" s="4"/>
      <c r="CG1114" s="4"/>
      <c r="CH1114" s="4"/>
      <c r="CI1114" s="5">
        <v>40969</v>
      </c>
      <c r="CJ1114" s="5">
        <v>40964</v>
      </c>
      <c r="CK1114" s="5">
        <v>40980</v>
      </c>
      <c r="CL1114" s="5">
        <v>40966</v>
      </c>
      <c r="CM1114" s="5">
        <v>40994</v>
      </c>
      <c r="CN1114" s="5">
        <v>41419</v>
      </c>
      <c r="CO1114" s="5">
        <v>41417</v>
      </c>
      <c r="CP1114" s="4"/>
      <c r="CQ1114" s="4"/>
      <c r="CR1114" s="5">
        <v>40969</v>
      </c>
      <c r="CS1114" s="5">
        <v>40914</v>
      </c>
      <c r="CT1114" s="5">
        <v>40914</v>
      </c>
      <c r="CU1114" s="5">
        <v>40946</v>
      </c>
      <c r="CV1114" s="5">
        <v>40949</v>
      </c>
      <c r="CW1114" s="5">
        <v>40960</v>
      </c>
      <c r="CX1114" s="5">
        <v>40967</v>
      </c>
      <c r="CY1114" s="5">
        <v>40962</v>
      </c>
      <c r="CZ1114" s="5">
        <v>40967</v>
      </c>
      <c r="DA1114" s="4"/>
      <c r="DB1114" s="5">
        <v>40984</v>
      </c>
      <c r="DC1114" s="4"/>
      <c r="DD1114" s="4"/>
      <c r="DE1114" s="4"/>
      <c r="DF1114" s="4"/>
      <c r="DG1114" s="4"/>
      <c r="DH1114" s="4" t="s">
        <v>174</v>
      </c>
      <c r="DI1114" s="5">
        <v>40961</v>
      </c>
      <c r="DJ1114" s="4" t="b">
        <v>0</v>
      </c>
      <c r="DK1114" s="4"/>
      <c r="DL1114" s="4">
        <v>2703461</v>
      </c>
      <c r="DM1114" s="4">
        <v>6078383</v>
      </c>
      <c r="DN1114" s="4" t="s">
        <v>3424</v>
      </c>
      <c r="DO1114" s="4"/>
      <c r="DP1114" s="4" t="s">
        <v>3425</v>
      </c>
      <c r="DQ1114" s="4" t="s">
        <v>148</v>
      </c>
      <c r="DR1114" s="4"/>
      <c r="DS1114" s="4"/>
      <c r="DT1114" s="4"/>
      <c r="DU1114" s="4"/>
      <c r="DV1114" s="4"/>
      <c r="DW1114" s="4"/>
      <c r="DX1114" s="4"/>
      <c r="DY1114" s="4"/>
      <c r="DZ1114" s="4"/>
      <c r="EA1114" s="4"/>
      <c r="EB1114" s="4"/>
      <c r="EC1114" s="4"/>
      <c r="ED1114" s="4"/>
      <c r="EE1114" s="4"/>
      <c r="EF1114" s="4"/>
      <c r="EG1114" s="5">
        <v>40977</v>
      </c>
      <c r="EH1114" s="5">
        <v>40984</v>
      </c>
      <c r="EI1114" s="5">
        <v>40659</v>
      </c>
    </row>
    <row r="1115" spans="1:139" hidden="1" x14ac:dyDescent="0.2">
      <c r="A1115">
        <f>VLOOKUP(B1115,Sheet1!$A$1:$B$18,2,FALSE)</f>
        <v>0</v>
      </c>
      <c r="B1115" t="str">
        <f>LEFT(D1115,3)</f>
        <v>MNW</v>
      </c>
      <c r="C1115" s="2">
        <v>1114</v>
      </c>
      <c r="D1115" s="3" t="str">
        <f>HYPERLINK("https://sitebase.nzcomms.co.nz/spm/spmnominalview/MNW-042-007/","MNW-042-007")</f>
        <v>MNW-042-007</v>
      </c>
      <c r="E1115" s="4" t="s">
        <v>3415</v>
      </c>
      <c r="F1115" s="4"/>
      <c r="G1115" s="4"/>
      <c r="H1115" s="4" t="s">
        <v>3403</v>
      </c>
      <c r="I1115" s="4"/>
      <c r="J1115" s="4" t="s">
        <v>180</v>
      </c>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4"/>
      <c r="BS1115" s="4"/>
      <c r="BT1115" s="4"/>
      <c r="BU1115" s="4"/>
      <c r="BV1115" s="4"/>
      <c r="BW1115" s="4"/>
      <c r="BX1115" s="4"/>
      <c r="BY1115" s="4"/>
      <c r="BZ1115" s="4"/>
      <c r="CA1115" s="4"/>
      <c r="CB1115" s="4"/>
      <c r="CC1115" s="4"/>
      <c r="CD1115" s="4"/>
      <c r="CE1115" s="4"/>
      <c r="CF1115" s="4"/>
      <c r="CG1115" s="4"/>
      <c r="CH1115" s="4"/>
      <c r="CI1115" s="4"/>
      <c r="CJ1115" s="4"/>
      <c r="CK1115" s="4"/>
      <c r="CL1115" s="4"/>
      <c r="CM1115" s="4"/>
      <c r="CN1115" s="4"/>
      <c r="CO1115" s="4"/>
      <c r="CP1115" s="4" t="s">
        <v>3426</v>
      </c>
      <c r="CQ1115" s="4"/>
      <c r="CR1115" s="4"/>
      <c r="CS1115" s="4"/>
      <c r="CT1115" s="4"/>
      <c r="CU1115" s="4"/>
      <c r="CV1115" s="4"/>
      <c r="CW1115" s="4"/>
      <c r="CX1115" s="4"/>
      <c r="CY1115" s="4"/>
      <c r="CZ1115" s="4"/>
      <c r="DA1115" s="4"/>
      <c r="DB1115" s="4"/>
      <c r="DC1115" s="4"/>
      <c r="DD1115" s="4"/>
      <c r="DE1115" s="4"/>
      <c r="DF1115" s="4"/>
      <c r="DG1115" s="4"/>
      <c r="DH1115" s="4"/>
      <c r="DI1115" s="4"/>
      <c r="DJ1115" s="4"/>
      <c r="DK1115" s="4"/>
      <c r="DL1115" s="4"/>
      <c r="DM1115" s="4"/>
      <c r="DN1115" s="4"/>
      <c r="DO1115" s="4"/>
      <c r="DP1115" s="4"/>
      <c r="DQ1115" s="4"/>
      <c r="DR1115" s="4"/>
      <c r="DS1115" s="4"/>
      <c r="DT1115" s="4"/>
      <c r="DU1115" s="4"/>
      <c r="DV1115" s="4"/>
      <c r="DW1115" s="4"/>
      <c r="DX1115" s="4"/>
      <c r="DY1115" s="4"/>
      <c r="DZ1115" s="4"/>
      <c r="EA1115" s="4"/>
      <c r="EB1115" s="4"/>
      <c r="EC1115" s="4"/>
      <c r="ED1115" s="4"/>
      <c r="EE1115" s="4"/>
      <c r="EF1115" s="4"/>
      <c r="EG1115" s="4"/>
      <c r="EH1115" s="4"/>
      <c r="EI1115" s="4"/>
    </row>
    <row r="1116" spans="1:139" hidden="1" x14ac:dyDescent="0.2">
      <c r="A1116">
        <f>VLOOKUP(B1116,Sheet1!$A$1:$B$18,2,FALSE)</f>
        <v>0</v>
      </c>
      <c r="B1116" t="str">
        <f>LEFT(D1116,3)</f>
        <v>MNW</v>
      </c>
      <c r="C1116" s="2">
        <v>1115</v>
      </c>
      <c r="D1116" s="3" t="str">
        <f>HYPERLINK("https://sitebase.nzcomms.co.nz/spm/spmnominalview/MNW-042-008/","MNW-042-008")</f>
        <v>MNW-042-008</v>
      </c>
      <c r="E1116" s="4" t="s">
        <v>3427</v>
      </c>
      <c r="F1116" s="4"/>
      <c r="G1116" s="4"/>
      <c r="H1116" s="4" t="s">
        <v>3403</v>
      </c>
      <c r="I1116" s="4"/>
      <c r="J1116" s="4" t="s">
        <v>317</v>
      </c>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4"/>
      <c r="BB1116" s="4"/>
      <c r="BC1116" s="4"/>
      <c r="BD1116" s="4"/>
      <c r="BE1116" s="4"/>
      <c r="BF1116" s="4"/>
      <c r="BG1116" s="4"/>
      <c r="BH1116" s="4"/>
      <c r="BI1116" s="4"/>
      <c r="BJ1116" s="4"/>
      <c r="BK1116" s="4"/>
      <c r="BL1116" s="4"/>
      <c r="BM1116" s="4"/>
      <c r="BN1116" s="4"/>
      <c r="BO1116" s="4"/>
      <c r="BP1116" s="4"/>
      <c r="BQ1116" s="4"/>
      <c r="BR1116" s="4"/>
      <c r="BS1116" s="4"/>
      <c r="BT1116" s="4"/>
      <c r="BU1116" s="4"/>
      <c r="BV1116" s="4"/>
      <c r="BW1116" s="4"/>
      <c r="BX1116" s="4"/>
      <c r="BY1116" s="4"/>
      <c r="BZ1116" s="4"/>
      <c r="CA1116" s="4"/>
      <c r="CB1116" s="4"/>
      <c r="CC1116" s="4"/>
      <c r="CD1116" s="4"/>
      <c r="CE1116" s="4"/>
      <c r="CF1116" s="4"/>
      <c r="CG1116" s="4"/>
      <c r="CH1116" s="4"/>
      <c r="CI1116" s="4"/>
      <c r="CJ1116" s="4"/>
      <c r="CK1116" s="4"/>
      <c r="CL1116" s="4"/>
      <c r="CM1116" s="4"/>
      <c r="CN1116" s="4"/>
      <c r="CO1116" s="4"/>
      <c r="CP1116" s="4" t="s">
        <v>3428</v>
      </c>
      <c r="CQ1116" s="4"/>
      <c r="CR1116" s="4"/>
      <c r="CS1116" s="4"/>
      <c r="CT1116" s="4"/>
      <c r="CU1116" s="4"/>
      <c r="CV1116" s="4"/>
      <c r="CW1116" s="4"/>
      <c r="CX1116" s="4"/>
      <c r="CY1116" s="4"/>
      <c r="CZ1116" s="4"/>
      <c r="DA1116" s="4"/>
      <c r="DB1116" s="4"/>
      <c r="DC1116" s="4"/>
      <c r="DD1116" s="4"/>
      <c r="DE1116" s="4"/>
      <c r="DF1116" s="4"/>
      <c r="DG1116" s="4"/>
      <c r="DH1116" s="4"/>
      <c r="DI1116" s="4"/>
      <c r="DJ1116" s="4"/>
      <c r="DK1116" s="4"/>
      <c r="DL1116" s="4"/>
      <c r="DM1116" s="4"/>
      <c r="DN1116" s="4"/>
      <c r="DO1116" s="4"/>
      <c r="DP1116" s="4"/>
      <c r="DQ1116" s="4"/>
      <c r="DR1116" s="4"/>
      <c r="DS1116" s="4"/>
      <c r="DT1116" s="4"/>
      <c r="DU1116" s="4"/>
      <c r="DV1116" s="4"/>
      <c r="DW1116" s="4"/>
      <c r="DX1116" s="4"/>
      <c r="DY1116" s="4"/>
      <c r="DZ1116" s="4"/>
      <c r="EA1116" s="4"/>
      <c r="EB1116" s="4"/>
      <c r="EC1116" s="4"/>
      <c r="ED1116" s="4"/>
      <c r="EE1116" s="4"/>
      <c r="EF1116" s="4"/>
      <c r="EG1116" s="4"/>
      <c r="EH1116" s="4"/>
      <c r="EI1116" s="4"/>
    </row>
    <row r="1117" spans="1:139" hidden="1" x14ac:dyDescent="0.2">
      <c r="A1117">
        <f>VLOOKUP(B1117,Sheet1!$A$1:$B$18,2,FALSE)</f>
        <v>0</v>
      </c>
      <c r="B1117" t="str">
        <f>LEFT(D1117,3)</f>
        <v>MNW</v>
      </c>
      <c r="C1117" s="2">
        <v>1116</v>
      </c>
      <c r="D1117" s="3" t="str">
        <f>HYPERLINK("https://sitebase.nzcomms.co.nz/spm/spmnominalview/MNW-042-009/","MNW-042-009")</f>
        <v>MNW-042-009</v>
      </c>
      <c r="E1117" s="4" t="s">
        <v>3429</v>
      </c>
      <c r="F1117" s="3" t="str">
        <f>HYPERLINK("https://sitebase.nzcomms.co.nz/spm/spmcandidateview/MNW-042-009-A/","MNW-042-009-A")</f>
        <v>MNW-042-009-A</v>
      </c>
      <c r="G1117" s="4" t="s">
        <v>3430</v>
      </c>
      <c r="H1117" s="4" t="s">
        <v>3403</v>
      </c>
      <c r="I1117" s="4">
        <v>24</v>
      </c>
      <c r="J1117" s="4" t="s">
        <v>570</v>
      </c>
      <c r="K1117" s="4" t="s">
        <v>141</v>
      </c>
      <c r="L1117" s="4" t="s">
        <v>150</v>
      </c>
      <c r="M1117" s="4" t="s">
        <v>571</v>
      </c>
      <c r="N1117" s="4" t="s">
        <v>1557</v>
      </c>
      <c r="O1117" s="4"/>
      <c r="P1117" s="4" t="s">
        <v>169</v>
      </c>
      <c r="Q1117" s="4" t="s">
        <v>192</v>
      </c>
      <c r="R1117" s="4">
        <v>23</v>
      </c>
      <c r="S1117" s="4">
        <v>25</v>
      </c>
      <c r="T1117" s="4"/>
      <c r="U1117" s="4">
        <v>-40.633039359999998</v>
      </c>
      <c r="V1117" s="4">
        <v>175.27148686000001</v>
      </c>
      <c r="W1117" s="4"/>
      <c r="X1117" s="5">
        <v>42117</v>
      </c>
      <c r="Y1117" s="4"/>
      <c r="Z1117" s="5">
        <v>42117</v>
      </c>
      <c r="AA1117" s="4" t="s">
        <v>152</v>
      </c>
      <c r="AB1117" s="3" t="str">
        <f>HYPERLINK("https://sitebase.nzcomms.co.nz/spm/spmcandidateview/MNW-042-003-A/","MNW-042-003-A")</f>
        <v>MNW-042-003-A</v>
      </c>
      <c r="AC1117" s="4" t="b">
        <v>0</v>
      </c>
      <c r="AD1117" s="4" t="b">
        <v>0</v>
      </c>
      <c r="AE1117" s="4"/>
      <c r="AF1117" s="4"/>
      <c r="AG1117" s="4" t="b">
        <v>0</v>
      </c>
      <c r="AH1117" s="4"/>
      <c r="AI1117" s="5">
        <v>41878</v>
      </c>
      <c r="AJ1117" s="5">
        <v>41879</v>
      </c>
      <c r="AK1117" s="5">
        <v>41884</v>
      </c>
      <c r="AL1117" s="5">
        <v>41886</v>
      </c>
      <c r="AM1117" s="5">
        <v>41897</v>
      </c>
      <c r="AN1117" s="5">
        <v>41914</v>
      </c>
      <c r="AO1117" s="4">
        <v>1</v>
      </c>
      <c r="AP1117" s="5">
        <v>41912</v>
      </c>
      <c r="AQ1117" s="5">
        <v>41914</v>
      </c>
      <c r="AR1117" s="5">
        <v>41914</v>
      </c>
      <c r="AS1117" s="5">
        <v>41914</v>
      </c>
      <c r="AT1117" s="5">
        <v>42039</v>
      </c>
      <c r="AU1117" s="5">
        <v>42016</v>
      </c>
      <c r="AV1117" s="4"/>
      <c r="AW1117" s="5">
        <v>42039</v>
      </c>
      <c r="AX1117" s="5">
        <v>42016</v>
      </c>
      <c r="AY1117" s="4" t="s">
        <v>172</v>
      </c>
      <c r="AZ1117" s="5">
        <v>41929</v>
      </c>
      <c r="BA1117" s="5">
        <v>41964</v>
      </c>
      <c r="BB1117" s="5">
        <v>41992</v>
      </c>
      <c r="BC1117" s="5">
        <v>41977</v>
      </c>
      <c r="BD1117" s="4">
        <v>1</v>
      </c>
      <c r="BE1117" s="5">
        <v>41992</v>
      </c>
      <c r="BF1117" s="5">
        <v>41977</v>
      </c>
      <c r="BG1117" s="5">
        <v>41957</v>
      </c>
      <c r="BH1117" s="5">
        <v>41957</v>
      </c>
      <c r="BI1117" s="5">
        <v>42025</v>
      </c>
      <c r="BJ1117" s="5">
        <v>42019</v>
      </c>
      <c r="BK1117" s="4">
        <v>1</v>
      </c>
      <c r="BL1117" s="4"/>
      <c r="BM1117" s="5">
        <v>42025</v>
      </c>
      <c r="BN1117" s="5">
        <v>42019</v>
      </c>
      <c r="BO1117" s="4"/>
      <c r="BP1117" s="4"/>
      <c r="BQ1117" s="4"/>
      <c r="BR1117" s="5">
        <v>42185</v>
      </c>
      <c r="BS1117" s="4"/>
      <c r="BT1117" s="5">
        <v>42186</v>
      </c>
      <c r="BU1117" s="5">
        <v>42188</v>
      </c>
      <c r="BV1117" s="5">
        <v>42226</v>
      </c>
      <c r="BW1117" s="5">
        <v>42226</v>
      </c>
      <c r="BX1117" s="5">
        <v>42220</v>
      </c>
      <c r="BY1117" s="5">
        <v>42228</v>
      </c>
      <c r="BZ1117" s="5">
        <v>42229</v>
      </c>
      <c r="CA1117" s="5">
        <v>42223</v>
      </c>
      <c r="CB1117" s="5">
        <v>42241</v>
      </c>
      <c r="CC1117" s="5">
        <v>42220</v>
      </c>
      <c r="CD1117" s="5">
        <v>42220</v>
      </c>
      <c r="CE1117" s="5">
        <v>42213</v>
      </c>
      <c r="CF1117" s="5">
        <v>42213</v>
      </c>
      <c r="CG1117" s="5">
        <v>42213</v>
      </c>
      <c r="CH1117" s="5">
        <v>42213</v>
      </c>
      <c r="CI1117" s="4"/>
      <c r="CJ1117" s="5">
        <v>42277</v>
      </c>
      <c r="CK1117" s="5">
        <v>42277</v>
      </c>
      <c r="CL1117" s="4"/>
      <c r="CM1117" s="4"/>
      <c r="CN1117" s="4"/>
      <c r="CO1117" s="4"/>
      <c r="CP1117" s="4" t="s">
        <v>3431</v>
      </c>
      <c r="CQ1117" s="4"/>
      <c r="CR1117" s="4"/>
      <c r="CS1117" s="4"/>
      <c r="CT1117" s="4"/>
      <c r="CU1117" s="4"/>
      <c r="CV1117" s="4"/>
      <c r="CW1117" s="4"/>
      <c r="CX1117" s="4"/>
      <c r="CY1117" s="4"/>
      <c r="CZ1117" s="4"/>
      <c r="DA1117" s="5">
        <v>42261</v>
      </c>
      <c r="DB1117" s="5">
        <v>42258</v>
      </c>
      <c r="DC1117" s="5">
        <v>41981</v>
      </c>
      <c r="DD1117" s="4" t="s">
        <v>586</v>
      </c>
      <c r="DE1117" s="4"/>
      <c r="DF1117" s="5">
        <v>42213</v>
      </c>
      <c r="DG1117" s="5">
        <v>42213</v>
      </c>
      <c r="DH1117" s="4" t="s">
        <v>174</v>
      </c>
      <c r="DI1117" s="5">
        <v>42220</v>
      </c>
      <c r="DJ1117" s="4" t="b">
        <v>1</v>
      </c>
      <c r="DK1117" s="5">
        <v>42222</v>
      </c>
      <c r="DL1117" s="4">
        <v>2702115</v>
      </c>
      <c r="DM1117" s="4">
        <v>6061210</v>
      </c>
      <c r="DN1117" s="4" t="s">
        <v>3432</v>
      </c>
      <c r="DO1117" s="4"/>
      <c r="DP1117" s="4"/>
      <c r="DQ1117" s="4" t="s">
        <v>148</v>
      </c>
      <c r="DR1117" s="4"/>
      <c r="DS1117" s="4"/>
      <c r="DT1117" s="5">
        <v>42277</v>
      </c>
      <c r="DU1117" s="4" t="s">
        <v>577</v>
      </c>
      <c r="DV1117" s="4"/>
      <c r="DW1117" s="5">
        <v>42074</v>
      </c>
      <c r="DX1117" s="5">
        <v>42143</v>
      </c>
      <c r="DY1117" s="5">
        <v>42130</v>
      </c>
      <c r="DZ1117" s="5">
        <v>42130</v>
      </c>
      <c r="EA1117" s="4"/>
      <c r="EB1117" s="4"/>
      <c r="EC1117" s="4"/>
      <c r="ED1117" s="4"/>
      <c r="EE1117" s="5">
        <v>42167</v>
      </c>
      <c r="EF1117" s="5">
        <v>42167</v>
      </c>
      <c r="EG1117" s="4"/>
      <c r="EH1117" s="4"/>
      <c r="EI1117" s="5">
        <v>41886</v>
      </c>
    </row>
    <row r="1118" spans="1:139" hidden="1" x14ac:dyDescent="0.2">
      <c r="A1118">
        <f>VLOOKUP(B1118,Sheet1!$A$1:$B$18,2,FALSE)</f>
        <v>0</v>
      </c>
      <c r="B1118" t="str">
        <f>LEFT(D1118,3)</f>
        <v>MNW</v>
      </c>
      <c r="C1118" s="2">
        <v>1117</v>
      </c>
      <c r="D1118" s="3" t="str">
        <f>HYPERLINK("https://sitebase.nzcomms.co.nz/spm/spmnominalview/MNW-042-010/","MNW-042-010")</f>
        <v>MNW-042-010</v>
      </c>
      <c r="E1118" s="4" t="s">
        <v>3433</v>
      </c>
      <c r="F1118" s="3" t="str">
        <f>HYPERLINK("https://sitebase.nzcomms.co.nz/spm/spmcandidateview/MNW-042-010-A/","MNW-042-010-A")</f>
        <v>MNW-042-010-A</v>
      </c>
      <c r="G1118" s="4" t="s">
        <v>3433</v>
      </c>
      <c r="H1118" s="4" t="s">
        <v>3403</v>
      </c>
      <c r="I1118" s="4">
        <v>24</v>
      </c>
      <c r="J1118" s="4" t="s">
        <v>165</v>
      </c>
      <c r="K1118" s="4" t="s">
        <v>141</v>
      </c>
      <c r="L1118" s="4" t="s">
        <v>722</v>
      </c>
      <c r="M1118" s="4" t="s">
        <v>166</v>
      </c>
      <c r="N1118" s="4"/>
      <c r="O1118" s="4"/>
      <c r="P1118" s="4"/>
      <c r="Q1118" s="4" t="s">
        <v>142</v>
      </c>
      <c r="R1118" s="4"/>
      <c r="S1118" s="4">
        <v>25</v>
      </c>
      <c r="T1118" s="4"/>
      <c r="U1118" s="4">
        <v>-40.537297459999998</v>
      </c>
      <c r="V1118" s="4">
        <v>175.42630306999999</v>
      </c>
      <c r="W1118" s="4"/>
      <c r="X1118" s="5">
        <v>42135</v>
      </c>
      <c r="Y1118" s="4"/>
      <c r="Z1118" s="4"/>
      <c r="AA1118" s="4"/>
      <c r="AB1118" s="4"/>
      <c r="AC1118" s="4" t="b">
        <v>0</v>
      </c>
      <c r="AD1118" s="4" t="b">
        <v>0</v>
      </c>
      <c r="AE1118" s="4"/>
      <c r="AF1118" s="4"/>
      <c r="AG1118" s="4" t="b">
        <v>0</v>
      </c>
      <c r="AH1118" s="4"/>
      <c r="AI1118" s="5">
        <v>42145</v>
      </c>
      <c r="AJ1118" s="5">
        <v>42145</v>
      </c>
      <c r="AK1118" s="5">
        <v>42145</v>
      </c>
      <c r="AL1118" s="5">
        <v>42145</v>
      </c>
      <c r="AM1118" s="5">
        <v>42153</v>
      </c>
      <c r="AN1118" s="5">
        <v>42145</v>
      </c>
      <c r="AO1118" s="4">
        <v>1</v>
      </c>
      <c r="AP1118" s="5">
        <v>42153</v>
      </c>
      <c r="AQ1118" s="5">
        <v>42145</v>
      </c>
      <c r="AR1118" s="5">
        <v>42145</v>
      </c>
      <c r="AS1118" s="5">
        <v>42145</v>
      </c>
      <c r="AT1118" s="5">
        <v>42145</v>
      </c>
      <c r="AU1118" s="5">
        <v>42178</v>
      </c>
      <c r="AV1118" s="4"/>
      <c r="AW1118" s="5">
        <v>42145</v>
      </c>
      <c r="AX1118" s="5">
        <v>42178</v>
      </c>
      <c r="AY1118" s="4" t="s">
        <v>172</v>
      </c>
      <c r="AZ1118" s="5">
        <v>42146</v>
      </c>
      <c r="BA1118" s="5">
        <v>42151</v>
      </c>
      <c r="BB1118" s="5">
        <v>42150</v>
      </c>
      <c r="BC1118" s="5">
        <v>42151</v>
      </c>
      <c r="BD1118" s="4">
        <v>1</v>
      </c>
      <c r="BE1118" s="5">
        <v>42160</v>
      </c>
      <c r="BF1118" s="5">
        <v>42157</v>
      </c>
      <c r="BG1118" s="5">
        <v>42145</v>
      </c>
      <c r="BH1118" s="5">
        <v>42152</v>
      </c>
      <c r="BI1118" s="5">
        <v>42163</v>
      </c>
      <c r="BJ1118" s="5">
        <v>42201</v>
      </c>
      <c r="BK1118" s="4">
        <v>1</v>
      </c>
      <c r="BL1118" s="4"/>
      <c r="BM1118" s="5">
        <v>42174</v>
      </c>
      <c r="BN1118" s="5">
        <v>42201</v>
      </c>
      <c r="BO1118" s="4"/>
      <c r="BP1118" s="4"/>
      <c r="BQ1118" s="4"/>
      <c r="BR1118" s="4"/>
      <c r="BS1118" s="4"/>
      <c r="BT1118" s="5">
        <v>42205</v>
      </c>
      <c r="BU1118" s="5">
        <v>42205</v>
      </c>
      <c r="BV1118" s="5">
        <v>42208</v>
      </c>
      <c r="BW1118" s="5">
        <v>42208</v>
      </c>
      <c r="BX1118" s="5">
        <v>42205</v>
      </c>
      <c r="BY1118" s="5">
        <v>42221</v>
      </c>
      <c r="BZ1118" s="5">
        <v>42221</v>
      </c>
      <c r="CA1118" s="5">
        <v>42208</v>
      </c>
      <c r="CB1118" s="5">
        <v>42207</v>
      </c>
      <c r="CC1118" s="5">
        <v>42195</v>
      </c>
      <c r="CD1118" s="5">
        <v>42207</v>
      </c>
      <c r="CE1118" s="5">
        <v>42195</v>
      </c>
      <c r="CF1118" s="5">
        <v>42193</v>
      </c>
      <c r="CG1118" s="5">
        <v>42209</v>
      </c>
      <c r="CH1118" s="5">
        <v>42207</v>
      </c>
      <c r="CI1118" s="4"/>
      <c r="CJ1118" s="5">
        <v>42236</v>
      </c>
      <c r="CK1118" s="5">
        <v>42234</v>
      </c>
      <c r="CL1118" s="4"/>
      <c r="CM1118" s="5">
        <v>42299</v>
      </c>
      <c r="CN1118" s="4"/>
      <c r="CO1118" s="4"/>
      <c r="CP1118" s="4" t="s">
        <v>3434</v>
      </c>
      <c r="CQ1118" s="4" t="s">
        <v>230</v>
      </c>
      <c r="CR1118" s="4"/>
      <c r="CS1118" s="4"/>
      <c r="CT1118" s="4"/>
      <c r="CU1118" s="4"/>
      <c r="CV1118" s="4"/>
      <c r="CW1118" s="4"/>
      <c r="CX1118" s="4"/>
      <c r="CY1118" s="4"/>
      <c r="CZ1118" s="4"/>
      <c r="DA1118" s="5">
        <v>42230</v>
      </c>
      <c r="DB1118" s="5">
        <v>42230</v>
      </c>
      <c r="DC1118" s="4"/>
      <c r="DD1118" s="4"/>
      <c r="DE1118" s="4"/>
      <c r="DF1118" s="5">
        <v>42208</v>
      </c>
      <c r="DG1118" s="5">
        <v>42208</v>
      </c>
      <c r="DH1118" s="4" t="s">
        <v>174</v>
      </c>
      <c r="DI1118" s="5">
        <v>42205</v>
      </c>
      <c r="DJ1118" s="4" t="b">
        <v>0</v>
      </c>
      <c r="DK1118" s="4"/>
      <c r="DL1118" s="4">
        <v>2715500</v>
      </c>
      <c r="DM1118" s="4">
        <v>6071487</v>
      </c>
      <c r="DN1118" s="4" t="s">
        <v>3435</v>
      </c>
      <c r="DO1118" s="4"/>
      <c r="DP1118" s="4"/>
      <c r="DQ1118" s="4" t="s">
        <v>148</v>
      </c>
      <c r="DR1118" s="4"/>
      <c r="DS1118" s="4"/>
      <c r="DT1118" s="4"/>
      <c r="DU1118" s="4" t="s">
        <v>178</v>
      </c>
      <c r="DV1118" s="4"/>
      <c r="DW1118" s="4"/>
      <c r="DX1118" s="5">
        <v>42167</v>
      </c>
      <c r="DY1118" s="5">
        <v>42144</v>
      </c>
      <c r="DZ1118" s="5">
        <v>42144</v>
      </c>
      <c r="EA1118" s="5">
        <v>42142</v>
      </c>
      <c r="EB1118" s="5">
        <v>42142</v>
      </c>
      <c r="EC1118" s="5">
        <v>42158</v>
      </c>
      <c r="ED1118" s="5">
        <v>42158</v>
      </c>
      <c r="EE1118" s="5">
        <v>42158</v>
      </c>
      <c r="EF1118" s="5">
        <v>42167</v>
      </c>
      <c r="EG1118" s="4"/>
      <c r="EH1118" s="4"/>
      <c r="EI1118" s="5">
        <v>42145</v>
      </c>
    </row>
    <row r="1119" spans="1:139" hidden="1" x14ac:dyDescent="0.2">
      <c r="A1119">
        <f>VLOOKUP(B1119,Sheet1!$A$1:$B$18,2,FALSE)</f>
        <v>0</v>
      </c>
      <c r="B1119" t="str">
        <f>LEFT(D1119,3)</f>
        <v>NTH</v>
      </c>
      <c r="C1119" s="2">
        <v>1118</v>
      </c>
      <c r="D1119" s="3" t="str">
        <f>HYPERLINK("https://sitebase.nzcomms.co.nz/spm/spmnominalview/NTH-001-001/","NTH-001-001")</f>
        <v>NTH-001-001</v>
      </c>
      <c r="E1119" s="4" t="s">
        <v>3436</v>
      </c>
      <c r="F1119" s="4"/>
      <c r="G1119" s="4"/>
      <c r="H1119" s="4" t="s">
        <v>3437</v>
      </c>
      <c r="I1119" s="4"/>
      <c r="J1119" s="4" t="s">
        <v>196</v>
      </c>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t="b">
        <v>0</v>
      </c>
      <c r="AH1119" s="4"/>
      <c r="AI1119" s="4"/>
      <c r="AJ1119" s="4"/>
      <c r="AK1119" s="4"/>
      <c r="AL1119" s="4"/>
      <c r="AM1119" s="4"/>
      <c r="AN1119" s="4"/>
      <c r="AO1119" s="4"/>
      <c r="AP1119" s="4"/>
      <c r="AQ1119" s="4"/>
      <c r="AR1119" s="4"/>
      <c r="AS1119" s="4"/>
      <c r="AT1119" s="4"/>
      <c r="AU1119" s="4"/>
      <c r="AV1119" s="4"/>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4"/>
      <c r="BS1119" s="4"/>
      <c r="BT1119" s="4"/>
      <c r="BU1119" s="4"/>
      <c r="BV1119" s="4"/>
      <c r="BW1119" s="4"/>
      <c r="BX1119" s="4"/>
      <c r="BY1119" s="4"/>
      <c r="BZ1119" s="4"/>
      <c r="CA1119" s="4"/>
      <c r="CB1119" s="4"/>
      <c r="CC1119" s="4"/>
      <c r="CD1119" s="4"/>
      <c r="CE1119" s="4"/>
      <c r="CF1119" s="4"/>
      <c r="CG1119" s="4"/>
      <c r="CH1119" s="4"/>
      <c r="CI1119" s="4"/>
      <c r="CJ1119" s="4"/>
      <c r="CK1119" s="4"/>
      <c r="CL1119" s="4"/>
      <c r="CM1119" s="4"/>
      <c r="CN1119" s="4"/>
      <c r="CO1119" s="4"/>
      <c r="CP1119" s="4" t="s">
        <v>3438</v>
      </c>
      <c r="CQ1119" s="4"/>
      <c r="CR1119" s="4"/>
      <c r="CS1119" s="4"/>
      <c r="CT1119" s="4"/>
      <c r="CU1119" s="4"/>
      <c r="CV1119" s="4"/>
      <c r="CW1119" s="4"/>
      <c r="CX1119" s="4"/>
      <c r="CY1119" s="4"/>
      <c r="CZ1119" s="4"/>
      <c r="DA1119" s="4"/>
      <c r="DB1119" s="4"/>
      <c r="DC1119" s="4"/>
      <c r="DD1119" s="4"/>
      <c r="DE1119" s="4"/>
      <c r="DF1119" s="4"/>
      <c r="DG1119" s="4"/>
      <c r="DH1119" s="4"/>
      <c r="DI1119" s="4"/>
      <c r="DJ1119" s="4"/>
      <c r="DK1119" s="4"/>
      <c r="DL1119" s="4"/>
      <c r="DM1119" s="4"/>
      <c r="DN1119" s="4"/>
      <c r="DO1119" s="4"/>
      <c r="DP1119" s="4"/>
      <c r="DQ1119" s="4"/>
      <c r="DR1119" s="4"/>
      <c r="DS1119" s="4"/>
      <c r="DT1119" s="4"/>
      <c r="DU1119" s="4"/>
      <c r="DV1119" s="4"/>
      <c r="DW1119" s="4"/>
      <c r="DX1119" s="4"/>
      <c r="DY1119" s="4"/>
      <c r="DZ1119" s="4"/>
      <c r="EA1119" s="4"/>
      <c r="EB1119" s="4"/>
      <c r="EC1119" s="4"/>
      <c r="ED1119" s="4"/>
      <c r="EE1119" s="4"/>
      <c r="EF1119" s="4"/>
      <c r="EG1119" s="4"/>
      <c r="EH1119" s="4"/>
      <c r="EI1119" s="4"/>
    </row>
    <row r="1120" spans="1:139" hidden="1" x14ac:dyDescent="0.2">
      <c r="A1120">
        <f>VLOOKUP(B1120,Sheet1!$A$1:$B$18,2,FALSE)</f>
        <v>0</v>
      </c>
      <c r="B1120" t="str">
        <f>LEFT(D1120,3)</f>
        <v>NTH</v>
      </c>
      <c r="C1120" s="2">
        <v>1119</v>
      </c>
      <c r="D1120" s="3" t="str">
        <f>HYPERLINK("https://sitebase.nzcomms.co.nz/spm/spmnominalview/NTH-001-002/","NTH-001-002")</f>
        <v>NTH-001-002</v>
      </c>
      <c r="E1120" s="4"/>
      <c r="F1120" s="4"/>
      <c r="G1120" s="4"/>
      <c r="H1120" s="4" t="s">
        <v>3437</v>
      </c>
      <c r="I1120" s="4"/>
      <c r="J1120" s="4" t="s">
        <v>196</v>
      </c>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c r="BH1120" s="4"/>
      <c r="BI1120" s="4"/>
      <c r="BJ1120" s="4"/>
      <c r="BK1120" s="4"/>
      <c r="BL1120" s="4"/>
      <c r="BM1120" s="4"/>
      <c r="BN1120" s="4"/>
      <c r="BO1120" s="4"/>
      <c r="BP1120" s="4"/>
      <c r="BQ1120" s="4"/>
      <c r="BR1120" s="4"/>
      <c r="BS1120" s="4"/>
      <c r="BT1120" s="4"/>
      <c r="BU1120" s="4"/>
      <c r="BV1120" s="4"/>
      <c r="BW1120" s="4"/>
      <c r="BX1120" s="4"/>
      <c r="BY1120" s="4"/>
      <c r="BZ1120" s="4"/>
      <c r="CA1120" s="4"/>
      <c r="CB1120" s="4"/>
      <c r="CC1120" s="4"/>
      <c r="CD1120" s="4"/>
      <c r="CE1120" s="4"/>
      <c r="CF1120" s="4"/>
      <c r="CG1120" s="4"/>
      <c r="CH1120" s="4"/>
      <c r="CI1120" s="4"/>
      <c r="CJ1120" s="4"/>
      <c r="CK1120" s="4"/>
      <c r="CL1120" s="4"/>
      <c r="CM1120" s="4"/>
      <c r="CN1120" s="4"/>
      <c r="CO1120" s="4"/>
      <c r="CP1120" s="4" t="s">
        <v>3439</v>
      </c>
      <c r="CQ1120" s="4"/>
      <c r="CR1120" s="4"/>
      <c r="CS1120" s="4"/>
      <c r="CT1120" s="4"/>
      <c r="CU1120" s="4"/>
      <c r="CV1120" s="4"/>
      <c r="CW1120" s="4"/>
      <c r="CX1120" s="4"/>
      <c r="CY1120" s="4"/>
      <c r="CZ1120" s="4"/>
      <c r="DA1120" s="4"/>
      <c r="DB1120" s="4"/>
      <c r="DC1120" s="4"/>
      <c r="DD1120" s="4"/>
      <c r="DE1120" s="4"/>
      <c r="DF1120" s="4"/>
      <c r="DG1120" s="4"/>
      <c r="DH1120" s="4"/>
      <c r="DI1120" s="4"/>
      <c r="DJ1120" s="4"/>
      <c r="DK1120" s="4"/>
      <c r="DL1120" s="4"/>
      <c r="DM1120" s="4"/>
      <c r="DN1120" s="4"/>
      <c r="DO1120" s="4"/>
      <c r="DP1120" s="4"/>
      <c r="DQ1120" s="4"/>
      <c r="DR1120" s="4"/>
      <c r="DS1120" s="4"/>
      <c r="DT1120" s="4"/>
      <c r="DU1120" s="4"/>
      <c r="DV1120" s="4"/>
      <c r="DW1120" s="4"/>
      <c r="DX1120" s="4"/>
      <c r="DY1120" s="4"/>
      <c r="DZ1120" s="4"/>
      <c r="EA1120" s="4"/>
      <c r="EB1120" s="4"/>
      <c r="EC1120" s="4"/>
      <c r="ED1120" s="4"/>
      <c r="EE1120" s="4"/>
      <c r="EF1120" s="4"/>
      <c r="EG1120" s="4"/>
      <c r="EH1120" s="4"/>
      <c r="EI1120" s="4"/>
    </row>
    <row r="1121" spans="1:139" hidden="1" x14ac:dyDescent="0.2">
      <c r="A1121">
        <f>VLOOKUP(B1121,Sheet1!$A$1:$B$18,2,FALSE)</f>
        <v>0</v>
      </c>
      <c r="B1121" t="str">
        <f>LEFT(D1121,3)</f>
        <v>NTH</v>
      </c>
      <c r="C1121" s="2">
        <v>1120</v>
      </c>
      <c r="D1121" s="3" t="str">
        <f>HYPERLINK("https://sitebase.nzcomms.co.nz/spm/spmnominalview/NTH-001-003/","NTH-001-003")</f>
        <v>NTH-001-003</v>
      </c>
      <c r="E1121" s="4"/>
      <c r="F1121" s="4"/>
      <c r="G1121" s="4"/>
      <c r="H1121" s="4" t="s">
        <v>3437</v>
      </c>
      <c r="I1121" s="4"/>
      <c r="J1121" s="4" t="s">
        <v>196</v>
      </c>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4"/>
      <c r="BB1121" s="4"/>
      <c r="BC1121" s="4"/>
      <c r="BD1121" s="4"/>
      <c r="BE1121" s="4"/>
      <c r="BF1121" s="4"/>
      <c r="BG1121" s="4"/>
      <c r="BH1121" s="4"/>
      <c r="BI1121" s="4"/>
      <c r="BJ1121" s="4"/>
      <c r="BK1121" s="4"/>
      <c r="BL1121" s="4"/>
      <c r="BM1121" s="4"/>
      <c r="BN1121" s="4"/>
      <c r="BO1121" s="4"/>
      <c r="BP1121" s="4"/>
      <c r="BQ1121" s="4"/>
      <c r="BR1121" s="4"/>
      <c r="BS1121" s="4"/>
      <c r="BT1121" s="4"/>
      <c r="BU1121" s="4"/>
      <c r="BV1121" s="4"/>
      <c r="BW1121" s="4"/>
      <c r="BX1121" s="4"/>
      <c r="BY1121" s="4"/>
      <c r="BZ1121" s="4"/>
      <c r="CA1121" s="4"/>
      <c r="CB1121" s="4"/>
      <c r="CC1121" s="4"/>
      <c r="CD1121" s="4"/>
      <c r="CE1121" s="4"/>
      <c r="CF1121" s="4"/>
      <c r="CG1121" s="4"/>
      <c r="CH1121" s="4"/>
      <c r="CI1121" s="4"/>
      <c r="CJ1121" s="4"/>
      <c r="CK1121" s="4"/>
      <c r="CL1121" s="4"/>
      <c r="CM1121" s="4"/>
      <c r="CN1121" s="4"/>
      <c r="CO1121" s="4"/>
      <c r="CP1121" s="4" t="s">
        <v>3439</v>
      </c>
      <c r="CQ1121" s="4"/>
      <c r="CR1121" s="4"/>
      <c r="CS1121" s="4"/>
      <c r="CT1121" s="4"/>
      <c r="CU1121" s="4"/>
      <c r="CV1121" s="4"/>
      <c r="CW1121" s="4"/>
      <c r="CX1121" s="4"/>
      <c r="CY1121" s="4"/>
      <c r="CZ1121" s="4"/>
      <c r="DA1121" s="4"/>
      <c r="DB1121" s="4"/>
      <c r="DC1121" s="4"/>
      <c r="DD1121" s="4"/>
      <c r="DE1121" s="4"/>
      <c r="DF1121" s="4"/>
      <c r="DG1121" s="4"/>
      <c r="DH1121" s="4"/>
      <c r="DI1121" s="4"/>
      <c r="DJ1121" s="4"/>
      <c r="DK1121" s="4"/>
      <c r="DL1121" s="4"/>
      <c r="DM1121" s="4"/>
      <c r="DN1121" s="4"/>
      <c r="DO1121" s="4"/>
      <c r="DP1121" s="4"/>
      <c r="DQ1121" s="4"/>
      <c r="DR1121" s="4"/>
      <c r="DS1121" s="4"/>
      <c r="DT1121" s="4"/>
      <c r="DU1121" s="4"/>
      <c r="DV1121" s="4"/>
      <c r="DW1121" s="4"/>
      <c r="DX1121" s="4"/>
      <c r="DY1121" s="4"/>
      <c r="DZ1121" s="4"/>
      <c r="EA1121" s="4"/>
      <c r="EB1121" s="4"/>
      <c r="EC1121" s="4"/>
      <c r="ED1121" s="4"/>
      <c r="EE1121" s="4"/>
      <c r="EF1121" s="4"/>
      <c r="EG1121" s="4"/>
      <c r="EH1121" s="4"/>
      <c r="EI1121" s="4"/>
    </row>
    <row r="1122" spans="1:139" hidden="1" x14ac:dyDescent="0.2">
      <c r="A1122">
        <f>VLOOKUP(B1122,Sheet1!$A$1:$B$18,2,FALSE)</f>
        <v>0</v>
      </c>
      <c r="B1122" t="str">
        <f>LEFT(D1122,3)</f>
        <v>NTH</v>
      </c>
      <c r="C1122" s="2">
        <v>1121</v>
      </c>
      <c r="D1122" s="3" t="str">
        <f>HYPERLINK("https://sitebase.nzcomms.co.nz/spm/spmnominalview/NTH-001-004/","NTH-001-004")</f>
        <v>NTH-001-004</v>
      </c>
      <c r="E1122" s="4" t="s">
        <v>3440</v>
      </c>
      <c r="F1122" s="3" t="str">
        <f>HYPERLINK("https://sitebase.nzcomms.co.nz/spm/spmcandidateview/NTH-001-004-F/","NTH-001-004-F")</f>
        <v>NTH-001-004-F</v>
      </c>
      <c r="G1122" s="4" t="s">
        <v>3441</v>
      </c>
      <c r="H1122" s="4" t="s">
        <v>3437</v>
      </c>
      <c r="I1122" s="4">
        <v>23</v>
      </c>
      <c r="J1122" s="4" t="s">
        <v>165</v>
      </c>
      <c r="K1122" s="4" t="s">
        <v>141</v>
      </c>
      <c r="L1122" s="4" t="s">
        <v>150</v>
      </c>
      <c r="M1122" s="4" t="s">
        <v>190</v>
      </c>
      <c r="N1122" s="4" t="s">
        <v>216</v>
      </c>
      <c r="O1122" s="4"/>
      <c r="P1122" s="4" t="s">
        <v>169</v>
      </c>
      <c r="Q1122" s="4" t="s">
        <v>170</v>
      </c>
      <c r="R1122" s="4">
        <v>20</v>
      </c>
      <c r="S1122" s="4">
        <v>20</v>
      </c>
      <c r="T1122" s="4"/>
      <c r="U1122" s="4">
        <v>-35.37303283</v>
      </c>
      <c r="V1122" s="4">
        <v>173.83030740000001</v>
      </c>
      <c r="W1122" s="4"/>
      <c r="X1122" s="4"/>
      <c r="Y1122" s="4"/>
      <c r="Z1122" s="4"/>
      <c r="AA1122" s="4" t="s">
        <v>171</v>
      </c>
      <c r="AB1122" s="3" t="str">
        <f>HYPERLINK("https://sitebase.nzcomms.co.nz/spm/spmcandidateview/NTH-001-039-A/","NTH-001-039-A")</f>
        <v>NTH-001-039-A</v>
      </c>
      <c r="AC1122" s="4" t="b">
        <v>0</v>
      </c>
      <c r="AD1122" s="4" t="b">
        <v>0</v>
      </c>
      <c r="AE1122" s="4"/>
      <c r="AF1122" s="4"/>
      <c r="AG1122" s="4" t="b">
        <v>0</v>
      </c>
      <c r="AH1122" s="4"/>
      <c r="AI1122" s="5">
        <v>40981</v>
      </c>
      <c r="AJ1122" s="5">
        <v>40981</v>
      </c>
      <c r="AK1122" s="5">
        <v>41103</v>
      </c>
      <c r="AL1122" s="5">
        <v>41103</v>
      </c>
      <c r="AM1122" s="5">
        <v>41166</v>
      </c>
      <c r="AN1122" s="5">
        <v>41184</v>
      </c>
      <c r="AO1122" s="4">
        <v>3</v>
      </c>
      <c r="AP1122" s="5">
        <v>41166</v>
      </c>
      <c r="AQ1122" s="5">
        <v>41297</v>
      </c>
      <c r="AR1122" s="5">
        <v>41185</v>
      </c>
      <c r="AS1122" s="5">
        <v>41177</v>
      </c>
      <c r="AT1122" s="5">
        <v>41250</v>
      </c>
      <c r="AU1122" s="5">
        <v>41257</v>
      </c>
      <c r="AV1122" s="4"/>
      <c r="AW1122" s="5">
        <v>41250</v>
      </c>
      <c r="AX1122" s="5">
        <v>41257</v>
      </c>
      <c r="AY1122" s="4" t="s">
        <v>183</v>
      </c>
      <c r="AZ1122" s="5">
        <v>41218</v>
      </c>
      <c r="BA1122" s="5">
        <v>42078</v>
      </c>
      <c r="BB1122" s="5">
        <v>41264</v>
      </c>
      <c r="BC1122" s="5">
        <v>42110</v>
      </c>
      <c r="BD1122" s="4">
        <v>1</v>
      </c>
      <c r="BE1122" s="5">
        <v>42034</v>
      </c>
      <c r="BF1122" s="5">
        <v>42034</v>
      </c>
      <c r="BG1122" s="5">
        <v>41933</v>
      </c>
      <c r="BH1122" s="5">
        <v>41933</v>
      </c>
      <c r="BI1122" s="5">
        <v>42041</v>
      </c>
      <c r="BJ1122" s="5">
        <v>42047</v>
      </c>
      <c r="BK1122" s="4">
        <v>1</v>
      </c>
      <c r="BL1122" s="4"/>
      <c r="BM1122" s="5">
        <v>42041</v>
      </c>
      <c r="BN1122" s="5">
        <v>42047</v>
      </c>
      <c r="BO1122" s="5">
        <v>42081</v>
      </c>
      <c r="BP1122" s="4"/>
      <c r="BQ1122" s="4"/>
      <c r="BR1122" s="4"/>
      <c r="BS1122" s="4"/>
      <c r="BT1122" s="5">
        <v>42107</v>
      </c>
      <c r="BU1122" s="5">
        <v>42114</v>
      </c>
      <c r="BV1122" s="5">
        <v>42174</v>
      </c>
      <c r="BW1122" s="5">
        <v>42181</v>
      </c>
      <c r="BX1122" s="5">
        <v>42156</v>
      </c>
      <c r="BY1122" s="5">
        <v>42160</v>
      </c>
      <c r="BZ1122" s="5">
        <v>42181</v>
      </c>
      <c r="CA1122" s="4"/>
      <c r="CB1122" s="4"/>
      <c r="CC1122" s="4"/>
      <c r="CD1122" s="4"/>
      <c r="CE1122" s="4"/>
      <c r="CF1122" s="4"/>
      <c r="CG1122" s="4"/>
      <c r="CH1122" s="4"/>
      <c r="CI1122" s="4"/>
      <c r="CJ1122" s="5">
        <v>42215</v>
      </c>
      <c r="CK1122" s="5">
        <v>42213</v>
      </c>
      <c r="CL1122" s="4"/>
      <c r="CM1122" s="5">
        <v>42244</v>
      </c>
      <c r="CN1122" s="4"/>
      <c r="CO1122" s="5">
        <v>42244</v>
      </c>
      <c r="CP1122" s="4" t="s">
        <v>3442</v>
      </c>
      <c r="CQ1122" s="4"/>
      <c r="CR1122" s="5">
        <v>42184</v>
      </c>
      <c r="CS1122" s="4"/>
      <c r="CT1122" s="4"/>
      <c r="CU1122" s="4"/>
      <c r="CV1122" s="4"/>
      <c r="CW1122" s="5">
        <v>42081</v>
      </c>
      <c r="CX1122" s="5">
        <v>42081</v>
      </c>
      <c r="CY1122" s="5">
        <v>42174</v>
      </c>
      <c r="CZ1122" s="4"/>
      <c r="DA1122" s="5">
        <v>42192</v>
      </c>
      <c r="DB1122" s="5">
        <v>42191</v>
      </c>
      <c r="DC1122" s="4"/>
      <c r="DD1122" s="4"/>
      <c r="DE1122" s="4" t="s">
        <v>3443</v>
      </c>
      <c r="DF1122" s="4"/>
      <c r="DG1122" s="4"/>
      <c r="DH1122" s="4" t="s">
        <v>174</v>
      </c>
      <c r="DI1122" s="5">
        <v>42156</v>
      </c>
      <c r="DJ1122" s="4" t="b">
        <v>0</v>
      </c>
      <c r="DK1122" s="4"/>
      <c r="DL1122" s="4">
        <v>2586217</v>
      </c>
      <c r="DM1122" s="4">
        <v>6647211</v>
      </c>
      <c r="DN1122" s="4" t="s">
        <v>3444</v>
      </c>
      <c r="DO1122" s="4"/>
      <c r="DP1122" s="4" t="s">
        <v>3445</v>
      </c>
      <c r="DQ1122" s="4" t="s">
        <v>148</v>
      </c>
      <c r="DR1122" s="4"/>
      <c r="DS1122" s="4"/>
      <c r="DT1122" s="4"/>
      <c r="DU1122" s="4" t="s">
        <v>178</v>
      </c>
      <c r="DV1122" s="4"/>
      <c r="DW1122" s="5">
        <v>41991</v>
      </c>
      <c r="DX1122" s="5">
        <v>42038</v>
      </c>
      <c r="DY1122" s="5">
        <v>42076</v>
      </c>
      <c r="DZ1122" s="5">
        <v>42076</v>
      </c>
      <c r="EA1122" s="4"/>
      <c r="EB1122" s="4"/>
      <c r="EC1122" s="4"/>
      <c r="ED1122" s="4"/>
      <c r="EE1122" s="5">
        <v>42093</v>
      </c>
      <c r="EF1122" s="5">
        <v>42093</v>
      </c>
      <c r="EG1122" s="5">
        <v>42188</v>
      </c>
      <c r="EH1122" s="4"/>
      <c r="EI1122" s="5">
        <v>41103</v>
      </c>
    </row>
    <row r="1123" spans="1:139" hidden="1" x14ac:dyDescent="0.2">
      <c r="A1123">
        <f>VLOOKUP(B1123,Sheet1!$A$1:$B$18,2,FALSE)</f>
        <v>0</v>
      </c>
      <c r="B1123" t="str">
        <f>LEFT(D1123,3)</f>
        <v>NTH</v>
      </c>
      <c r="C1123" s="2">
        <v>1122</v>
      </c>
      <c r="D1123" s="3" t="str">
        <f>HYPERLINK("https://sitebase.nzcomms.co.nz/spm/spmnominalview/NTH-001-005/","NTH-001-005")</f>
        <v>NTH-001-005</v>
      </c>
      <c r="E1123" s="4"/>
      <c r="F1123" s="4"/>
      <c r="G1123" s="4"/>
      <c r="H1123" s="4" t="s">
        <v>3437</v>
      </c>
      <c r="I1123" s="4"/>
      <c r="J1123" s="4" t="s">
        <v>196</v>
      </c>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s="4"/>
      <c r="BC1123" s="4"/>
      <c r="BD1123" s="4"/>
      <c r="BE1123" s="4"/>
      <c r="BF1123" s="4"/>
      <c r="BG1123" s="4"/>
      <c r="BH1123" s="4"/>
      <c r="BI1123" s="4"/>
      <c r="BJ1123" s="4"/>
      <c r="BK1123" s="4"/>
      <c r="BL1123" s="4"/>
      <c r="BM1123" s="4"/>
      <c r="BN1123" s="4"/>
      <c r="BO1123" s="4"/>
      <c r="BP1123" s="4"/>
      <c r="BQ1123" s="4"/>
      <c r="BR1123" s="4"/>
      <c r="BS1123" s="4"/>
      <c r="BT1123" s="4"/>
      <c r="BU1123" s="4"/>
      <c r="BV1123" s="4"/>
      <c r="BW1123" s="4"/>
      <c r="BX1123" s="4"/>
      <c r="BY1123" s="4"/>
      <c r="BZ1123" s="4"/>
      <c r="CA1123" s="4"/>
      <c r="CB1123" s="4"/>
      <c r="CC1123" s="4"/>
      <c r="CD1123" s="4"/>
      <c r="CE1123" s="4"/>
      <c r="CF1123" s="4"/>
      <c r="CG1123" s="4"/>
      <c r="CH1123" s="4"/>
      <c r="CI1123" s="4"/>
      <c r="CJ1123" s="4"/>
      <c r="CK1123" s="4"/>
      <c r="CL1123" s="4"/>
      <c r="CM1123" s="4"/>
      <c r="CN1123" s="4"/>
      <c r="CO1123" s="4"/>
      <c r="CP1123" s="4" t="s">
        <v>3439</v>
      </c>
      <c r="CQ1123" s="4"/>
      <c r="CR1123" s="4"/>
      <c r="CS1123" s="4"/>
      <c r="CT1123" s="4"/>
      <c r="CU1123" s="4"/>
      <c r="CV1123" s="4"/>
      <c r="CW1123" s="4"/>
      <c r="CX1123" s="4"/>
      <c r="CY1123" s="4"/>
      <c r="CZ1123" s="4"/>
      <c r="DA1123" s="4"/>
      <c r="DB1123" s="4"/>
      <c r="DC1123" s="4"/>
      <c r="DD1123" s="4"/>
      <c r="DE1123" s="4"/>
      <c r="DF1123" s="4"/>
      <c r="DG1123" s="4"/>
      <c r="DH1123" s="4"/>
      <c r="DI1123" s="4"/>
      <c r="DJ1123" s="4"/>
      <c r="DK1123" s="4"/>
      <c r="DL1123" s="4"/>
      <c r="DM1123" s="4"/>
      <c r="DN1123" s="4"/>
      <c r="DO1123" s="4"/>
      <c r="DP1123" s="4"/>
      <c r="DQ1123" s="4"/>
      <c r="DR1123" s="4"/>
      <c r="DS1123" s="4"/>
      <c r="DT1123" s="4"/>
      <c r="DU1123" s="4"/>
      <c r="DV1123" s="4"/>
      <c r="DW1123" s="4"/>
      <c r="DX1123" s="4"/>
      <c r="DY1123" s="4"/>
      <c r="DZ1123" s="4"/>
      <c r="EA1123" s="4"/>
      <c r="EB1123" s="4"/>
      <c r="EC1123" s="4"/>
      <c r="ED1123" s="4"/>
      <c r="EE1123" s="4"/>
      <c r="EF1123" s="4"/>
      <c r="EG1123" s="4"/>
      <c r="EH1123" s="4"/>
      <c r="EI1123" s="4"/>
    </row>
    <row r="1124" spans="1:139" hidden="1" x14ac:dyDescent="0.2">
      <c r="A1124">
        <f>VLOOKUP(B1124,Sheet1!$A$1:$B$18,2,FALSE)</f>
        <v>0</v>
      </c>
      <c r="B1124" t="str">
        <f>LEFT(D1124,3)</f>
        <v>NTH</v>
      </c>
      <c r="C1124" s="2">
        <v>1123</v>
      </c>
      <c r="D1124" s="3" t="str">
        <f>HYPERLINK("https://sitebase.nzcomms.co.nz/spm/spmnominalview/NTH-001-006/","NTH-001-006")</f>
        <v>NTH-001-006</v>
      </c>
      <c r="E1124" s="4"/>
      <c r="F1124" s="4"/>
      <c r="G1124" s="4"/>
      <c r="H1124" s="4" t="s">
        <v>3437</v>
      </c>
      <c r="I1124" s="4"/>
      <c r="J1124" s="4" t="s">
        <v>196</v>
      </c>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4"/>
      <c r="BS1124" s="4"/>
      <c r="BT1124" s="4"/>
      <c r="BU1124" s="4"/>
      <c r="BV1124" s="4"/>
      <c r="BW1124" s="4"/>
      <c r="BX1124" s="4"/>
      <c r="BY1124" s="4"/>
      <c r="BZ1124" s="4"/>
      <c r="CA1124" s="4"/>
      <c r="CB1124" s="4"/>
      <c r="CC1124" s="4"/>
      <c r="CD1124" s="4"/>
      <c r="CE1124" s="4"/>
      <c r="CF1124" s="4"/>
      <c r="CG1124" s="4"/>
      <c r="CH1124" s="4"/>
      <c r="CI1124" s="4"/>
      <c r="CJ1124" s="4"/>
      <c r="CK1124" s="4"/>
      <c r="CL1124" s="4"/>
      <c r="CM1124" s="4"/>
      <c r="CN1124" s="4"/>
      <c r="CO1124" s="4"/>
      <c r="CP1124" s="4" t="s">
        <v>3439</v>
      </c>
      <c r="CQ1124" s="4"/>
      <c r="CR1124" s="4"/>
      <c r="CS1124" s="4"/>
      <c r="CT1124" s="4"/>
      <c r="CU1124" s="4"/>
      <c r="CV1124" s="4"/>
      <c r="CW1124" s="4"/>
      <c r="CX1124" s="4"/>
      <c r="CY1124" s="4"/>
      <c r="CZ1124" s="4"/>
      <c r="DA1124" s="4"/>
      <c r="DB1124" s="4"/>
      <c r="DC1124" s="4"/>
      <c r="DD1124" s="4"/>
      <c r="DE1124" s="4"/>
      <c r="DF1124" s="4"/>
      <c r="DG1124" s="4"/>
      <c r="DH1124" s="4"/>
      <c r="DI1124" s="4"/>
      <c r="DJ1124" s="4"/>
      <c r="DK1124" s="4"/>
      <c r="DL1124" s="4"/>
      <c r="DM1124" s="4"/>
      <c r="DN1124" s="4"/>
      <c r="DO1124" s="4"/>
      <c r="DP1124" s="4"/>
      <c r="DQ1124" s="4"/>
      <c r="DR1124" s="4"/>
      <c r="DS1124" s="4"/>
      <c r="DT1124" s="4"/>
      <c r="DU1124" s="4"/>
      <c r="DV1124" s="4"/>
      <c r="DW1124" s="4"/>
      <c r="DX1124" s="4"/>
      <c r="DY1124" s="4"/>
      <c r="DZ1124" s="4"/>
      <c r="EA1124" s="4"/>
      <c r="EB1124" s="4"/>
      <c r="EC1124" s="4"/>
      <c r="ED1124" s="4"/>
      <c r="EE1124" s="4"/>
      <c r="EF1124" s="4"/>
      <c r="EG1124" s="4"/>
      <c r="EH1124" s="4"/>
      <c r="EI1124" s="4"/>
    </row>
    <row r="1125" spans="1:139" hidden="1" x14ac:dyDescent="0.2">
      <c r="A1125">
        <f>VLOOKUP(B1125,Sheet1!$A$1:$B$18,2,FALSE)</f>
        <v>0</v>
      </c>
      <c r="B1125" t="str">
        <f>LEFT(D1125,3)</f>
        <v>NTH</v>
      </c>
      <c r="C1125" s="2">
        <v>1124</v>
      </c>
      <c r="D1125" s="3" t="str">
        <f>HYPERLINK("https://sitebase.nzcomms.co.nz/spm/spmnominalview/NTH-001-007/","NTH-001-007")</f>
        <v>NTH-001-007</v>
      </c>
      <c r="E1125" s="4"/>
      <c r="F1125" s="4"/>
      <c r="G1125" s="4"/>
      <c r="H1125" s="4" t="s">
        <v>3437</v>
      </c>
      <c r="I1125" s="4"/>
      <c r="J1125" s="4" t="s">
        <v>196</v>
      </c>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4"/>
      <c r="BS1125" s="4"/>
      <c r="BT1125" s="4"/>
      <c r="BU1125" s="4"/>
      <c r="BV1125" s="4"/>
      <c r="BW1125" s="4"/>
      <c r="BX1125" s="4"/>
      <c r="BY1125" s="4"/>
      <c r="BZ1125" s="4"/>
      <c r="CA1125" s="4"/>
      <c r="CB1125" s="4"/>
      <c r="CC1125" s="4"/>
      <c r="CD1125" s="4"/>
      <c r="CE1125" s="4"/>
      <c r="CF1125" s="4"/>
      <c r="CG1125" s="4"/>
      <c r="CH1125" s="4"/>
      <c r="CI1125" s="4"/>
      <c r="CJ1125" s="4"/>
      <c r="CK1125" s="4"/>
      <c r="CL1125" s="4"/>
      <c r="CM1125" s="4"/>
      <c r="CN1125" s="4"/>
      <c r="CO1125" s="4"/>
      <c r="CP1125" s="4" t="s">
        <v>3439</v>
      </c>
      <c r="CQ1125" s="4"/>
      <c r="CR1125" s="4"/>
      <c r="CS1125" s="4"/>
      <c r="CT1125" s="4"/>
      <c r="CU1125" s="4"/>
      <c r="CV1125" s="4"/>
      <c r="CW1125" s="4"/>
      <c r="CX1125" s="4"/>
      <c r="CY1125" s="4"/>
      <c r="CZ1125" s="4"/>
      <c r="DA1125" s="4"/>
      <c r="DB1125" s="4"/>
      <c r="DC1125" s="4"/>
      <c r="DD1125" s="4"/>
      <c r="DE1125" s="4"/>
      <c r="DF1125" s="4"/>
      <c r="DG1125" s="4"/>
      <c r="DH1125" s="4"/>
      <c r="DI1125" s="4"/>
      <c r="DJ1125" s="4"/>
      <c r="DK1125" s="4"/>
      <c r="DL1125" s="4"/>
      <c r="DM1125" s="4"/>
      <c r="DN1125" s="4"/>
      <c r="DO1125" s="4"/>
      <c r="DP1125" s="4"/>
      <c r="DQ1125" s="4"/>
      <c r="DR1125" s="4"/>
      <c r="DS1125" s="4"/>
      <c r="DT1125" s="4"/>
      <c r="DU1125" s="4"/>
      <c r="DV1125" s="4"/>
      <c r="DW1125" s="4"/>
      <c r="DX1125" s="4"/>
      <c r="DY1125" s="4"/>
      <c r="DZ1125" s="4"/>
      <c r="EA1125" s="4"/>
      <c r="EB1125" s="4"/>
      <c r="EC1125" s="4"/>
      <c r="ED1125" s="4"/>
      <c r="EE1125" s="4"/>
      <c r="EF1125" s="4"/>
      <c r="EG1125" s="4"/>
      <c r="EH1125" s="4"/>
      <c r="EI1125" s="4"/>
    </row>
    <row r="1126" spans="1:139" hidden="1" x14ac:dyDescent="0.2">
      <c r="A1126">
        <f>VLOOKUP(B1126,Sheet1!$A$1:$B$18,2,FALSE)</f>
        <v>0</v>
      </c>
      <c r="B1126" t="str">
        <f>LEFT(D1126,3)</f>
        <v>NTH</v>
      </c>
      <c r="C1126" s="2">
        <v>1125</v>
      </c>
      <c r="D1126" s="3" t="str">
        <f>HYPERLINK("https://sitebase.nzcomms.co.nz/spm/spmnominalview/NTH-001-008/","NTH-001-008")</f>
        <v>NTH-001-008</v>
      </c>
      <c r="E1126" s="4" t="s">
        <v>3446</v>
      </c>
      <c r="F1126" s="3" t="str">
        <f>HYPERLINK("https://sitebase.nzcomms.co.nz/spm/spmcandidateview/NTH-001-008-D/","NTH-001-008-D")</f>
        <v>NTH-001-008-D</v>
      </c>
      <c r="G1126" s="4" t="s">
        <v>3447</v>
      </c>
      <c r="H1126" s="4" t="s">
        <v>3437</v>
      </c>
      <c r="I1126" s="4">
        <v>23</v>
      </c>
      <c r="J1126" s="4" t="s">
        <v>165</v>
      </c>
      <c r="K1126" s="4" t="s">
        <v>141</v>
      </c>
      <c r="L1126" s="4" t="s">
        <v>150</v>
      </c>
      <c r="M1126" s="4" t="s">
        <v>190</v>
      </c>
      <c r="N1126" s="4" t="s">
        <v>3448</v>
      </c>
      <c r="O1126" s="4"/>
      <c r="P1126" s="4" t="s">
        <v>169</v>
      </c>
      <c r="Q1126" s="4" t="s">
        <v>170</v>
      </c>
      <c r="R1126" s="4">
        <v>16</v>
      </c>
      <c r="S1126" s="4">
        <v>16</v>
      </c>
      <c r="T1126" s="4"/>
      <c r="U1126" s="4">
        <v>-35.255661789999998</v>
      </c>
      <c r="V1126" s="4">
        <v>174.12399588</v>
      </c>
      <c r="W1126" s="5">
        <v>40235</v>
      </c>
      <c r="X1126" s="5">
        <v>40896</v>
      </c>
      <c r="Y1126" s="5">
        <v>40235</v>
      </c>
      <c r="Z1126" s="5">
        <v>40234</v>
      </c>
      <c r="AA1126" s="4" t="s">
        <v>145</v>
      </c>
      <c r="AB1126" s="3" t="str">
        <f>HYPERLINK("https://sitebase.nzcomms.co.nz/spm/spmcandidateview/NTH-001-040-A/","NTH-001-040-A")</f>
        <v>NTH-001-040-A</v>
      </c>
      <c r="AC1126" s="4" t="b">
        <v>1</v>
      </c>
      <c r="AD1126" s="4" t="b">
        <v>0</v>
      </c>
      <c r="AE1126" s="5">
        <v>40221</v>
      </c>
      <c r="AF1126" s="4"/>
      <c r="AG1126" s="4" t="b">
        <v>0</v>
      </c>
      <c r="AH1126" s="4"/>
      <c r="AI1126" s="5">
        <v>40981</v>
      </c>
      <c r="AJ1126" s="5">
        <v>40981</v>
      </c>
      <c r="AK1126" s="5">
        <v>40989</v>
      </c>
      <c r="AL1126" s="5">
        <v>40990</v>
      </c>
      <c r="AM1126" s="5">
        <v>41011</v>
      </c>
      <c r="AN1126" s="5">
        <v>41052</v>
      </c>
      <c r="AO1126" s="4">
        <v>8</v>
      </c>
      <c r="AP1126" s="5">
        <v>41110</v>
      </c>
      <c r="AQ1126" s="5">
        <v>42312</v>
      </c>
      <c r="AR1126" s="5">
        <v>41173</v>
      </c>
      <c r="AS1126" s="5">
        <v>41170</v>
      </c>
      <c r="AT1126" s="5">
        <v>41187</v>
      </c>
      <c r="AU1126" s="5">
        <v>41187</v>
      </c>
      <c r="AV1126" s="4"/>
      <c r="AW1126" s="5">
        <v>42034</v>
      </c>
      <c r="AX1126" s="5">
        <v>41961</v>
      </c>
      <c r="AY1126" s="4" t="s">
        <v>183</v>
      </c>
      <c r="AZ1126" s="5">
        <v>41173</v>
      </c>
      <c r="BA1126" s="5">
        <v>41172</v>
      </c>
      <c r="BB1126" s="5">
        <v>42174</v>
      </c>
      <c r="BC1126" s="5">
        <v>42158</v>
      </c>
      <c r="BD1126" s="4">
        <v>3</v>
      </c>
      <c r="BE1126" s="5">
        <v>42167</v>
      </c>
      <c r="BF1126" s="5">
        <v>42158</v>
      </c>
      <c r="BG1126" s="5">
        <v>42104</v>
      </c>
      <c r="BH1126" s="5">
        <v>42101</v>
      </c>
      <c r="BI1126" s="5">
        <v>42150</v>
      </c>
      <c r="BJ1126" s="5">
        <v>42136</v>
      </c>
      <c r="BK1126" s="4">
        <v>1</v>
      </c>
      <c r="BL1126" s="4"/>
      <c r="BM1126" s="5">
        <v>42185</v>
      </c>
      <c r="BN1126" s="5">
        <v>42136</v>
      </c>
      <c r="BO1126" s="4"/>
      <c r="BP1126" s="4"/>
      <c r="BQ1126" s="4"/>
      <c r="BR1126" s="5">
        <v>42237</v>
      </c>
      <c r="BS1126" s="4"/>
      <c r="BT1126" s="5">
        <v>42289</v>
      </c>
      <c r="BU1126" s="5">
        <v>42289</v>
      </c>
      <c r="BV1126" s="5">
        <v>42321</v>
      </c>
      <c r="BW1126" s="5">
        <v>42328</v>
      </c>
      <c r="BX1126" s="4"/>
      <c r="BY1126" s="4"/>
      <c r="BZ1126" s="4"/>
      <c r="CA1126" s="5">
        <v>42333</v>
      </c>
      <c r="CB1126" s="5">
        <v>42332</v>
      </c>
      <c r="CC1126" s="4"/>
      <c r="CD1126" s="4"/>
      <c r="CE1126" s="4"/>
      <c r="CF1126" s="4"/>
      <c r="CG1126" s="4"/>
      <c r="CH1126" s="4"/>
      <c r="CI1126" s="4"/>
      <c r="CJ1126" s="5">
        <v>42355</v>
      </c>
      <c r="CK1126" s="5">
        <v>42354</v>
      </c>
      <c r="CL1126" s="4"/>
      <c r="CM1126" s="4"/>
      <c r="CN1126" s="4"/>
      <c r="CO1126" s="4"/>
      <c r="CP1126" s="4" t="s">
        <v>3449</v>
      </c>
      <c r="CQ1126" s="4"/>
      <c r="CR1126" s="4"/>
      <c r="CS1126" s="4"/>
      <c r="CT1126" s="4"/>
      <c r="CU1126" s="4"/>
      <c r="CV1126" s="4"/>
      <c r="CW1126" s="4"/>
      <c r="CX1126" s="4"/>
      <c r="CY1126" s="4"/>
      <c r="CZ1126" s="4"/>
      <c r="DA1126" s="5">
        <v>42334</v>
      </c>
      <c r="DB1126" s="5">
        <v>42334</v>
      </c>
      <c r="DC1126" s="4"/>
      <c r="DD1126" s="4"/>
      <c r="DE1126" s="4" t="s">
        <v>3450</v>
      </c>
      <c r="DF1126" s="5">
        <v>42333</v>
      </c>
      <c r="DG1126" s="5">
        <v>42332</v>
      </c>
      <c r="DH1126" s="4" t="s">
        <v>174</v>
      </c>
      <c r="DI1126" s="4"/>
      <c r="DJ1126" s="4" t="b">
        <v>1</v>
      </c>
      <c r="DK1126" s="5">
        <v>42237</v>
      </c>
      <c r="DL1126" s="4">
        <v>2613088</v>
      </c>
      <c r="DM1126" s="4">
        <v>6659900</v>
      </c>
      <c r="DN1126" s="4" t="s">
        <v>3451</v>
      </c>
      <c r="DO1126" s="4"/>
      <c r="DP1126" s="4" t="s">
        <v>3452</v>
      </c>
      <c r="DQ1126" s="4" t="s">
        <v>148</v>
      </c>
      <c r="DR1126" s="4"/>
      <c r="DS1126" s="4"/>
      <c r="DT1126" s="4"/>
      <c r="DU1126" s="4" t="s">
        <v>178</v>
      </c>
      <c r="DV1126" s="4"/>
      <c r="DW1126" s="5">
        <v>42129</v>
      </c>
      <c r="DX1126" s="5">
        <v>42118</v>
      </c>
      <c r="DY1126" s="5">
        <v>42170</v>
      </c>
      <c r="DZ1126" s="5">
        <v>42123</v>
      </c>
      <c r="EA1126" s="5">
        <v>42117</v>
      </c>
      <c r="EB1126" s="5">
        <v>42117</v>
      </c>
      <c r="EC1126" s="5">
        <v>42117</v>
      </c>
      <c r="ED1126" s="4"/>
      <c r="EE1126" s="5">
        <v>42265</v>
      </c>
      <c r="EF1126" s="5">
        <v>42268</v>
      </c>
      <c r="EG1126" s="4"/>
      <c r="EH1126" s="4"/>
      <c r="EI1126" s="5">
        <v>40990</v>
      </c>
    </row>
    <row r="1127" spans="1:139" hidden="1" x14ac:dyDescent="0.2">
      <c r="A1127">
        <f>VLOOKUP(B1127,Sheet1!$A$1:$B$18,2,FALSE)</f>
        <v>0</v>
      </c>
      <c r="B1127" t="str">
        <f>LEFT(D1127,3)</f>
        <v>NTH</v>
      </c>
      <c r="C1127" s="2">
        <v>1126</v>
      </c>
      <c r="D1127" s="3" t="str">
        <f>HYPERLINK("https://sitebase.nzcomms.co.nz/spm/spmnominalview/NTH-001-009/","NTH-001-009")</f>
        <v>NTH-001-009</v>
      </c>
      <c r="E1127" s="4" t="s">
        <v>3453</v>
      </c>
      <c r="F1127" s="4"/>
      <c r="G1127" s="4"/>
      <c r="H1127" s="4" t="s">
        <v>3437</v>
      </c>
      <c r="I1127" s="4"/>
      <c r="J1127" s="4" t="s">
        <v>196</v>
      </c>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t="b">
        <v>0</v>
      </c>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4"/>
      <c r="BS1127" s="4"/>
      <c r="BT1127" s="4"/>
      <c r="BU1127" s="4"/>
      <c r="BV1127" s="4"/>
      <c r="BW1127" s="4"/>
      <c r="BX1127" s="4"/>
      <c r="BY1127" s="4"/>
      <c r="BZ1127" s="4"/>
      <c r="CA1127" s="4"/>
      <c r="CB1127" s="4"/>
      <c r="CC1127" s="4"/>
      <c r="CD1127" s="4"/>
      <c r="CE1127" s="4"/>
      <c r="CF1127" s="4"/>
      <c r="CG1127" s="4"/>
      <c r="CH1127" s="4"/>
      <c r="CI1127" s="4"/>
      <c r="CJ1127" s="4"/>
      <c r="CK1127" s="4"/>
      <c r="CL1127" s="4"/>
      <c r="CM1127" s="4"/>
      <c r="CN1127" s="4"/>
      <c r="CO1127" s="4"/>
      <c r="CP1127" s="4" t="s">
        <v>3454</v>
      </c>
      <c r="CQ1127" s="4"/>
      <c r="CR1127" s="4"/>
      <c r="CS1127" s="4"/>
      <c r="CT1127" s="4"/>
      <c r="CU1127" s="4"/>
      <c r="CV1127" s="4"/>
      <c r="CW1127" s="4"/>
      <c r="CX1127" s="4"/>
      <c r="CY1127" s="4"/>
      <c r="CZ1127" s="4"/>
      <c r="DA1127" s="4"/>
      <c r="DB1127" s="4"/>
      <c r="DC1127" s="4"/>
      <c r="DD1127" s="4"/>
      <c r="DE1127" s="4"/>
      <c r="DF1127" s="4"/>
      <c r="DG1127" s="4"/>
      <c r="DH1127" s="4"/>
      <c r="DI1127" s="4"/>
      <c r="DJ1127" s="4"/>
      <c r="DK1127" s="4"/>
      <c r="DL1127" s="4"/>
      <c r="DM1127" s="4"/>
      <c r="DN1127" s="4"/>
      <c r="DO1127" s="4"/>
      <c r="DP1127" s="4"/>
      <c r="DQ1127" s="4"/>
      <c r="DR1127" s="4"/>
      <c r="DS1127" s="4"/>
      <c r="DT1127" s="4"/>
      <c r="DU1127" s="4"/>
      <c r="DV1127" s="4"/>
      <c r="DW1127" s="4"/>
      <c r="DX1127" s="4"/>
      <c r="DY1127" s="4"/>
      <c r="DZ1127" s="4"/>
      <c r="EA1127" s="4"/>
      <c r="EB1127" s="4"/>
      <c r="EC1127" s="4"/>
      <c r="ED1127" s="4"/>
      <c r="EE1127" s="4"/>
      <c r="EF1127" s="4"/>
      <c r="EG1127" s="4"/>
      <c r="EH1127" s="4"/>
      <c r="EI1127" s="4"/>
    </row>
    <row r="1128" spans="1:139" hidden="1" x14ac:dyDescent="0.2">
      <c r="A1128">
        <f>VLOOKUP(B1128,Sheet1!$A$1:$B$18,2,FALSE)</f>
        <v>0</v>
      </c>
      <c r="B1128" t="str">
        <f>LEFT(D1128,3)</f>
        <v>NTH</v>
      </c>
      <c r="C1128" s="2">
        <v>1127</v>
      </c>
      <c r="D1128" s="3" t="str">
        <f>HYPERLINK("https://sitebase.nzcomms.co.nz/spm/spmnominalview/NTH-001-010/","NTH-001-010")</f>
        <v>NTH-001-010</v>
      </c>
      <c r="E1128" s="4"/>
      <c r="F1128" s="4"/>
      <c r="G1128" s="4"/>
      <c r="H1128" s="4" t="s">
        <v>3437</v>
      </c>
      <c r="I1128" s="4"/>
      <c r="J1128" s="4" t="s">
        <v>196</v>
      </c>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c r="CI1128" s="4"/>
      <c r="CJ1128" s="4"/>
      <c r="CK1128" s="4"/>
      <c r="CL1128" s="4"/>
      <c r="CM1128" s="4"/>
      <c r="CN1128" s="4"/>
      <c r="CO1128" s="4"/>
      <c r="CP1128" s="4" t="s">
        <v>3439</v>
      </c>
      <c r="CQ1128" s="4"/>
      <c r="CR1128" s="4"/>
      <c r="CS1128" s="4"/>
      <c r="CT1128" s="4"/>
      <c r="CU1128" s="4"/>
      <c r="CV1128" s="4"/>
      <c r="CW1128" s="4"/>
      <c r="CX1128" s="4"/>
      <c r="CY1128" s="4"/>
      <c r="CZ1128" s="4"/>
      <c r="DA1128" s="4"/>
      <c r="DB1128" s="4"/>
      <c r="DC1128" s="4"/>
      <c r="DD1128" s="4"/>
      <c r="DE1128" s="4"/>
      <c r="DF1128" s="4"/>
      <c r="DG1128" s="4"/>
      <c r="DH1128" s="4"/>
      <c r="DI1128" s="4"/>
      <c r="DJ1128" s="4"/>
      <c r="DK1128" s="4"/>
      <c r="DL1128" s="4"/>
      <c r="DM1128" s="4"/>
      <c r="DN1128" s="4"/>
      <c r="DO1128" s="4"/>
      <c r="DP1128" s="4"/>
      <c r="DQ1128" s="4"/>
      <c r="DR1128" s="4"/>
      <c r="DS1128" s="4"/>
      <c r="DT1128" s="4"/>
      <c r="DU1128" s="4"/>
      <c r="DV1128" s="4"/>
      <c r="DW1128" s="4"/>
      <c r="DX1128" s="4"/>
      <c r="DY1128" s="4"/>
      <c r="DZ1128" s="4"/>
      <c r="EA1128" s="4"/>
      <c r="EB1128" s="4"/>
      <c r="EC1128" s="4"/>
      <c r="ED1128" s="4"/>
      <c r="EE1128" s="4"/>
      <c r="EF1128" s="4"/>
      <c r="EG1128" s="4"/>
      <c r="EH1128" s="4"/>
      <c r="EI1128" s="4"/>
    </row>
    <row r="1129" spans="1:139" hidden="1" x14ac:dyDescent="0.2">
      <c r="A1129">
        <f>VLOOKUP(B1129,Sheet1!$A$1:$B$18,2,FALSE)</f>
        <v>0</v>
      </c>
      <c r="B1129" t="str">
        <f>LEFT(D1129,3)</f>
        <v>NTH</v>
      </c>
      <c r="C1129" s="2">
        <v>1128</v>
      </c>
      <c r="D1129" s="3" t="str">
        <f>HYPERLINK("https://sitebase.nzcomms.co.nz/spm/spmnominalview/NTH-001-011/","NTH-001-011")</f>
        <v>NTH-001-011</v>
      </c>
      <c r="E1129" s="4"/>
      <c r="F1129" s="4"/>
      <c r="G1129" s="4"/>
      <c r="H1129" s="4" t="s">
        <v>3437</v>
      </c>
      <c r="I1129" s="4"/>
      <c r="J1129" s="4" t="s">
        <v>196</v>
      </c>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c r="BG1129" s="4"/>
      <c r="BH1129" s="4"/>
      <c r="BI1129" s="4"/>
      <c r="BJ1129" s="4"/>
      <c r="BK1129" s="4"/>
      <c r="BL1129" s="4"/>
      <c r="BM1129" s="4"/>
      <c r="BN1129" s="4"/>
      <c r="BO1129" s="4"/>
      <c r="BP1129" s="4"/>
      <c r="BQ1129" s="4"/>
      <c r="BR1129" s="4"/>
      <c r="BS1129" s="4"/>
      <c r="BT1129" s="4"/>
      <c r="BU1129" s="4"/>
      <c r="BV1129" s="4"/>
      <c r="BW1129" s="4"/>
      <c r="BX1129" s="4"/>
      <c r="BY1129" s="4"/>
      <c r="BZ1129" s="4"/>
      <c r="CA1129" s="4"/>
      <c r="CB1129" s="4"/>
      <c r="CC1129" s="4"/>
      <c r="CD1129" s="4"/>
      <c r="CE1129" s="4"/>
      <c r="CF1129" s="4"/>
      <c r="CG1129" s="4"/>
      <c r="CH1129" s="4"/>
      <c r="CI1129" s="4"/>
      <c r="CJ1129" s="4"/>
      <c r="CK1129" s="4"/>
      <c r="CL1129" s="4"/>
      <c r="CM1129" s="4"/>
      <c r="CN1129" s="4"/>
      <c r="CO1129" s="4"/>
      <c r="CP1129" s="4" t="s">
        <v>3439</v>
      </c>
      <c r="CQ1129" s="4"/>
      <c r="CR1129" s="4"/>
      <c r="CS1129" s="4"/>
      <c r="CT1129" s="4"/>
      <c r="CU1129" s="4"/>
      <c r="CV1129" s="4"/>
      <c r="CW1129" s="4"/>
      <c r="CX1129" s="4"/>
      <c r="CY1129" s="4"/>
      <c r="CZ1129" s="4"/>
      <c r="DA1129" s="4"/>
      <c r="DB1129" s="4"/>
      <c r="DC1129" s="4"/>
      <c r="DD1129" s="4"/>
      <c r="DE1129" s="4"/>
      <c r="DF1129" s="4"/>
      <c r="DG1129" s="4"/>
      <c r="DH1129" s="4"/>
      <c r="DI1129" s="4"/>
      <c r="DJ1129" s="4"/>
      <c r="DK1129" s="4"/>
      <c r="DL1129" s="4"/>
      <c r="DM1129" s="4"/>
      <c r="DN1129" s="4"/>
      <c r="DO1129" s="4"/>
      <c r="DP1129" s="4"/>
      <c r="DQ1129" s="4"/>
      <c r="DR1129" s="4"/>
      <c r="DS1129" s="4"/>
      <c r="DT1129" s="4"/>
      <c r="DU1129" s="4"/>
      <c r="DV1129" s="4"/>
      <c r="DW1129" s="4"/>
      <c r="DX1129" s="4"/>
      <c r="DY1129" s="4"/>
      <c r="DZ1129" s="4"/>
      <c r="EA1129" s="4"/>
      <c r="EB1129" s="4"/>
      <c r="EC1129" s="4"/>
      <c r="ED1129" s="4"/>
      <c r="EE1129" s="4"/>
      <c r="EF1129" s="4"/>
      <c r="EG1129" s="4"/>
      <c r="EH1129" s="4"/>
      <c r="EI1129" s="4"/>
    </row>
    <row r="1130" spans="1:139" hidden="1" x14ac:dyDescent="0.2">
      <c r="A1130">
        <f>VLOOKUP(B1130,Sheet1!$A$1:$B$18,2,FALSE)</f>
        <v>0</v>
      </c>
      <c r="B1130" t="str">
        <f>LEFT(D1130,3)</f>
        <v>NTH</v>
      </c>
      <c r="C1130" s="2">
        <v>1129</v>
      </c>
      <c r="D1130" s="3" t="str">
        <f>HYPERLINK("https://sitebase.nzcomms.co.nz/spm/spmnominalview/NTH-001-012/","NTH-001-012")</f>
        <v>NTH-001-012</v>
      </c>
      <c r="E1130" s="4"/>
      <c r="F1130" s="4"/>
      <c r="G1130" s="4"/>
      <c r="H1130" s="4" t="s">
        <v>3437</v>
      </c>
      <c r="I1130" s="4"/>
      <c r="J1130" s="4" t="s">
        <v>196</v>
      </c>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4"/>
      <c r="BS1130" s="4"/>
      <c r="BT1130" s="4"/>
      <c r="BU1130" s="4"/>
      <c r="BV1130" s="4"/>
      <c r="BW1130" s="4"/>
      <c r="BX1130" s="4"/>
      <c r="BY1130" s="4"/>
      <c r="BZ1130" s="4"/>
      <c r="CA1130" s="4"/>
      <c r="CB1130" s="4"/>
      <c r="CC1130" s="4"/>
      <c r="CD1130" s="4"/>
      <c r="CE1130" s="4"/>
      <c r="CF1130" s="4"/>
      <c r="CG1130" s="4"/>
      <c r="CH1130" s="4"/>
      <c r="CI1130" s="4"/>
      <c r="CJ1130" s="4"/>
      <c r="CK1130" s="4"/>
      <c r="CL1130" s="4"/>
      <c r="CM1130" s="4"/>
      <c r="CN1130" s="4"/>
      <c r="CO1130" s="4"/>
      <c r="CP1130" s="4" t="s">
        <v>3439</v>
      </c>
      <c r="CQ1130" s="4"/>
      <c r="CR1130" s="4"/>
      <c r="CS1130" s="4"/>
      <c r="CT1130" s="4"/>
      <c r="CU1130" s="4"/>
      <c r="CV1130" s="4"/>
      <c r="CW1130" s="4"/>
      <c r="CX1130" s="4"/>
      <c r="CY1130" s="4"/>
      <c r="CZ1130" s="4"/>
      <c r="DA1130" s="4"/>
      <c r="DB1130" s="4"/>
      <c r="DC1130" s="4"/>
      <c r="DD1130" s="4"/>
      <c r="DE1130" s="4"/>
      <c r="DF1130" s="4"/>
      <c r="DG1130" s="4"/>
      <c r="DH1130" s="4"/>
      <c r="DI1130" s="4"/>
      <c r="DJ1130" s="4"/>
      <c r="DK1130" s="4"/>
      <c r="DL1130" s="4"/>
      <c r="DM1130" s="4"/>
      <c r="DN1130" s="4"/>
      <c r="DO1130" s="4"/>
      <c r="DP1130" s="4"/>
      <c r="DQ1130" s="4"/>
      <c r="DR1130" s="4"/>
      <c r="DS1130" s="4"/>
      <c r="DT1130" s="4"/>
      <c r="DU1130" s="4"/>
      <c r="DV1130" s="4"/>
      <c r="DW1130" s="4"/>
      <c r="DX1130" s="4"/>
      <c r="DY1130" s="4"/>
      <c r="DZ1130" s="4"/>
      <c r="EA1130" s="4"/>
      <c r="EB1130" s="4"/>
      <c r="EC1130" s="4"/>
      <c r="ED1130" s="4"/>
      <c r="EE1130" s="4"/>
      <c r="EF1130" s="4"/>
      <c r="EG1130" s="4"/>
      <c r="EH1130" s="4"/>
      <c r="EI1130" s="4"/>
    </row>
    <row r="1131" spans="1:139" hidden="1" x14ac:dyDescent="0.2">
      <c r="A1131">
        <f>VLOOKUP(B1131,Sheet1!$A$1:$B$18,2,FALSE)</f>
        <v>0</v>
      </c>
      <c r="B1131" t="str">
        <f>LEFT(D1131,3)</f>
        <v>NTH</v>
      </c>
      <c r="C1131" s="2">
        <v>1130</v>
      </c>
      <c r="D1131" s="3" t="str">
        <f>HYPERLINK("https://sitebase.nzcomms.co.nz/spm/spmnominalview/NTH-001-013/","NTH-001-013")</f>
        <v>NTH-001-013</v>
      </c>
      <c r="E1131" s="4"/>
      <c r="F1131" s="4"/>
      <c r="G1131" s="4"/>
      <c r="H1131" s="4" t="s">
        <v>3437</v>
      </c>
      <c r="I1131" s="4"/>
      <c r="J1131" s="4" t="s">
        <v>196</v>
      </c>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4"/>
      <c r="BS1131" s="4"/>
      <c r="BT1131" s="4"/>
      <c r="BU1131" s="4"/>
      <c r="BV1131" s="4"/>
      <c r="BW1131" s="4"/>
      <c r="BX1131" s="4"/>
      <c r="BY1131" s="4"/>
      <c r="BZ1131" s="4"/>
      <c r="CA1131" s="4"/>
      <c r="CB1131" s="4"/>
      <c r="CC1131" s="4"/>
      <c r="CD1131" s="4"/>
      <c r="CE1131" s="4"/>
      <c r="CF1131" s="4"/>
      <c r="CG1131" s="4"/>
      <c r="CH1131" s="4"/>
      <c r="CI1131" s="4"/>
      <c r="CJ1131" s="4"/>
      <c r="CK1131" s="4"/>
      <c r="CL1131" s="4"/>
      <c r="CM1131" s="4"/>
      <c r="CN1131" s="4"/>
      <c r="CO1131" s="4"/>
      <c r="CP1131" s="4"/>
      <c r="CQ1131" s="4"/>
      <c r="CR1131" s="4"/>
      <c r="CS1131" s="4"/>
      <c r="CT1131" s="4"/>
      <c r="CU1131" s="4"/>
      <c r="CV1131" s="4"/>
      <c r="CW1131" s="4"/>
      <c r="CX1131" s="4"/>
      <c r="CY1131" s="4"/>
      <c r="CZ1131" s="4"/>
      <c r="DA1131" s="4"/>
      <c r="DB1131" s="4"/>
      <c r="DC1131" s="4"/>
      <c r="DD1131" s="4"/>
      <c r="DE1131" s="4"/>
      <c r="DF1131" s="4"/>
      <c r="DG1131" s="4"/>
      <c r="DH1131" s="4"/>
      <c r="DI1131" s="4"/>
      <c r="DJ1131" s="4"/>
      <c r="DK1131" s="4"/>
      <c r="DL1131" s="4"/>
      <c r="DM1131" s="4"/>
      <c r="DN1131" s="4"/>
      <c r="DO1131" s="4"/>
      <c r="DP1131" s="4"/>
      <c r="DQ1131" s="4"/>
      <c r="DR1131" s="4"/>
      <c r="DS1131" s="4"/>
      <c r="DT1131" s="4"/>
      <c r="DU1131" s="4"/>
      <c r="DV1131" s="4"/>
      <c r="DW1131" s="4"/>
      <c r="DX1131" s="4"/>
      <c r="DY1131" s="4"/>
      <c r="DZ1131" s="4"/>
      <c r="EA1131" s="4"/>
      <c r="EB1131" s="4"/>
      <c r="EC1131" s="4"/>
      <c r="ED1131" s="4"/>
      <c r="EE1131" s="4"/>
      <c r="EF1131" s="4"/>
      <c r="EG1131" s="4"/>
      <c r="EH1131" s="4"/>
      <c r="EI1131" s="4"/>
    </row>
    <row r="1132" spans="1:139" hidden="1" x14ac:dyDescent="0.2">
      <c r="A1132">
        <f>VLOOKUP(B1132,Sheet1!$A$1:$B$18,2,FALSE)</f>
        <v>0</v>
      </c>
      <c r="B1132" t="str">
        <f>LEFT(D1132,3)</f>
        <v>NTH</v>
      </c>
      <c r="C1132" s="2">
        <v>1131</v>
      </c>
      <c r="D1132" s="3" t="str">
        <f>HYPERLINK("https://sitebase.nzcomms.co.nz/spm/spmnominalview/NTH-001-014/","NTH-001-014")</f>
        <v>NTH-001-014</v>
      </c>
      <c r="E1132" s="4"/>
      <c r="F1132" s="4"/>
      <c r="G1132" s="4"/>
      <c r="H1132" s="4" t="s">
        <v>3437</v>
      </c>
      <c r="I1132" s="4"/>
      <c r="J1132" s="4" t="s">
        <v>196</v>
      </c>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4"/>
      <c r="BS1132" s="4"/>
      <c r="BT1132" s="4"/>
      <c r="BU1132" s="4"/>
      <c r="BV1132" s="4"/>
      <c r="BW1132" s="4"/>
      <c r="BX1132" s="4"/>
      <c r="BY1132" s="4"/>
      <c r="BZ1132" s="4"/>
      <c r="CA1132" s="4"/>
      <c r="CB1132" s="4"/>
      <c r="CC1132" s="4"/>
      <c r="CD1132" s="4"/>
      <c r="CE1132" s="4"/>
      <c r="CF1132" s="4"/>
      <c r="CG1132" s="4"/>
      <c r="CH1132" s="4"/>
      <c r="CI1132" s="4"/>
      <c r="CJ1132" s="4"/>
      <c r="CK1132" s="4"/>
      <c r="CL1132" s="4"/>
      <c r="CM1132" s="4"/>
      <c r="CN1132" s="4"/>
      <c r="CO1132" s="4"/>
      <c r="CP1132" s="4"/>
      <c r="CQ1132" s="4"/>
      <c r="CR1132" s="4"/>
      <c r="CS1132" s="4"/>
      <c r="CT1132" s="4"/>
      <c r="CU1132" s="4"/>
      <c r="CV1132" s="4"/>
      <c r="CW1132" s="4"/>
      <c r="CX1132" s="4"/>
      <c r="CY1132" s="4"/>
      <c r="CZ1132" s="4"/>
      <c r="DA1132" s="4"/>
      <c r="DB1132" s="4"/>
      <c r="DC1132" s="4"/>
      <c r="DD1132" s="4"/>
      <c r="DE1132" s="4"/>
      <c r="DF1132" s="4"/>
      <c r="DG1132" s="4"/>
      <c r="DH1132" s="4"/>
      <c r="DI1132" s="4"/>
      <c r="DJ1132" s="4"/>
      <c r="DK1132" s="4"/>
      <c r="DL1132" s="4"/>
      <c r="DM1132" s="4"/>
      <c r="DN1132" s="4"/>
      <c r="DO1132" s="4"/>
      <c r="DP1132" s="4"/>
      <c r="DQ1132" s="4"/>
      <c r="DR1132" s="4"/>
      <c r="DS1132" s="4"/>
      <c r="DT1132" s="4"/>
      <c r="DU1132" s="4"/>
      <c r="DV1132" s="4"/>
      <c r="DW1132" s="4"/>
      <c r="DX1132" s="4"/>
      <c r="DY1132" s="4"/>
      <c r="DZ1132" s="4"/>
      <c r="EA1132" s="4"/>
      <c r="EB1132" s="4"/>
      <c r="EC1132" s="4"/>
      <c r="ED1132" s="4"/>
      <c r="EE1132" s="4"/>
      <c r="EF1132" s="4"/>
      <c r="EG1132" s="4"/>
      <c r="EH1132" s="4"/>
      <c r="EI1132" s="4"/>
    </row>
    <row r="1133" spans="1:139" hidden="1" x14ac:dyDescent="0.2">
      <c r="A1133">
        <f>VLOOKUP(B1133,Sheet1!$A$1:$B$18,2,FALSE)</f>
        <v>0</v>
      </c>
      <c r="B1133" t="str">
        <f>LEFT(D1133,3)</f>
        <v>NTH</v>
      </c>
      <c r="C1133" s="2">
        <v>1132</v>
      </c>
      <c r="D1133" s="3" t="str">
        <f>HYPERLINK("https://sitebase.nzcomms.co.nz/spm/spmnominalview/NTH-001-015/","NTH-001-015")</f>
        <v>NTH-001-015</v>
      </c>
      <c r="E1133" s="4"/>
      <c r="F1133" s="4"/>
      <c r="G1133" s="4"/>
      <c r="H1133" s="4" t="s">
        <v>3437</v>
      </c>
      <c r="I1133" s="4"/>
      <c r="J1133" s="4" t="s">
        <v>196</v>
      </c>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4"/>
      <c r="BS1133" s="4"/>
      <c r="BT1133" s="4"/>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t="s">
        <v>3439</v>
      </c>
      <c r="CQ1133" s="4"/>
      <c r="CR1133" s="4"/>
      <c r="CS1133" s="4"/>
      <c r="CT1133" s="4"/>
      <c r="CU1133" s="4"/>
      <c r="CV1133" s="4"/>
      <c r="CW1133" s="4"/>
      <c r="CX1133" s="4"/>
      <c r="CY1133" s="4"/>
      <c r="CZ1133" s="4"/>
      <c r="DA1133" s="4"/>
      <c r="DB1133" s="4"/>
      <c r="DC1133" s="4"/>
      <c r="DD1133" s="4"/>
      <c r="DE1133" s="4"/>
      <c r="DF1133" s="4"/>
      <c r="DG1133" s="4"/>
      <c r="DH1133" s="4"/>
      <c r="DI1133" s="4"/>
      <c r="DJ1133" s="4"/>
      <c r="DK1133" s="4"/>
      <c r="DL1133" s="4"/>
      <c r="DM1133" s="4"/>
      <c r="DN1133" s="4"/>
      <c r="DO1133" s="4"/>
      <c r="DP1133" s="4"/>
      <c r="DQ1133" s="4"/>
      <c r="DR1133" s="4"/>
      <c r="DS1133" s="4"/>
      <c r="DT1133" s="4"/>
      <c r="DU1133" s="4"/>
      <c r="DV1133" s="4"/>
      <c r="DW1133" s="4"/>
      <c r="DX1133" s="4"/>
      <c r="DY1133" s="4"/>
      <c r="DZ1133" s="4"/>
      <c r="EA1133" s="4"/>
      <c r="EB1133" s="4"/>
      <c r="EC1133" s="4"/>
      <c r="ED1133" s="4"/>
      <c r="EE1133" s="4"/>
      <c r="EF1133" s="4"/>
      <c r="EG1133" s="4"/>
      <c r="EH1133" s="4"/>
      <c r="EI1133" s="4"/>
    </row>
    <row r="1134" spans="1:139" hidden="1" x14ac:dyDescent="0.2">
      <c r="A1134">
        <f>VLOOKUP(B1134,Sheet1!$A$1:$B$18,2,FALSE)</f>
        <v>0</v>
      </c>
      <c r="B1134" t="str">
        <f>LEFT(D1134,3)</f>
        <v>NTH</v>
      </c>
      <c r="C1134" s="2">
        <v>1133</v>
      </c>
      <c r="D1134" s="3" t="str">
        <f>HYPERLINK("https://sitebase.nzcomms.co.nz/spm/spmnominalview/NTH-001-016/","NTH-001-016")</f>
        <v>NTH-001-016</v>
      </c>
      <c r="E1134" s="4"/>
      <c r="F1134" s="4"/>
      <c r="G1134" s="4"/>
      <c r="H1134" s="4" t="s">
        <v>3437</v>
      </c>
      <c r="I1134" s="4"/>
      <c r="J1134" s="4" t="s">
        <v>196</v>
      </c>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4"/>
      <c r="BS1134" s="4"/>
      <c r="BT1134" s="4"/>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t="s">
        <v>3439</v>
      </c>
      <c r="CQ1134" s="4"/>
      <c r="CR1134" s="4"/>
      <c r="CS1134" s="4"/>
      <c r="CT1134" s="4"/>
      <c r="CU1134" s="4"/>
      <c r="CV1134" s="4"/>
      <c r="CW1134" s="4"/>
      <c r="CX1134" s="4"/>
      <c r="CY1134" s="4"/>
      <c r="CZ1134" s="4"/>
      <c r="DA1134" s="4"/>
      <c r="DB1134" s="4"/>
      <c r="DC1134" s="4"/>
      <c r="DD1134" s="4"/>
      <c r="DE1134" s="4"/>
      <c r="DF1134" s="4"/>
      <c r="DG1134" s="4"/>
      <c r="DH1134" s="4"/>
      <c r="DI1134" s="4"/>
      <c r="DJ1134" s="4"/>
      <c r="DK1134" s="4"/>
      <c r="DL1134" s="4"/>
      <c r="DM1134" s="4"/>
      <c r="DN1134" s="4"/>
      <c r="DO1134" s="4"/>
      <c r="DP1134" s="4"/>
      <c r="DQ1134" s="4"/>
      <c r="DR1134" s="4"/>
      <c r="DS1134" s="4"/>
      <c r="DT1134" s="4"/>
      <c r="DU1134" s="4"/>
      <c r="DV1134" s="4"/>
      <c r="DW1134" s="4"/>
      <c r="DX1134" s="4"/>
      <c r="DY1134" s="4"/>
      <c r="DZ1134" s="4"/>
      <c r="EA1134" s="4"/>
      <c r="EB1134" s="4"/>
      <c r="EC1134" s="4"/>
      <c r="ED1134" s="4"/>
      <c r="EE1134" s="4"/>
      <c r="EF1134" s="4"/>
      <c r="EG1134" s="4"/>
      <c r="EH1134" s="4"/>
      <c r="EI1134" s="4"/>
    </row>
    <row r="1135" spans="1:139" hidden="1" x14ac:dyDescent="0.2">
      <c r="A1135">
        <f>VLOOKUP(B1135,Sheet1!$A$1:$B$18,2,FALSE)</f>
        <v>0</v>
      </c>
      <c r="B1135" t="str">
        <f>LEFT(D1135,3)</f>
        <v>NTH</v>
      </c>
      <c r="C1135" s="2">
        <v>1134</v>
      </c>
      <c r="D1135" s="3" t="str">
        <f>HYPERLINK("https://sitebase.nzcomms.co.nz/spm/spmnominalview/NTH-001-017/","NTH-001-017")</f>
        <v>NTH-001-017</v>
      </c>
      <c r="E1135" s="4"/>
      <c r="F1135" s="4"/>
      <c r="G1135" s="4"/>
      <c r="H1135" s="4" t="s">
        <v>3437</v>
      </c>
      <c r="I1135" s="4"/>
      <c r="J1135" s="4" t="s">
        <v>196</v>
      </c>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t="s">
        <v>3439</v>
      </c>
      <c r="CQ1135" s="4"/>
      <c r="CR1135" s="4"/>
      <c r="CS1135" s="4"/>
      <c r="CT1135" s="4"/>
      <c r="CU1135" s="4"/>
      <c r="CV1135" s="4"/>
      <c r="CW1135" s="4"/>
      <c r="CX1135" s="4"/>
      <c r="CY1135" s="4"/>
      <c r="CZ1135" s="4"/>
      <c r="DA1135" s="4"/>
      <c r="DB1135" s="4"/>
      <c r="DC1135" s="4"/>
      <c r="DD1135" s="4"/>
      <c r="DE1135" s="4"/>
      <c r="DF1135" s="4"/>
      <c r="DG1135" s="4"/>
      <c r="DH1135" s="4"/>
      <c r="DI1135" s="4"/>
      <c r="DJ1135" s="4"/>
      <c r="DK1135" s="4"/>
      <c r="DL1135" s="4"/>
      <c r="DM1135" s="4"/>
      <c r="DN1135" s="4"/>
      <c r="DO1135" s="4"/>
      <c r="DP1135" s="4"/>
      <c r="DQ1135" s="4"/>
      <c r="DR1135" s="4"/>
      <c r="DS1135" s="4"/>
      <c r="DT1135" s="4"/>
      <c r="DU1135" s="4"/>
      <c r="DV1135" s="4"/>
      <c r="DW1135" s="4"/>
      <c r="DX1135" s="4"/>
      <c r="DY1135" s="4"/>
      <c r="DZ1135" s="4"/>
      <c r="EA1135" s="4"/>
      <c r="EB1135" s="4"/>
      <c r="EC1135" s="4"/>
      <c r="ED1135" s="4"/>
      <c r="EE1135" s="4"/>
      <c r="EF1135" s="4"/>
      <c r="EG1135" s="4"/>
      <c r="EH1135" s="4"/>
      <c r="EI1135" s="4"/>
    </row>
    <row r="1136" spans="1:139" hidden="1" x14ac:dyDescent="0.2">
      <c r="A1136">
        <f>VLOOKUP(B1136,Sheet1!$A$1:$B$18,2,FALSE)</f>
        <v>0</v>
      </c>
      <c r="B1136" t="str">
        <f>LEFT(D1136,3)</f>
        <v>NTH</v>
      </c>
      <c r="C1136" s="2">
        <v>1135</v>
      </c>
      <c r="D1136" s="3" t="str">
        <f>HYPERLINK("https://sitebase.nzcomms.co.nz/spm/spmnominalview/NTH-001-018/","NTH-001-018")</f>
        <v>NTH-001-018</v>
      </c>
      <c r="E1136" s="4"/>
      <c r="F1136" s="4"/>
      <c r="G1136" s="4"/>
      <c r="H1136" s="4" t="s">
        <v>3437</v>
      </c>
      <c r="I1136" s="4"/>
      <c r="J1136" s="4" t="s">
        <v>196</v>
      </c>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t="s">
        <v>3439</v>
      </c>
      <c r="CQ1136" s="4"/>
      <c r="CR1136" s="4"/>
      <c r="CS1136" s="4"/>
      <c r="CT1136" s="4"/>
      <c r="CU1136" s="4"/>
      <c r="CV1136" s="4"/>
      <c r="CW1136" s="4"/>
      <c r="CX1136" s="4"/>
      <c r="CY1136" s="4"/>
      <c r="CZ1136" s="4"/>
      <c r="DA1136" s="4"/>
      <c r="DB1136" s="4"/>
      <c r="DC1136" s="4"/>
      <c r="DD1136" s="4"/>
      <c r="DE1136" s="4"/>
      <c r="DF1136" s="4"/>
      <c r="DG1136" s="4"/>
      <c r="DH1136" s="4"/>
      <c r="DI1136" s="4"/>
      <c r="DJ1136" s="4"/>
      <c r="DK1136" s="4"/>
      <c r="DL1136" s="4"/>
      <c r="DM1136" s="4"/>
      <c r="DN1136" s="4"/>
      <c r="DO1136" s="4"/>
      <c r="DP1136" s="4"/>
      <c r="DQ1136" s="4"/>
      <c r="DR1136" s="4"/>
      <c r="DS1136" s="4"/>
      <c r="DT1136" s="4"/>
      <c r="DU1136" s="4"/>
      <c r="DV1136" s="4"/>
      <c r="DW1136" s="4"/>
      <c r="DX1136" s="4"/>
      <c r="DY1136" s="4"/>
      <c r="DZ1136" s="4"/>
      <c r="EA1136" s="4"/>
      <c r="EB1136" s="4"/>
      <c r="EC1136" s="4"/>
      <c r="ED1136" s="4"/>
      <c r="EE1136" s="4"/>
      <c r="EF1136" s="4"/>
      <c r="EG1136" s="4"/>
      <c r="EH1136" s="4"/>
      <c r="EI1136" s="4"/>
    </row>
    <row r="1137" spans="1:139" hidden="1" x14ac:dyDescent="0.2">
      <c r="A1137">
        <f>VLOOKUP(B1137,Sheet1!$A$1:$B$18,2,FALSE)</f>
        <v>0</v>
      </c>
      <c r="B1137" t="str">
        <f>LEFT(D1137,3)</f>
        <v>NTH</v>
      </c>
      <c r="C1137" s="2">
        <v>1136</v>
      </c>
      <c r="D1137" s="3" t="str">
        <f>HYPERLINK("https://sitebase.nzcomms.co.nz/spm/spmnominalview/NTH-001-019/","NTH-001-019")</f>
        <v>NTH-001-019</v>
      </c>
      <c r="E1137" s="4"/>
      <c r="F1137" s="4"/>
      <c r="G1137" s="4"/>
      <c r="H1137" s="4" t="s">
        <v>3437</v>
      </c>
      <c r="I1137" s="4"/>
      <c r="J1137" s="4" t="s">
        <v>196</v>
      </c>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4"/>
      <c r="CW1137" s="4"/>
      <c r="CX1137" s="4"/>
      <c r="CY1137" s="4"/>
      <c r="CZ1137" s="4"/>
      <c r="DA1137" s="4"/>
      <c r="DB1137" s="4"/>
      <c r="DC1137" s="4"/>
      <c r="DD1137" s="4"/>
      <c r="DE1137" s="4"/>
      <c r="DF1137" s="4"/>
      <c r="DG1137" s="4"/>
      <c r="DH1137" s="4"/>
      <c r="DI1137" s="4"/>
      <c r="DJ1137" s="4"/>
      <c r="DK1137" s="4"/>
      <c r="DL1137" s="4"/>
      <c r="DM1137" s="4"/>
      <c r="DN1137" s="4"/>
      <c r="DO1137" s="4"/>
      <c r="DP1137" s="4"/>
      <c r="DQ1137" s="4"/>
      <c r="DR1137" s="4"/>
      <c r="DS1137" s="4"/>
      <c r="DT1137" s="4"/>
      <c r="DU1137" s="4"/>
      <c r="DV1137" s="4"/>
      <c r="DW1137" s="4"/>
      <c r="DX1137" s="4"/>
      <c r="DY1137" s="4"/>
      <c r="DZ1137" s="4"/>
      <c r="EA1137" s="4"/>
      <c r="EB1137" s="4"/>
      <c r="EC1137" s="4"/>
      <c r="ED1137" s="4"/>
      <c r="EE1137" s="4"/>
      <c r="EF1137" s="4"/>
      <c r="EG1137" s="4"/>
      <c r="EH1137" s="4"/>
      <c r="EI1137" s="4"/>
    </row>
    <row r="1138" spans="1:139" hidden="1" x14ac:dyDescent="0.2">
      <c r="A1138">
        <f>VLOOKUP(B1138,Sheet1!$A$1:$B$18,2,FALSE)</f>
        <v>0</v>
      </c>
      <c r="B1138" t="str">
        <f>LEFT(D1138,3)</f>
        <v>NTH</v>
      </c>
      <c r="C1138" s="2">
        <v>1137</v>
      </c>
      <c r="D1138" s="3" t="str">
        <f>HYPERLINK("https://sitebase.nzcomms.co.nz/spm/spmnominalview/NTH-001-020/","NTH-001-020")</f>
        <v>NTH-001-020</v>
      </c>
      <c r="E1138" s="4" t="s">
        <v>3455</v>
      </c>
      <c r="F1138" s="3" t="str">
        <f>HYPERLINK("https://sitebase.nzcomms.co.nz/spm/spmcandidateview/NTH-001-020-B/","NTH-001-020-B")</f>
        <v>NTH-001-020-B</v>
      </c>
      <c r="G1138" s="4" t="s">
        <v>3456</v>
      </c>
      <c r="H1138" s="4" t="s">
        <v>3437</v>
      </c>
      <c r="I1138" s="4">
        <v>23</v>
      </c>
      <c r="J1138" s="4" t="s">
        <v>165</v>
      </c>
      <c r="K1138" s="4" t="s">
        <v>141</v>
      </c>
      <c r="L1138" s="4" t="s">
        <v>150</v>
      </c>
      <c r="M1138" s="4" t="s">
        <v>190</v>
      </c>
      <c r="N1138" s="4" t="s">
        <v>216</v>
      </c>
      <c r="O1138" s="4"/>
      <c r="P1138" s="4" t="s">
        <v>169</v>
      </c>
      <c r="Q1138" s="4" t="s">
        <v>170</v>
      </c>
      <c r="R1138" s="4">
        <v>20</v>
      </c>
      <c r="S1138" s="4">
        <v>20</v>
      </c>
      <c r="T1138" s="4"/>
      <c r="U1138" s="4">
        <v>-35.219938450000001</v>
      </c>
      <c r="V1138" s="4">
        <v>173.88502407999999</v>
      </c>
      <c r="W1138" s="4"/>
      <c r="X1138" s="5">
        <v>40896</v>
      </c>
      <c r="Y1138" s="4"/>
      <c r="Z1138" s="4"/>
      <c r="AA1138" s="4" t="s">
        <v>171</v>
      </c>
      <c r="AB1138" s="3" t="str">
        <f>HYPERLINK("https://sitebase.nzcomms.co.nz/spm/spmcandidateview/NTH-001-021-H/","NTH-001-021-H")</f>
        <v>NTH-001-021-H</v>
      </c>
      <c r="AC1138" s="4" t="b">
        <v>0</v>
      </c>
      <c r="AD1138" s="4" t="b">
        <v>0</v>
      </c>
      <c r="AE1138" s="4"/>
      <c r="AF1138" s="4"/>
      <c r="AG1138" s="4" t="b">
        <v>0</v>
      </c>
      <c r="AH1138" s="4"/>
      <c r="AI1138" s="5">
        <v>40981</v>
      </c>
      <c r="AJ1138" s="5">
        <v>40981</v>
      </c>
      <c r="AK1138" s="5">
        <v>40991</v>
      </c>
      <c r="AL1138" s="5">
        <v>40990</v>
      </c>
      <c r="AM1138" s="5">
        <v>41054</v>
      </c>
      <c r="AN1138" s="5">
        <v>41060</v>
      </c>
      <c r="AO1138" s="4">
        <v>1</v>
      </c>
      <c r="AP1138" s="5">
        <v>41054</v>
      </c>
      <c r="AQ1138" s="5">
        <v>41060</v>
      </c>
      <c r="AR1138" s="5">
        <v>41089</v>
      </c>
      <c r="AS1138" s="5">
        <v>41116</v>
      </c>
      <c r="AT1138" s="5">
        <v>41215</v>
      </c>
      <c r="AU1138" s="5">
        <v>41215</v>
      </c>
      <c r="AV1138" s="4"/>
      <c r="AW1138" s="5">
        <v>41215</v>
      </c>
      <c r="AX1138" s="5">
        <v>41215</v>
      </c>
      <c r="AY1138" s="4" t="s">
        <v>172</v>
      </c>
      <c r="AZ1138" s="5">
        <v>41099</v>
      </c>
      <c r="BA1138" s="5">
        <v>41094</v>
      </c>
      <c r="BB1138" s="5">
        <v>41199</v>
      </c>
      <c r="BC1138" s="5">
        <v>41123</v>
      </c>
      <c r="BD1138" s="4">
        <v>1</v>
      </c>
      <c r="BE1138" s="5">
        <v>41134</v>
      </c>
      <c r="BF1138" s="5">
        <v>41127</v>
      </c>
      <c r="BG1138" s="5">
        <v>41936</v>
      </c>
      <c r="BH1138" s="5">
        <v>41933</v>
      </c>
      <c r="BI1138" s="5">
        <v>42027</v>
      </c>
      <c r="BJ1138" s="5">
        <v>42024</v>
      </c>
      <c r="BK1138" s="4">
        <v>1</v>
      </c>
      <c r="BL1138" s="4"/>
      <c r="BM1138" s="5">
        <v>42034</v>
      </c>
      <c r="BN1138" s="5">
        <v>42024</v>
      </c>
      <c r="BO1138" s="4"/>
      <c r="BP1138" s="4"/>
      <c r="BQ1138" s="4"/>
      <c r="BR1138" s="4"/>
      <c r="BS1138" s="4"/>
      <c r="BT1138" s="5">
        <v>42142</v>
      </c>
      <c r="BU1138" s="5">
        <v>42142</v>
      </c>
      <c r="BV1138" s="5">
        <v>42207</v>
      </c>
      <c r="BW1138" s="5">
        <v>42207</v>
      </c>
      <c r="BX1138" s="5">
        <v>42165</v>
      </c>
      <c r="BY1138" s="5">
        <v>42185</v>
      </c>
      <c r="BZ1138" s="5">
        <v>42194</v>
      </c>
      <c r="CA1138" s="4"/>
      <c r="CB1138" s="4"/>
      <c r="CC1138" s="4"/>
      <c r="CD1138" s="4"/>
      <c r="CE1138" s="4"/>
      <c r="CF1138" s="4"/>
      <c r="CG1138" s="4"/>
      <c r="CH1138" s="4"/>
      <c r="CI1138" s="5">
        <v>42205</v>
      </c>
      <c r="CJ1138" s="5">
        <v>42216</v>
      </c>
      <c r="CK1138" s="5">
        <v>42213</v>
      </c>
      <c r="CL1138" s="4"/>
      <c r="CM1138" s="5">
        <v>42244</v>
      </c>
      <c r="CN1138" s="4"/>
      <c r="CO1138" s="5">
        <v>42244</v>
      </c>
      <c r="CP1138" s="4" t="s">
        <v>3457</v>
      </c>
      <c r="CQ1138" s="4"/>
      <c r="CR1138" s="5">
        <v>42185</v>
      </c>
      <c r="CS1138" s="5">
        <v>42081</v>
      </c>
      <c r="CT1138" s="5">
        <v>42081</v>
      </c>
      <c r="CU1138" s="4"/>
      <c r="CV1138" s="4"/>
      <c r="CW1138" s="4"/>
      <c r="CX1138" s="4"/>
      <c r="CY1138" s="5">
        <v>42193</v>
      </c>
      <c r="CZ1138" s="5">
        <v>42193</v>
      </c>
      <c r="DA1138" s="5">
        <v>42209</v>
      </c>
      <c r="DB1138" s="5">
        <v>42207</v>
      </c>
      <c r="DC1138" s="4"/>
      <c r="DD1138" s="4"/>
      <c r="DE1138" s="4" t="s">
        <v>3443</v>
      </c>
      <c r="DF1138" s="4"/>
      <c r="DG1138" s="4"/>
      <c r="DH1138" s="4" t="s">
        <v>174</v>
      </c>
      <c r="DI1138" s="5">
        <v>42163</v>
      </c>
      <c r="DJ1138" s="4" t="b">
        <v>0</v>
      </c>
      <c r="DK1138" s="4"/>
      <c r="DL1138" s="4">
        <v>2591413</v>
      </c>
      <c r="DM1138" s="4">
        <v>6664141</v>
      </c>
      <c r="DN1138" s="4" t="s">
        <v>3458</v>
      </c>
      <c r="DO1138" s="4"/>
      <c r="DP1138" s="4" t="s">
        <v>3459</v>
      </c>
      <c r="DQ1138" s="4" t="s">
        <v>148</v>
      </c>
      <c r="DR1138" s="4"/>
      <c r="DS1138" s="4"/>
      <c r="DT1138" s="4"/>
      <c r="DU1138" s="4" t="s">
        <v>178</v>
      </c>
      <c r="DV1138" s="4"/>
      <c r="DW1138" s="5">
        <v>42076</v>
      </c>
      <c r="DX1138" s="5">
        <v>42038</v>
      </c>
      <c r="DY1138" s="5">
        <v>42101</v>
      </c>
      <c r="DZ1138" s="5">
        <v>42101</v>
      </c>
      <c r="EA1138" s="4"/>
      <c r="EB1138" s="4"/>
      <c r="EC1138" s="4"/>
      <c r="ED1138" s="4"/>
      <c r="EE1138" s="5">
        <v>42129</v>
      </c>
      <c r="EF1138" s="5">
        <v>42129</v>
      </c>
      <c r="EG1138" s="5">
        <v>42227</v>
      </c>
      <c r="EH1138" s="4"/>
      <c r="EI1138" s="5">
        <v>40991</v>
      </c>
    </row>
    <row r="1139" spans="1:139" hidden="1" x14ac:dyDescent="0.2">
      <c r="A1139">
        <f>VLOOKUP(B1139,Sheet1!$A$1:$B$18,2,FALSE)</f>
        <v>0</v>
      </c>
      <c r="B1139" t="str">
        <f>LEFT(D1139,3)</f>
        <v>NTH</v>
      </c>
      <c r="C1139" s="2">
        <v>1138</v>
      </c>
      <c r="D1139" s="3" t="str">
        <f>HYPERLINK("https://sitebase.nzcomms.co.nz/spm/spmnominalview/NTH-001-021/","NTH-001-021")</f>
        <v>NTH-001-021</v>
      </c>
      <c r="E1139" s="4" t="s">
        <v>3460</v>
      </c>
      <c r="F1139" s="3" t="str">
        <f>HYPERLINK("https://sitebase.nzcomms.co.nz/spm/spmcandidateview/NTH-001-021-H/","NTH-001-021-H")</f>
        <v>NTH-001-021-H</v>
      </c>
      <c r="G1139" s="4" t="s">
        <v>3461</v>
      </c>
      <c r="H1139" s="4" t="s">
        <v>3437</v>
      </c>
      <c r="I1139" s="4">
        <v>23</v>
      </c>
      <c r="J1139" s="4" t="s">
        <v>165</v>
      </c>
      <c r="K1139" s="4" t="s">
        <v>141</v>
      </c>
      <c r="L1139" s="4" t="s">
        <v>181</v>
      </c>
      <c r="M1139" s="4" t="s">
        <v>190</v>
      </c>
      <c r="N1139" s="4" t="s">
        <v>181</v>
      </c>
      <c r="O1139" s="4"/>
      <c r="P1139" s="4" t="s">
        <v>182</v>
      </c>
      <c r="Q1139" s="4" t="s">
        <v>192</v>
      </c>
      <c r="R1139" s="4">
        <v>12</v>
      </c>
      <c r="S1139" s="4">
        <v>4.8</v>
      </c>
      <c r="T1139" s="4"/>
      <c r="U1139" s="4">
        <v>-35.228874879999999</v>
      </c>
      <c r="V1139" s="4">
        <v>173.94835524000001</v>
      </c>
      <c r="W1139" s="5">
        <v>40235</v>
      </c>
      <c r="X1139" s="5">
        <v>40896</v>
      </c>
      <c r="Y1139" s="5">
        <v>40235</v>
      </c>
      <c r="Z1139" s="5">
        <v>40234</v>
      </c>
      <c r="AA1139" s="4" t="s">
        <v>145</v>
      </c>
      <c r="AB1139" s="3" t="str">
        <f>HYPERLINK("https://sitebase.nzcomms.co.nz/spm/spmcandidateview/NTH-001-040-A/","NTH-001-040-A")</f>
        <v>NTH-001-040-A</v>
      </c>
      <c r="AC1139" s="4" t="b">
        <v>1</v>
      </c>
      <c r="AD1139" s="4" t="b">
        <v>0</v>
      </c>
      <c r="AE1139" s="5">
        <v>40220</v>
      </c>
      <c r="AF1139" s="4"/>
      <c r="AG1139" s="4" t="b">
        <v>0</v>
      </c>
      <c r="AH1139" s="4"/>
      <c r="AI1139" s="5">
        <v>40961</v>
      </c>
      <c r="AJ1139" s="5">
        <v>40961</v>
      </c>
      <c r="AK1139" s="5">
        <v>40987</v>
      </c>
      <c r="AL1139" s="5">
        <v>40976</v>
      </c>
      <c r="AM1139" s="5">
        <v>41065</v>
      </c>
      <c r="AN1139" s="5">
        <v>41073</v>
      </c>
      <c r="AO1139" s="4">
        <v>1</v>
      </c>
      <c r="AP1139" s="5">
        <v>41068</v>
      </c>
      <c r="AQ1139" s="5">
        <v>41073</v>
      </c>
      <c r="AR1139" s="5">
        <v>41093</v>
      </c>
      <c r="AS1139" s="5">
        <v>41093</v>
      </c>
      <c r="AT1139" s="5">
        <v>41173</v>
      </c>
      <c r="AU1139" s="5">
        <v>41171</v>
      </c>
      <c r="AV1139" s="4">
        <v>1</v>
      </c>
      <c r="AW1139" s="5">
        <v>41180</v>
      </c>
      <c r="AX1139" s="5">
        <v>41177</v>
      </c>
      <c r="AY1139" s="4" t="s">
        <v>172</v>
      </c>
      <c r="AZ1139" s="5">
        <v>41129</v>
      </c>
      <c r="BA1139" s="5">
        <v>41129</v>
      </c>
      <c r="BB1139" s="5">
        <v>41157</v>
      </c>
      <c r="BC1139" s="5">
        <v>41141</v>
      </c>
      <c r="BD1139" s="4">
        <v>1</v>
      </c>
      <c r="BE1139" s="5">
        <v>41164</v>
      </c>
      <c r="BF1139" s="5">
        <v>41141</v>
      </c>
      <c r="BG1139" s="5">
        <v>41936</v>
      </c>
      <c r="BH1139" s="5">
        <v>41933</v>
      </c>
      <c r="BI1139" s="5">
        <v>42027</v>
      </c>
      <c r="BJ1139" s="5">
        <v>42044</v>
      </c>
      <c r="BK1139" s="4">
        <v>1</v>
      </c>
      <c r="BL1139" s="4"/>
      <c r="BM1139" s="5">
        <v>42034</v>
      </c>
      <c r="BN1139" s="5">
        <v>42044</v>
      </c>
      <c r="BO1139" s="4"/>
      <c r="BP1139" s="4"/>
      <c r="BQ1139" s="4"/>
      <c r="BR1139" s="4"/>
      <c r="BS1139" s="4"/>
      <c r="BT1139" s="5">
        <v>42149</v>
      </c>
      <c r="BU1139" s="5">
        <v>42138</v>
      </c>
      <c r="BV1139" s="5">
        <v>42205</v>
      </c>
      <c r="BW1139" s="5">
        <v>42209</v>
      </c>
      <c r="BX1139" s="5">
        <v>42174</v>
      </c>
      <c r="BY1139" s="5">
        <v>42179</v>
      </c>
      <c r="BZ1139" s="5">
        <v>42194</v>
      </c>
      <c r="CA1139" s="5">
        <v>42185</v>
      </c>
      <c r="CB1139" s="5">
        <v>42188</v>
      </c>
      <c r="CC1139" s="4"/>
      <c r="CD1139" s="4"/>
      <c r="CE1139" s="4"/>
      <c r="CF1139" s="4"/>
      <c r="CG1139" s="4"/>
      <c r="CH1139" s="4"/>
      <c r="CI1139" s="5">
        <v>42200</v>
      </c>
      <c r="CJ1139" s="5">
        <v>42214</v>
      </c>
      <c r="CK1139" s="5">
        <v>42213</v>
      </c>
      <c r="CL1139" s="4"/>
      <c r="CM1139" s="5">
        <v>42244</v>
      </c>
      <c r="CN1139" s="4"/>
      <c r="CO1139" s="5">
        <v>42244</v>
      </c>
      <c r="CP1139" s="4" t="s">
        <v>3462</v>
      </c>
      <c r="CQ1139" s="4"/>
      <c r="CR1139" s="5">
        <v>42184</v>
      </c>
      <c r="CS1139" s="4"/>
      <c r="CT1139" s="4"/>
      <c r="CU1139" s="4"/>
      <c r="CV1139" s="4"/>
      <c r="CW1139" s="4"/>
      <c r="CX1139" s="4"/>
      <c r="CY1139" s="5">
        <v>42181</v>
      </c>
      <c r="CZ1139" s="5">
        <v>42211</v>
      </c>
      <c r="DA1139" s="5">
        <v>42205</v>
      </c>
      <c r="DB1139" s="5">
        <v>42205</v>
      </c>
      <c r="DC1139" s="4"/>
      <c r="DD1139" s="4"/>
      <c r="DE1139" s="4" t="s">
        <v>3443</v>
      </c>
      <c r="DF1139" s="5">
        <v>42185</v>
      </c>
      <c r="DG1139" s="5">
        <v>42188</v>
      </c>
      <c r="DH1139" s="4" t="s">
        <v>174</v>
      </c>
      <c r="DI1139" s="5">
        <v>42177</v>
      </c>
      <c r="DJ1139" s="4" t="b">
        <v>1</v>
      </c>
      <c r="DK1139" s="4"/>
      <c r="DL1139" s="4">
        <v>2597146</v>
      </c>
      <c r="DM1139" s="4">
        <v>6663081</v>
      </c>
      <c r="DN1139" s="4" t="s">
        <v>3463</v>
      </c>
      <c r="DO1139" s="4"/>
      <c r="DP1139" s="4"/>
      <c r="DQ1139" s="4" t="s">
        <v>148</v>
      </c>
      <c r="DR1139" s="4"/>
      <c r="DS1139" s="4"/>
      <c r="DT1139" s="4"/>
      <c r="DU1139" s="4" t="s">
        <v>178</v>
      </c>
      <c r="DV1139" s="4"/>
      <c r="DW1139" s="4"/>
      <c r="DX1139" s="5">
        <v>42038</v>
      </c>
      <c r="DY1139" s="5">
        <v>42101</v>
      </c>
      <c r="DZ1139" s="5">
        <v>42101</v>
      </c>
      <c r="EA1139" s="5">
        <v>42117</v>
      </c>
      <c r="EB1139" s="5">
        <v>42117</v>
      </c>
      <c r="EC1139" s="5">
        <v>42117</v>
      </c>
      <c r="ED1139" s="5">
        <v>42117</v>
      </c>
      <c r="EE1139" s="5">
        <v>42137</v>
      </c>
      <c r="EF1139" s="5">
        <v>42137</v>
      </c>
      <c r="EG1139" s="5">
        <v>42209</v>
      </c>
      <c r="EH1139" s="4"/>
      <c r="EI1139" s="5">
        <v>40987</v>
      </c>
    </row>
    <row r="1140" spans="1:139" hidden="1" x14ac:dyDescent="0.2">
      <c r="A1140">
        <f>VLOOKUP(B1140,Sheet1!$A$1:$B$18,2,FALSE)</f>
        <v>0</v>
      </c>
      <c r="B1140" t="str">
        <f>LEFT(D1140,3)</f>
        <v>NTH</v>
      </c>
      <c r="C1140" s="2">
        <v>1139</v>
      </c>
      <c r="D1140" s="3" t="str">
        <f>HYPERLINK("https://sitebase.nzcomms.co.nz/spm/spmnominalview/NTH-001-022/","NTH-001-022")</f>
        <v>NTH-001-022</v>
      </c>
      <c r="E1140" s="4" t="s">
        <v>3464</v>
      </c>
      <c r="F1140" s="3" t="str">
        <f>HYPERLINK("https://sitebase.nzcomms.co.nz/spm/spmcandidateview/NTH-001-022-E/","NTH-001-022-E")</f>
        <v>NTH-001-022-E</v>
      </c>
      <c r="G1140" s="4" t="s">
        <v>3465</v>
      </c>
      <c r="H1140" s="4" t="s">
        <v>3437</v>
      </c>
      <c r="I1140" s="4">
        <v>23</v>
      </c>
      <c r="J1140" s="4" t="s">
        <v>165</v>
      </c>
      <c r="K1140" s="4" t="s">
        <v>141</v>
      </c>
      <c r="L1140" s="4" t="s">
        <v>150</v>
      </c>
      <c r="M1140" s="4" t="s">
        <v>166</v>
      </c>
      <c r="N1140" s="4" t="s">
        <v>224</v>
      </c>
      <c r="O1140" s="4"/>
      <c r="P1140" s="4" t="s">
        <v>182</v>
      </c>
      <c r="Q1140" s="4" t="s">
        <v>192</v>
      </c>
      <c r="R1140" s="4">
        <v>15</v>
      </c>
      <c r="S1140" s="4">
        <v>15</v>
      </c>
      <c r="T1140" s="4"/>
      <c r="U1140" s="4">
        <v>-35.192106520000003</v>
      </c>
      <c r="V1140" s="4">
        <v>173.98505186</v>
      </c>
      <c r="W1140" s="5">
        <v>40235</v>
      </c>
      <c r="X1140" s="5">
        <v>40896</v>
      </c>
      <c r="Y1140" s="5">
        <v>40235</v>
      </c>
      <c r="Z1140" s="5">
        <v>40234</v>
      </c>
      <c r="AA1140" s="4" t="s">
        <v>171</v>
      </c>
      <c r="AB1140" s="3" t="str">
        <f>HYPERLINK("https://sitebase.nzcomms.co.nz/spm/spmcandidateview/NTH-001-020-B/","NTH-001-020-B")</f>
        <v>NTH-001-020-B</v>
      </c>
      <c r="AC1140" s="4" t="b">
        <v>1</v>
      </c>
      <c r="AD1140" s="4" t="b">
        <v>0</v>
      </c>
      <c r="AE1140" s="5">
        <v>40220</v>
      </c>
      <c r="AF1140" s="4"/>
      <c r="AG1140" s="4" t="b">
        <v>0</v>
      </c>
      <c r="AH1140" s="4"/>
      <c r="AI1140" s="5">
        <v>41988</v>
      </c>
      <c r="AJ1140" s="5">
        <v>41988</v>
      </c>
      <c r="AK1140" s="5">
        <v>41989</v>
      </c>
      <c r="AL1140" s="5">
        <v>41990</v>
      </c>
      <c r="AM1140" s="5">
        <v>42051</v>
      </c>
      <c r="AN1140" s="5">
        <v>42031</v>
      </c>
      <c r="AO1140" s="4">
        <v>1</v>
      </c>
      <c r="AP1140" s="5">
        <v>42058</v>
      </c>
      <c r="AQ1140" s="5">
        <v>42031</v>
      </c>
      <c r="AR1140" s="5">
        <v>41989</v>
      </c>
      <c r="AS1140" s="5">
        <v>41989</v>
      </c>
      <c r="AT1140" s="5">
        <v>42093</v>
      </c>
      <c r="AU1140" s="5">
        <v>42076</v>
      </c>
      <c r="AV1140" s="4"/>
      <c r="AW1140" s="5">
        <v>42104</v>
      </c>
      <c r="AX1140" s="5">
        <v>42109</v>
      </c>
      <c r="AY1140" s="4" t="s">
        <v>172</v>
      </c>
      <c r="AZ1140" s="5">
        <v>42093</v>
      </c>
      <c r="BA1140" s="5">
        <v>42090</v>
      </c>
      <c r="BB1140" s="5">
        <v>42125</v>
      </c>
      <c r="BC1140" s="5">
        <v>42102</v>
      </c>
      <c r="BD1140" s="4">
        <v>1</v>
      </c>
      <c r="BE1140" s="5">
        <v>42132</v>
      </c>
      <c r="BF1140" s="5">
        <v>42102</v>
      </c>
      <c r="BG1140" s="4"/>
      <c r="BH1140" s="4"/>
      <c r="BI1140" s="4"/>
      <c r="BJ1140" s="4"/>
      <c r="BK1140" s="4">
        <v>1</v>
      </c>
      <c r="BL1140" s="4"/>
      <c r="BM1140" s="4"/>
      <c r="BN1140" s="4"/>
      <c r="BO1140" s="4"/>
      <c r="BP1140" s="4"/>
      <c r="BQ1140" s="4"/>
      <c r="BR1140" s="4"/>
      <c r="BS1140" s="4"/>
      <c r="BT1140" s="4"/>
      <c r="BU1140" s="4"/>
      <c r="BV1140" s="4"/>
      <c r="BW1140" s="4"/>
      <c r="BX1140" s="4"/>
      <c r="BY1140" s="4"/>
      <c r="BZ1140" s="4"/>
      <c r="CA1140" s="4"/>
      <c r="CB1140" s="4"/>
      <c r="CC1140" s="4"/>
      <c r="CD1140" s="4"/>
      <c r="CE1140" s="4"/>
      <c r="CF1140" s="4"/>
      <c r="CG1140" s="4"/>
      <c r="CH1140" s="4"/>
      <c r="CI1140" s="4"/>
      <c r="CJ1140" s="4"/>
      <c r="CK1140" s="4"/>
      <c r="CL1140" s="4"/>
      <c r="CM1140" s="4"/>
      <c r="CN1140" s="4"/>
      <c r="CO1140" s="4"/>
      <c r="CP1140" s="4" t="s">
        <v>3466</v>
      </c>
      <c r="CQ1140" s="4"/>
      <c r="CR1140" s="4"/>
      <c r="CS1140" s="4"/>
      <c r="CT1140" s="4"/>
      <c r="CU1140" s="4"/>
      <c r="CV1140" s="4"/>
      <c r="CW1140" s="4"/>
      <c r="CX1140" s="4"/>
      <c r="CY1140" s="4"/>
      <c r="CZ1140" s="4"/>
      <c r="DA1140" s="4"/>
      <c r="DB1140" s="4"/>
      <c r="DC1140" s="4"/>
      <c r="DD1140" s="4"/>
      <c r="DE1140" s="4" t="s">
        <v>3450</v>
      </c>
      <c r="DF1140" s="4"/>
      <c r="DG1140" s="4"/>
      <c r="DH1140" s="4" t="s">
        <v>1521</v>
      </c>
      <c r="DI1140" s="4"/>
      <c r="DJ1140" s="4" t="b">
        <v>1</v>
      </c>
      <c r="DK1140" s="4"/>
      <c r="DL1140" s="4">
        <v>2600532</v>
      </c>
      <c r="DM1140" s="4">
        <v>6667119</v>
      </c>
      <c r="DN1140" s="4" t="s">
        <v>3467</v>
      </c>
      <c r="DO1140" s="4"/>
      <c r="DP1140" s="4"/>
      <c r="DQ1140" s="4" t="s">
        <v>148</v>
      </c>
      <c r="DR1140" s="4" t="s">
        <v>255</v>
      </c>
      <c r="DS1140" s="4"/>
      <c r="DT1140" s="4"/>
      <c r="DU1140" s="4" t="s">
        <v>178</v>
      </c>
      <c r="DV1140" s="4"/>
      <c r="DW1140" s="5">
        <v>42129</v>
      </c>
      <c r="DX1140" s="4"/>
      <c r="DY1140" s="4"/>
      <c r="DZ1140" s="4"/>
      <c r="EA1140" s="4"/>
      <c r="EB1140" s="4"/>
      <c r="EC1140" s="4"/>
      <c r="ED1140" s="4"/>
      <c r="EE1140" s="4"/>
      <c r="EF1140" s="4"/>
      <c r="EG1140" s="4"/>
      <c r="EH1140" s="4"/>
      <c r="EI1140" s="5">
        <v>41990</v>
      </c>
    </row>
    <row r="1141" spans="1:139" hidden="1" x14ac:dyDescent="0.2">
      <c r="A1141">
        <f>VLOOKUP(B1141,Sheet1!$A$1:$B$18,2,FALSE)</f>
        <v>0</v>
      </c>
      <c r="B1141" t="str">
        <f>LEFT(D1141,3)</f>
        <v>NTH</v>
      </c>
      <c r="C1141" s="2">
        <v>1140</v>
      </c>
      <c r="D1141" s="3" t="str">
        <f>HYPERLINK("https://sitebase.nzcomms.co.nz/spm/spmnominalview/NTH-001-023/","NTH-001-023")</f>
        <v>NTH-001-023</v>
      </c>
      <c r="E1141" s="4" t="s">
        <v>3468</v>
      </c>
      <c r="F1141" s="3" t="str">
        <f>HYPERLINK("https://sitebase.nzcomms.co.nz/spm/spmcandidateview/NTH-001-023-C/","NTH-001-023-C")</f>
        <v>NTH-001-023-C</v>
      </c>
      <c r="G1141" s="4" t="s">
        <v>3469</v>
      </c>
      <c r="H1141" s="4" t="s">
        <v>3437</v>
      </c>
      <c r="I1141" s="4">
        <v>23</v>
      </c>
      <c r="J1141" s="4" t="s">
        <v>165</v>
      </c>
      <c r="K1141" s="4" t="s">
        <v>141</v>
      </c>
      <c r="L1141" s="4" t="s">
        <v>150</v>
      </c>
      <c r="M1141" s="4" t="s">
        <v>166</v>
      </c>
      <c r="N1141" s="4" t="s">
        <v>167</v>
      </c>
      <c r="O1141" s="4"/>
      <c r="P1141" s="4" t="s">
        <v>169</v>
      </c>
      <c r="Q1141" s="4" t="s">
        <v>170</v>
      </c>
      <c r="R1141" s="4"/>
      <c r="S1141" s="4"/>
      <c r="T1141" s="4"/>
      <c r="U1141" s="4">
        <v>-35.288605429999997</v>
      </c>
      <c r="V1141" s="4">
        <v>174.05202596000001</v>
      </c>
      <c r="W1141" s="5">
        <v>40235</v>
      </c>
      <c r="X1141" s="4"/>
      <c r="Y1141" s="5">
        <v>40235</v>
      </c>
      <c r="Z1141" s="5">
        <v>40234</v>
      </c>
      <c r="AA1141" s="4" t="s">
        <v>145</v>
      </c>
      <c r="AB1141" s="3" t="str">
        <f>HYPERLINK("https://sitebase.nzcomms.co.nz/spm/spmcandidateview/NTH-001-040-A/","NTH-001-040-A")</f>
        <v>NTH-001-040-A</v>
      </c>
      <c r="AC1141" s="4" t="b">
        <v>1</v>
      </c>
      <c r="AD1141" s="4" t="b">
        <v>0</v>
      </c>
      <c r="AE1141" s="5">
        <v>40220</v>
      </c>
      <c r="AF1141" s="4"/>
      <c r="AG1141" s="4" t="b">
        <v>0</v>
      </c>
      <c r="AH1141" s="4"/>
      <c r="AI1141" s="5">
        <v>42124</v>
      </c>
      <c r="AJ1141" s="5">
        <v>42081</v>
      </c>
      <c r="AK1141" s="5">
        <v>42090</v>
      </c>
      <c r="AL1141" s="5">
        <v>42101</v>
      </c>
      <c r="AM1141" s="5">
        <v>42137</v>
      </c>
      <c r="AN1141" s="5">
        <v>42131</v>
      </c>
      <c r="AO1141" s="4">
        <v>1</v>
      </c>
      <c r="AP1141" s="5">
        <v>42139</v>
      </c>
      <c r="AQ1141" s="5">
        <v>42131</v>
      </c>
      <c r="AR1141" s="5">
        <v>42174</v>
      </c>
      <c r="AS1141" s="5">
        <v>42159</v>
      </c>
      <c r="AT1141" s="5">
        <v>42186</v>
      </c>
      <c r="AU1141" s="5">
        <v>42180</v>
      </c>
      <c r="AV1141" s="4"/>
      <c r="AW1141" s="5">
        <v>42314</v>
      </c>
      <c r="AX1141" s="5">
        <v>42312</v>
      </c>
      <c r="AY1141" s="4" t="s">
        <v>183</v>
      </c>
      <c r="AZ1141" s="5">
        <v>42191</v>
      </c>
      <c r="BA1141" s="5">
        <v>42191</v>
      </c>
      <c r="BB1141" s="5">
        <v>42468</v>
      </c>
      <c r="BC1141" s="4"/>
      <c r="BD1141" s="4">
        <v>1</v>
      </c>
      <c r="BE1141" s="5">
        <v>42468</v>
      </c>
      <c r="BF1141" s="4"/>
      <c r="BG1141" s="5">
        <v>42185</v>
      </c>
      <c r="BH1141" s="5">
        <v>42171</v>
      </c>
      <c r="BI1141" s="5">
        <v>42216</v>
      </c>
      <c r="BJ1141" s="5">
        <v>42207</v>
      </c>
      <c r="BK1141" s="4">
        <v>1</v>
      </c>
      <c r="BL1141" s="4"/>
      <c r="BM1141" s="5">
        <v>42223</v>
      </c>
      <c r="BN1141" s="5">
        <v>42207</v>
      </c>
      <c r="BO1141" s="4"/>
      <c r="BP1141" s="4"/>
      <c r="BQ1141" s="4"/>
      <c r="BR1141" s="4"/>
      <c r="BS1141" s="4"/>
      <c r="BT1141" s="5">
        <v>42558</v>
      </c>
      <c r="BU1141" s="4"/>
      <c r="BV1141" s="4"/>
      <c r="BW1141" s="4"/>
      <c r="BX1141" s="4"/>
      <c r="BY1141" s="4"/>
      <c r="BZ1141" s="4"/>
      <c r="CA1141" s="4"/>
      <c r="CB1141" s="4"/>
      <c r="CC1141" s="4"/>
      <c r="CD1141" s="4"/>
      <c r="CE1141" s="4"/>
      <c r="CF1141" s="4"/>
      <c r="CG1141" s="4"/>
      <c r="CH1141" s="4"/>
      <c r="CI1141" s="4"/>
      <c r="CJ1141" s="5">
        <v>42611</v>
      </c>
      <c r="CK1141" s="4"/>
      <c r="CL1141" s="4"/>
      <c r="CM1141" s="4"/>
      <c r="CN1141" s="4"/>
      <c r="CO1141" s="4"/>
      <c r="CP1141" s="4" t="s">
        <v>3470</v>
      </c>
      <c r="CQ1141" s="4"/>
      <c r="CR1141" s="4"/>
      <c r="CS1141" s="4"/>
      <c r="CT1141" s="4"/>
      <c r="CU1141" s="4"/>
      <c r="CV1141" s="4"/>
      <c r="CW1141" s="4"/>
      <c r="CX1141" s="4"/>
      <c r="CY1141" s="4"/>
      <c r="CZ1141" s="4"/>
      <c r="DA1141" s="5">
        <v>42604</v>
      </c>
      <c r="DB1141" s="4"/>
      <c r="DC1141" s="5">
        <v>42088</v>
      </c>
      <c r="DD1141" s="4" t="s">
        <v>206</v>
      </c>
      <c r="DE1141" s="4"/>
      <c r="DF1141" s="4"/>
      <c r="DG1141" s="4"/>
      <c r="DH1141" s="4" t="s">
        <v>1521</v>
      </c>
      <c r="DI1141" s="4"/>
      <c r="DJ1141" s="4" t="b">
        <v>0</v>
      </c>
      <c r="DK1141" s="4"/>
      <c r="DL1141" s="4">
        <v>2606490</v>
      </c>
      <c r="DM1141" s="4">
        <v>6656334</v>
      </c>
      <c r="DN1141" s="4" t="s">
        <v>3471</v>
      </c>
      <c r="DO1141" s="4"/>
      <c r="DP1141" s="4"/>
      <c r="DQ1141" s="4" t="s">
        <v>148</v>
      </c>
      <c r="DR1141" s="4" t="s">
        <v>255</v>
      </c>
      <c r="DS1141" s="4"/>
      <c r="DT1141" s="4"/>
      <c r="DU1141" s="4" t="s">
        <v>178</v>
      </c>
      <c r="DV1141" s="4"/>
      <c r="DW1141" s="4"/>
      <c r="DX1141" s="4"/>
      <c r="DY1141" s="5">
        <v>42508</v>
      </c>
      <c r="DZ1141" s="4"/>
      <c r="EA1141" s="5">
        <v>42117</v>
      </c>
      <c r="EB1141" s="5">
        <v>42117</v>
      </c>
      <c r="EC1141" s="4"/>
      <c r="ED1141" s="4"/>
      <c r="EE1141" s="5">
        <v>42533</v>
      </c>
      <c r="EF1141" s="4"/>
      <c r="EG1141" s="4"/>
      <c r="EH1141" s="4"/>
      <c r="EI1141" s="5">
        <v>42101</v>
      </c>
    </row>
    <row r="1142" spans="1:139" hidden="1" x14ac:dyDescent="0.2">
      <c r="A1142">
        <f>VLOOKUP(B1142,Sheet1!$A$1:$B$18,2,FALSE)</f>
        <v>0</v>
      </c>
      <c r="B1142" t="str">
        <f>LEFT(D1142,3)</f>
        <v>NTH</v>
      </c>
      <c r="C1142" s="2">
        <v>1141</v>
      </c>
      <c r="D1142" s="3" t="str">
        <f>HYPERLINK("https://sitebase.nzcomms.co.nz/spm/spmnominalview/NTH-001-024/","NTH-001-024")</f>
        <v>NTH-001-024</v>
      </c>
      <c r="E1142" s="4" t="s">
        <v>3472</v>
      </c>
      <c r="F1142" s="3" t="str">
        <f>HYPERLINK("https://sitebase.nzcomms.co.nz/spm/spmcandidateview/NTH-001-024-A/","NTH-001-024-A")</f>
        <v>NTH-001-024-A</v>
      </c>
      <c r="G1142" s="4" t="s">
        <v>3473</v>
      </c>
      <c r="H1142" s="4" t="s">
        <v>3437</v>
      </c>
      <c r="I1142" s="4">
        <v>23</v>
      </c>
      <c r="J1142" s="4" t="s">
        <v>165</v>
      </c>
      <c r="K1142" s="4" t="s">
        <v>141</v>
      </c>
      <c r="L1142" s="4" t="s">
        <v>142</v>
      </c>
      <c r="M1142" s="4" t="s">
        <v>190</v>
      </c>
      <c r="N1142" s="4" t="s">
        <v>142</v>
      </c>
      <c r="O1142" s="4"/>
      <c r="P1142" s="4" t="s">
        <v>169</v>
      </c>
      <c r="Q1142" s="4" t="s">
        <v>142</v>
      </c>
      <c r="R1142" s="4">
        <v>20</v>
      </c>
      <c r="S1142" s="4">
        <v>20</v>
      </c>
      <c r="T1142" s="4"/>
      <c r="U1142" s="4">
        <v>-35.369825370000001</v>
      </c>
      <c r="V1142" s="4">
        <v>174.03836249</v>
      </c>
      <c r="W1142" s="4"/>
      <c r="X1142" s="5">
        <v>40896</v>
      </c>
      <c r="Y1142" s="4"/>
      <c r="Z1142" s="4"/>
      <c r="AA1142" s="4" t="s">
        <v>171</v>
      </c>
      <c r="AB1142" s="3" t="str">
        <f>HYPERLINK("https://sitebase.nzcomms.co.nz/spm/spmcandidateview/NTH-001-020-B/","NTH-001-020-B")</f>
        <v>NTH-001-020-B</v>
      </c>
      <c r="AC1142" s="4" t="b">
        <v>0</v>
      </c>
      <c r="AD1142" s="4" t="b">
        <v>0</v>
      </c>
      <c r="AE1142" s="4"/>
      <c r="AF1142" s="4"/>
      <c r="AG1142" s="4" t="b">
        <v>0</v>
      </c>
      <c r="AH1142" s="4"/>
      <c r="AI1142" s="5">
        <v>40981</v>
      </c>
      <c r="AJ1142" s="5">
        <v>40981</v>
      </c>
      <c r="AK1142" s="5">
        <v>40990</v>
      </c>
      <c r="AL1142" s="5">
        <v>40989</v>
      </c>
      <c r="AM1142" s="5">
        <v>41010</v>
      </c>
      <c r="AN1142" s="5">
        <v>41044</v>
      </c>
      <c r="AO1142" s="4">
        <v>3</v>
      </c>
      <c r="AP1142" s="5">
        <v>41010</v>
      </c>
      <c r="AQ1142" s="5">
        <v>41162</v>
      </c>
      <c r="AR1142" s="5">
        <v>42114</v>
      </c>
      <c r="AS1142" s="5">
        <v>42116</v>
      </c>
      <c r="AT1142" s="5">
        <v>42132</v>
      </c>
      <c r="AU1142" s="5">
        <v>42146</v>
      </c>
      <c r="AV1142" s="4"/>
      <c r="AW1142" s="5">
        <v>42139</v>
      </c>
      <c r="AX1142" s="5">
        <v>42151</v>
      </c>
      <c r="AY1142" s="4" t="s">
        <v>183</v>
      </c>
      <c r="AZ1142" s="5">
        <v>42067</v>
      </c>
      <c r="BA1142" s="5">
        <v>42073</v>
      </c>
      <c r="BB1142" s="5">
        <v>42122</v>
      </c>
      <c r="BC1142" s="5">
        <v>42122</v>
      </c>
      <c r="BD1142" s="4">
        <v>3</v>
      </c>
      <c r="BE1142" s="5">
        <v>42124</v>
      </c>
      <c r="BF1142" s="5">
        <v>42122</v>
      </c>
      <c r="BG1142" s="5">
        <v>42100</v>
      </c>
      <c r="BH1142" s="5">
        <v>42060</v>
      </c>
      <c r="BI1142" s="5">
        <v>42124</v>
      </c>
      <c r="BJ1142" s="5">
        <v>42117</v>
      </c>
      <c r="BK1142" s="4">
        <v>1</v>
      </c>
      <c r="BL1142" s="4"/>
      <c r="BM1142" s="5">
        <v>42130</v>
      </c>
      <c r="BN1142" s="5">
        <v>42117</v>
      </c>
      <c r="BO1142" s="4"/>
      <c r="BP1142" s="4"/>
      <c r="BQ1142" s="4"/>
      <c r="BR1142" s="4"/>
      <c r="BS1142" s="4"/>
      <c r="BT1142" s="5">
        <v>42208</v>
      </c>
      <c r="BU1142" s="5">
        <v>42188</v>
      </c>
      <c r="BV1142" s="5">
        <v>42279</v>
      </c>
      <c r="BW1142" s="5">
        <v>42279</v>
      </c>
      <c r="BX1142" s="4"/>
      <c r="BY1142" s="4"/>
      <c r="BZ1142" s="4"/>
      <c r="CA1142" s="4"/>
      <c r="CB1142" s="4"/>
      <c r="CC1142" s="4"/>
      <c r="CD1142" s="4"/>
      <c r="CE1142" s="4"/>
      <c r="CF1142" s="4"/>
      <c r="CG1142" s="4"/>
      <c r="CH1142" s="4"/>
      <c r="CI1142" s="4"/>
      <c r="CJ1142" s="5">
        <v>42292</v>
      </c>
      <c r="CK1142" s="5">
        <v>42291</v>
      </c>
      <c r="CL1142" s="4"/>
      <c r="CM1142" s="5">
        <v>42307</v>
      </c>
      <c r="CN1142" s="4"/>
      <c r="CO1142" s="5">
        <v>42307</v>
      </c>
      <c r="CP1142" s="4" t="s">
        <v>3474</v>
      </c>
      <c r="CQ1142" s="4" t="s">
        <v>230</v>
      </c>
      <c r="CR1142" s="4"/>
      <c r="CS1142" s="4"/>
      <c r="CT1142" s="4"/>
      <c r="CU1142" s="4"/>
      <c r="CV1142" s="4"/>
      <c r="CW1142" s="4"/>
      <c r="CX1142" s="4"/>
      <c r="CY1142" s="4"/>
      <c r="CZ1142" s="4"/>
      <c r="DA1142" s="5">
        <v>42290</v>
      </c>
      <c r="DB1142" s="5">
        <v>42289</v>
      </c>
      <c r="DC1142" s="4"/>
      <c r="DD1142" s="4"/>
      <c r="DE1142" s="4" t="s">
        <v>3443</v>
      </c>
      <c r="DF1142" s="4"/>
      <c r="DG1142" s="4"/>
      <c r="DH1142" s="4" t="s">
        <v>174</v>
      </c>
      <c r="DI1142" s="4"/>
      <c r="DJ1142" s="4" t="b">
        <v>0</v>
      </c>
      <c r="DK1142" s="4"/>
      <c r="DL1142" s="4">
        <v>2605129</v>
      </c>
      <c r="DM1142" s="4">
        <v>6647339</v>
      </c>
      <c r="DN1142" s="4" t="s">
        <v>3475</v>
      </c>
      <c r="DO1142" s="4"/>
      <c r="DP1142" s="4" t="s">
        <v>3476</v>
      </c>
      <c r="DQ1142" s="4" t="s">
        <v>148</v>
      </c>
      <c r="DR1142" s="4"/>
      <c r="DS1142" s="4"/>
      <c r="DT1142" s="4"/>
      <c r="DU1142" s="4" t="s">
        <v>178</v>
      </c>
      <c r="DV1142" s="4"/>
      <c r="DW1142" s="4"/>
      <c r="DX1142" s="5">
        <v>42118</v>
      </c>
      <c r="DY1142" s="5">
        <v>42132</v>
      </c>
      <c r="DZ1142" s="5">
        <v>42123</v>
      </c>
      <c r="EA1142" s="4"/>
      <c r="EB1142" s="4"/>
      <c r="EC1142" s="4"/>
      <c r="ED1142" s="4"/>
      <c r="EE1142" s="5">
        <v>42188</v>
      </c>
      <c r="EF1142" s="5">
        <v>42184</v>
      </c>
      <c r="EG1142" s="4"/>
      <c r="EH1142" s="4"/>
      <c r="EI1142" s="5">
        <v>40990</v>
      </c>
    </row>
    <row r="1143" spans="1:139" hidden="1" x14ac:dyDescent="0.2">
      <c r="A1143">
        <f>VLOOKUP(B1143,Sheet1!$A$1:$B$18,2,FALSE)</f>
        <v>0</v>
      </c>
      <c r="B1143" t="str">
        <f>LEFT(D1143,3)</f>
        <v>NTH</v>
      </c>
      <c r="C1143" s="2">
        <v>1142</v>
      </c>
      <c r="D1143" s="3" t="str">
        <f>HYPERLINK("https://sitebase.nzcomms.co.nz/spm/spmnominalview/NTH-001-025/","NTH-001-025")</f>
        <v>NTH-001-025</v>
      </c>
      <c r="E1143" s="4" t="s">
        <v>3477</v>
      </c>
      <c r="F1143" s="3" t="str">
        <f>HYPERLINK("https://sitebase.nzcomms.co.nz/spm/spmcandidateview/NTH-001-025-A/","NTH-001-025-A")</f>
        <v>NTH-001-025-A</v>
      </c>
      <c r="G1143" s="4" t="s">
        <v>3478</v>
      </c>
      <c r="H1143" s="4" t="s">
        <v>3437</v>
      </c>
      <c r="I1143" s="4">
        <v>23</v>
      </c>
      <c r="J1143" s="4" t="s">
        <v>165</v>
      </c>
      <c r="K1143" s="4" t="s">
        <v>141</v>
      </c>
      <c r="L1143" s="4" t="s">
        <v>142</v>
      </c>
      <c r="M1143" s="4" t="s">
        <v>190</v>
      </c>
      <c r="N1143" s="4" t="s">
        <v>142</v>
      </c>
      <c r="O1143" s="4" t="s">
        <v>168</v>
      </c>
      <c r="P1143" s="4" t="s">
        <v>169</v>
      </c>
      <c r="Q1143" s="4" t="s">
        <v>142</v>
      </c>
      <c r="R1143" s="4"/>
      <c r="S1143" s="4"/>
      <c r="T1143" s="4"/>
      <c r="U1143" s="4">
        <v>-35.351797300000001</v>
      </c>
      <c r="V1143" s="4">
        <v>174.07744794999999</v>
      </c>
      <c r="W1143" s="4"/>
      <c r="X1143" s="4"/>
      <c r="Y1143" s="4"/>
      <c r="Z1143" s="4"/>
      <c r="AA1143" s="4" t="s">
        <v>145</v>
      </c>
      <c r="AB1143" s="3" t="str">
        <f>HYPERLINK("https://sitebase.nzcomms.co.nz/spm/spmcandidateview/NTH-001-040-A/","NTH-001-040-A")</f>
        <v>NTH-001-040-A</v>
      </c>
      <c r="AC1143" s="4" t="b">
        <v>0</v>
      </c>
      <c r="AD1143" s="4" t="b">
        <v>0</v>
      </c>
      <c r="AE1143" s="4"/>
      <c r="AF1143" s="4"/>
      <c r="AG1143" s="4" t="b">
        <v>0</v>
      </c>
      <c r="AH1143" s="4"/>
      <c r="AI1143" s="5">
        <v>42100</v>
      </c>
      <c r="AJ1143" s="5">
        <v>42080</v>
      </c>
      <c r="AK1143" s="5">
        <v>42109</v>
      </c>
      <c r="AL1143" s="5">
        <v>42107</v>
      </c>
      <c r="AM1143" s="5">
        <v>42145</v>
      </c>
      <c r="AN1143" s="5">
        <v>42143</v>
      </c>
      <c r="AO1143" s="4">
        <v>1</v>
      </c>
      <c r="AP1143" s="5">
        <v>42152</v>
      </c>
      <c r="AQ1143" s="5">
        <v>42143</v>
      </c>
      <c r="AR1143" s="5">
        <v>42209</v>
      </c>
      <c r="AS1143" s="5">
        <v>42157</v>
      </c>
      <c r="AT1143" s="5">
        <v>42244</v>
      </c>
      <c r="AU1143" s="5">
        <v>42222</v>
      </c>
      <c r="AV1143" s="4"/>
      <c r="AW1143" s="5">
        <v>42258</v>
      </c>
      <c r="AX1143" s="5">
        <v>42255</v>
      </c>
      <c r="AY1143" s="4" t="s">
        <v>247</v>
      </c>
      <c r="AZ1143" s="5">
        <v>42180</v>
      </c>
      <c r="BA1143" s="5">
        <v>42151</v>
      </c>
      <c r="BB1143" s="5">
        <v>42195</v>
      </c>
      <c r="BC1143" s="5">
        <v>42180</v>
      </c>
      <c r="BD1143" s="4">
        <v>1</v>
      </c>
      <c r="BE1143" s="5">
        <v>42195</v>
      </c>
      <c r="BF1143" s="5">
        <v>42180</v>
      </c>
      <c r="BG1143" s="5">
        <v>42177</v>
      </c>
      <c r="BH1143" s="5">
        <v>42171</v>
      </c>
      <c r="BI1143" s="5">
        <v>42209</v>
      </c>
      <c r="BJ1143" s="5">
        <v>42199</v>
      </c>
      <c r="BK1143" s="4">
        <v>1</v>
      </c>
      <c r="BL1143" s="4"/>
      <c r="BM1143" s="5">
        <v>42216</v>
      </c>
      <c r="BN1143" s="5">
        <v>42199</v>
      </c>
      <c r="BO1143" s="4"/>
      <c r="BP1143" s="4"/>
      <c r="BQ1143" s="4"/>
      <c r="BR1143" s="4"/>
      <c r="BS1143" s="4"/>
      <c r="BT1143" s="5">
        <v>42286</v>
      </c>
      <c r="BU1143" s="5">
        <v>42279</v>
      </c>
      <c r="BV1143" s="5">
        <v>42328</v>
      </c>
      <c r="BW1143" s="5">
        <v>42328</v>
      </c>
      <c r="BX1143" s="4"/>
      <c r="BY1143" s="4"/>
      <c r="BZ1143" s="4"/>
      <c r="CA1143" s="5">
        <v>42353</v>
      </c>
      <c r="CB1143" s="5">
        <v>42345</v>
      </c>
      <c r="CC1143" s="4"/>
      <c r="CD1143" s="4"/>
      <c r="CE1143" s="4"/>
      <c r="CF1143" s="4"/>
      <c r="CG1143" s="4"/>
      <c r="CH1143" s="4"/>
      <c r="CI1143" s="4"/>
      <c r="CJ1143" s="5">
        <v>42356</v>
      </c>
      <c r="CK1143" s="5">
        <v>42354</v>
      </c>
      <c r="CL1143" s="4"/>
      <c r="CM1143" s="4"/>
      <c r="CN1143" s="4"/>
      <c r="CO1143" s="4"/>
      <c r="CP1143" s="4" t="s">
        <v>3479</v>
      </c>
      <c r="CQ1143" s="4" t="s">
        <v>230</v>
      </c>
      <c r="CR1143" s="4"/>
      <c r="CS1143" s="4"/>
      <c r="CT1143" s="4"/>
      <c r="CU1143" s="4"/>
      <c r="CV1143" s="4"/>
      <c r="CW1143" s="4"/>
      <c r="CX1143" s="4"/>
      <c r="CY1143" s="4"/>
      <c r="CZ1143" s="4"/>
      <c r="DA1143" s="5">
        <v>42349</v>
      </c>
      <c r="DB1143" s="5">
        <v>42349</v>
      </c>
      <c r="DC1143" s="5">
        <v>42088</v>
      </c>
      <c r="DD1143" s="4" t="s">
        <v>586</v>
      </c>
      <c r="DE1143" s="4"/>
      <c r="DF1143" s="5">
        <v>42349</v>
      </c>
      <c r="DG1143" s="5">
        <v>42345</v>
      </c>
      <c r="DH1143" s="4" t="s">
        <v>174</v>
      </c>
      <c r="DI1143" s="4"/>
      <c r="DJ1143" s="4" t="b">
        <v>0</v>
      </c>
      <c r="DK1143" s="4"/>
      <c r="DL1143" s="4">
        <v>2608708</v>
      </c>
      <c r="DM1143" s="4">
        <v>6649292</v>
      </c>
      <c r="DN1143" s="4" t="s">
        <v>3480</v>
      </c>
      <c r="DO1143" s="4"/>
      <c r="DP1143" s="4"/>
      <c r="DQ1143" s="4" t="s">
        <v>148</v>
      </c>
      <c r="DR1143" s="4"/>
      <c r="DS1143" s="4"/>
      <c r="DT1143" s="4"/>
      <c r="DU1143" s="4" t="s">
        <v>178</v>
      </c>
      <c r="DV1143" s="4"/>
      <c r="DW1143" s="4"/>
      <c r="DX1143" s="5">
        <v>42219</v>
      </c>
      <c r="DY1143" s="5">
        <v>42212</v>
      </c>
      <c r="DZ1143" s="5">
        <v>42218</v>
      </c>
      <c r="EA1143" s="5">
        <v>42117</v>
      </c>
      <c r="EB1143" s="5">
        <v>42117</v>
      </c>
      <c r="EC1143" s="5">
        <v>42156</v>
      </c>
      <c r="ED1143" s="4"/>
      <c r="EE1143" s="5">
        <v>42251</v>
      </c>
      <c r="EF1143" s="5">
        <v>42250</v>
      </c>
      <c r="EG1143" s="4"/>
      <c r="EH1143" s="4"/>
      <c r="EI1143" s="5">
        <v>42107</v>
      </c>
    </row>
    <row r="1144" spans="1:139" hidden="1" x14ac:dyDescent="0.2">
      <c r="A1144">
        <f>VLOOKUP(B1144,Sheet1!$A$1:$B$18,2,FALSE)</f>
        <v>0</v>
      </c>
      <c r="B1144" t="str">
        <f>LEFT(D1144,3)</f>
        <v>NTH</v>
      </c>
      <c r="C1144" s="2">
        <v>1143</v>
      </c>
      <c r="D1144" s="3" t="str">
        <f>HYPERLINK("https://sitebase.nzcomms.co.nz/spm/spmnominalview/NTH-001-026/","NTH-001-026")</f>
        <v>NTH-001-026</v>
      </c>
      <c r="E1144" s="4" t="s">
        <v>3481</v>
      </c>
      <c r="F1144" s="4"/>
      <c r="G1144" s="4"/>
      <c r="H1144" s="4" t="s">
        <v>3437</v>
      </c>
      <c r="I1144" s="4"/>
      <c r="J1144" s="4" t="s">
        <v>196</v>
      </c>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t="b">
        <v>0</v>
      </c>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t="s">
        <v>3482</v>
      </c>
      <c r="CQ1144" s="4"/>
      <c r="CR1144" s="4"/>
      <c r="CS1144" s="4"/>
      <c r="CT1144" s="4"/>
      <c r="CU1144" s="4"/>
      <c r="CV1144" s="4"/>
      <c r="CW1144" s="4"/>
      <c r="CX1144" s="4"/>
      <c r="CY1144" s="4"/>
      <c r="CZ1144" s="4"/>
      <c r="DA1144" s="4"/>
      <c r="DB1144" s="4"/>
      <c r="DC1144" s="4"/>
      <c r="DD1144" s="4"/>
      <c r="DE1144" s="4"/>
      <c r="DF1144" s="4"/>
      <c r="DG1144" s="4"/>
      <c r="DH1144" s="4"/>
      <c r="DI1144" s="4"/>
      <c r="DJ1144" s="4"/>
      <c r="DK1144" s="4"/>
      <c r="DL1144" s="4"/>
      <c r="DM1144" s="4"/>
      <c r="DN1144" s="4"/>
      <c r="DO1144" s="4"/>
      <c r="DP1144" s="4"/>
      <c r="DQ1144" s="4"/>
      <c r="DR1144" s="4"/>
      <c r="DS1144" s="4"/>
      <c r="DT1144" s="4"/>
      <c r="DU1144" s="4"/>
      <c r="DV1144" s="4"/>
      <c r="DW1144" s="4"/>
      <c r="DX1144" s="4"/>
      <c r="DY1144" s="4"/>
      <c r="DZ1144" s="4"/>
      <c r="EA1144" s="4"/>
      <c r="EB1144" s="4"/>
      <c r="EC1144" s="4"/>
      <c r="ED1144" s="4"/>
      <c r="EE1144" s="4"/>
      <c r="EF1144" s="4"/>
      <c r="EG1144" s="4"/>
      <c r="EH1144" s="4"/>
      <c r="EI1144" s="4"/>
    </row>
    <row r="1145" spans="1:139" hidden="1" x14ac:dyDescent="0.2">
      <c r="A1145">
        <f>VLOOKUP(B1145,Sheet1!$A$1:$B$18,2,FALSE)</f>
        <v>0</v>
      </c>
      <c r="B1145" t="str">
        <f>LEFT(D1145,3)</f>
        <v>NTH</v>
      </c>
      <c r="C1145" s="2">
        <v>1144</v>
      </c>
      <c r="D1145" s="3" t="str">
        <f>HYPERLINK("https://sitebase.nzcomms.co.nz/spm/spmnominalview/NTH-001-027/","NTH-001-027")</f>
        <v>NTH-001-027</v>
      </c>
      <c r="E1145" s="4" t="s">
        <v>3483</v>
      </c>
      <c r="F1145" s="3" t="str">
        <f>HYPERLINK("https://sitebase.nzcomms.co.nz/spm/spmcandidateview/NTH-001-027-A/","NTH-001-027-A")</f>
        <v>NTH-001-027-A</v>
      </c>
      <c r="G1145" s="4" t="s">
        <v>3484</v>
      </c>
      <c r="H1145" s="4" t="s">
        <v>3437</v>
      </c>
      <c r="I1145" s="4">
        <v>23</v>
      </c>
      <c r="J1145" s="4" t="s">
        <v>165</v>
      </c>
      <c r="K1145" s="4" t="s">
        <v>141</v>
      </c>
      <c r="L1145" s="4" t="s">
        <v>142</v>
      </c>
      <c r="M1145" s="4" t="s">
        <v>190</v>
      </c>
      <c r="N1145" s="4" t="s">
        <v>142</v>
      </c>
      <c r="O1145" s="4"/>
      <c r="P1145" s="4" t="s">
        <v>169</v>
      </c>
      <c r="Q1145" s="4" t="s">
        <v>142</v>
      </c>
      <c r="R1145" s="4">
        <v>12</v>
      </c>
      <c r="S1145" s="4"/>
      <c r="T1145" s="4">
        <v>1</v>
      </c>
      <c r="U1145" s="4">
        <v>-35.297749760000002</v>
      </c>
      <c r="V1145" s="4">
        <v>174.12513036999999</v>
      </c>
      <c r="W1145" s="5">
        <v>40235</v>
      </c>
      <c r="X1145" s="4"/>
      <c r="Y1145" s="5">
        <v>40235</v>
      </c>
      <c r="Z1145" s="5">
        <v>40234</v>
      </c>
      <c r="AA1145" s="4" t="s">
        <v>145</v>
      </c>
      <c r="AB1145" s="3" t="str">
        <f>HYPERLINK("https://sitebase.nzcomms.co.nz/spm/spmcandidateview/NTH-001-040-A/","NTH-001-040-A")</f>
        <v>NTH-001-040-A</v>
      </c>
      <c r="AC1145" s="4" t="b">
        <v>1</v>
      </c>
      <c r="AD1145" s="4" t="b">
        <v>0</v>
      </c>
      <c r="AE1145" s="5">
        <v>40220</v>
      </c>
      <c r="AF1145" s="4"/>
      <c r="AG1145" s="4" t="b">
        <v>0</v>
      </c>
      <c r="AH1145" s="4"/>
      <c r="AI1145" s="5">
        <v>42100</v>
      </c>
      <c r="AJ1145" s="5">
        <v>42080</v>
      </c>
      <c r="AK1145" s="5">
        <v>42090</v>
      </c>
      <c r="AL1145" s="5">
        <v>42089</v>
      </c>
      <c r="AM1145" s="5">
        <v>42139</v>
      </c>
      <c r="AN1145" s="5">
        <v>42145</v>
      </c>
      <c r="AO1145" s="4">
        <v>3</v>
      </c>
      <c r="AP1145" s="5">
        <v>42146</v>
      </c>
      <c r="AQ1145" s="5">
        <v>42237</v>
      </c>
      <c r="AR1145" s="5">
        <v>42258</v>
      </c>
      <c r="AS1145" s="5">
        <v>42257</v>
      </c>
      <c r="AT1145" s="5">
        <v>42517</v>
      </c>
      <c r="AU1145" s="4"/>
      <c r="AV1145" s="4"/>
      <c r="AW1145" s="5">
        <v>42517</v>
      </c>
      <c r="AX1145" s="4"/>
      <c r="AY1145" s="4" t="s">
        <v>183</v>
      </c>
      <c r="AZ1145" s="5">
        <v>42290</v>
      </c>
      <c r="BA1145" s="5">
        <v>42279</v>
      </c>
      <c r="BB1145" s="5">
        <v>42335</v>
      </c>
      <c r="BC1145" s="5">
        <v>42307</v>
      </c>
      <c r="BD1145" s="4">
        <v>3</v>
      </c>
      <c r="BE1145" s="5">
        <v>42342</v>
      </c>
      <c r="BF1145" s="5">
        <v>42307</v>
      </c>
      <c r="BG1145" s="5">
        <v>42492</v>
      </c>
      <c r="BH1145" s="4"/>
      <c r="BI1145" s="5">
        <v>42517</v>
      </c>
      <c r="BJ1145" s="4"/>
      <c r="BK1145" s="4"/>
      <c r="BL1145" s="4"/>
      <c r="BM1145" s="5">
        <v>42517</v>
      </c>
      <c r="BN1145" s="4"/>
      <c r="BO1145" s="4"/>
      <c r="BP1145" s="4"/>
      <c r="BQ1145" s="4"/>
      <c r="BR1145" s="4"/>
      <c r="BS1145" s="4"/>
      <c r="BT1145" s="5">
        <v>42569</v>
      </c>
      <c r="BU1145" s="4"/>
      <c r="BV1145" s="4"/>
      <c r="BW1145" s="4"/>
      <c r="BX1145" s="4"/>
      <c r="BY1145" s="4"/>
      <c r="BZ1145" s="4"/>
      <c r="CA1145" s="4"/>
      <c r="CB1145" s="4"/>
      <c r="CC1145" s="4"/>
      <c r="CD1145" s="4"/>
      <c r="CE1145" s="4"/>
      <c r="CF1145" s="4"/>
      <c r="CG1145" s="4"/>
      <c r="CH1145" s="4"/>
      <c r="CI1145" s="4"/>
      <c r="CJ1145" s="5">
        <v>42643</v>
      </c>
      <c r="CK1145" s="4"/>
      <c r="CL1145" s="4"/>
      <c r="CM1145" s="4"/>
      <c r="CN1145" s="4"/>
      <c r="CO1145" s="4"/>
      <c r="CP1145" s="4" t="s">
        <v>3485</v>
      </c>
      <c r="CQ1145" s="4" t="s">
        <v>230</v>
      </c>
      <c r="CR1145" s="4"/>
      <c r="CS1145" s="4"/>
      <c r="CT1145" s="4"/>
      <c r="CU1145" s="4"/>
      <c r="CV1145" s="4"/>
      <c r="CW1145" s="4"/>
      <c r="CX1145" s="4"/>
      <c r="CY1145" s="4"/>
      <c r="CZ1145" s="4"/>
      <c r="DA1145" s="5">
        <v>42629</v>
      </c>
      <c r="DB1145" s="4"/>
      <c r="DC1145" s="5">
        <v>42088</v>
      </c>
      <c r="DD1145" s="4" t="s">
        <v>206</v>
      </c>
      <c r="DE1145" s="4"/>
      <c r="DF1145" s="4"/>
      <c r="DG1145" s="4"/>
      <c r="DH1145" s="4" t="s">
        <v>1521</v>
      </c>
      <c r="DI1145" s="4"/>
      <c r="DJ1145" s="4" t="b">
        <v>1</v>
      </c>
      <c r="DK1145" s="4"/>
      <c r="DL1145" s="4">
        <v>2613126</v>
      </c>
      <c r="DM1145" s="4">
        <v>6655229</v>
      </c>
      <c r="DN1145" s="4" t="s">
        <v>3486</v>
      </c>
      <c r="DO1145" s="4"/>
      <c r="DP1145" s="4"/>
      <c r="DQ1145" s="4" t="s">
        <v>148</v>
      </c>
      <c r="DR1145" s="4" t="s">
        <v>255</v>
      </c>
      <c r="DS1145" s="4"/>
      <c r="DT1145" s="4"/>
      <c r="DU1145" s="4" t="s">
        <v>178</v>
      </c>
      <c r="DV1145" s="4"/>
      <c r="DW1145" s="4"/>
      <c r="DX1145" s="4"/>
      <c r="DY1145" s="5">
        <v>42527</v>
      </c>
      <c r="DZ1145" s="4"/>
      <c r="EA1145" s="5">
        <v>42117</v>
      </c>
      <c r="EB1145" s="5">
        <v>42117</v>
      </c>
      <c r="EC1145" s="4"/>
      <c r="ED1145" s="4"/>
      <c r="EE1145" s="5">
        <v>42555</v>
      </c>
      <c r="EF1145" s="4"/>
      <c r="EG1145" s="4"/>
      <c r="EH1145" s="4"/>
      <c r="EI1145" s="5">
        <v>42089</v>
      </c>
    </row>
    <row r="1146" spans="1:139" hidden="1" x14ac:dyDescent="0.2">
      <c r="A1146">
        <f>VLOOKUP(B1146,Sheet1!$A$1:$B$18,2,FALSE)</f>
        <v>0</v>
      </c>
      <c r="B1146" t="str">
        <f>LEFT(D1146,3)</f>
        <v>NTH</v>
      </c>
      <c r="C1146" s="2">
        <v>1145</v>
      </c>
      <c r="D1146" s="3" t="str">
        <f>HYPERLINK("https://sitebase.nzcomms.co.nz/spm/spmnominalview/NTH-001-030/","NTH-001-030")</f>
        <v>NTH-001-030</v>
      </c>
      <c r="E1146" s="4" t="s">
        <v>3481</v>
      </c>
      <c r="F1146" s="3" t="str">
        <f>HYPERLINK("https://sitebase.nzcomms.co.nz/spm/spmcandidateview/NTH-001-030-E/","NTH-001-030-E")</f>
        <v>NTH-001-030-E</v>
      </c>
      <c r="G1146" s="4" t="s">
        <v>3487</v>
      </c>
      <c r="H1146" s="4" t="s">
        <v>3437</v>
      </c>
      <c r="I1146" s="4">
        <v>23</v>
      </c>
      <c r="J1146" s="4" t="s">
        <v>165</v>
      </c>
      <c r="K1146" s="4" t="s">
        <v>141</v>
      </c>
      <c r="L1146" s="4" t="s">
        <v>181</v>
      </c>
      <c r="M1146" s="4" t="s">
        <v>166</v>
      </c>
      <c r="N1146" s="4" t="s">
        <v>181</v>
      </c>
      <c r="O1146" s="4"/>
      <c r="P1146" s="4" t="s">
        <v>182</v>
      </c>
      <c r="Q1146" s="4" t="s">
        <v>170</v>
      </c>
      <c r="R1146" s="4"/>
      <c r="S1146" s="4"/>
      <c r="T1146" s="4"/>
      <c r="U1146" s="4">
        <v>-35.28115098</v>
      </c>
      <c r="V1146" s="4">
        <v>174.09135527999999</v>
      </c>
      <c r="W1146" s="4"/>
      <c r="X1146" s="5">
        <v>40896</v>
      </c>
      <c r="Y1146" s="4"/>
      <c r="Z1146" s="4"/>
      <c r="AA1146" s="4" t="s">
        <v>145</v>
      </c>
      <c r="AB1146" s="3" t="str">
        <f>HYPERLINK("https://sitebase.nzcomms.co.nz/spm/spmcandidateview/NTH-001-040-A/","NTH-001-040-A")</f>
        <v>NTH-001-040-A</v>
      </c>
      <c r="AC1146" s="4" t="b">
        <v>0</v>
      </c>
      <c r="AD1146" s="4" t="b">
        <v>0</v>
      </c>
      <c r="AE1146" s="4"/>
      <c r="AF1146" s="4"/>
      <c r="AG1146" s="4" t="b">
        <v>0</v>
      </c>
      <c r="AH1146" s="4"/>
      <c r="AI1146" s="5">
        <v>40982</v>
      </c>
      <c r="AJ1146" s="5">
        <v>40982</v>
      </c>
      <c r="AK1146" s="5">
        <v>41094</v>
      </c>
      <c r="AL1146" s="5">
        <v>41094</v>
      </c>
      <c r="AM1146" s="5">
        <v>41148</v>
      </c>
      <c r="AN1146" s="5">
        <v>41150</v>
      </c>
      <c r="AO1146" s="4">
        <v>2</v>
      </c>
      <c r="AP1146" s="5">
        <v>41148</v>
      </c>
      <c r="AQ1146" s="5">
        <v>42153</v>
      </c>
      <c r="AR1146" s="4"/>
      <c r="AS1146" s="5">
        <v>41094</v>
      </c>
      <c r="AT1146" s="5">
        <v>41173</v>
      </c>
      <c r="AU1146" s="5">
        <v>41186</v>
      </c>
      <c r="AV1146" s="4"/>
      <c r="AW1146" s="5">
        <v>41180</v>
      </c>
      <c r="AX1146" s="5">
        <v>41212</v>
      </c>
      <c r="AY1146" s="4" t="s">
        <v>172</v>
      </c>
      <c r="AZ1146" s="5">
        <v>41164</v>
      </c>
      <c r="BA1146" s="5">
        <v>41164</v>
      </c>
      <c r="BB1146" s="5">
        <v>41200</v>
      </c>
      <c r="BC1146" s="5">
        <v>41186</v>
      </c>
      <c r="BD1146" s="4">
        <v>1</v>
      </c>
      <c r="BE1146" s="5">
        <v>41207</v>
      </c>
      <c r="BF1146" s="5">
        <v>41187</v>
      </c>
      <c r="BG1146" s="5">
        <v>42031</v>
      </c>
      <c r="BH1146" s="5">
        <v>42031</v>
      </c>
      <c r="BI1146" s="5">
        <v>42143</v>
      </c>
      <c r="BJ1146" s="5">
        <v>42188</v>
      </c>
      <c r="BK1146" s="4">
        <v>1</v>
      </c>
      <c r="BL1146" s="4"/>
      <c r="BM1146" s="5">
        <v>42145</v>
      </c>
      <c r="BN1146" s="5">
        <v>42188</v>
      </c>
      <c r="BO1146" s="4"/>
      <c r="BP1146" s="4"/>
      <c r="BQ1146" s="4"/>
      <c r="BR1146" s="5">
        <v>42236</v>
      </c>
      <c r="BS1146" s="4"/>
      <c r="BT1146" s="5">
        <v>42244</v>
      </c>
      <c r="BU1146" s="5">
        <v>42241</v>
      </c>
      <c r="BV1146" s="5">
        <v>42300</v>
      </c>
      <c r="BW1146" s="5">
        <v>42300</v>
      </c>
      <c r="BX1146" s="5">
        <v>42268</v>
      </c>
      <c r="BY1146" s="5">
        <v>42300</v>
      </c>
      <c r="BZ1146" s="5">
        <v>42300</v>
      </c>
      <c r="CA1146" s="5">
        <v>42293</v>
      </c>
      <c r="CB1146" s="5">
        <v>42296</v>
      </c>
      <c r="CC1146" s="4"/>
      <c r="CD1146" s="4"/>
      <c r="CE1146" s="4"/>
      <c r="CF1146" s="4"/>
      <c r="CG1146" s="4"/>
      <c r="CH1146" s="4"/>
      <c r="CI1146" s="4"/>
      <c r="CJ1146" s="5">
        <v>42320</v>
      </c>
      <c r="CK1146" s="5">
        <v>42321</v>
      </c>
      <c r="CL1146" s="4"/>
      <c r="CM1146" s="5">
        <v>42335</v>
      </c>
      <c r="CN1146" s="4"/>
      <c r="CO1146" s="5">
        <v>42335</v>
      </c>
      <c r="CP1146" s="4" t="s">
        <v>3488</v>
      </c>
      <c r="CQ1146" s="4"/>
      <c r="CR1146" s="4"/>
      <c r="CS1146" s="4"/>
      <c r="CT1146" s="4"/>
      <c r="CU1146" s="4"/>
      <c r="CV1146" s="4"/>
      <c r="CW1146" s="4"/>
      <c r="CX1146" s="4"/>
      <c r="CY1146" s="5">
        <v>42272</v>
      </c>
      <c r="CZ1146" s="4"/>
      <c r="DA1146" s="5">
        <v>42314</v>
      </c>
      <c r="DB1146" s="5">
        <v>42314</v>
      </c>
      <c r="DC1146" s="4"/>
      <c r="DD1146" s="4"/>
      <c r="DE1146" s="4" t="s">
        <v>3450</v>
      </c>
      <c r="DF1146" s="5">
        <v>42293</v>
      </c>
      <c r="DG1146" s="5">
        <v>42296</v>
      </c>
      <c r="DH1146" s="4" t="s">
        <v>174</v>
      </c>
      <c r="DI1146" s="5">
        <v>42268</v>
      </c>
      <c r="DJ1146" s="4" t="b">
        <v>1</v>
      </c>
      <c r="DK1146" s="5">
        <v>42237</v>
      </c>
      <c r="DL1146" s="4">
        <v>2610079</v>
      </c>
      <c r="DM1146" s="4">
        <v>6657113</v>
      </c>
      <c r="DN1146" s="4" t="s">
        <v>3489</v>
      </c>
      <c r="DO1146" s="4"/>
      <c r="DP1146" s="4" t="s">
        <v>3490</v>
      </c>
      <c r="DQ1146" s="4" t="s">
        <v>148</v>
      </c>
      <c r="DR1146" s="4"/>
      <c r="DS1146" s="4"/>
      <c r="DT1146" s="4"/>
      <c r="DU1146" s="4" t="s">
        <v>178</v>
      </c>
      <c r="DV1146" s="4"/>
      <c r="DW1146" s="4"/>
      <c r="DX1146" s="5">
        <v>42060</v>
      </c>
      <c r="DY1146" s="5">
        <v>42174</v>
      </c>
      <c r="DZ1146" s="5">
        <v>42172</v>
      </c>
      <c r="EA1146" s="5">
        <v>42117</v>
      </c>
      <c r="EB1146" s="5">
        <v>42117</v>
      </c>
      <c r="EC1146" s="5">
        <v>42117</v>
      </c>
      <c r="ED1146" s="5">
        <v>42117</v>
      </c>
      <c r="EE1146" s="5">
        <v>42237</v>
      </c>
      <c r="EF1146" s="5">
        <v>42235</v>
      </c>
      <c r="EG1146" s="4"/>
      <c r="EH1146" s="4"/>
      <c r="EI1146" s="5">
        <v>41094</v>
      </c>
    </row>
    <row r="1147" spans="1:139" hidden="1" x14ac:dyDescent="0.2">
      <c r="A1147">
        <f>VLOOKUP(B1147,Sheet1!$A$1:$B$18,2,FALSE)</f>
        <v>0</v>
      </c>
      <c r="B1147" t="str">
        <f>LEFT(D1147,3)</f>
        <v>NTH</v>
      </c>
      <c r="C1147" s="2">
        <v>1146</v>
      </c>
      <c r="D1147" s="3" t="str">
        <f>HYPERLINK("https://sitebase.nzcomms.co.nz/spm/spmnominalview/NTH-001-031/","NTH-001-031")</f>
        <v>NTH-001-031</v>
      </c>
      <c r="E1147" s="4"/>
      <c r="F1147" s="4"/>
      <c r="G1147" s="4"/>
      <c r="H1147" s="4" t="s">
        <v>3437</v>
      </c>
      <c r="I1147" s="4"/>
      <c r="J1147" s="4" t="s">
        <v>196</v>
      </c>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t="s">
        <v>3439</v>
      </c>
      <c r="CQ1147" s="4"/>
      <c r="CR1147" s="4"/>
      <c r="CS1147" s="4"/>
      <c r="CT1147" s="4"/>
      <c r="CU1147" s="4"/>
      <c r="CV1147" s="4"/>
      <c r="CW1147" s="4"/>
      <c r="CX1147" s="4"/>
      <c r="CY1147" s="4"/>
      <c r="CZ1147" s="4"/>
      <c r="DA1147" s="4"/>
      <c r="DB1147" s="4"/>
      <c r="DC1147" s="4"/>
      <c r="DD1147" s="4"/>
      <c r="DE1147" s="4"/>
      <c r="DF1147" s="4"/>
      <c r="DG1147" s="4"/>
      <c r="DH1147" s="4"/>
      <c r="DI1147" s="4"/>
      <c r="DJ1147" s="4"/>
      <c r="DK1147" s="4"/>
      <c r="DL1147" s="4"/>
      <c r="DM1147" s="4"/>
      <c r="DN1147" s="4"/>
      <c r="DO1147" s="4"/>
      <c r="DP1147" s="4"/>
      <c r="DQ1147" s="4"/>
      <c r="DR1147" s="4"/>
      <c r="DS1147" s="4"/>
      <c r="DT1147" s="4"/>
      <c r="DU1147" s="4"/>
      <c r="DV1147" s="4"/>
      <c r="DW1147" s="4"/>
      <c r="DX1147" s="4"/>
      <c r="DY1147" s="4"/>
      <c r="DZ1147" s="4"/>
      <c r="EA1147" s="4"/>
      <c r="EB1147" s="4"/>
      <c r="EC1147" s="4"/>
      <c r="ED1147" s="4"/>
      <c r="EE1147" s="4"/>
      <c r="EF1147" s="4"/>
      <c r="EG1147" s="4"/>
      <c r="EH1147" s="4"/>
      <c r="EI1147" s="4"/>
    </row>
    <row r="1148" spans="1:139" hidden="1" x14ac:dyDescent="0.2">
      <c r="A1148">
        <f>VLOOKUP(B1148,Sheet1!$A$1:$B$18,2,FALSE)</f>
        <v>0</v>
      </c>
      <c r="B1148" t="str">
        <f>LEFT(D1148,3)</f>
        <v>NTH</v>
      </c>
      <c r="C1148" s="2">
        <v>1147</v>
      </c>
      <c r="D1148" s="3" t="str">
        <f>HYPERLINK("https://sitebase.nzcomms.co.nz/spm/spmnominalview/NTH-001-032/","NTH-001-032")</f>
        <v>NTH-001-032</v>
      </c>
      <c r="E1148" s="4" t="s">
        <v>3491</v>
      </c>
      <c r="F1148" s="4"/>
      <c r="G1148" s="4"/>
      <c r="H1148" s="4" t="s">
        <v>3437</v>
      </c>
      <c r="I1148" s="4"/>
      <c r="J1148" s="4" t="s">
        <v>196</v>
      </c>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t="b">
        <v>0</v>
      </c>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t="s">
        <v>3492</v>
      </c>
      <c r="CQ1148" s="4"/>
      <c r="CR1148" s="4"/>
      <c r="CS1148" s="4"/>
      <c r="CT1148" s="4"/>
      <c r="CU1148" s="4"/>
      <c r="CV1148" s="4"/>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c r="EI1148" s="4"/>
    </row>
    <row r="1149" spans="1:139" hidden="1" x14ac:dyDescent="0.2">
      <c r="A1149">
        <f>VLOOKUP(B1149,Sheet1!$A$1:$B$18,2,FALSE)</f>
        <v>0</v>
      </c>
      <c r="B1149" t="str">
        <f>LEFT(D1149,3)</f>
        <v>NTH</v>
      </c>
      <c r="C1149" s="2">
        <v>1148</v>
      </c>
      <c r="D1149" s="3" t="str">
        <f>HYPERLINK("https://sitebase.nzcomms.co.nz/spm/spmnominalview/NTH-001-033/","NTH-001-033")</f>
        <v>NTH-001-033</v>
      </c>
      <c r="E1149" s="4"/>
      <c r="F1149" s="4"/>
      <c r="G1149" s="4"/>
      <c r="H1149" s="4" t="s">
        <v>3437</v>
      </c>
      <c r="I1149" s="4"/>
      <c r="J1149" s="4" t="s">
        <v>196</v>
      </c>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t="s">
        <v>3439</v>
      </c>
      <c r="CQ1149" s="4"/>
      <c r="CR1149" s="4"/>
      <c r="CS1149" s="4"/>
      <c r="CT1149" s="4"/>
      <c r="CU1149" s="4"/>
      <c r="CV1149" s="4"/>
      <c r="CW1149" s="4"/>
      <c r="CX1149" s="4"/>
      <c r="CY1149" s="4"/>
      <c r="CZ1149" s="4"/>
      <c r="DA1149" s="4"/>
      <c r="DB1149" s="4"/>
      <c r="DC1149" s="4"/>
      <c r="DD1149" s="4"/>
      <c r="DE1149" s="4"/>
      <c r="DF1149" s="4"/>
      <c r="DG1149" s="4"/>
      <c r="DH1149" s="4"/>
      <c r="DI1149" s="4"/>
      <c r="DJ1149" s="4"/>
      <c r="DK1149" s="4"/>
      <c r="DL1149" s="4"/>
      <c r="DM1149" s="4"/>
      <c r="DN1149" s="4"/>
      <c r="DO1149" s="4"/>
      <c r="DP1149" s="4"/>
      <c r="DQ1149" s="4"/>
      <c r="DR1149" s="4"/>
      <c r="DS1149" s="4"/>
      <c r="DT1149" s="4"/>
      <c r="DU1149" s="4"/>
      <c r="DV1149" s="4"/>
      <c r="DW1149" s="4"/>
      <c r="DX1149" s="4"/>
      <c r="DY1149" s="4"/>
      <c r="DZ1149" s="4"/>
      <c r="EA1149" s="4"/>
      <c r="EB1149" s="4"/>
      <c r="EC1149" s="4"/>
      <c r="ED1149" s="4"/>
      <c r="EE1149" s="4"/>
      <c r="EF1149" s="4"/>
      <c r="EG1149" s="4"/>
      <c r="EH1149" s="4"/>
      <c r="EI1149" s="4"/>
    </row>
    <row r="1150" spans="1:139" hidden="1" x14ac:dyDescent="0.2">
      <c r="A1150">
        <f>VLOOKUP(B1150,Sheet1!$A$1:$B$18,2,FALSE)</f>
        <v>0</v>
      </c>
      <c r="B1150" t="str">
        <f>LEFT(D1150,3)</f>
        <v>NTH</v>
      </c>
      <c r="C1150" s="2">
        <v>1149</v>
      </c>
      <c r="D1150" s="3" t="str">
        <f>HYPERLINK("https://sitebase.nzcomms.co.nz/spm/spmnominalview/NTH-001-034/","NTH-001-034")</f>
        <v>NTH-001-034</v>
      </c>
      <c r="E1150" s="4" t="s">
        <v>3493</v>
      </c>
      <c r="F1150" s="4"/>
      <c r="G1150" s="4"/>
      <c r="H1150" s="4" t="s">
        <v>3437</v>
      </c>
      <c r="I1150" s="4"/>
      <c r="J1150" s="4" t="s">
        <v>722</v>
      </c>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t="b">
        <v>0</v>
      </c>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4"/>
      <c r="DB1150" s="4"/>
      <c r="DC1150" s="4"/>
      <c r="DD1150" s="4"/>
      <c r="DE1150" s="4"/>
      <c r="DF1150" s="4"/>
      <c r="DG1150" s="4"/>
      <c r="DH1150" s="4"/>
      <c r="DI1150" s="4"/>
      <c r="DJ1150" s="4"/>
      <c r="DK1150" s="4"/>
      <c r="DL1150" s="4"/>
      <c r="DM1150" s="4"/>
      <c r="DN1150" s="4"/>
      <c r="DO1150" s="4"/>
      <c r="DP1150" s="4"/>
      <c r="DQ1150" s="4"/>
      <c r="DR1150" s="4"/>
      <c r="DS1150" s="4"/>
      <c r="DT1150" s="4"/>
      <c r="DU1150" s="4"/>
      <c r="DV1150" s="4"/>
      <c r="DW1150" s="4"/>
      <c r="DX1150" s="4"/>
      <c r="DY1150" s="4"/>
      <c r="DZ1150" s="4"/>
      <c r="EA1150" s="4"/>
      <c r="EB1150" s="4"/>
      <c r="EC1150" s="4"/>
      <c r="ED1150" s="4"/>
      <c r="EE1150" s="4"/>
      <c r="EF1150" s="4"/>
      <c r="EG1150" s="4"/>
      <c r="EH1150" s="4"/>
      <c r="EI1150" s="4"/>
    </row>
    <row r="1151" spans="1:139" hidden="1" x14ac:dyDescent="0.2">
      <c r="A1151">
        <f>VLOOKUP(B1151,Sheet1!$A$1:$B$18,2,FALSE)</f>
        <v>0</v>
      </c>
      <c r="B1151" t="str">
        <f>LEFT(D1151,3)</f>
        <v>NTH</v>
      </c>
      <c r="C1151" s="2">
        <v>1150</v>
      </c>
      <c r="D1151" s="3" t="str">
        <f>HYPERLINK("https://sitebase.nzcomms.co.nz/spm/spmnominalview/NTH-001-035/","NTH-001-035")</f>
        <v>NTH-001-035</v>
      </c>
      <c r="E1151" s="4" t="s">
        <v>3494</v>
      </c>
      <c r="F1151" s="3" t="str">
        <f>HYPERLINK("https://sitebase.nzcomms.co.nz/spm/spmcandidateview/NTH-001-035-B/","NTH-001-035-B")</f>
        <v>NTH-001-035-B</v>
      </c>
      <c r="G1151" s="4" t="s">
        <v>3495</v>
      </c>
      <c r="H1151" s="4" t="s">
        <v>3437</v>
      </c>
      <c r="I1151" s="4">
        <v>23</v>
      </c>
      <c r="J1151" s="4" t="s">
        <v>165</v>
      </c>
      <c r="K1151" s="4" t="s">
        <v>141</v>
      </c>
      <c r="L1151" s="4" t="s">
        <v>150</v>
      </c>
      <c r="M1151" s="4" t="s">
        <v>190</v>
      </c>
      <c r="N1151" s="4" t="s">
        <v>167</v>
      </c>
      <c r="O1151" s="4"/>
      <c r="P1151" s="4" t="s">
        <v>182</v>
      </c>
      <c r="Q1151" s="4" t="s">
        <v>170</v>
      </c>
      <c r="R1151" s="4">
        <v>20</v>
      </c>
      <c r="S1151" s="4">
        <v>20</v>
      </c>
      <c r="T1151" s="4"/>
      <c r="U1151" s="4">
        <v>-35.108283710000002</v>
      </c>
      <c r="V1151" s="4">
        <v>173.27219160999999</v>
      </c>
      <c r="W1151" s="4"/>
      <c r="X1151" s="4"/>
      <c r="Y1151" s="4"/>
      <c r="Z1151" s="4"/>
      <c r="AA1151" s="4" t="s">
        <v>145</v>
      </c>
      <c r="AB1151" s="3" t="str">
        <f>HYPERLINK("https://sitebase.nzcomms.co.nz/spm/spmcandidateview/NTH-001-040-A/","NTH-001-040-A")</f>
        <v>NTH-001-040-A</v>
      </c>
      <c r="AC1151" s="4" t="b">
        <v>0</v>
      </c>
      <c r="AD1151" s="4" t="b">
        <v>0</v>
      </c>
      <c r="AE1151" s="4"/>
      <c r="AF1151" s="4"/>
      <c r="AG1151" s="4" t="b">
        <v>0</v>
      </c>
      <c r="AH1151" s="4"/>
      <c r="AI1151" s="5">
        <v>40981</v>
      </c>
      <c r="AJ1151" s="5">
        <v>40981</v>
      </c>
      <c r="AK1151" s="5">
        <v>40991</v>
      </c>
      <c r="AL1151" s="5">
        <v>40989</v>
      </c>
      <c r="AM1151" s="5">
        <v>41010</v>
      </c>
      <c r="AN1151" s="5">
        <v>41052</v>
      </c>
      <c r="AO1151" s="4">
        <v>4</v>
      </c>
      <c r="AP1151" s="4"/>
      <c r="AQ1151" s="5">
        <v>41838</v>
      </c>
      <c r="AR1151" s="5">
        <v>41060</v>
      </c>
      <c r="AS1151" s="5">
        <v>41089</v>
      </c>
      <c r="AT1151" s="5">
        <v>41089</v>
      </c>
      <c r="AU1151" s="5">
        <v>41124</v>
      </c>
      <c r="AV1151" s="4"/>
      <c r="AW1151" s="5">
        <v>41096</v>
      </c>
      <c r="AX1151" s="5">
        <v>41212</v>
      </c>
      <c r="AY1151" s="4" t="s">
        <v>247</v>
      </c>
      <c r="AZ1151" s="5">
        <v>41080</v>
      </c>
      <c r="BA1151" s="5">
        <v>41079</v>
      </c>
      <c r="BB1151" s="5">
        <v>41187</v>
      </c>
      <c r="BC1151" s="5">
        <v>41187</v>
      </c>
      <c r="BD1151" s="4">
        <v>1</v>
      </c>
      <c r="BE1151" s="5">
        <v>41194</v>
      </c>
      <c r="BF1151" s="5">
        <v>41187</v>
      </c>
      <c r="BG1151" s="4"/>
      <c r="BH1151" s="5">
        <v>41807</v>
      </c>
      <c r="BI1151" s="5">
        <v>41835</v>
      </c>
      <c r="BJ1151" s="5">
        <v>41838</v>
      </c>
      <c r="BK1151" s="4">
        <v>1</v>
      </c>
      <c r="BL1151" s="4"/>
      <c r="BM1151" s="5">
        <v>41843</v>
      </c>
      <c r="BN1151" s="5">
        <v>41838</v>
      </c>
      <c r="BO1151" s="4"/>
      <c r="BP1151" s="4"/>
      <c r="BQ1151" s="4"/>
      <c r="BR1151" s="4"/>
      <c r="BS1151" s="4"/>
      <c r="BT1151" s="5">
        <v>42149</v>
      </c>
      <c r="BU1151" s="5">
        <v>42151</v>
      </c>
      <c r="BV1151" s="5">
        <v>42201</v>
      </c>
      <c r="BW1151" s="5">
        <v>42202</v>
      </c>
      <c r="BX1151" s="5">
        <v>42188</v>
      </c>
      <c r="BY1151" s="5">
        <v>42184</v>
      </c>
      <c r="BZ1151" s="5">
        <v>42195</v>
      </c>
      <c r="CA1151" s="5">
        <v>42186</v>
      </c>
      <c r="CB1151" s="5">
        <v>42185</v>
      </c>
      <c r="CC1151" s="4"/>
      <c r="CD1151" s="4"/>
      <c r="CE1151" s="4"/>
      <c r="CF1151" s="4"/>
      <c r="CG1151" s="4"/>
      <c r="CH1151" s="4"/>
      <c r="CI1151" s="5">
        <v>42186</v>
      </c>
      <c r="CJ1151" s="5">
        <v>42209</v>
      </c>
      <c r="CK1151" s="5">
        <v>42205</v>
      </c>
      <c r="CL1151" s="4"/>
      <c r="CM1151" s="5">
        <v>42244</v>
      </c>
      <c r="CN1151" s="4"/>
      <c r="CO1151" s="5">
        <v>42244</v>
      </c>
      <c r="CP1151" s="4" t="s">
        <v>3496</v>
      </c>
      <c r="CQ1151" s="4"/>
      <c r="CR1151" s="5">
        <v>42186</v>
      </c>
      <c r="CS1151" s="4"/>
      <c r="CT1151" s="4"/>
      <c r="CU1151" s="4"/>
      <c r="CV1151" s="4"/>
      <c r="CW1151" s="4"/>
      <c r="CX1151" s="4"/>
      <c r="CY1151" s="5">
        <v>42178</v>
      </c>
      <c r="CZ1151" s="5">
        <v>42186</v>
      </c>
      <c r="DA1151" s="5">
        <v>42191</v>
      </c>
      <c r="DB1151" s="5">
        <v>42191</v>
      </c>
      <c r="DC1151" s="4"/>
      <c r="DD1151" s="4"/>
      <c r="DE1151" s="4" t="s">
        <v>3443</v>
      </c>
      <c r="DF1151" s="5">
        <v>42186</v>
      </c>
      <c r="DG1151" s="5">
        <v>42185</v>
      </c>
      <c r="DH1151" s="4" t="s">
        <v>174</v>
      </c>
      <c r="DI1151" s="5">
        <v>42180</v>
      </c>
      <c r="DJ1151" s="4" t="b">
        <v>0</v>
      </c>
      <c r="DK1151" s="4"/>
      <c r="DL1151" s="4">
        <v>2535654</v>
      </c>
      <c r="DM1151" s="4">
        <v>6677006</v>
      </c>
      <c r="DN1151" s="4" t="s">
        <v>3497</v>
      </c>
      <c r="DO1151" s="4"/>
      <c r="DP1151" s="4" t="s">
        <v>3498</v>
      </c>
      <c r="DQ1151" s="4" t="s">
        <v>148</v>
      </c>
      <c r="DR1151" s="4"/>
      <c r="DS1151" s="4"/>
      <c r="DT1151" s="4"/>
      <c r="DU1151" s="4" t="s">
        <v>178</v>
      </c>
      <c r="DV1151" s="4"/>
      <c r="DW1151" s="5">
        <v>42076</v>
      </c>
      <c r="DX1151" s="5">
        <v>42039</v>
      </c>
      <c r="DY1151" s="5">
        <v>42101</v>
      </c>
      <c r="DZ1151" s="5">
        <v>42101</v>
      </c>
      <c r="EA1151" s="5">
        <v>42117</v>
      </c>
      <c r="EB1151" s="5">
        <v>42117</v>
      </c>
      <c r="EC1151" s="5">
        <v>42117</v>
      </c>
      <c r="ED1151" s="5">
        <v>42117</v>
      </c>
      <c r="EE1151" s="5">
        <v>42137</v>
      </c>
      <c r="EF1151" s="5">
        <v>42137</v>
      </c>
      <c r="EG1151" s="5">
        <v>42228</v>
      </c>
      <c r="EH1151" s="4"/>
      <c r="EI1151" s="5">
        <v>40991</v>
      </c>
    </row>
    <row r="1152" spans="1:139" hidden="1" x14ac:dyDescent="0.2">
      <c r="A1152">
        <f>VLOOKUP(B1152,Sheet1!$A$1:$B$18,2,FALSE)</f>
        <v>0</v>
      </c>
      <c r="B1152" t="str">
        <f>LEFT(D1152,3)</f>
        <v>NTH</v>
      </c>
      <c r="C1152" s="2">
        <v>1151</v>
      </c>
      <c r="D1152" s="3" t="str">
        <f>HYPERLINK("https://sitebase.nzcomms.co.nz/spm/spmnominalview/NTH-001-036/","NTH-001-036")</f>
        <v>NTH-001-036</v>
      </c>
      <c r="E1152" s="4" t="s">
        <v>3499</v>
      </c>
      <c r="F1152" s="4"/>
      <c r="G1152" s="4"/>
      <c r="H1152" s="4" t="s">
        <v>3437</v>
      </c>
      <c r="I1152" s="4"/>
      <c r="J1152" s="4" t="s">
        <v>196</v>
      </c>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t="b">
        <v>0</v>
      </c>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4"/>
      <c r="CW1152" s="4"/>
      <c r="CX1152" s="4"/>
      <c r="CY1152" s="4"/>
      <c r="CZ1152" s="4"/>
      <c r="DA1152" s="4"/>
      <c r="DB1152" s="4"/>
      <c r="DC1152" s="4"/>
      <c r="DD1152" s="4"/>
      <c r="DE1152" s="4"/>
      <c r="DF1152" s="4"/>
      <c r="DG1152" s="4"/>
      <c r="DH1152" s="4"/>
      <c r="DI1152" s="4"/>
      <c r="DJ1152" s="4"/>
      <c r="DK1152" s="4"/>
      <c r="DL1152" s="4"/>
      <c r="DM1152" s="4"/>
      <c r="DN1152" s="4"/>
      <c r="DO1152" s="4"/>
      <c r="DP1152" s="4"/>
      <c r="DQ1152" s="4"/>
      <c r="DR1152" s="4"/>
      <c r="DS1152" s="4"/>
      <c r="DT1152" s="4"/>
      <c r="DU1152" s="4"/>
      <c r="DV1152" s="4"/>
      <c r="DW1152" s="4"/>
      <c r="DX1152" s="4"/>
      <c r="DY1152" s="4"/>
      <c r="DZ1152" s="4"/>
      <c r="EA1152" s="4"/>
      <c r="EB1152" s="4"/>
      <c r="EC1152" s="4"/>
      <c r="ED1152" s="4"/>
      <c r="EE1152" s="4"/>
      <c r="EF1152" s="4"/>
      <c r="EG1152" s="4"/>
      <c r="EH1152" s="4"/>
      <c r="EI1152" s="4"/>
    </row>
    <row r="1153" spans="1:139" hidden="1" x14ac:dyDescent="0.2">
      <c r="A1153">
        <f>VLOOKUP(B1153,Sheet1!$A$1:$B$18,2,FALSE)</f>
        <v>0</v>
      </c>
      <c r="B1153" t="str">
        <f>LEFT(D1153,3)</f>
        <v>NTH</v>
      </c>
      <c r="C1153" s="2">
        <v>1152</v>
      </c>
      <c r="D1153" s="3" t="str">
        <f>HYPERLINK("https://sitebase.nzcomms.co.nz/spm/spmnominalview/NTH-001-037/","NTH-001-037")</f>
        <v>NTH-001-037</v>
      </c>
      <c r="E1153" s="4" t="s">
        <v>3500</v>
      </c>
      <c r="F1153" s="3" t="str">
        <f>HYPERLINK("https://sitebase.nzcomms.co.nz/spm/spmcandidateview/NTH-001-037-A/","NTH-001-037-A")</f>
        <v>NTH-001-037-A</v>
      </c>
      <c r="G1153" s="4" t="s">
        <v>3501</v>
      </c>
      <c r="H1153" s="4" t="s">
        <v>3437</v>
      </c>
      <c r="I1153" s="4">
        <v>23</v>
      </c>
      <c r="J1153" s="4" t="s">
        <v>165</v>
      </c>
      <c r="K1153" s="4" t="s">
        <v>141</v>
      </c>
      <c r="L1153" s="4" t="s">
        <v>142</v>
      </c>
      <c r="M1153" s="4" t="s">
        <v>190</v>
      </c>
      <c r="N1153" s="4" t="s">
        <v>142</v>
      </c>
      <c r="O1153" s="4"/>
      <c r="P1153" s="4" t="s">
        <v>169</v>
      </c>
      <c r="Q1153" s="4" t="s">
        <v>142</v>
      </c>
      <c r="R1153" s="4"/>
      <c r="S1153" s="4"/>
      <c r="T1153" s="4"/>
      <c r="U1153" s="4">
        <v>-34.955409680000002</v>
      </c>
      <c r="V1153" s="4">
        <v>173.54033989000001</v>
      </c>
      <c r="W1153" s="4"/>
      <c r="X1153" s="4"/>
      <c r="Y1153" s="4"/>
      <c r="Z1153" s="4"/>
      <c r="AA1153" s="4" t="s">
        <v>171</v>
      </c>
      <c r="AB1153" s="3" t="str">
        <f>HYPERLINK("https://sitebase.nzcomms.co.nz/spm/spmcandidateview/NTH-001-042-A/","NTH-001-042-A")</f>
        <v>NTH-001-042-A</v>
      </c>
      <c r="AC1153" s="4" t="b">
        <v>0</v>
      </c>
      <c r="AD1153" s="4" t="b">
        <v>0</v>
      </c>
      <c r="AE1153" s="4"/>
      <c r="AF1153" s="4"/>
      <c r="AG1153" s="4" t="b">
        <v>0</v>
      </c>
      <c r="AH1153" s="4"/>
      <c r="AI1153" s="5">
        <v>42030</v>
      </c>
      <c r="AJ1153" s="5">
        <v>41988</v>
      </c>
      <c r="AK1153" s="5">
        <v>42053</v>
      </c>
      <c r="AL1153" s="5">
        <v>42065</v>
      </c>
      <c r="AM1153" s="5">
        <v>42090</v>
      </c>
      <c r="AN1153" s="5">
        <v>42109</v>
      </c>
      <c r="AO1153" s="4">
        <v>1</v>
      </c>
      <c r="AP1153" s="5">
        <v>42090</v>
      </c>
      <c r="AQ1153" s="5">
        <v>42109</v>
      </c>
      <c r="AR1153" s="5">
        <v>42216</v>
      </c>
      <c r="AS1153" s="5">
        <v>42212</v>
      </c>
      <c r="AT1153" s="5">
        <v>42244</v>
      </c>
      <c r="AU1153" s="5">
        <v>42233</v>
      </c>
      <c r="AV1153" s="4"/>
      <c r="AW1153" s="5">
        <v>42279</v>
      </c>
      <c r="AX1153" s="5">
        <v>42233</v>
      </c>
      <c r="AY1153" s="4" t="s">
        <v>172</v>
      </c>
      <c r="AZ1153" s="5">
        <v>42104</v>
      </c>
      <c r="BA1153" s="5">
        <v>42111</v>
      </c>
      <c r="BB1153" s="5">
        <v>42146</v>
      </c>
      <c r="BC1153" s="5">
        <v>42139</v>
      </c>
      <c r="BD1153" s="4">
        <v>1</v>
      </c>
      <c r="BE1153" s="5">
        <v>42153</v>
      </c>
      <c r="BF1153" s="5">
        <v>42139</v>
      </c>
      <c r="BG1153" s="5">
        <v>42142</v>
      </c>
      <c r="BH1153" s="5">
        <v>42139</v>
      </c>
      <c r="BI1153" s="5">
        <v>42174</v>
      </c>
      <c r="BJ1153" s="5">
        <v>42177</v>
      </c>
      <c r="BK1153" s="4">
        <v>1</v>
      </c>
      <c r="BL1153" s="4"/>
      <c r="BM1153" s="5">
        <v>42174</v>
      </c>
      <c r="BN1153" s="5">
        <v>42177</v>
      </c>
      <c r="BO1153" s="4"/>
      <c r="BP1153" s="4"/>
      <c r="BQ1153" s="4"/>
      <c r="BR1153" s="4"/>
      <c r="BS1153" s="4"/>
      <c r="BT1153" s="5">
        <v>42254</v>
      </c>
      <c r="BU1153" s="5">
        <v>42235</v>
      </c>
      <c r="BV1153" s="5">
        <v>42312</v>
      </c>
      <c r="BW1153" s="5">
        <v>42312</v>
      </c>
      <c r="BX1153" s="4"/>
      <c r="BY1153" s="4"/>
      <c r="BZ1153" s="4"/>
      <c r="CA1153" s="4"/>
      <c r="CB1153" s="4"/>
      <c r="CC1153" s="4"/>
      <c r="CD1153" s="4"/>
      <c r="CE1153" s="4"/>
      <c r="CF1153" s="4"/>
      <c r="CG1153" s="4"/>
      <c r="CH1153" s="4"/>
      <c r="CI1153" s="4"/>
      <c r="CJ1153" s="5">
        <v>42355</v>
      </c>
      <c r="CK1153" s="5">
        <v>42353</v>
      </c>
      <c r="CL1153" s="4"/>
      <c r="CM1153" s="4"/>
      <c r="CN1153" s="4"/>
      <c r="CO1153" s="4"/>
      <c r="CP1153" s="4" t="s">
        <v>3502</v>
      </c>
      <c r="CQ1153" s="4" t="s">
        <v>230</v>
      </c>
      <c r="CR1153" s="4"/>
      <c r="CS1153" s="4"/>
      <c r="CT1153" s="4"/>
      <c r="CU1153" s="4"/>
      <c r="CV1153" s="4"/>
      <c r="CW1153" s="4"/>
      <c r="CX1153" s="4"/>
      <c r="CY1153" s="4"/>
      <c r="CZ1153" s="4"/>
      <c r="DA1153" s="5">
        <v>42349</v>
      </c>
      <c r="DB1153" s="5">
        <v>42346</v>
      </c>
      <c r="DC1153" s="4"/>
      <c r="DD1153" s="4"/>
      <c r="DE1153" s="4"/>
      <c r="DF1153" s="4"/>
      <c r="DG1153" s="4"/>
      <c r="DH1153" s="4" t="s">
        <v>174</v>
      </c>
      <c r="DI1153" s="4"/>
      <c r="DJ1153" s="4" t="b">
        <v>0</v>
      </c>
      <c r="DK1153" s="4"/>
      <c r="DL1153" s="4">
        <v>2560242</v>
      </c>
      <c r="DM1153" s="4">
        <v>6693800</v>
      </c>
      <c r="DN1153" s="4" t="s">
        <v>3503</v>
      </c>
      <c r="DO1153" s="4"/>
      <c r="DP1153" s="4"/>
      <c r="DQ1153" s="4" t="s">
        <v>148</v>
      </c>
      <c r="DR1153" s="4"/>
      <c r="DS1153" s="4"/>
      <c r="DT1153" s="4"/>
      <c r="DU1153" s="4" t="s">
        <v>178</v>
      </c>
      <c r="DV1153" s="4"/>
      <c r="DW1153" s="4"/>
      <c r="DX1153" s="5">
        <v>42118</v>
      </c>
      <c r="DY1153" s="5">
        <v>42205</v>
      </c>
      <c r="DZ1153" s="5">
        <v>42172</v>
      </c>
      <c r="EA1153" s="4"/>
      <c r="EB1153" s="4"/>
      <c r="EC1153" s="4"/>
      <c r="ED1153" s="4"/>
      <c r="EE1153" s="5">
        <v>42244</v>
      </c>
      <c r="EF1153" s="5">
        <v>42219</v>
      </c>
      <c r="EG1153" s="4"/>
      <c r="EH1153" s="4"/>
      <c r="EI1153" s="5">
        <v>42065</v>
      </c>
    </row>
    <row r="1154" spans="1:139" hidden="1" x14ac:dyDescent="0.2">
      <c r="A1154">
        <f>VLOOKUP(B1154,Sheet1!$A$1:$B$18,2,FALSE)</f>
        <v>0</v>
      </c>
      <c r="B1154" t="str">
        <f>LEFT(D1154,3)</f>
        <v>NTH</v>
      </c>
      <c r="C1154" s="2">
        <v>1153</v>
      </c>
      <c r="D1154" s="3" t="str">
        <f>HYPERLINK("https://sitebase.nzcomms.co.nz/spm/spmnominalview/NTH-001-038/","NTH-001-038")</f>
        <v>NTH-001-038</v>
      </c>
      <c r="E1154" s="4" t="s">
        <v>3504</v>
      </c>
      <c r="F1154" s="4"/>
      <c r="G1154" s="4"/>
      <c r="H1154" s="4" t="s">
        <v>3437</v>
      </c>
      <c r="I1154" s="4"/>
      <c r="J1154" s="4" t="s">
        <v>196</v>
      </c>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c r="BK1154" s="4"/>
      <c r="BL1154" s="4"/>
      <c r="BM1154" s="4"/>
      <c r="BN1154" s="4"/>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4"/>
      <c r="CL1154" s="4"/>
      <c r="CM1154" s="4"/>
      <c r="CN1154" s="4"/>
      <c r="CO1154" s="4"/>
      <c r="CP1154" s="4"/>
      <c r="CQ1154" s="4"/>
      <c r="CR1154" s="4"/>
      <c r="CS1154" s="4"/>
      <c r="CT1154" s="4"/>
      <c r="CU1154" s="4"/>
      <c r="CV1154" s="4"/>
      <c r="CW1154" s="4"/>
      <c r="CX1154" s="4"/>
      <c r="CY1154" s="4"/>
      <c r="CZ1154" s="4"/>
      <c r="DA1154" s="4"/>
      <c r="DB1154" s="4"/>
      <c r="DC1154" s="4"/>
      <c r="DD1154" s="4"/>
      <c r="DE1154" s="4"/>
      <c r="DF1154" s="4"/>
      <c r="DG1154" s="4"/>
      <c r="DH1154" s="4"/>
      <c r="DI1154" s="4"/>
      <c r="DJ1154" s="4"/>
      <c r="DK1154" s="4"/>
      <c r="DL1154" s="4"/>
      <c r="DM1154" s="4"/>
      <c r="DN1154" s="4"/>
      <c r="DO1154" s="4"/>
      <c r="DP1154" s="4"/>
      <c r="DQ1154" s="4"/>
      <c r="DR1154" s="4"/>
      <c r="DS1154" s="4"/>
      <c r="DT1154" s="4"/>
      <c r="DU1154" s="4"/>
      <c r="DV1154" s="4"/>
      <c r="DW1154" s="4"/>
      <c r="DX1154" s="4"/>
      <c r="DY1154" s="4"/>
      <c r="DZ1154" s="4"/>
      <c r="EA1154" s="4"/>
      <c r="EB1154" s="4"/>
      <c r="EC1154" s="4"/>
      <c r="ED1154" s="4"/>
      <c r="EE1154" s="4"/>
      <c r="EF1154" s="4"/>
      <c r="EG1154" s="4"/>
      <c r="EH1154" s="4"/>
      <c r="EI1154" s="4"/>
    </row>
    <row r="1155" spans="1:139" hidden="1" x14ac:dyDescent="0.2">
      <c r="A1155">
        <f>VLOOKUP(B1155,Sheet1!$A$1:$B$18,2,FALSE)</f>
        <v>0</v>
      </c>
      <c r="B1155" t="str">
        <f>LEFT(D1155,3)</f>
        <v>NTH</v>
      </c>
      <c r="C1155" s="2">
        <v>1154</v>
      </c>
      <c r="D1155" s="3" t="str">
        <f>HYPERLINK("https://sitebase.nzcomms.co.nz/spm/spmnominalview/NTH-001-039/","NTH-001-039")</f>
        <v>NTH-001-039</v>
      </c>
      <c r="E1155" s="4" t="s">
        <v>3505</v>
      </c>
      <c r="F1155" s="3" t="str">
        <f>HYPERLINK("https://sitebase.nzcomms.co.nz/spm/spmcandidateview/NTH-001-039-A/","NTH-001-039-A")</f>
        <v>NTH-001-039-A</v>
      </c>
      <c r="G1155" s="4" t="s">
        <v>3506</v>
      </c>
      <c r="H1155" s="4" t="s">
        <v>3437</v>
      </c>
      <c r="I1155" s="4">
        <v>23</v>
      </c>
      <c r="J1155" s="4" t="s">
        <v>165</v>
      </c>
      <c r="K1155" s="4" t="s">
        <v>141</v>
      </c>
      <c r="L1155" s="4" t="s">
        <v>142</v>
      </c>
      <c r="M1155" s="4" t="s">
        <v>324</v>
      </c>
      <c r="N1155" s="4" t="s">
        <v>142</v>
      </c>
      <c r="O1155" s="4"/>
      <c r="P1155" s="4"/>
      <c r="Q1155" s="4" t="s">
        <v>142</v>
      </c>
      <c r="R1155" s="4"/>
      <c r="S1155" s="4"/>
      <c r="T1155" s="4"/>
      <c r="U1155" s="4">
        <v>-35.407010329999999</v>
      </c>
      <c r="V1155" s="4">
        <v>173.79781659</v>
      </c>
      <c r="W1155" s="4"/>
      <c r="X1155" s="4"/>
      <c r="Y1155" s="4"/>
      <c r="Z1155" s="4"/>
      <c r="AA1155" s="4" t="s">
        <v>145</v>
      </c>
      <c r="AB1155" s="3" t="str">
        <f>HYPERLINK("https://sitebase.nzcomms.co.nz/spm/spmcandidateview/NTH-001-040-A/","NTH-001-040-A")</f>
        <v>NTH-001-040-A</v>
      </c>
      <c r="AC1155" s="4" t="b">
        <v>0</v>
      </c>
      <c r="AD1155" s="4" t="b">
        <v>0</v>
      </c>
      <c r="AE1155" s="4"/>
      <c r="AF1155" s="4"/>
      <c r="AG1155" s="4" t="b">
        <v>0</v>
      </c>
      <c r="AH1155" s="4"/>
      <c r="AI1155" s="5">
        <v>41015</v>
      </c>
      <c r="AJ1155" s="5">
        <v>41015</v>
      </c>
      <c r="AK1155" s="5">
        <v>41029</v>
      </c>
      <c r="AL1155" s="5">
        <v>41029</v>
      </c>
      <c r="AM1155" s="5">
        <v>41054</v>
      </c>
      <c r="AN1155" s="5">
        <v>41067</v>
      </c>
      <c r="AO1155" s="4">
        <v>1</v>
      </c>
      <c r="AP1155" s="5">
        <v>41068</v>
      </c>
      <c r="AQ1155" s="5">
        <v>41067</v>
      </c>
      <c r="AR1155" s="5">
        <v>42090</v>
      </c>
      <c r="AS1155" s="5">
        <v>42093</v>
      </c>
      <c r="AT1155" s="5">
        <v>42124</v>
      </c>
      <c r="AU1155" s="5">
        <v>42114</v>
      </c>
      <c r="AV1155" s="4"/>
      <c r="AW1155" s="5">
        <v>42132</v>
      </c>
      <c r="AX1155" s="5">
        <v>42129</v>
      </c>
      <c r="AY1155" s="4" t="s">
        <v>183</v>
      </c>
      <c r="AZ1155" s="5">
        <v>41106</v>
      </c>
      <c r="BA1155" s="5">
        <v>41107</v>
      </c>
      <c r="BB1155" s="5">
        <v>41134</v>
      </c>
      <c r="BC1155" s="5">
        <v>41143</v>
      </c>
      <c r="BD1155" s="4">
        <v>1</v>
      </c>
      <c r="BE1155" s="5">
        <v>41141</v>
      </c>
      <c r="BF1155" s="5">
        <v>41145</v>
      </c>
      <c r="BG1155" s="5">
        <v>42074</v>
      </c>
      <c r="BH1155" s="5">
        <v>42074</v>
      </c>
      <c r="BI1155" s="5">
        <v>42111</v>
      </c>
      <c r="BJ1155" s="5">
        <v>42128</v>
      </c>
      <c r="BK1155" s="4">
        <v>1</v>
      </c>
      <c r="BL1155" s="4"/>
      <c r="BM1155" s="5">
        <v>42111</v>
      </c>
      <c r="BN1155" s="5">
        <v>42128</v>
      </c>
      <c r="BO1155" s="4"/>
      <c r="BP1155" s="4"/>
      <c r="BQ1155" s="4"/>
      <c r="BR1155" s="4"/>
      <c r="BS1155" s="4"/>
      <c r="BT1155" s="5">
        <v>42149</v>
      </c>
      <c r="BU1155" s="5">
        <v>42137</v>
      </c>
      <c r="BV1155" s="5">
        <v>42174</v>
      </c>
      <c r="BW1155" s="5">
        <v>42194</v>
      </c>
      <c r="BX1155" s="5">
        <v>42151</v>
      </c>
      <c r="BY1155" s="5">
        <v>42167</v>
      </c>
      <c r="BZ1155" s="5">
        <v>42191</v>
      </c>
      <c r="CA1155" s="5">
        <v>42181</v>
      </c>
      <c r="CB1155" s="5">
        <v>42188</v>
      </c>
      <c r="CC1155" s="4"/>
      <c r="CD1155" s="4"/>
      <c r="CE1155" s="4"/>
      <c r="CF1155" s="4"/>
      <c r="CG1155" s="4"/>
      <c r="CH1155" s="4"/>
      <c r="CI1155" s="4"/>
      <c r="CJ1155" s="5">
        <v>42188</v>
      </c>
      <c r="CK1155" s="5">
        <v>42194</v>
      </c>
      <c r="CL1155" s="4"/>
      <c r="CM1155" s="4"/>
      <c r="CN1155" s="4"/>
      <c r="CO1155" s="4"/>
      <c r="CP1155" s="4" t="s">
        <v>3507</v>
      </c>
      <c r="CQ1155" s="4" t="s">
        <v>205</v>
      </c>
      <c r="CR1155" s="4"/>
      <c r="CS1155" s="4"/>
      <c r="CT1155" s="4"/>
      <c r="CU1155" s="4"/>
      <c r="CV1155" s="4"/>
      <c r="CW1155" s="4"/>
      <c r="CX1155" s="4"/>
      <c r="CY1155" s="4"/>
      <c r="CZ1155" s="4"/>
      <c r="DA1155" s="5">
        <v>42181</v>
      </c>
      <c r="DB1155" s="5">
        <v>42191</v>
      </c>
      <c r="DC1155" s="4"/>
      <c r="DD1155" s="4"/>
      <c r="DE1155" s="4" t="s">
        <v>1982</v>
      </c>
      <c r="DF1155" s="5">
        <v>42153</v>
      </c>
      <c r="DG1155" s="5">
        <v>42188</v>
      </c>
      <c r="DH1155" s="4" t="s">
        <v>174</v>
      </c>
      <c r="DI1155" s="5">
        <v>42167</v>
      </c>
      <c r="DJ1155" s="4" t="b">
        <v>0</v>
      </c>
      <c r="DK1155" s="4"/>
      <c r="DL1155" s="4">
        <v>2583224</v>
      </c>
      <c r="DM1155" s="4">
        <v>6643473</v>
      </c>
      <c r="DN1155" s="4"/>
      <c r="DO1155" s="4"/>
      <c r="DP1155" s="4" t="s">
        <v>3508</v>
      </c>
      <c r="DQ1155" s="4" t="s">
        <v>328</v>
      </c>
      <c r="DR1155" s="4"/>
      <c r="DS1155" s="4"/>
      <c r="DT1155" s="4"/>
      <c r="DU1155" s="4" t="s">
        <v>178</v>
      </c>
      <c r="DV1155" s="4"/>
      <c r="DW1155" s="4"/>
      <c r="DX1155" s="5">
        <v>41992</v>
      </c>
      <c r="DY1155" s="5">
        <v>42123</v>
      </c>
      <c r="DZ1155" s="5">
        <v>42123</v>
      </c>
      <c r="EA1155" s="5">
        <v>42117</v>
      </c>
      <c r="EB1155" s="5">
        <v>42117</v>
      </c>
      <c r="EC1155" s="5">
        <v>42117</v>
      </c>
      <c r="ED1155" s="5">
        <v>42117</v>
      </c>
      <c r="EE1155" s="4"/>
      <c r="EF1155" s="5">
        <v>42144</v>
      </c>
      <c r="EG1155" s="4"/>
      <c r="EH1155" s="4"/>
      <c r="EI1155" s="5">
        <v>41029</v>
      </c>
    </row>
    <row r="1156" spans="1:139" hidden="1" x14ac:dyDescent="0.2">
      <c r="A1156">
        <f>VLOOKUP(B1156,Sheet1!$A$1:$B$18,2,FALSE)</f>
        <v>0</v>
      </c>
      <c r="B1156" t="str">
        <f>LEFT(D1156,3)</f>
        <v>NTH</v>
      </c>
      <c r="C1156" s="2">
        <v>1155</v>
      </c>
      <c r="D1156" s="3" t="str">
        <f>HYPERLINK("https://sitebase.nzcomms.co.nz/spm/spmnominalview/NTH-001-040/","NTH-001-040")</f>
        <v>NTH-001-040</v>
      </c>
      <c r="E1156" s="4" t="s">
        <v>3509</v>
      </c>
      <c r="F1156" s="3" t="str">
        <f>HYPERLINK("https://sitebase.nzcomms.co.nz/spm/spmcandidateview/NTH-001-040-A/","NTH-001-040-A")</f>
        <v>NTH-001-040-A</v>
      </c>
      <c r="G1156" s="4" t="s">
        <v>3510</v>
      </c>
      <c r="H1156" s="4" t="s">
        <v>3437</v>
      </c>
      <c r="I1156" s="4">
        <v>23</v>
      </c>
      <c r="J1156" s="4" t="s">
        <v>165</v>
      </c>
      <c r="K1156" s="4" t="s">
        <v>141</v>
      </c>
      <c r="L1156" s="4" t="s">
        <v>142</v>
      </c>
      <c r="M1156" s="4" t="s">
        <v>324</v>
      </c>
      <c r="N1156" s="4" t="s">
        <v>364</v>
      </c>
      <c r="O1156" s="4"/>
      <c r="P1156" s="4"/>
      <c r="Q1156" s="4" t="s">
        <v>142</v>
      </c>
      <c r="R1156" s="4">
        <v>0</v>
      </c>
      <c r="S1156" s="4">
        <v>0</v>
      </c>
      <c r="T1156" s="4"/>
      <c r="U1156" s="4"/>
      <c r="V1156" s="4"/>
      <c r="W1156" s="4"/>
      <c r="X1156" s="4"/>
      <c r="Y1156" s="4"/>
      <c r="Z1156" s="4"/>
      <c r="AA1156" s="4" t="s">
        <v>145</v>
      </c>
      <c r="AB1156" s="3" t="str">
        <f>HYPERLINK("https://sitebase.nzcomms.co.nz/spm/spmcandidateview/NTH-002-011-A/","NTH-002-011-A")</f>
        <v>NTH-002-011-A</v>
      </c>
      <c r="AC1156" s="4" t="b">
        <v>0</v>
      </c>
      <c r="AD1156" s="4" t="b">
        <v>0</v>
      </c>
      <c r="AE1156" s="4"/>
      <c r="AF1156" s="4"/>
      <c r="AG1156" s="4" t="b">
        <v>0</v>
      </c>
      <c r="AH1156" s="4"/>
      <c r="AI1156" s="5">
        <v>42052</v>
      </c>
      <c r="AJ1156" s="5">
        <v>40973</v>
      </c>
      <c r="AK1156" s="5">
        <v>42052</v>
      </c>
      <c r="AL1156" s="5">
        <v>42059</v>
      </c>
      <c r="AM1156" s="5">
        <v>42069</v>
      </c>
      <c r="AN1156" s="5">
        <v>42066</v>
      </c>
      <c r="AO1156" s="4">
        <v>1</v>
      </c>
      <c r="AP1156" s="5">
        <v>42076</v>
      </c>
      <c r="AQ1156" s="5">
        <v>42066</v>
      </c>
      <c r="AR1156" s="5">
        <v>42083</v>
      </c>
      <c r="AS1156" s="5">
        <v>42061</v>
      </c>
      <c r="AT1156" s="5">
        <v>42090</v>
      </c>
      <c r="AU1156" s="5">
        <v>42060</v>
      </c>
      <c r="AV1156" s="4"/>
      <c r="AW1156" s="5">
        <v>42097</v>
      </c>
      <c r="AX1156" s="5">
        <v>42061</v>
      </c>
      <c r="AY1156" s="4" t="s">
        <v>172</v>
      </c>
      <c r="AZ1156" s="5">
        <v>42076</v>
      </c>
      <c r="BA1156" s="5">
        <v>42093</v>
      </c>
      <c r="BB1156" s="5">
        <v>42090</v>
      </c>
      <c r="BC1156" s="5">
        <v>42093</v>
      </c>
      <c r="BD1156" s="4">
        <v>1</v>
      </c>
      <c r="BE1156" s="5">
        <v>42090</v>
      </c>
      <c r="BF1156" s="5">
        <v>42061</v>
      </c>
      <c r="BG1156" s="5">
        <v>42076</v>
      </c>
      <c r="BH1156" s="5">
        <v>42066</v>
      </c>
      <c r="BI1156" s="5">
        <v>42069</v>
      </c>
      <c r="BJ1156" s="5">
        <v>42076</v>
      </c>
      <c r="BK1156" s="4">
        <v>1</v>
      </c>
      <c r="BL1156" s="4"/>
      <c r="BM1156" s="5">
        <v>42076</v>
      </c>
      <c r="BN1156" s="5">
        <v>42076</v>
      </c>
      <c r="BO1156" s="4"/>
      <c r="BP1156" s="4"/>
      <c r="BQ1156" s="4"/>
      <c r="BR1156" s="4"/>
      <c r="BS1156" s="4"/>
      <c r="BT1156" s="5">
        <v>42107</v>
      </c>
      <c r="BU1156" s="5">
        <v>42107</v>
      </c>
      <c r="BV1156" s="5">
        <v>42110</v>
      </c>
      <c r="BW1156" s="5">
        <v>42116</v>
      </c>
      <c r="BX1156" s="5">
        <v>42121</v>
      </c>
      <c r="BY1156" s="5">
        <v>42149</v>
      </c>
      <c r="BZ1156" s="5">
        <v>42149</v>
      </c>
      <c r="CA1156" s="5">
        <v>42132</v>
      </c>
      <c r="CB1156" s="4"/>
      <c r="CC1156" s="4"/>
      <c r="CD1156" s="4"/>
      <c r="CE1156" s="4"/>
      <c r="CF1156" s="4"/>
      <c r="CG1156" s="4"/>
      <c r="CH1156" s="4"/>
      <c r="CI1156" s="5">
        <v>42149</v>
      </c>
      <c r="CJ1156" s="5">
        <v>42167</v>
      </c>
      <c r="CK1156" s="5">
        <v>42160</v>
      </c>
      <c r="CL1156" s="4"/>
      <c r="CM1156" s="5">
        <v>42163</v>
      </c>
      <c r="CN1156" s="5">
        <v>42163</v>
      </c>
      <c r="CO1156" s="5">
        <v>42163</v>
      </c>
      <c r="CP1156" s="4" t="s">
        <v>3511</v>
      </c>
      <c r="CQ1156" s="4" t="s">
        <v>205</v>
      </c>
      <c r="CR1156" s="5">
        <v>42149</v>
      </c>
      <c r="CS1156" s="4"/>
      <c r="CT1156" s="4"/>
      <c r="CU1156" s="4"/>
      <c r="CV1156" s="4"/>
      <c r="CW1156" s="4"/>
      <c r="CX1156" s="4"/>
      <c r="CY1156" s="4"/>
      <c r="CZ1156" s="4"/>
      <c r="DA1156" s="5">
        <v>42153</v>
      </c>
      <c r="DB1156" s="5">
        <v>42152</v>
      </c>
      <c r="DC1156" s="4"/>
      <c r="DD1156" s="4"/>
      <c r="DE1156" s="4" t="s">
        <v>1982</v>
      </c>
      <c r="DF1156" s="5">
        <v>42110</v>
      </c>
      <c r="DG1156" s="5">
        <v>42117</v>
      </c>
      <c r="DH1156" s="4" t="s">
        <v>174</v>
      </c>
      <c r="DI1156" s="5">
        <v>42121</v>
      </c>
      <c r="DJ1156" s="4" t="b">
        <v>0</v>
      </c>
      <c r="DK1156" s="4"/>
      <c r="DL1156" s="4"/>
      <c r="DM1156" s="4"/>
      <c r="DN1156" s="4" t="s">
        <v>3512</v>
      </c>
      <c r="DO1156" s="4"/>
      <c r="DP1156" s="4"/>
      <c r="DQ1156" s="4" t="s">
        <v>328</v>
      </c>
      <c r="DR1156" s="4"/>
      <c r="DS1156" s="4"/>
      <c r="DT1156" s="4"/>
      <c r="DU1156" s="4" t="s">
        <v>178</v>
      </c>
      <c r="DV1156" s="4"/>
      <c r="DW1156" s="4"/>
      <c r="DX1156" s="5">
        <v>42038</v>
      </c>
      <c r="DY1156" s="5">
        <v>42101</v>
      </c>
      <c r="DZ1156" s="5">
        <v>42101</v>
      </c>
      <c r="EA1156" s="5">
        <v>42117</v>
      </c>
      <c r="EB1156" s="5">
        <v>42117</v>
      </c>
      <c r="EC1156" s="5">
        <v>42117</v>
      </c>
      <c r="ED1156" s="5">
        <v>42117</v>
      </c>
      <c r="EE1156" s="5">
        <v>42128</v>
      </c>
      <c r="EF1156" s="5">
        <v>42128</v>
      </c>
      <c r="EG1156" s="5">
        <v>42163</v>
      </c>
      <c r="EH1156" s="5">
        <v>42163</v>
      </c>
      <c r="EI1156" s="5">
        <v>42059</v>
      </c>
    </row>
    <row r="1157" spans="1:139" hidden="1" x14ac:dyDescent="0.2">
      <c r="A1157">
        <f>VLOOKUP(B1157,Sheet1!$A$1:$B$18,2,FALSE)</f>
        <v>0</v>
      </c>
      <c r="B1157" t="str">
        <f>LEFT(D1157,3)</f>
        <v>NTH</v>
      </c>
      <c r="C1157" s="2">
        <v>1156</v>
      </c>
      <c r="D1157" s="3" t="str">
        <f>HYPERLINK("https://sitebase.nzcomms.co.nz/spm/spmnominalview/NTH-001-041/","NTH-001-041")</f>
        <v>NTH-001-041</v>
      </c>
      <c r="E1157" s="4" t="s">
        <v>3513</v>
      </c>
      <c r="F1157" s="3" t="str">
        <f>HYPERLINK("https://sitebase.nzcomms.co.nz/spm/spmcandidateview/NTH-001-041-A/","NTH-001-041-A")</f>
        <v>NTH-001-041-A</v>
      </c>
      <c r="G1157" s="4" t="s">
        <v>3514</v>
      </c>
      <c r="H1157" s="4" t="s">
        <v>3437</v>
      </c>
      <c r="I1157" s="4"/>
      <c r="J1157" s="4" t="s">
        <v>317</v>
      </c>
      <c r="K1157" s="4" t="s">
        <v>141</v>
      </c>
      <c r="L1157" s="4" t="s">
        <v>181</v>
      </c>
      <c r="M1157" s="4" t="s">
        <v>324</v>
      </c>
      <c r="N1157" s="4" t="s">
        <v>181</v>
      </c>
      <c r="O1157" s="4"/>
      <c r="P1157" s="4"/>
      <c r="Q1157" s="4"/>
      <c r="R1157" s="4"/>
      <c r="S1157" s="4"/>
      <c r="T1157" s="4"/>
      <c r="U1157" s="4"/>
      <c r="V1157" s="4"/>
      <c r="W1157" s="4"/>
      <c r="X1157" s="4"/>
      <c r="Y1157" s="4"/>
      <c r="Z1157" s="4"/>
      <c r="AA1157" s="4" t="s">
        <v>145</v>
      </c>
      <c r="AB1157" s="3" t="str">
        <f>HYPERLINK("https://sitebase.nzcomms.co.nz/spm/spmcandidateview/AKL-005-078-A/","AKL-005-078-A")</f>
        <v>AKL-005-078-A</v>
      </c>
      <c r="AC1157" s="4" t="b">
        <v>0</v>
      </c>
      <c r="AD1157" s="4" t="b">
        <v>0</v>
      </c>
      <c r="AE1157" s="4"/>
      <c r="AF1157" s="4"/>
      <c r="AG1157" s="4" t="b">
        <v>0</v>
      </c>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5">
        <v>41726</v>
      </c>
      <c r="CL1157" s="4"/>
      <c r="CM1157" s="4"/>
      <c r="CN1157" s="4"/>
      <c r="CO1157" s="4"/>
      <c r="CP1157" s="4"/>
      <c r="CQ1157" s="4"/>
      <c r="CR1157" s="4"/>
      <c r="CS1157" s="4"/>
      <c r="CT1157" s="4"/>
      <c r="CU1157" s="4"/>
      <c r="CV1157" s="4"/>
      <c r="CW1157" s="4"/>
      <c r="CX1157" s="4"/>
      <c r="CY1157" s="4"/>
      <c r="CZ1157" s="4"/>
      <c r="DA1157" s="4"/>
      <c r="DB1157" s="4"/>
      <c r="DC1157" s="4"/>
      <c r="DD1157" s="4"/>
      <c r="DE1157" s="4"/>
      <c r="DF1157" s="4"/>
      <c r="DG1157" s="4"/>
      <c r="DH1157" s="4"/>
      <c r="DI1157" s="4"/>
      <c r="DJ1157" s="4"/>
      <c r="DK1157" s="4"/>
      <c r="DL1157" s="4"/>
      <c r="DM1157" s="4"/>
      <c r="DN1157" s="4" t="s">
        <v>3515</v>
      </c>
      <c r="DO1157" s="4"/>
      <c r="DP1157" s="4"/>
      <c r="DQ1157" s="4" t="s">
        <v>328</v>
      </c>
      <c r="DR1157" s="4"/>
      <c r="DS1157" s="4"/>
      <c r="DT1157" s="4"/>
      <c r="DU1157" s="4"/>
      <c r="DV1157" s="4"/>
      <c r="DW1157" s="4"/>
      <c r="DX1157" s="4"/>
      <c r="DY1157" s="4"/>
      <c r="DZ1157" s="4"/>
      <c r="EA1157" s="4"/>
      <c r="EB1157" s="4"/>
      <c r="EC1157" s="4"/>
      <c r="ED1157" s="4"/>
      <c r="EE1157" s="4"/>
      <c r="EF1157" s="4"/>
      <c r="EG1157" s="4"/>
      <c r="EH1157" s="4"/>
      <c r="EI1157" s="4"/>
    </row>
    <row r="1158" spans="1:139" hidden="1" x14ac:dyDescent="0.2">
      <c r="A1158">
        <f>VLOOKUP(B1158,Sheet1!$A$1:$B$18,2,FALSE)</f>
        <v>0</v>
      </c>
      <c r="B1158" t="str">
        <f>LEFT(D1158,3)</f>
        <v>NTH</v>
      </c>
      <c r="C1158" s="2">
        <v>1157</v>
      </c>
      <c r="D1158" s="3" t="str">
        <f>HYPERLINK("https://sitebase.nzcomms.co.nz/spm/spmnominalview/NTH-001-042/","NTH-001-042")</f>
        <v>NTH-001-042</v>
      </c>
      <c r="E1158" s="4" t="s">
        <v>3516</v>
      </c>
      <c r="F1158" s="3" t="str">
        <f>HYPERLINK("https://sitebase.nzcomms.co.nz/spm/spmcandidateview/NTH-001-042-A/","NTH-001-042-A")</f>
        <v>NTH-001-042-A</v>
      </c>
      <c r="G1158" s="4" t="s">
        <v>3516</v>
      </c>
      <c r="H1158" s="4" t="s">
        <v>3437</v>
      </c>
      <c r="I1158" s="4">
        <v>23</v>
      </c>
      <c r="J1158" s="4" t="s">
        <v>165</v>
      </c>
      <c r="K1158" s="4" t="s">
        <v>141</v>
      </c>
      <c r="L1158" s="4" t="s">
        <v>142</v>
      </c>
      <c r="M1158" s="4" t="s">
        <v>324</v>
      </c>
      <c r="N1158" s="4" t="s">
        <v>612</v>
      </c>
      <c r="O1158" s="4"/>
      <c r="P1158" s="4"/>
      <c r="Q1158" s="4" t="s">
        <v>142</v>
      </c>
      <c r="R1158" s="4">
        <v>8.6</v>
      </c>
      <c r="S1158" s="4">
        <v>9.5</v>
      </c>
      <c r="T1158" s="4"/>
      <c r="U1158" s="4"/>
      <c r="V1158" s="4"/>
      <c r="W1158" s="4"/>
      <c r="X1158" s="4"/>
      <c r="Y1158" s="4"/>
      <c r="Z1158" s="4"/>
      <c r="AA1158" s="4" t="s">
        <v>145</v>
      </c>
      <c r="AB1158" s="3" t="str">
        <f>HYPERLINK("https://sitebase.nzcomms.co.nz/spm/spmcandidateview/NTH-001-040-A/","NTH-001-040-A")</f>
        <v>NTH-001-040-A</v>
      </c>
      <c r="AC1158" s="4" t="b">
        <v>0</v>
      </c>
      <c r="AD1158" s="4" t="b">
        <v>0</v>
      </c>
      <c r="AE1158" s="4"/>
      <c r="AF1158" s="4"/>
      <c r="AG1158" s="4" t="b">
        <v>0</v>
      </c>
      <c r="AH1158" s="4"/>
      <c r="AI1158" s="5">
        <v>42030</v>
      </c>
      <c r="AJ1158" s="5">
        <v>41988</v>
      </c>
      <c r="AK1158" s="5">
        <v>42052</v>
      </c>
      <c r="AL1158" s="5">
        <v>42053</v>
      </c>
      <c r="AM1158" s="5">
        <v>42083</v>
      </c>
      <c r="AN1158" s="5">
        <v>42087</v>
      </c>
      <c r="AO1158" s="4">
        <v>2</v>
      </c>
      <c r="AP1158" s="5">
        <v>42090</v>
      </c>
      <c r="AQ1158" s="5">
        <v>42171</v>
      </c>
      <c r="AR1158" s="5">
        <v>42146</v>
      </c>
      <c r="AS1158" s="5">
        <v>42142</v>
      </c>
      <c r="AT1158" s="5">
        <v>42153</v>
      </c>
      <c r="AU1158" s="5">
        <v>42142</v>
      </c>
      <c r="AV1158" s="4"/>
      <c r="AW1158" s="5">
        <v>42160</v>
      </c>
      <c r="AX1158" s="5">
        <v>42146</v>
      </c>
      <c r="AY1158" s="4" t="s">
        <v>183</v>
      </c>
      <c r="AZ1158" s="5">
        <v>42095</v>
      </c>
      <c r="BA1158" s="5">
        <v>42090</v>
      </c>
      <c r="BB1158" s="5">
        <v>42149</v>
      </c>
      <c r="BC1158" s="5">
        <v>42129</v>
      </c>
      <c r="BD1158" s="4">
        <v>1</v>
      </c>
      <c r="BE1158" s="5">
        <v>42153</v>
      </c>
      <c r="BF1158" s="5">
        <v>42129</v>
      </c>
      <c r="BG1158" s="5">
        <v>42128</v>
      </c>
      <c r="BH1158" s="5">
        <v>42139</v>
      </c>
      <c r="BI1158" s="5">
        <v>42167</v>
      </c>
      <c r="BJ1158" s="5">
        <v>42166</v>
      </c>
      <c r="BK1158" s="4">
        <v>1</v>
      </c>
      <c r="BL1158" s="4"/>
      <c r="BM1158" s="5">
        <v>42174</v>
      </c>
      <c r="BN1158" s="5">
        <v>42166</v>
      </c>
      <c r="BO1158" s="4"/>
      <c r="BP1158" s="4"/>
      <c r="BQ1158" s="4"/>
      <c r="BR1158" s="4"/>
      <c r="BS1158" s="4"/>
      <c r="BT1158" s="5">
        <v>42240</v>
      </c>
      <c r="BU1158" s="5">
        <v>42241</v>
      </c>
      <c r="BV1158" s="5">
        <v>42286</v>
      </c>
      <c r="BW1158" s="5">
        <v>42286</v>
      </c>
      <c r="BX1158" s="4"/>
      <c r="BY1158" s="4"/>
      <c r="BZ1158" s="4"/>
      <c r="CA1158" s="5">
        <v>42277</v>
      </c>
      <c r="CB1158" s="5">
        <v>42263</v>
      </c>
      <c r="CC1158" s="4"/>
      <c r="CD1158" s="4"/>
      <c r="CE1158" s="4"/>
      <c r="CF1158" s="4"/>
      <c r="CG1158" s="4"/>
      <c r="CH1158" s="4"/>
      <c r="CI1158" s="4"/>
      <c r="CJ1158" s="5">
        <v>42303</v>
      </c>
      <c r="CK1158" s="5">
        <v>42298</v>
      </c>
      <c r="CL1158" s="4"/>
      <c r="CM1158" s="4"/>
      <c r="CN1158" s="4"/>
      <c r="CO1158" s="4"/>
      <c r="CP1158" s="4" t="s">
        <v>3517</v>
      </c>
      <c r="CQ1158" s="4" t="s">
        <v>205</v>
      </c>
      <c r="CR1158" s="4"/>
      <c r="CS1158" s="4"/>
      <c r="CT1158" s="4"/>
      <c r="CU1158" s="4"/>
      <c r="CV1158" s="4"/>
      <c r="CW1158" s="4"/>
      <c r="CX1158" s="4"/>
      <c r="CY1158" s="4"/>
      <c r="CZ1158" s="4"/>
      <c r="DA1158" s="5">
        <v>42296</v>
      </c>
      <c r="DB1158" s="5">
        <v>42298</v>
      </c>
      <c r="DC1158" s="4"/>
      <c r="DD1158" s="4"/>
      <c r="DE1158" s="4"/>
      <c r="DF1158" s="5">
        <v>42277</v>
      </c>
      <c r="DG1158" s="5">
        <v>42263</v>
      </c>
      <c r="DH1158" s="4" t="s">
        <v>174</v>
      </c>
      <c r="DI1158" s="4"/>
      <c r="DJ1158" s="4" t="b">
        <v>0</v>
      </c>
      <c r="DK1158" s="4"/>
      <c r="DL1158" s="4"/>
      <c r="DM1158" s="4"/>
      <c r="DN1158" s="4" t="s">
        <v>3518</v>
      </c>
      <c r="DO1158" s="4"/>
      <c r="DP1158" s="4" t="s">
        <v>3519</v>
      </c>
      <c r="DQ1158" s="4" t="s">
        <v>328</v>
      </c>
      <c r="DR1158" s="4"/>
      <c r="DS1158" s="4"/>
      <c r="DT1158" s="4"/>
      <c r="DU1158" s="4" t="s">
        <v>178</v>
      </c>
      <c r="DV1158" s="4"/>
      <c r="DW1158" s="4"/>
      <c r="DX1158" s="5">
        <v>42076</v>
      </c>
      <c r="DY1158" s="4"/>
      <c r="DZ1158" s="5">
        <v>42172</v>
      </c>
      <c r="EA1158" s="5">
        <v>42117</v>
      </c>
      <c r="EB1158" s="5">
        <v>42117</v>
      </c>
      <c r="EC1158" s="5">
        <v>42117</v>
      </c>
      <c r="ED1158" s="5">
        <v>42117</v>
      </c>
      <c r="EE1158" s="5">
        <v>42209</v>
      </c>
      <c r="EF1158" s="5">
        <v>42219</v>
      </c>
      <c r="EG1158" s="4"/>
      <c r="EH1158" s="4"/>
      <c r="EI1158" s="5">
        <v>42053</v>
      </c>
    </row>
    <row r="1159" spans="1:139" hidden="1" x14ac:dyDescent="0.2">
      <c r="A1159">
        <f>VLOOKUP(B1159,Sheet1!$A$1:$B$18,2,FALSE)</f>
        <v>0</v>
      </c>
      <c r="B1159" t="str">
        <f>LEFT(D1159,3)</f>
        <v>NTH</v>
      </c>
      <c r="C1159" s="2">
        <v>1158</v>
      </c>
      <c r="D1159" s="3" t="str">
        <f>HYPERLINK("https://sitebase.nzcomms.co.nz/spm/spmnominalview/NTH-001-043/","NTH-001-043")</f>
        <v>NTH-001-043</v>
      </c>
      <c r="E1159" s="4" t="s">
        <v>3520</v>
      </c>
      <c r="F1159" s="3" t="str">
        <f>HYPERLINK("https://sitebase.nzcomms.co.nz/spm/spmcandidateview/NTH-001-043-B/","NTH-001-043-B")</f>
        <v>NTH-001-043-B</v>
      </c>
      <c r="G1159" s="4" t="s">
        <v>3521</v>
      </c>
      <c r="H1159" s="4" t="s">
        <v>3437</v>
      </c>
      <c r="I1159" s="4">
        <v>23</v>
      </c>
      <c r="J1159" s="4" t="s">
        <v>165</v>
      </c>
      <c r="K1159" s="4" t="s">
        <v>141</v>
      </c>
      <c r="L1159" s="4" t="s">
        <v>142</v>
      </c>
      <c r="M1159" s="4" t="s">
        <v>190</v>
      </c>
      <c r="N1159" s="4" t="s">
        <v>142</v>
      </c>
      <c r="O1159" s="4"/>
      <c r="P1159" s="4" t="s">
        <v>169</v>
      </c>
      <c r="Q1159" s="4" t="s">
        <v>142</v>
      </c>
      <c r="R1159" s="4"/>
      <c r="S1159" s="4"/>
      <c r="T1159" s="4"/>
      <c r="U1159" s="4">
        <v>-34.866489350000002</v>
      </c>
      <c r="V1159" s="4">
        <v>173.39099966000001</v>
      </c>
      <c r="W1159" s="4"/>
      <c r="X1159" s="4"/>
      <c r="Y1159" s="4"/>
      <c r="Z1159" s="4"/>
      <c r="AA1159" s="4" t="s">
        <v>171</v>
      </c>
      <c r="AB1159" s="3" t="str">
        <f>HYPERLINK("https://sitebase.nzcomms.co.nz/spm/spmcandidateview/NTH-001-037-A/","NTH-001-037-A")</f>
        <v>NTH-001-037-A</v>
      </c>
      <c r="AC1159" s="4" t="b">
        <v>0</v>
      </c>
      <c r="AD1159" s="4" t="b">
        <v>0</v>
      </c>
      <c r="AE1159" s="4"/>
      <c r="AF1159" s="4"/>
      <c r="AG1159" s="4" t="b">
        <v>0</v>
      </c>
      <c r="AH1159" s="4"/>
      <c r="AI1159" s="5">
        <v>42111</v>
      </c>
      <c r="AJ1159" s="5">
        <v>42108</v>
      </c>
      <c r="AK1159" s="5">
        <v>42115</v>
      </c>
      <c r="AL1159" s="5">
        <v>42111</v>
      </c>
      <c r="AM1159" s="5">
        <v>42135</v>
      </c>
      <c r="AN1159" s="5">
        <v>42158</v>
      </c>
      <c r="AO1159" s="4">
        <v>3</v>
      </c>
      <c r="AP1159" s="5">
        <v>42139</v>
      </c>
      <c r="AQ1159" s="5">
        <v>42255</v>
      </c>
      <c r="AR1159" s="5">
        <v>42447</v>
      </c>
      <c r="AS1159" s="4"/>
      <c r="AT1159" s="5">
        <v>42508</v>
      </c>
      <c r="AU1159" s="4"/>
      <c r="AV1159" s="4"/>
      <c r="AW1159" s="5">
        <v>42515</v>
      </c>
      <c r="AX1159" s="4"/>
      <c r="AY1159" s="4" t="s">
        <v>247</v>
      </c>
      <c r="AZ1159" s="5">
        <v>42479</v>
      </c>
      <c r="BA1159" s="4"/>
      <c r="BB1159" s="5">
        <v>42525</v>
      </c>
      <c r="BC1159" s="4"/>
      <c r="BD1159" s="4"/>
      <c r="BE1159" s="5">
        <v>42532</v>
      </c>
      <c r="BF1159" s="4"/>
      <c r="BG1159" s="5">
        <v>42464</v>
      </c>
      <c r="BH1159" s="4"/>
      <c r="BI1159" s="5">
        <v>42510</v>
      </c>
      <c r="BJ1159" s="4"/>
      <c r="BK1159" s="4"/>
      <c r="BL1159" s="4"/>
      <c r="BM1159" s="5">
        <v>42510</v>
      </c>
      <c r="BN1159" s="4"/>
      <c r="BO1159" s="4"/>
      <c r="BP1159" s="4"/>
      <c r="BQ1159" s="4"/>
      <c r="BR1159" s="4"/>
      <c r="BS1159" s="4"/>
      <c r="BT1159" s="5">
        <v>42594</v>
      </c>
      <c r="BU1159" s="4"/>
      <c r="BV1159" s="5">
        <v>42617</v>
      </c>
      <c r="BW1159" s="4"/>
      <c r="BX1159" s="4"/>
      <c r="BY1159" s="4"/>
      <c r="BZ1159" s="4"/>
      <c r="CA1159" s="4"/>
      <c r="CB1159" s="4"/>
      <c r="CC1159" s="4"/>
      <c r="CD1159" s="4"/>
      <c r="CE1159" s="4"/>
      <c r="CF1159" s="4"/>
      <c r="CG1159" s="4"/>
      <c r="CH1159" s="4"/>
      <c r="CI1159" s="4"/>
      <c r="CJ1159" s="5">
        <v>42672</v>
      </c>
      <c r="CK1159" s="4"/>
      <c r="CL1159" s="4"/>
      <c r="CM1159" s="4"/>
      <c r="CN1159" s="4"/>
      <c r="CO1159" s="4"/>
      <c r="CP1159" s="4" t="s">
        <v>3522</v>
      </c>
      <c r="CQ1159" s="4" t="s">
        <v>230</v>
      </c>
      <c r="CR1159" s="4"/>
      <c r="CS1159" s="4"/>
      <c r="CT1159" s="4"/>
      <c r="CU1159" s="4"/>
      <c r="CV1159" s="4"/>
      <c r="CW1159" s="4"/>
      <c r="CX1159" s="4"/>
      <c r="CY1159" s="4"/>
      <c r="CZ1159" s="4"/>
      <c r="DA1159" s="5">
        <v>42665</v>
      </c>
      <c r="DB1159" s="4"/>
      <c r="DC1159" s="4"/>
      <c r="DD1159" s="4"/>
      <c r="DE1159" s="4"/>
      <c r="DF1159" s="4"/>
      <c r="DG1159" s="4"/>
      <c r="DH1159" s="4" t="s">
        <v>1521</v>
      </c>
      <c r="DI1159" s="4"/>
      <c r="DJ1159" s="4" t="b">
        <v>0</v>
      </c>
      <c r="DK1159" s="4"/>
      <c r="DL1159" s="4">
        <v>2546667</v>
      </c>
      <c r="DM1159" s="4">
        <v>6703767</v>
      </c>
      <c r="DN1159" s="4"/>
      <c r="DO1159" s="4"/>
      <c r="DP1159" s="4"/>
      <c r="DQ1159" s="4" t="s">
        <v>148</v>
      </c>
      <c r="DR1159" s="4" t="s">
        <v>255</v>
      </c>
      <c r="DS1159" s="4"/>
      <c r="DT1159" s="4"/>
      <c r="DU1159" s="4" t="s">
        <v>178</v>
      </c>
      <c r="DV1159" s="4"/>
      <c r="DW1159" s="4"/>
      <c r="DX1159" s="4"/>
      <c r="DY1159" s="4"/>
      <c r="DZ1159" s="4"/>
      <c r="EA1159" s="4"/>
      <c r="EB1159" s="4"/>
      <c r="EC1159" s="4"/>
      <c r="ED1159" s="4"/>
      <c r="EE1159" s="5">
        <v>42539</v>
      </c>
      <c r="EF1159" s="4"/>
      <c r="EG1159" s="4"/>
      <c r="EH1159" s="4"/>
      <c r="EI1159" s="5">
        <v>42111</v>
      </c>
    </row>
    <row r="1160" spans="1:139" hidden="1" x14ac:dyDescent="0.2">
      <c r="A1160">
        <f>VLOOKUP(B1160,Sheet1!$A$1:$B$18,2,FALSE)</f>
        <v>0</v>
      </c>
      <c r="B1160" t="str">
        <f>LEFT(D1160,3)</f>
        <v>NTH</v>
      </c>
      <c r="C1160" s="2">
        <v>1159</v>
      </c>
      <c r="D1160" s="3" t="str">
        <f>HYPERLINK("https://sitebase.nzcomms.co.nz/spm/spmnominalview/NTH-001-044/","NTH-001-044")</f>
        <v>NTH-001-044</v>
      </c>
      <c r="E1160" s="4" t="s">
        <v>3523</v>
      </c>
      <c r="F1160" s="3" t="str">
        <f>HYPERLINK("https://sitebase.nzcomms.co.nz/spm/spmcandidateview/NTH-001-044-A/","NTH-001-044-A")</f>
        <v>NTH-001-044-A</v>
      </c>
      <c r="G1160" s="4" t="s">
        <v>3524</v>
      </c>
      <c r="H1160" s="4" t="s">
        <v>3437</v>
      </c>
      <c r="I1160" s="4">
        <v>23</v>
      </c>
      <c r="J1160" s="4" t="s">
        <v>165</v>
      </c>
      <c r="K1160" s="4" t="s">
        <v>141</v>
      </c>
      <c r="L1160" s="4" t="s">
        <v>142</v>
      </c>
      <c r="M1160" s="4" t="s">
        <v>166</v>
      </c>
      <c r="N1160" s="4" t="s">
        <v>142</v>
      </c>
      <c r="O1160" s="4"/>
      <c r="P1160" s="4" t="s">
        <v>182</v>
      </c>
      <c r="Q1160" s="4" t="s">
        <v>142</v>
      </c>
      <c r="R1160" s="4"/>
      <c r="S1160" s="4"/>
      <c r="T1160" s="4"/>
      <c r="U1160" s="4">
        <v>-35.167436670000001</v>
      </c>
      <c r="V1160" s="4">
        <v>173.52339456999999</v>
      </c>
      <c r="W1160" s="4"/>
      <c r="X1160" s="4"/>
      <c r="Y1160" s="4"/>
      <c r="Z1160" s="4"/>
      <c r="AA1160" s="4" t="s">
        <v>171</v>
      </c>
      <c r="AB1160" s="3" t="str">
        <f>HYPERLINK("https://sitebase.nzcomms.co.nz/spm/spmcandidateview/NTH-001-035-B/","NTH-001-035-B")</f>
        <v>NTH-001-035-B</v>
      </c>
      <c r="AC1160" s="4" t="b">
        <v>0</v>
      </c>
      <c r="AD1160" s="4" t="b">
        <v>0</v>
      </c>
      <c r="AE1160" s="4"/>
      <c r="AF1160" s="4"/>
      <c r="AG1160" s="4" t="b">
        <v>0</v>
      </c>
      <c r="AH1160" s="4"/>
      <c r="AI1160" s="5">
        <v>42069</v>
      </c>
      <c r="AJ1160" s="5">
        <v>42066</v>
      </c>
      <c r="AK1160" s="5">
        <v>42076</v>
      </c>
      <c r="AL1160" s="5">
        <v>42066</v>
      </c>
      <c r="AM1160" s="5">
        <v>42118</v>
      </c>
      <c r="AN1160" s="5">
        <v>42101</v>
      </c>
      <c r="AO1160" s="4">
        <v>1</v>
      </c>
      <c r="AP1160" s="5">
        <v>42118</v>
      </c>
      <c r="AQ1160" s="5">
        <v>42101</v>
      </c>
      <c r="AR1160" s="5">
        <v>42111</v>
      </c>
      <c r="AS1160" s="5">
        <v>42100</v>
      </c>
      <c r="AT1160" s="5">
        <v>42153</v>
      </c>
      <c r="AU1160" s="5">
        <v>42128</v>
      </c>
      <c r="AV1160" s="4"/>
      <c r="AW1160" s="5">
        <v>42153</v>
      </c>
      <c r="AX1160" s="5">
        <v>42144</v>
      </c>
      <c r="AY1160" s="4" t="s">
        <v>172</v>
      </c>
      <c r="AZ1160" s="5">
        <v>42118</v>
      </c>
      <c r="BA1160" s="5">
        <v>42086</v>
      </c>
      <c r="BB1160" s="5">
        <v>42167</v>
      </c>
      <c r="BC1160" s="5">
        <v>42105</v>
      </c>
      <c r="BD1160" s="4">
        <v>1</v>
      </c>
      <c r="BE1160" s="5">
        <v>42167</v>
      </c>
      <c r="BF1160" s="5">
        <v>42105</v>
      </c>
      <c r="BG1160" s="5">
        <v>42167</v>
      </c>
      <c r="BH1160" s="5">
        <v>42099</v>
      </c>
      <c r="BI1160" s="5">
        <v>42132</v>
      </c>
      <c r="BJ1160" s="5">
        <v>42128</v>
      </c>
      <c r="BK1160" s="4">
        <v>1</v>
      </c>
      <c r="BL1160" s="4"/>
      <c r="BM1160" s="5">
        <v>42132</v>
      </c>
      <c r="BN1160" s="5">
        <v>42128</v>
      </c>
      <c r="BO1160" s="4"/>
      <c r="BP1160" s="4"/>
      <c r="BQ1160" s="4"/>
      <c r="BR1160" s="4"/>
      <c r="BS1160" s="4"/>
      <c r="BT1160" s="5">
        <v>42153</v>
      </c>
      <c r="BU1160" s="5">
        <v>42151</v>
      </c>
      <c r="BV1160" s="5">
        <v>42265</v>
      </c>
      <c r="BW1160" s="5">
        <v>42271</v>
      </c>
      <c r="BX1160" s="4"/>
      <c r="BY1160" s="5">
        <v>42272</v>
      </c>
      <c r="BZ1160" s="5">
        <v>42279</v>
      </c>
      <c r="CA1160" s="4"/>
      <c r="CB1160" s="4"/>
      <c r="CC1160" s="4"/>
      <c r="CD1160" s="4"/>
      <c r="CE1160" s="4"/>
      <c r="CF1160" s="4"/>
      <c r="CG1160" s="4"/>
      <c r="CH1160" s="4"/>
      <c r="CI1160" s="4"/>
      <c r="CJ1160" s="5">
        <v>42299</v>
      </c>
      <c r="CK1160" s="5">
        <v>42297</v>
      </c>
      <c r="CL1160" s="4"/>
      <c r="CM1160" s="5">
        <v>42314</v>
      </c>
      <c r="CN1160" s="4"/>
      <c r="CO1160" s="5">
        <v>42314</v>
      </c>
      <c r="CP1160" s="4" t="s">
        <v>3525</v>
      </c>
      <c r="CQ1160" s="4" t="s">
        <v>1657</v>
      </c>
      <c r="CR1160" s="4"/>
      <c r="CS1160" s="4"/>
      <c r="CT1160" s="4"/>
      <c r="CU1160" s="4"/>
      <c r="CV1160" s="4"/>
      <c r="CW1160" s="4"/>
      <c r="CX1160" s="4"/>
      <c r="CY1160" s="4"/>
      <c r="CZ1160" s="4"/>
      <c r="DA1160" s="5">
        <v>42286</v>
      </c>
      <c r="DB1160" s="5">
        <v>42286</v>
      </c>
      <c r="DC1160" s="4"/>
      <c r="DD1160" s="4"/>
      <c r="DE1160" s="4"/>
      <c r="DF1160" s="4"/>
      <c r="DG1160" s="4"/>
      <c r="DH1160" s="4" t="s">
        <v>174</v>
      </c>
      <c r="DI1160" s="4"/>
      <c r="DJ1160" s="4" t="b">
        <v>0</v>
      </c>
      <c r="DK1160" s="4"/>
      <c r="DL1160" s="4">
        <v>2558506</v>
      </c>
      <c r="DM1160" s="4">
        <v>6670288</v>
      </c>
      <c r="DN1160" s="4" t="s">
        <v>3526</v>
      </c>
      <c r="DO1160" s="4"/>
      <c r="DP1160" s="4"/>
      <c r="DQ1160" s="4" t="s">
        <v>148</v>
      </c>
      <c r="DR1160" s="4"/>
      <c r="DS1160" s="4"/>
      <c r="DT1160" s="4"/>
      <c r="DU1160" s="4" t="s">
        <v>178</v>
      </c>
      <c r="DV1160" s="4"/>
      <c r="DW1160" s="4"/>
      <c r="DX1160" s="5">
        <v>42118</v>
      </c>
      <c r="DY1160" s="5">
        <v>42128</v>
      </c>
      <c r="DZ1160" s="5">
        <v>42123</v>
      </c>
      <c r="EA1160" s="4"/>
      <c r="EB1160" s="4"/>
      <c r="EC1160" s="4"/>
      <c r="ED1160" s="4"/>
      <c r="EE1160" s="5">
        <v>42150</v>
      </c>
      <c r="EF1160" s="5">
        <v>42144</v>
      </c>
      <c r="EG1160" s="4"/>
      <c r="EH1160" s="4"/>
      <c r="EI1160" s="5">
        <v>42066</v>
      </c>
    </row>
    <row r="1161" spans="1:139" hidden="1" x14ac:dyDescent="0.2">
      <c r="A1161">
        <f>VLOOKUP(B1161,Sheet1!$A$1:$B$18,2,FALSE)</f>
        <v>0</v>
      </c>
      <c r="B1161" t="str">
        <f>LEFT(D1161,3)</f>
        <v>NTH</v>
      </c>
      <c r="C1161" s="2">
        <v>1160</v>
      </c>
      <c r="D1161" s="3" t="str">
        <f>HYPERLINK("https://sitebase.nzcomms.co.nz/spm/spmnominalview/NTH-001-045/","NTH-001-045")</f>
        <v>NTH-001-045</v>
      </c>
      <c r="E1161" s="4" t="s">
        <v>3527</v>
      </c>
      <c r="F1161" s="3" t="str">
        <f>HYPERLINK("https://sitebase.nzcomms.co.nz/spm/spmcandidateview/NTH-001-045-A/","NTH-001-045-A")</f>
        <v>NTH-001-045-A</v>
      </c>
      <c r="G1161" s="4" t="s">
        <v>3528</v>
      </c>
      <c r="H1161" s="4" t="s">
        <v>3437</v>
      </c>
      <c r="I1161" s="4">
        <v>23</v>
      </c>
      <c r="J1161" s="4" t="s">
        <v>165</v>
      </c>
      <c r="K1161" s="4" t="s">
        <v>141</v>
      </c>
      <c r="L1161" s="4" t="s">
        <v>142</v>
      </c>
      <c r="M1161" s="4" t="s">
        <v>166</v>
      </c>
      <c r="N1161" s="4" t="s">
        <v>142</v>
      </c>
      <c r="O1161" s="4"/>
      <c r="P1161" s="4" t="s">
        <v>169</v>
      </c>
      <c r="Q1161" s="4" t="s">
        <v>142</v>
      </c>
      <c r="R1161" s="4"/>
      <c r="S1161" s="4"/>
      <c r="T1161" s="4"/>
      <c r="U1161" s="4">
        <v>-35.175683900000003</v>
      </c>
      <c r="V1161" s="4">
        <v>173.14683955999999</v>
      </c>
      <c r="W1161" s="4"/>
      <c r="X1161" s="4"/>
      <c r="Y1161" s="4"/>
      <c r="Z1161" s="4"/>
      <c r="AA1161" s="4" t="s">
        <v>171</v>
      </c>
      <c r="AB1161" s="3" t="str">
        <f>HYPERLINK("https://sitebase.nzcomms.co.nz/spm/spmcandidateview/NTH-001-035-B/","NTH-001-035-B")</f>
        <v>NTH-001-035-B</v>
      </c>
      <c r="AC1161" s="4" t="b">
        <v>0</v>
      </c>
      <c r="AD1161" s="4" t="b">
        <v>0</v>
      </c>
      <c r="AE1161" s="4"/>
      <c r="AF1161" s="4"/>
      <c r="AG1161" s="4" t="b">
        <v>0</v>
      </c>
      <c r="AH1161" s="4"/>
      <c r="AI1161" s="5">
        <v>42069</v>
      </c>
      <c r="AJ1161" s="5">
        <v>42066</v>
      </c>
      <c r="AK1161" s="5">
        <v>42076</v>
      </c>
      <c r="AL1161" s="5">
        <v>42066</v>
      </c>
      <c r="AM1161" s="5">
        <v>42111</v>
      </c>
      <c r="AN1161" s="5">
        <v>42101</v>
      </c>
      <c r="AO1161" s="4">
        <v>1</v>
      </c>
      <c r="AP1161" s="5">
        <v>42118</v>
      </c>
      <c r="AQ1161" s="5">
        <v>42101</v>
      </c>
      <c r="AR1161" s="5">
        <v>42111</v>
      </c>
      <c r="AS1161" s="5">
        <v>42100</v>
      </c>
      <c r="AT1161" s="5">
        <v>42153</v>
      </c>
      <c r="AU1161" s="5">
        <v>42142</v>
      </c>
      <c r="AV1161" s="4"/>
      <c r="AW1161" s="5">
        <v>42153</v>
      </c>
      <c r="AX1161" s="5">
        <v>42144</v>
      </c>
      <c r="AY1161" s="4" t="s">
        <v>172</v>
      </c>
      <c r="AZ1161" s="5">
        <v>42111</v>
      </c>
      <c r="BA1161" s="5">
        <v>42086</v>
      </c>
      <c r="BB1161" s="5">
        <v>42160</v>
      </c>
      <c r="BC1161" s="5">
        <v>42105</v>
      </c>
      <c r="BD1161" s="4">
        <v>1</v>
      </c>
      <c r="BE1161" s="5">
        <v>42167</v>
      </c>
      <c r="BF1161" s="5">
        <v>42105</v>
      </c>
      <c r="BG1161" s="5">
        <v>42167</v>
      </c>
      <c r="BH1161" s="5">
        <v>42099</v>
      </c>
      <c r="BI1161" s="5">
        <v>42132</v>
      </c>
      <c r="BJ1161" s="5">
        <v>42128</v>
      </c>
      <c r="BK1161" s="4">
        <v>1</v>
      </c>
      <c r="BL1161" s="4"/>
      <c r="BM1161" s="5">
        <v>42132</v>
      </c>
      <c r="BN1161" s="5">
        <v>42128</v>
      </c>
      <c r="BO1161" s="4"/>
      <c r="BP1161" s="4"/>
      <c r="BQ1161" s="4"/>
      <c r="BR1161" s="4"/>
      <c r="BS1161" s="4"/>
      <c r="BT1161" s="5">
        <v>42153</v>
      </c>
      <c r="BU1161" s="5">
        <v>42151</v>
      </c>
      <c r="BV1161" s="5">
        <v>42279</v>
      </c>
      <c r="BW1161" s="5">
        <v>42277</v>
      </c>
      <c r="BX1161" s="4"/>
      <c r="BY1161" s="5">
        <v>42286</v>
      </c>
      <c r="BZ1161" s="4"/>
      <c r="CA1161" s="4"/>
      <c r="CB1161" s="4"/>
      <c r="CC1161" s="4"/>
      <c r="CD1161" s="4"/>
      <c r="CE1161" s="4"/>
      <c r="CF1161" s="4"/>
      <c r="CG1161" s="4"/>
      <c r="CH1161" s="4"/>
      <c r="CI1161" s="4"/>
      <c r="CJ1161" s="5">
        <v>42300</v>
      </c>
      <c r="CK1161" s="5">
        <v>42298</v>
      </c>
      <c r="CL1161" s="4"/>
      <c r="CM1161" s="5">
        <v>42314</v>
      </c>
      <c r="CN1161" s="4"/>
      <c r="CO1161" s="5">
        <v>42314</v>
      </c>
      <c r="CP1161" s="4" t="s">
        <v>3529</v>
      </c>
      <c r="CQ1161" s="4" t="s">
        <v>1657</v>
      </c>
      <c r="CR1161" s="4"/>
      <c r="CS1161" s="4"/>
      <c r="CT1161" s="4"/>
      <c r="CU1161" s="4"/>
      <c r="CV1161" s="4"/>
      <c r="CW1161" s="4"/>
      <c r="CX1161" s="4"/>
      <c r="CY1161" s="4"/>
      <c r="CZ1161" s="4"/>
      <c r="DA1161" s="5">
        <v>42293</v>
      </c>
      <c r="DB1161" s="5">
        <v>42293</v>
      </c>
      <c r="DC1161" s="4"/>
      <c r="DD1161" s="4"/>
      <c r="DE1161" s="4"/>
      <c r="DF1161" s="4"/>
      <c r="DG1161" s="4"/>
      <c r="DH1161" s="4" t="s">
        <v>174</v>
      </c>
      <c r="DI1161" s="4"/>
      <c r="DJ1161" s="4" t="b">
        <v>0</v>
      </c>
      <c r="DK1161" s="4"/>
      <c r="DL1161" s="4">
        <v>2524192</v>
      </c>
      <c r="DM1161" s="4">
        <v>6669583</v>
      </c>
      <c r="DN1161" s="4" t="s">
        <v>3530</v>
      </c>
      <c r="DO1161" s="4"/>
      <c r="DP1161" s="4"/>
      <c r="DQ1161" s="4" t="s">
        <v>148</v>
      </c>
      <c r="DR1161" s="4"/>
      <c r="DS1161" s="4"/>
      <c r="DT1161" s="4"/>
      <c r="DU1161" s="4" t="s">
        <v>178</v>
      </c>
      <c r="DV1161" s="4"/>
      <c r="DW1161" s="4"/>
      <c r="DX1161" s="5">
        <v>42125</v>
      </c>
      <c r="DY1161" s="5">
        <v>42107</v>
      </c>
      <c r="DZ1161" s="5">
        <v>42101</v>
      </c>
      <c r="EA1161" s="4"/>
      <c r="EB1161" s="4"/>
      <c r="EC1161" s="4"/>
      <c r="ED1161" s="4"/>
      <c r="EE1161" s="5">
        <v>42146</v>
      </c>
      <c r="EF1161" s="5">
        <v>42144</v>
      </c>
      <c r="EG1161" s="4"/>
      <c r="EH1161" s="4"/>
      <c r="EI1161" s="5">
        <v>42066</v>
      </c>
    </row>
    <row r="1162" spans="1:139" hidden="1" x14ac:dyDescent="0.2">
      <c r="A1162">
        <f>VLOOKUP(B1162,Sheet1!$A$1:$B$18,2,FALSE)</f>
        <v>0</v>
      </c>
      <c r="B1162" t="str">
        <f>LEFT(D1162,3)</f>
        <v>NTH</v>
      </c>
      <c r="C1162" s="2">
        <v>1161</v>
      </c>
      <c r="D1162" s="3" t="str">
        <f>HYPERLINK("https://sitebase.nzcomms.co.nz/spm/spmnominalview/NTH-001-046/","NTH-001-046")</f>
        <v>NTH-001-046</v>
      </c>
      <c r="E1162" s="4" t="s">
        <v>3531</v>
      </c>
      <c r="F1162" s="3" t="str">
        <f>HYPERLINK("https://sitebase.nzcomms.co.nz/spm/spmcandidateview/NTH-001-046-A/","NTH-001-046-A")</f>
        <v>NTH-001-046-A</v>
      </c>
      <c r="G1162" s="4" t="s">
        <v>3532</v>
      </c>
      <c r="H1162" s="4" t="s">
        <v>3437</v>
      </c>
      <c r="I1162" s="4">
        <v>23</v>
      </c>
      <c r="J1162" s="4" t="s">
        <v>196</v>
      </c>
      <c r="K1162" s="4" t="s">
        <v>141</v>
      </c>
      <c r="L1162" s="4" t="s">
        <v>142</v>
      </c>
      <c r="M1162" s="4" t="s">
        <v>166</v>
      </c>
      <c r="N1162" s="4"/>
      <c r="O1162" s="4"/>
      <c r="P1162" s="4" t="s">
        <v>169</v>
      </c>
      <c r="Q1162" s="4" t="s">
        <v>142</v>
      </c>
      <c r="R1162" s="4"/>
      <c r="S1162" s="4"/>
      <c r="T1162" s="4"/>
      <c r="U1162" s="4"/>
      <c r="V1162" s="4"/>
      <c r="W1162" s="5">
        <v>42258</v>
      </c>
      <c r="X1162" s="4"/>
      <c r="Y1162" s="5">
        <v>42265</v>
      </c>
      <c r="Z1162" s="4"/>
      <c r="AA1162" s="4"/>
      <c r="AB1162" s="4"/>
      <c r="AC1162" s="4" t="b">
        <v>0</v>
      </c>
      <c r="AD1162" s="4" t="b">
        <v>0</v>
      </c>
      <c r="AE1162" s="4"/>
      <c r="AF1162" s="5">
        <v>42272</v>
      </c>
      <c r="AG1162" s="4" t="b">
        <v>0</v>
      </c>
      <c r="AH1162" s="4"/>
      <c r="AI1162" s="5">
        <v>42314</v>
      </c>
      <c r="AJ1162" s="4"/>
      <c r="AK1162" s="5">
        <v>42321</v>
      </c>
      <c r="AL1162" s="4"/>
      <c r="AM1162" s="5">
        <v>42356</v>
      </c>
      <c r="AN1162" s="4"/>
      <c r="AO1162" s="4"/>
      <c r="AP1162" s="5">
        <v>42356</v>
      </c>
      <c r="AQ1162" s="4"/>
      <c r="AR1162" s="5">
        <v>42419</v>
      </c>
      <c r="AS1162" s="4"/>
      <c r="AT1162" s="5">
        <v>42475</v>
      </c>
      <c r="AU1162" s="4"/>
      <c r="AV1162" s="4"/>
      <c r="AW1162" s="5">
        <v>42475</v>
      </c>
      <c r="AX1162" s="4"/>
      <c r="AY1162" s="4"/>
      <c r="AZ1162" s="5">
        <v>42475</v>
      </c>
      <c r="BA1162" s="4"/>
      <c r="BB1162" s="5">
        <v>42510</v>
      </c>
      <c r="BC1162" s="4"/>
      <c r="BD1162" s="4"/>
      <c r="BE1162" s="5">
        <v>42510</v>
      </c>
      <c r="BF1162" s="4"/>
      <c r="BG1162" s="4"/>
      <c r="BH1162" s="4"/>
      <c r="BI1162" s="4"/>
      <c r="BJ1162" s="4"/>
      <c r="BK1162" s="4"/>
      <c r="BL1162" s="4"/>
      <c r="BM1162" s="4"/>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t="s">
        <v>3533</v>
      </c>
      <c r="CQ1162" s="4"/>
      <c r="CR1162" s="4"/>
      <c r="CS1162" s="4"/>
      <c r="CT1162" s="4"/>
      <c r="CU1162" s="4"/>
      <c r="CV1162" s="4"/>
      <c r="CW1162" s="4"/>
      <c r="CX1162" s="4"/>
      <c r="CY1162" s="4"/>
      <c r="CZ1162" s="4"/>
      <c r="DA1162" s="4"/>
      <c r="DB1162" s="4"/>
      <c r="DC1162" s="4"/>
      <c r="DD1162" s="4"/>
      <c r="DE1162" s="4"/>
      <c r="DF1162" s="4"/>
      <c r="DG1162" s="4"/>
      <c r="DH1162" s="4" t="s">
        <v>240</v>
      </c>
      <c r="DI1162" s="4"/>
      <c r="DJ1162" s="4" t="b">
        <v>0</v>
      </c>
      <c r="DK1162" s="4"/>
      <c r="DL1162" s="4"/>
      <c r="DM1162" s="4"/>
      <c r="DN1162" s="4"/>
      <c r="DO1162" s="4"/>
      <c r="DP1162" s="4"/>
      <c r="DQ1162" s="4" t="s">
        <v>148</v>
      </c>
      <c r="DR1162" s="4" t="s">
        <v>255</v>
      </c>
      <c r="DS1162" s="4"/>
      <c r="DT1162" s="4"/>
      <c r="DU1162" s="4"/>
      <c r="DV1162" s="4"/>
      <c r="DW1162" s="4"/>
      <c r="DX1162" s="4"/>
      <c r="DY1162" s="4"/>
      <c r="DZ1162" s="4"/>
      <c r="EA1162" s="4"/>
      <c r="EB1162" s="4"/>
      <c r="EC1162" s="4"/>
      <c r="ED1162" s="4"/>
      <c r="EE1162" s="4"/>
      <c r="EF1162" s="4"/>
      <c r="EG1162" s="4"/>
      <c r="EH1162" s="4"/>
      <c r="EI1162" s="4"/>
    </row>
    <row r="1163" spans="1:139" hidden="1" x14ac:dyDescent="0.2">
      <c r="A1163">
        <f>VLOOKUP(B1163,Sheet1!$A$1:$B$18,2,FALSE)</f>
        <v>0</v>
      </c>
      <c r="B1163" t="str">
        <f>LEFT(D1163,3)</f>
        <v>NTH</v>
      </c>
      <c r="C1163" s="2">
        <v>1162</v>
      </c>
      <c r="D1163" s="3" t="str">
        <f>HYPERLINK("https://sitebase.nzcomms.co.nz/spm/spmnominalview/NTH-002-001/","NTH-002-001")</f>
        <v>NTH-002-001</v>
      </c>
      <c r="E1163" s="4"/>
      <c r="F1163" s="4"/>
      <c r="G1163" s="4"/>
      <c r="H1163" s="4" t="s">
        <v>3534</v>
      </c>
      <c r="I1163" s="4"/>
      <c r="J1163" s="4" t="s">
        <v>196</v>
      </c>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t="b">
        <v>0</v>
      </c>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4"/>
      <c r="DE1163" s="4"/>
      <c r="DF1163" s="4"/>
      <c r="DG1163" s="4"/>
      <c r="DH1163" s="4"/>
      <c r="DI1163" s="4"/>
      <c r="DJ1163" s="4"/>
      <c r="DK1163" s="4"/>
      <c r="DL1163" s="4"/>
      <c r="DM1163" s="4"/>
      <c r="DN1163" s="4"/>
      <c r="DO1163" s="4"/>
      <c r="DP1163" s="4"/>
      <c r="DQ1163" s="4"/>
      <c r="DR1163" s="4"/>
      <c r="DS1163" s="4"/>
      <c r="DT1163" s="4"/>
      <c r="DU1163" s="4"/>
      <c r="DV1163" s="4"/>
      <c r="DW1163" s="4"/>
      <c r="DX1163" s="4"/>
      <c r="DY1163" s="4"/>
      <c r="DZ1163" s="4"/>
      <c r="EA1163" s="4"/>
      <c r="EB1163" s="4"/>
      <c r="EC1163" s="4"/>
      <c r="ED1163" s="4"/>
      <c r="EE1163" s="4"/>
      <c r="EF1163" s="4"/>
      <c r="EG1163" s="4"/>
      <c r="EH1163" s="4"/>
      <c r="EI1163" s="4"/>
    </row>
    <row r="1164" spans="1:139" hidden="1" x14ac:dyDescent="0.2">
      <c r="A1164">
        <f>VLOOKUP(B1164,Sheet1!$A$1:$B$18,2,FALSE)</f>
        <v>0</v>
      </c>
      <c r="B1164" t="str">
        <f>LEFT(D1164,3)</f>
        <v>NTH</v>
      </c>
      <c r="C1164" s="2">
        <v>1163</v>
      </c>
      <c r="D1164" s="3" t="str">
        <f>HYPERLINK("https://sitebase.nzcomms.co.nz/spm/spmnominalview/NTH-002-002/","NTH-002-002")</f>
        <v>NTH-002-002</v>
      </c>
      <c r="E1164" s="4" t="s">
        <v>3535</v>
      </c>
      <c r="F1164" s="4"/>
      <c r="G1164" s="4"/>
      <c r="H1164" s="4" t="s">
        <v>3534</v>
      </c>
      <c r="I1164" s="4"/>
      <c r="J1164" s="4" t="s">
        <v>196</v>
      </c>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t="b">
        <v>0</v>
      </c>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t="s">
        <v>3536</v>
      </c>
      <c r="CQ1164" s="4"/>
      <c r="CR1164" s="4"/>
      <c r="CS1164" s="4"/>
      <c r="CT1164" s="4"/>
      <c r="CU1164" s="4"/>
      <c r="CV1164" s="4"/>
      <c r="CW1164" s="4"/>
      <c r="CX1164" s="4"/>
      <c r="CY1164" s="4"/>
      <c r="CZ1164" s="4"/>
      <c r="DA1164" s="4"/>
      <c r="DB1164" s="4"/>
      <c r="DC1164" s="4"/>
      <c r="DD1164" s="4"/>
      <c r="DE1164" s="4"/>
      <c r="DF1164" s="4"/>
      <c r="DG1164" s="4"/>
      <c r="DH1164" s="4"/>
      <c r="DI1164" s="4"/>
      <c r="DJ1164" s="4"/>
      <c r="DK1164" s="4"/>
      <c r="DL1164" s="4"/>
      <c r="DM1164" s="4"/>
      <c r="DN1164" s="4"/>
      <c r="DO1164" s="4"/>
      <c r="DP1164" s="4"/>
      <c r="DQ1164" s="4"/>
      <c r="DR1164" s="4"/>
      <c r="DS1164" s="4"/>
      <c r="DT1164" s="4"/>
      <c r="DU1164" s="4"/>
      <c r="DV1164" s="4"/>
      <c r="DW1164" s="4"/>
      <c r="DX1164" s="4"/>
      <c r="DY1164" s="4"/>
      <c r="DZ1164" s="4"/>
      <c r="EA1164" s="4"/>
      <c r="EB1164" s="4"/>
      <c r="EC1164" s="4"/>
      <c r="ED1164" s="4"/>
      <c r="EE1164" s="4"/>
      <c r="EF1164" s="4"/>
      <c r="EG1164" s="4"/>
      <c r="EH1164" s="4"/>
      <c r="EI1164" s="4"/>
    </row>
    <row r="1165" spans="1:139" hidden="1" x14ac:dyDescent="0.2">
      <c r="A1165">
        <f>VLOOKUP(B1165,Sheet1!$A$1:$B$18,2,FALSE)</f>
        <v>0</v>
      </c>
      <c r="B1165" t="str">
        <f>LEFT(D1165,3)</f>
        <v>NTH</v>
      </c>
      <c r="C1165" s="2">
        <v>1164</v>
      </c>
      <c r="D1165" s="3" t="str">
        <f>HYPERLINK("https://sitebase.nzcomms.co.nz/spm/spmnominalview/NTH-002-003/","NTH-002-003")</f>
        <v>NTH-002-003</v>
      </c>
      <c r="E1165" s="4" t="s">
        <v>3537</v>
      </c>
      <c r="F1165" s="3" t="str">
        <f>HYPERLINK("https://sitebase.nzcomms.co.nz/spm/spmcandidateview/NTH-002-003-A/","NTH-002-003-A")</f>
        <v>NTH-002-003-A</v>
      </c>
      <c r="G1165" s="4" t="s">
        <v>3538</v>
      </c>
      <c r="H1165" s="4" t="s">
        <v>3534</v>
      </c>
      <c r="I1165" s="4">
        <v>3</v>
      </c>
      <c r="J1165" s="4" t="s">
        <v>1633</v>
      </c>
      <c r="K1165" s="4" t="s">
        <v>141</v>
      </c>
      <c r="L1165" s="4" t="s">
        <v>142</v>
      </c>
      <c r="M1165" s="4" t="s">
        <v>190</v>
      </c>
      <c r="N1165" s="4" t="s">
        <v>142</v>
      </c>
      <c r="O1165" s="4" t="s">
        <v>144</v>
      </c>
      <c r="P1165" s="4" t="s">
        <v>182</v>
      </c>
      <c r="Q1165" s="4" t="s">
        <v>142</v>
      </c>
      <c r="R1165" s="4">
        <v>21</v>
      </c>
      <c r="S1165" s="4">
        <v>23.86</v>
      </c>
      <c r="T1165" s="4">
        <v>1</v>
      </c>
      <c r="U1165" s="4">
        <v>-35.745308960000003</v>
      </c>
      <c r="V1165" s="4">
        <v>174.31627374999999</v>
      </c>
      <c r="W1165" s="5">
        <v>40235</v>
      </c>
      <c r="X1165" s="5">
        <v>40234</v>
      </c>
      <c r="Y1165" s="5">
        <v>40235</v>
      </c>
      <c r="Z1165" s="5">
        <v>40234</v>
      </c>
      <c r="AA1165" s="4" t="s">
        <v>171</v>
      </c>
      <c r="AB1165" s="3" t="str">
        <f>HYPERLINK("https://sitebase.nzcomms.co.nz/spm/spmcandidateview/NTH-002-007-A/","NTH-002-007-A")</f>
        <v>NTH-002-007-A</v>
      </c>
      <c r="AC1165" s="4" t="b">
        <v>1</v>
      </c>
      <c r="AD1165" s="4" t="b">
        <v>0</v>
      </c>
      <c r="AE1165" s="5">
        <v>40219</v>
      </c>
      <c r="AF1165" s="4"/>
      <c r="AG1165" s="4" t="b">
        <v>1</v>
      </c>
      <c r="AH1165" s="4" t="s">
        <v>3539</v>
      </c>
      <c r="AI1165" s="5">
        <v>40584</v>
      </c>
      <c r="AJ1165" s="5">
        <v>40584</v>
      </c>
      <c r="AK1165" s="5">
        <v>40591</v>
      </c>
      <c r="AL1165" s="5">
        <v>40591</v>
      </c>
      <c r="AM1165" s="5">
        <v>40605</v>
      </c>
      <c r="AN1165" s="5">
        <v>40609</v>
      </c>
      <c r="AO1165" s="4">
        <v>2</v>
      </c>
      <c r="AP1165" s="5">
        <v>40605</v>
      </c>
      <c r="AQ1165" s="5">
        <v>41969</v>
      </c>
      <c r="AR1165" s="5">
        <v>40639</v>
      </c>
      <c r="AS1165" s="5">
        <v>40639</v>
      </c>
      <c r="AT1165" s="5">
        <v>40717</v>
      </c>
      <c r="AU1165" s="5">
        <v>40702</v>
      </c>
      <c r="AV1165" s="4">
        <v>1</v>
      </c>
      <c r="AW1165" s="5">
        <v>40717</v>
      </c>
      <c r="AX1165" s="5">
        <v>40700</v>
      </c>
      <c r="AY1165" s="4" t="s">
        <v>247</v>
      </c>
      <c r="AZ1165" s="5">
        <v>40626</v>
      </c>
      <c r="BA1165" s="5">
        <v>40624</v>
      </c>
      <c r="BB1165" s="5">
        <v>40668</v>
      </c>
      <c r="BC1165" s="5">
        <v>40647</v>
      </c>
      <c r="BD1165" s="4">
        <v>1</v>
      </c>
      <c r="BE1165" s="4"/>
      <c r="BF1165" s="5">
        <v>40654</v>
      </c>
      <c r="BG1165" s="4"/>
      <c r="BH1165" s="4"/>
      <c r="BI1165" s="5">
        <v>40785</v>
      </c>
      <c r="BJ1165" s="5">
        <v>40792</v>
      </c>
      <c r="BK1165" s="4">
        <v>1</v>
      </c>
      <c r="BL1165" s="4"/>
      <c r="BM1165" s="5">
        <v>40785</v>
      </c>
      <c r="BN1165" s="5">
        <v>40792</v>
      </c>
      <c r="BO1165" s="5">
        <v>40820</v>
      </c>
      <c r="BP1165" s="4"/>
      <c r="BQ1165" s="4"/>
      <c r="BR1165" s="4"/>
      <c r="BS1165" s="4"/>
      <c r="BT1165" s="5">
        <v>40793</v>
      </c>
      <c r="BU1165" s="5">
        <v>40801</v>
      </c>
      <c r="BV1165" s="5">
        <v>40816</v>
      </c>
      <c r="BW1165" s="5">
        <v>40826</v>
      </c>
      <c r="BX1165" s="5">
        <v>40819</v>
      </c>
      <c r="BY1165" s="5">
        <v>40837</v>
      </c>
      <c r="BZ1165" s="5">
        <v>40837</v>
      </c>
      <c r="CA1165" s="4"/>
      <c r="CB1165" s="4"/>
      <c r="CC1165" s="4"/>
      <c r="CD1165" s="4"/>
      <c r="CE1165" s="4"/>
      <c r="CF1165" s="4"/>
      <c r="CG1165" s="4"/>
      <c r="CH1165" s="4"/>
      <c r="CI1165" s="5">
        <v>40837</v>
      </c>
      <c r="CJ1165" s="5">
        <v>40846</v>
      </c>
      <c r="CK1165" s="5">
        <v>40843</v>
      </c>
      <c r="CL1165" s="5">
        <v>40841</v>
      </c>
      <c r="CM1165" s="5">
        <v>40862</v>
      </c>
      <c r="CN1165" s="5">
        <v>40952</v>
      </c>
      <c r="CO1165" s="5">
        <v>41004</v>
      </c>
      <c r="CP1165" s="4" t="s">
        <v>3540</v>
      </c>
      <c r="CQ1165" s="4" t="s">
        <v>230</v>
      </c>
      <c r="CR1165" s="5">
        <v>40836</v>
      </c>
      <c r="CS1165" s="5">
        <v>40777</v>
      </c>
      <c r="CT1165" s="5">
        <v>40777</v>
      </c>
      <c r="CU1165" s="5">
        <v>40793</v>
      </c>
      <c r="CV1165" s="5">
        <v>40793</v>
      </c>
      <c r="CW1165" s="5">
        <v>40815</v>
      </c>
      <c r="CX1165" s="5">
        <v>40820</v>
      </c>
      <c r="CY1165" s="5">
        <v>40823</v>
      </c>
      <c r="CZ1165" s="5">
        <v>40826</v>
      </c>
      <c r="DA1165" s="4"/>
      <c r="DB1165" s="5">
        <v>40837</v>
      </c>
      <c r="DC1165" s="4"/>
      <c r="DD1165" s="4"/>
      <c r="DE1165" s="4"/>
      <c r="DF1165" s="4"/>
      <c r="DG1165" s="4"/>
      <c r="DH1165" s="4"/>
      <c r="DI1165" s="5">
        <v>40817</v>
      </c>
      <c r="DJ1165" s="4" t="b">
        <v>0</v>
      </c>
      <c r="DK1165" s="4"/>
      <c r="DL1165" s="4">
        <v>2629722</v>
      </c>
      <c r="DM1165" s="4">
        <v>6605313</v>
      </c>
      <c r="DN1165" s="4" t="s">
        <v>3541</v>
      </c>
      <c r="DO1165" s="4"/>
      <c r="DP1165" s="4"/>
      <c r="DQ1165" s="4" t="s">
        <v>148</v>
      </c>
      <c r="DR1165" s="4"/>
      <c r="DS1165" s="4"/>
      <c r="DT1165" s="5">
        <v>42150</v>
      </c>
      <c r="DU1165" s="4"/>
      <c r="DV1165" s="4"/>
      <c r="DW1165" s="4"/>
      <c r="DX1165" s="4"/>
      <c r="DY1165" s="4"/>
      <c r="DZ1165" s="4"/>
      <c r="EA1165" s="4"/>
      <c r="EB1165" s="4"/>
      <c r="EC1165" s="4"/>
      <c r="ED1165" s="4"/>
      <c r="EE1165" s="4"/>
      <c r="EF1165" s="4"/>
      <c r="EG1165" s="5">
        <v>40823</v>
      </c>
      <c r="EH1165" s="5">
        <v>40854</v>
      </c>
      <c r="EI1165" s="4"/>
    </row>
    <row r="1166" spans="1:139" hidden="1" x14ac:dyDescent="0.2">
      <c r="A1166">
        <f>VLOOKUP(B1166,Sheet1!$A$1:$B$18,2,FALSE)</f>
        <v>0</v>
      </c>
      <c r="B1166" t="str">
        <f>LEFT(D1166,3)</f>
        <v>NTH</v>
      </c>
      <c r="C1166" s="2">
        <v>1165</v>
      </c>
      <c r="D1166" s="3" t="str">
        <f>HYPERLINK("https://sitebase.nzcomms.co.nz/spm/spmnominalview/NTH-002-004/","NTH-002-004")</f>
        <v>NTH-002-004</v>
      </c>
      <c r="E1166" s="4" t="s">
        <v>3542</v>
      </c>
      <c r="F1166" s="3" t="str">
        <f>HYPERLINK("https://sitebase.nzcomms.co.nz/spm/spmcandidateview/NTH-002-004-A/","NTH-002-004-A")</f>
        <v>NTH-002-004-A</v>
      </c>
      <c r="G1166" s="4" t="s">
        <v>3543</v>
      </c>
      <c r="H1166" s="4" t="s">
        <v>3534</v>
      </c>
      <c r="I1166" s="4">
        <v>23</v>
      </c>
      <c r="J1166" s="4" t="s">
        <v>165</v>
      </c>
      <c r="K1166" s="4" t="s">
        <v>141</v>
      </c>
      <c r="L1166" s="4" t="s">
        <v>150</v>
      </c>
      <c r="M1166" s="4" t="s">
        <v>166</v>
      </c>
      <c r="N1166" s="4" t="s">
        <v>167</v>
      </c>
      <c r="O1166" s="4"/>
      <c r="P1166" s="4" t="s">
        <v>169</v>
      </c>
      <c r="Q1166" s="4" t="s">
        <v>170</v>
      </c>
      <c r="R1166" s="4"/>
      <c r="S1166" s="4"/>
      <c r="T1166" s="4"/>
      <c r="U1166" s="4">
        <v>-35.598546519999999</v>
      </c>
      <c r="V1166" s="4">
        <v>174.27087406999999</v>
      </c>
      <c r="W1166" s="4"/>
      <c r="X1166" s="4"/>
      <c r="Y1166" s="4"/>
      <c r="Z1166" s="4"/>
      <c r="AA1166" s="4" t="s">
        <v>171</v>
      </c>
      <c r="AB1166" s="3" t="str">
        <f>HYPERLINK("https://sitebase.nzcomms.co.nz/spm/spmcandidateview/NTH-002-005-A/","NTH-002-005-A")</f>
        <v>NTH-002-005-A</v>
      </c>
      <c r="AC1166" s="4" t="b">
        <v>0</v>
      </c>
      <c r="AD1166" s="4" t="b">
        <v>0</v>
      </c>
      <c r="AE1166" s="4"/>
      <c r="AF1166" s="4"/>
      <c r="AG1166" s="4" t="b">
        <v>0</v>
      </c>
      <c r="AH1166" s="4"/>
      <c r="AI1166" s="5">
        <v>42107</v>
      </c>
      <c r="AJ1166" s="5">
        <v>42081</v>
      </c>
      <c r="AK1166" s="5">
        <v>42114</v>
      </c>
      <c r="AL1166" s="5">
        <v>42089</v>
      </c>
      <c r="AM1166" s="5">
        <v>42153</v>
      </c>
      <c r="AN1166" s="5">
        <v>42139</v>
      </c>
      <c r="AO1166" s="4">
        <v>1</v>
      </c>
      <c r="AP1166" s="5">
        <v>42160</v>
      </c>
      <c r="AQ1166" s="5">
        <v>42139</v>
      </c>
      <c r="AR1166" s="5">
        <v>42181</v>
      </c>
      <c r="AS1166" s="5">
        <v>42144</v>
      </c>
      <c r="AT1166" s="5">
        <v>42167</v>
      </c>
      <c r="AU1166" s="5">
        <v>42165</v>
      </c>
      <c r="AV1166" s="4"/>
      <c r="AW1166" s="5">
        <v>42174</v>
      </c>
      <c r="AX1166" s="5">
        <v>42221</v>
      </c>
      <c r="AY1166" s="4" t="s">
        <v>247</v>
      </c>
      <c r="AZ1166" s="5">
        <v>42188</v>
      </c>
      <c r="BA1166" s="5">
        <v>42192</v>
      </c>
      <c r="BB1166" s="5">
        <v>42468</v>
      </c>
      <c r="BC1166" s="4"/>
      <c r="BD1166" s="4">
        <v>1</v>
      </c>
      <c r="BE1166" s="5">
        <v>42468</v>
      </c>
      <c r="BF1166" s="4"/>
      <c r="BG1166" s="5">
        <v>42251</v>
      </c>
      <c r="BH1166" s="5">
        <v>42144</v>
      </c>
      <c r="BI1166" s="5">
        <v>42185</v>
      </c>
      <c r="BJ1166" s="5">
        <v>42192</v>
      </c>
      <c r="BK1166" s="4">
        <v>1</v>
      </c>
      <c r="BL1166" s="4"/>
      <c r="BM1166" s="5">
        <v>42185</v>
      </c>
      <c r="BN1166" s="5">
        <v>42192</v>
      </c>
      <c r="BO1166" s="4"/>
      <c r="BP1166" s="4"/>
      <c r="BQ1166" s="4"/>
      <c r="BR1166" s="4"/>
      <c r="BS1166" s="4"/>
      <c r="BT1166" s="5">
        <v>42562</v>
      </c>
      <c r="BU1166" s="4"/>
      <c r="BV1166" s="4"/>
      <c r="BW1166" s="4"/>
      <c r="BX1166" s="4"/>
      <c r="BY1166" s="4"/>
      <c r="BZ1166" s="4"/>
      <c r="CA1166" s="4"/>
      <c r="CB1166" s="4"/>
      <c r="CC1166" s="4"/>
      <c r="CD1166" s="4"/>
      <c r="CE1166" s="4"/>
      <c r="CF1166" s="4"/>
      <c r="CG1166" s="4"/>
      <c r="CH1166" s="4"/>
      <c r="CI1166" s="4"/>
      <c r="CJ1166" s="5">
        <v>42609</v>
      </c>
      <c r="CK1166" s="4"/>
      <c r="CL1166" s="4"/>
      <c r="CM1166" s="4"/>
      <c r="CN1166" s="4"/>
      <c r="CO1166" s="4"/>
      <c r="CP1166" s="4" t="s">
        <v>3544</v>
      </c>
      <c r="CQ1166" s="4"/>
      <c r="CR1166" s="4"/>
      <c r="CS1166" s="4"/>
      <c r="CT1166" s="4"/>
      <c r="CU1166" s="4"/>
      <c r="CV1166" s="4"/>
      <c r="CW1166" s="4"/>
      <c r="CX1166" s="4"/>
      <c r="CY1166" s="4"/>
      <c r="CZ1166" s="4"/>
      <c r="DA1166" s="5">
        <v>42595</v>
      </c>
      <c r="DB1166" s="4"/>
      <c r="DC1166" s="5">
        <v>42088</v>
      </c>
      <c r="DD1166" s="4" t="s">
        <v>206</v>
      </c>
      <c r="DE1166" s="4"/>
      <c r="DF1166" s="4"/>
      <c r="DG1166" s="4"/>
      <c r="DH1166" s="4" t="s">
        <v>174</v>
      </c>
      <c r="DI1166" s="4"/>
      <c r="DJ1166" s="4" t="b">
        <v>0</v>
      </c>
      <c r="DK1166" s="4"/>
      <c r="DL1166" s="4">
        <v>2625867</v>
      </c>
      <c r="DM1166" s="4">
        <v>6621661</v>
      </c>
      <c r="DN1166" s="4" t="s">
        <v>3545</v>
      </c>
      <c r="DO1166" s="4"/>
      <c r="DP1166" s="4"/>
      <c r="DQ1166" s="4" t="s">
        <v>148</v>
      </c>
      <c r="DR1166" s="4" t="s">
        <v>255</v>
      </c>
      <c r="DS1166" s="4"/>
      <c r="DT1166" s="4"/>
      <c r="DU1166" s="4" t="s">
        <v>178</v>
      </c>
      <c r="DV1166" s="4"/>
      <c r="DW1166" s="4"/>
      <c r="DX1166" s="4"/>
      <c r="DY1166" s="5">
        <v>42516</v>
      </c>
      <c r="DZ1166" s="4"/>
      <c r="EA1166" s="4"/>
      <c r="EB1166" s="4"/>
      <c r="EC1166" s="4"/>
      <c r="ED1166" s="4"/>
      <c r="EE1166" s="5">
        <v>42539</v>
      </c>
      <c r="EF1166" s="4"/>
      <c r="EG1166" s="4"/>
      <c r="EH1166" s="4"/>
      <c r="EI1166" s="5">
        <v>42089</v>
      </c>
    </row>
    <row r="1167" spans="1:139" hidden="1" x14ac:dyDescent="0.2">
      <c r="A1167">
        <f>VLOOKUP(B1167,Sheet1!$A$1:$B$18,2,FALSE)</f>
        <v>0</v>
      </c>
      <c r="B1167" t="str">
        <f>LEFT(D1167,3)</f>
        <v>NTH</v>
      </c>
      <c r="C1167" s="2">
        <v>1166</v>
      </c>
      <c r="D1167" s="3" t="str">
        <f>HYPERLINK("https://sitebase.nzcomms.co.nz/spm/spmnominalview/NTH-002-005/","NTH-002-005")</f>
        <v>NTH-002-005</v>
      </c>
      <c r="E1167" s="4" t="s">
        <v>3546</v>
      </c>
      <c r="F1167" s="3" t="str">
        <f>HYPERLINK("https://sitebase.nzcomms.co.nz/spm/spmcandidateview/NTH-002-005-A/","NTH-002-005-A")</f>
        <v>NTH-002-005-A</v>
      </c>
      <c r="G1167" s="4" t="s">
        <v>3547</v>
      </c>
      <c r="H1167" s="4" t="s">
        <v>3534</v>
      </c>
      <c r="I1167" s="4">
        <v>3</v>
      </c>
      <c r="J1167" s="4" t="s">
        <v>1633</v>
      </c>
      <c r="K1167" s="4" t="s">
        <v>141</v>
      </c>
      <c r="L1167" s="4" t="s">
        <v>150</v>
      </c>
      <c r="M1167" s="4" t="s">
        <v>190</v>
      </c>
      <c r="N1167" s="4" t="s">
        <v>167</v>
      </c>
      <c r="O1167" s="4" t="s">
        <v>144</v>
      </c>
      <c r="P1167" s="4" t="s">
        <v>169</v>
      </c>
      <c r="Q1167" s="4" t="s">
        <v>170</v>
      </c>
      <c r="R1167" s="4">
        <v>19.5</v>
      </c>
      <c r="S1167" s="4">
        <v>20</v>
      </c>
      <c r="T1167" s="4"/>
      <c r="U1167" s="4">
        <v>-35.659032500000002</v>
      </c>
      <c r="V1167" s="4">
        <v>174.28154938</v>
      </c>
      <c r="W1167" s="5">
        <v>40235</v>
      </c>
      <c r="X1167" s="5">
        <v>40234</v>
      </c>
      <c r="Y1167" s="5">
        <v>40235</v>
      </c>
      <c r="Z1167" s="5">
        <v>40234</v>
      </c>
      <c r="AA1167" s="4" t="s">
        <v>171</v>
      </c>
      <c r="AB1167" s="3" t="str">
        <f>HYPERLINK("https://sitebase.nzcomms.co.nz/spm/spmcandidateview/NTH-002-006-E/","NTH-002-006-E")</f>
        <v>NTH-002-006-E</v>
      </c>
      <c r="AC1167" s="4" t="b">
        <v>1</v>
      </c>
      <c r="AD1167" s="4" t="b">
        <v>0</v>
      </c>
      <c r="AE1167" s="5">
        <v>40220</v>
      </c>
      <c r="AF1167" s="4"/>
      <c r="AG1167" s="4" t="b">
        <v>0</v>
      </c>
      <c r="AH1167" s="4" t="s">
        <v>3548</v>
      </c>
      <c r="AI1167" s="5">
        <v>40624</v>
      </c>
      <c r="AJ1167" s="5">
        <v>40624</v>
      </c>
      <c r="AK1167" s="5">
        <v>40626</v>
      </c>
      <c r="AL1167" s="5">
        <v>40626</v>
      </c>
      <c r="AM1167" s="5">
        <v>40669</v>
      </c>
      <c r="AN1167" s="5">
        <v>40668</v>
      </c>
      <c r="AO1167" s="4">
        <v>1</v>
      </c>
      <c r="AP1167" s="5">
        <v>40669</v>
      </c>
      <c r="AQ1167" s="5">
        <v>40668</v>
      </c>
      <c r="AR1167" s="5">
        <v>40785</v>
      </c>
      <c r="AS1167" s="5">
        <v>40786</v>
      </c>
      <c r="AT1167" s="5">
        <v>40851</v>
      </c>
      <c r="AU1167" s="5">
        <v>40844</v>
      </c>
      <c r="AV1167" s="4"/>
      <c r="AW1167" s="5">
        <v>40877</v>
      </c>
      <c r="AX1167" s="4"/>
      <c r="AY1167" s="4" t="s">
        <v>1901</v>
      </c>
      <c r="AZ1167" s="5">
        <v>40693</v>
      </c>
      <c r="BA1167" s="5">
        <v>40695</v>
      </c>
      <c r="BB1167" s="5">
        <v>40737</v>
      </c>
      <c r="BC1167" s="5">
        <v>40723</v>
      </c>
      <c r="BD1167" s="4">
        <v>1</v>
      </c>
      <c r="BE1167" s="5">
        <v>40744</v>
      </c>
      <c r="BF1167" s="5">
        <v>40723</v>
      </c>
      <c r="BG1167" s="4"/>
      <c r="BH1167" s="4"/>
      <c r="BI1167" s="5">
        <v>40798</v>
      </c>
      <c r="BJ1167" s="5">
        <v>40812</v>
      </c>
      <c r="BK1167" s="4">
        <v>1</v>
      </c>
      <c r="BL1167" s="4"/>
      <c r="BM1167" s="5">
        <v>40798</v>
      </c>
      <c r="BN1167" s="5">
        <v>40812</v>
      </c>
      <c r="BO1167" s="5">
        <v>40857</v>
      </c>
      <c r="BP1167" s="4"/>
      <c r="BQ1167" s="4"/>
      <c r="BR1167" s="4"/>
      <c r="BS1167" s="4"/>
      <c r="BT1167" s="5">
        <v>40836</v>
      </c>
      <c r="BU1167" s="5">
        <v>40835</v>
      </c>
      <c r="BV1167" s="5">
        <v>40871</v>
      </c>
      <c r="BW1167" s="5">
        <v>40851</v>
      </c>
      <c r="BX1167" s="5">
        <v>40856</v>
      </c>
      <c r="BY1167" s="5">
        <v>40873</v>
      </c>
      <c r="BZ1167" s="5">
        <v>40872</v>
      </c>
      <c r="CA1167" s="4"/>
      <c r="CB1167" s="4"/>
      <c r="CC1167" s="4"/>
      <c r="CD1167" s="4"/>
      <c r="CE1167" s="4"/>
      <c r="CF1167" s="4"/>
      <c r="CG1167" s="4"/>
      <c r="CH1167" s="4"/>
      <c r="CI1167" s="5">
        <v>40872</v>
      </c>
      <c r="CJ1167" s="5">
        <v>40882</v>
      </c>
      <c r="CK1167" s="5">
        <v>40884</v>
      </c>
      <c r="CL1167" s="5">
        <v>40871</v>
      </c>
      <c r="CM1167" s="5">
        <v>40897</v>
      </c>
      <c r="CN1167" s="5">
        <v>40987</v>
      </c>
      <c r="CO1167" s="5">
        <v>41075</v>
      </c>
      <c r="CP1167" s="4" t="s">
        <v>3549</v>
      </c>
      <c r="CQ1167" s="4" t="s">
        <v>205</v>
      </c>
      <c r="CR1167" s="5">
        <v>40874</v>
      </c>
      <c r="CS1167" s="5">
        <v>40777</v>
      </c>
      <c r="CT1167" s="5">
        <v>40777</v>
      </c>
      <c r="CU1167" s="5">
        <v>40826</v>
      </c>
      <c r="CV1167" s="5">
        <v>40849</v>
      </c>
      <c r="CW1167" s="5">
        <v>40866</v>
      </c>
      <c r="CX1167" s="5">
        <v>40857</v>
      </c>
      <c r="CY1167" s="5">
        <v>40858</v>
      </c>
      <c r="CZ1167" s="5">
        <v>40857</v>
      </c>
      <c r="DA1167" s="5">
        <v>40868</v>
      </c>
      <c r="DB1167" s="5">
        <v>40877</v>
      </c>
      <c r="DC1167" s="4"/>
      <c r="DD1167" s="4"/>
      <c r="DE1167" s="4"/>
      <c r="DF1167" s="4"/>
      <c r="DG1167" s="4"/>
      <c r="DH1167" s="4"/>
      <c r="DI1167" s="5">
        <v>40857</v>
      </c>
      <c r="DJ1167" s="4" t="b">
        <v>0</v>
      </c>
      <c r="DK1167" s="4"/>
      <c r="DL1167" s="4">
        <v>2626730</v>
      </c>
      <c r="DM1167" s="4">
        <v>6614935</v>
      </c>
      <c r="DN1167" s="4" t="s">
        <v>3550</v>
      </c>
      <c r="DO1167" s="4"/>
      <c r="DP1167" s="4"/>
      <c r="DQ1167" s="4" t="s">
        <v>148</v>
      </c>
      <c r="DR1167" s="4"/>
      <c r="DS1167" s="4"/>
      <c r="DT1167" s="4"/>
      <c r="DU1167" s="4"/>
      <c r="DV1167" s="4"/>
      <c r="DW1167" s="4"/>
      <c r="DX1167" s="4"/>
      <c r="DY1167" s="4"/>
      <c r="DZ1167" s="4"/>
      <c r="EA1167" s="4"/>
      <c r="EB1167" s="4"/>
      <c r="EC1167" s="4"/>
      <c r="ED1167" s="4"/>
      <c r="EE1167" s="4"/>
      <c r="EF1167" s="4"/>
      <c r="EG1167" s="5">
        <v>40884</v>
      </c>
      <c r="EH1167" s="5">
        <v>40884</v>
      </c>
      <c r="EI1167" s="4"/>
    </row>
    <row r="1168" spans="1:139" hidden="1" x14ac:dyDescent="0.2">
      <c r="A1168">
        <f>VLOOKUP(B1168,Sheet1!$A$1:$B$18,2,FALSE)</f>
        <v>0</v>
      </c>
      <c r="B1168" t="str">
        <f>LEFT(D1168,3)</f>
        <v>NTH</v>
      </c>
      <c r="C1168" s="2">
        <v>1167</v>
      </c>
      <c r="D1168" s="3" t="str">
        <f>HYPERLINK("https://sitebase.nzcomms.co.nz/spm/spmnominalview/NTH-002-006/","NTH-002-006")</f>
        <v>NTH-002-006</v>
      </c>
      <c r="E1168" s="4" t="s">
        <v>3551</v>
      </c>
      <c r="F1168" s="3" t="str">
        <f>HYPERLINK("https://sitebase.nzcomms.co.nz/spm/spmcandidateview/NTH-002-006-E/","NTH-002-006-E")</f>
        <v>NTH-002-006-E</v>
      </c>
      <c r="G1168" s="4" t="s">
        <v>3552</v>
      </c>
      <c r="H1168" s="4" t="s">
        <v>3534</v>
      </c>
      <c r="I1168" s="4">
        <v>3</v>
      </c>
      <c r="J1168" s="4" t="s">
        <v>1633</v>
      </c>
      <c r="K1168" s="4" t="s">
        <v>141</v>
      </c>
      <c r="L1168" s="4" t="s">
        <v>150</v>
      </c>
      <c r="M1168" s="4" t="s">
        <v>190</v>
      </c>
      <c r="N1168" s="4" t="s">
        <v>246</v>
      </c>
      <c r="O1168" s="4" t="s">
        <v>144</v>
      </c>
      <c r="P1168" s="4" t="s">
        <v>169</v>
      </c>
      <c r="Q1168" s="4" t="s">
        <v>170</v>
      </c>
      <c r="R1168" s="4">
        <v>14.5</v>
      </c>
      <c r="S1168" s="4">
        <v>15</v>
      </c>
      <c r="T1168" s="4"/>
      <c r="U1168" s="4">
        <v>-35.683117559999999</v>
      </c>
      <c r="V1168" s="4">
        <v>174.29970584</v>
      </c>
      <c r="W1168" s="5">
        <v>40235</v>
      </c>
      <c r="X1168" s="5">
        <v>40234</v>
      </c>
      <c r="Y1168" s="5">
        <v>40235</v>
      </c>
      <c r="Z1168" s="5">
        <v>40234</v>
      </c>
      <c r="AA1168" s="4" t="s">
        <v>145</v>
      </c>
      <c r="AB1168" s="3" t="str">
        <f>HYPERLINK("https://sitebase.nzcomms.co.nz/spm/spmcandidateview/NTH-002-011-A/","NTH-002-011-A")</f>
        <v>NTH-002-011-A</v>
      </c>
      <c r="AC1168" s="4" t="b">
        <v>1</v>
      </c>
      <c r="AD1168" s="4" t="b">
        <v>0</v>
      </c>
      <c r="AE1168" s="5">
        <v>40220</v>
      </c>
      <c r="AF1168" s="4"/>
      <c r="AG1168" s="4" t="b">
        <v>0</v>
      </c>
      <c r="AH1168" s="4"/>
      <c r="AI1168" s="5">
        <v>40598</v>
      </c>
      <c r="AJ1168" s="5">
        <v>40598</v>
      </c>
      <c r="AK1168" s="5">
        <v>40605</v>
      </c>
      <c r="AL1168" s="5">
        <v>40604</v>
      </c>
      <c r="AM1168" s="5">
        <v>40669</v>
      </c>
      <c r="AN1168" s="5">
        <v>40668</v>
      </c>
      <c r="AO1168" s="4">
        <v>1</v>
      </c>
      <c r="AP1168" s="5">
        <v>40669</v>
      </c>
      <c r="AQ1168" s="5">
        <v>40668</v>
      </c>
      <c r="AR1168" s="5">
        <v>40679</v>
      </c>
      <c r="AS1168" s="5">
        <v>40669</v>
      </c>
      <c r="AT1168" s="5">
        <v>40718</v>
      </c>
      <c r="AU1168" s="5">
        <v>40718</v>
      </c>
      <c r="AV1168" s="4"/>
      <c r="AW1168" s="5">
        <v>40816</v>
      </c>
      <c r="AX1168" s="5">
        <v>40800</v>
      </c>
      <c r="AY1168" s="4" t="s">
        <v>247</v>
      </c>
      <c r="AZ1168" s="5">
        <v>40679</v>
      </c>
      <c r="BA1168" s="5">
        <v>40679</v>
      </c>
      <c r="BB1168" s="5">
        <v>40721</v>
      </c>
      <c r="BC1168" s="5">
        <v>40701</v>
      </c>
      <c r="BD1168" s="4">
        <v>1</v>
      </c>
      <c r="BE1168" s="5">
        <v>40721</v>
      </c>
      <c r="BF1168" s="5">
        <v>40709</v>
      </c>
      <c r="BG1168" s="4"/>
      <c r="BH1168" s="4"/>
      <c r="BI1168" s="5">
        <v>40793</v>
      </c>
      <c r="BJ1168" s="5">
        <v>40799</v>
      </c>
      <c r="BK1168" s="4">
        <v>1</v>
      </c>
      <c r="BL1168" s="4"/>
      <c r="BM1168" s="5">
        <v>40793</v>
      </c>
      <c r="BN1168" s="5">
        <v>40799</v>
      </c>
      <c r="BO1168" s="5">
        <v>40799</v>
      </c>
      <c r="BP1168" s="4"/>
      <c r="BQ1168" s="4"/>
      <c r="BR1168" s="4"/>
      <c r="BS1168" s="4"/>
      <c r="BT1168" s="5">
        <v>40799</v>
      </c>
      <c r="BU1168" s="5">
        <v>40800</v>
      </c>
      <c r="BV1168" s="5">
        <v>40823</v>
      </c>
      <c r="BW1168" s="5">
        <v>40809</v>
      </c>
      <c r="BX1168" s="5">
        <v>40813</v>
      </c>
      <c r="BY1168" s="5">
        <v>40834</v>
      </c>
      <c r="BZ1168" s="5">
        <v>40834</v>
      </c>
      <c r="CA1168" s="4"/>
      <c r="CB1168" s="4"/>
      <c r="CC1168" s="4"/>
      <c r="CD1168" s="4"/>
      <c r="CE1168" s="4"/>
      <c r="CF1168" s="4"/>
      <c r="CG1168" s="4"/>
      <c r="CH1168" s="4"/>
      <c r="CI1168" s="5">
        <v>40837</v>
      </c>
      <c r="CJ1168" s="5">
        <v>40846</v>
      </c>
      <c r="CK1168" s="5">
        <v>40843</v>
      </c>
      <c r="CL1168" s="5">
        <v>40851</v>
      </c>
      <c r="CM1168" s="5">
        <v>40862</v>
      </c>
      <c r="CN1168" s="5">
        <v>40952</v>
      </c>
      <c r="CO1168" s="5">
        <v>41058</v>
      </c>
      <c r="CP1168" s="4" t="s">
        <v>3553</v>
      </c>
      <c r="CQ1168" s="4"/>
      <c r="CR1168" s="5">
        <v>40834</v>
      </c>
      <c r="CS1168" s="5">
        <v>40777</v>
      </c>
      <c r="CT1168" s="5">
        <v>40777</v>
      </c>
      <c r="CU1168" s="5">
        <v>40786</v>
      </c>
      <c r="CV1168" s="5">
        <v>40786</v>
      </c>
      <c r="CW1168" s="5">
        <v>40799</v>
      </c>
      <c r="CX1168" s="5">
        <v>40799</v>
      </c>
      <c r="CY1168" s="5">
        <v>40829</v>
      </c>
      <c r="CZ1168" s="5">
        <v>40819</v>
      </c>
      <c r="DA1168" s="4"/>
      <c r="DB1168" s="5">
        <v>40837</v>
      </c>
      <c r="DC1168" s="4"/>
      <c r="DD1168" s="4"/>
      <c r="DE1168" s="4"/>
      <c r="DF1168" s="4"/>
      <c r="DG1168" s="4"/>
      <c r="DH1168" s="4"/>
      <c r="DI1168" s="5">
        <v>40828</v>
      </c>
      <c r="DJ1168" s="4" t="b">
        <v>0</v>
      </c>
      <c r="DK1168" s="4"/>
      <c r="DL1168" s="4">
        <v>2628332</v>
      </c>
      <c r="DM1168" s="4">
        <v>6612237</v>
      </c>
      <c r="DN1168" s="4" t="s">
        <v>3554</v>
      </c>
      <c r="DO1168" s="4"/>
      <c r="DP1168" s="4" t="s">
        <v>3555</v>
      </c>
      <c r="DQ1168" s="4" t="s">
        <v>148</v>
      </c>
      <c r="DR1168" s="4"/>
      <c r="DS1168" s="4"/>
      <c r="DT1168" s="4"/>
      <c r="DU1168" s="4"/>
      <c r="DV1168" s="4"/>
      <c r="DW1168" s="4"/>
      <c r="DX1168" s="4"/>
      <c r="DY1168" s="4"/>
      <c r="DZ1168" s="4"/>
      <c r="EA1168" s="4"/>
      <c r="EB1168" s="4"/>
      <c r="EC1168" s="4"/>
      <c r="ED1168" s="4"/>
      <c r="EE1168" s="4"/>
      <c r="EF1168" s="4"/>
      <c r="EG1168" s="5">
        <v>40823</v>
      </c>
      <c r="EH1168" s="5">
        <v>40854</v>
      </c>
      <c r="EI1168" s="4"/>
    </row>
    <row r="1169" spans="1:139" hidden="1" x14ac:dyDescent="0.2">
      <c r="A1169">
        <f>VLOOKUP(B1169,Sheet1!$A$1:$B$18,2,FALSE)</f>
        <v>0</v>
      </c>
      <c r="B1169" t="str">
        <f>LEFT(D1169,3)</f>
        <v>NTH</v>
      </c>
      <c r="C1169" s="2">
        <v>1168</v>
      </c>
      <c r="D1169" s="3" t="str">
        <f>HYPERLINK("https://sitebase.nzcomms.co.nz/spm/spmnominalview/NTH-002-007/","NTH-002-007")</f>
        <v>NTH-002-007</v>
      </c>
      <c r="E1169" s="4" t="s">
        <v>3556</v>
      </c>
      <c r="F1169" s="3" t="str">
        <f>HYPERLINK("https://sitebase.nzcomms.co.nz/spm/spmcandidateview/NTH-002-007-A/","NTH-002-007-A")</f>
        <v>NTH-002-007-A</v>
      </c>
      <c r="G1169" s="4" t="s">
        <v>3538</v>
      </c>
      <c r="H1169" s="4" t="s">
        <v>3534</v>
      </c>
      <c r="I1169" s="4">
        <v>3</v>
      </c>
      <c r="J1169" s="4" t="s">
        <v>1633</v>
      </c>
      <c r="K1169" s="4" t="s">
        <v>141</v>
      </c>
      <c r="L1169" s="4" t="s">
        <v>142</v>
      </c>
      <c r="M1169" s="4" t="s">
        <v>190</v>
      </c>
      <c r="N1169" s="4" t="s">
        <v>142</v>
      </c>
      <c r="O1169" s="4" t="s">
        <v>144</v>
      </c>
      <c r="P1169" s="4" t="s">
        <v>182</v>
      </c>
      <c r="Q1169" s="4" t="s">
        <v>142</v>
      </c>
      <c r="R1169" s="4">
        <v>20.5</v>
      </c>
      <c r="S1169" s="4">
        <v>23.3</v>
      </c>
      <c r="T1169" s="4">
        <v>1</v>
      </c>
      <c r="U1169" s="4">
        <v>-35.738759000000002</v>
      </c>
      <c r="V1169" s="4">
        <v>174.23104687</v>
      </c>
      <c r="W1169" s="5">
        <v>40235</v>
      </c>
      <c r="X1169" s="5">
        <v>40234</v>
      </c>
      <c r="Y1169" s="5">
        <v>40235</v>
      </c>
      <c r="Z1169" s="5">
        <v>40234</v>
      </c>
      <c r="AA1169" s="4" t="s">
        <v>1125</v>
      </c>
      <c r="AB1169" s="4" t="s">
        <v>3557</v>
      </c>
      <c r="AC1169" s="4" t="b">
        <v>1</v>
      </c>
      <c r="AD1169" s="4" t="b">
        <v>0</v>
      </c>
      <c r="AE1169" s="5">
        <v>40219</v>
      </c>
      <c r="AF1169" s="4"/>
      <c r="AG1169" s="4" t="b">
        <v>0</v>
      </c>
      <c r="AH1169" s="4"/>
      <c r="AI1169" s="5">
        <v>40584</v>
      </c>
      <c r="AJ1169" s="5">
        <v>40584</v>
      </c>
      <c r="AK1169" s="5">
        <v>40589</v>
      </c>
      <c r="AL1169" s="5">
        <v>40589</v>
      </c>
      <c r="AM1169" s="5">
        <v>40613</v>
      </c>
      <c r="AN1169" s="5">
        <v>40617</v>
      </c>
      <c r="AO1169" s="4">
        <v>2</v>
      </c>
      <c r="AP1169" s="5">
        <v>40613</v>
      </c>
      <c r="AQ1169" s="5">
        <v>41012</v>
      </c>
      <c r="AR1169" s="4"/>
      <c r="AS1169" s="5">
        <v>40639</v>
      </c>
      <c r="AT1169" s="5">
        <v>40717</v>
      </c>
      <c r="AU1169" s="5">
        <v>40702</v>
      </c>
      <c r="AV1169" s="4"/>
      <c r="AW1169" s="5">
        <v>40717</v>
      </c>
      <c r="AX1169" s="5">
        <v>40707</v>
      </c>
      <c r="AY1169" s="4" t="s">
        <v>183</v>
      </c>
      <c r="AZ1169" s="5">
        <v>40651</v>
      </c>
      <c r="BA1169" s="5">
        <v>40651</v>
      </c>
      <c r="BB1169" s="5">
        <v>40693</v>
      </c>
      <c r="BC1169" s="5">
        <v>40674</v>
      </c>
      <c r="BD1169" s="4">
        <v>1</v>
      </c>
      <c r="BE1169" s="5">
        <v>40681</v>
      </c>
      <c r="BF1169" s="5">
        <v>40679</v>
      </c>
      <c r="BG1169" s="4"/>
      <c r="BH1169" s="4"/>
      <c r="BI1169" s="5">
        <v>40793</v>
      </c>
      <c r="BJ1169" s="5">
        <v>40793</v>
      </c>
      <c r="BK1169" s="4">
        <v>1</v>
      </c>
      <c r="BL1169" s="4"/>
      <c r="BM1169" s="5">
        <v>40793</v>
      </c>
      <c r="BN1169" s="5">
        <v>40793</v>
      </c>
      <c r="BO1169" s="5">
        <v>40800</v>
      </c>
      <c r="BP1169" s="4"/>
      <c r="BQ1169" s="4"/>
      <c r="BR1169" s="4"/>
      <c r="BS1169" s="4"/>
      <c r="BT1169" s="5">
        <v>40800</v>
      </c>
      <c r="BU1169" s="5">
        <v>40804</v>
      </c>
      <c r="BV1169" s="5">
        <v>40819</v>
      </c>
      <c r="BW1169" s="5">
        <v>40826</v>
      </c>
      <c r="BX1169" s="5">
        <v>40816</v>
      </c>
      <c r="BY1169" s="5">
        <v>40833</v>
      </c>
      <c r="BZ1169" s="5">
        <v>40837</v>
      </c>
      <c r="CA1169" s="4"/>
      <c r="CB1169" s="4"/>
      <c r="CC1169" s="4"/>
      <c r="CD1169" s="4"/>
      <c r="CE1169" s="4"/>
      <c r="CF1169" s="4"/>
      <c r="CG1169" s="4"/>
      <c r="CH1169" s="4"/>
      <c r="CI1169" s="5">
        <v>40830</v>
      </c>
      <c r="CJ1169" s="5">
        <v>40846</v>
      </c>
      <c r="CK1169" s="5">
        <v>40843</v>
      </c>
      <c r="CL1169" s="5">
        <v>40837</v>
      </c>
      <c r="CM1169" s="5">
        <v>40862</v>
      </c>
      <c r="CN1169" s="5">
        <v>40952</v>
      </c>
      <c r="CO1169" s="5">
        <v>41004</v>
      </c>
      <c r="CP1169" s="4" t="s">
        <v>3558</v>
      </c>
      <c r="CQ1169" s="4" t="s">
        <v>230</v>
      </c>
      <c r="CR1169" s="5">
        <v>40829</v>
      </c>
      <c r="CS1169" s="5">
        <v>40777</v>
      </c>
      <c r="CT1169" s="5">
        <v>40777</v>
      </c>
      <c r="CU1169" s="5">
        <v>40791</v>
      </c>
      <c r="CV1169" s="5">
        <v>40791</v>
      </c>
      <c r="CW1169" s="5">
        <v>40800</v>
      </c>
      <c r="CX1169" s="5">
        <v>40800</v>
      </c>
      <c r="CY1169" s="5">
        <v>40820</v>
      </c>
      <c r="CZ1169" s="5">
        <v>40826</v>
      </c>
      <c r="DA1169" s="4"/>
      <c r="DB1169" s="5">
        <v>40837</v>
      </c>
      <c r="DC1169" s="4"/>
      <c r="DD1169" s="4"/>
      <c r="DE1169" s="4"/>
      <c r="DF1169" s="4"/>
      <c r="DG1169" s="4"/>
      <c r="DH1169" s="4"/>
      <c r="DI1169" s="5">
        <v>40817</v>
      </c>
      <c r="DJ1169" s="4" t="b">
        <v>0</v>
      </c>
      <c r="DK1169" s="4"/>
      <c r="DL1169" s="4">
        <v>2622024</v>
      </c>
      <c r="DM1169" s="4">
        <v>6606159</v>
      </c>
      <c r="DN1169" s="4" t="s">
        <v>3559</v>
      </c>
      <c r="DO1169" s="4"/>
      <c r="DP1169" s="4" t="s">
        <v>3560</v>
      </c>
      <c r="DQ1169" s="4" t="s">
        <v>148</v>
      </c>
      <c r="DR1169" s="4"/>
      <c r="DS1169" s="4"/>
      <c r="DT1169" s="4"/>
      <c r="DU1169" s="4"/>
      <c r="DV1169" s="4"/>
      <c r="DW1169" s="4"/>
      <c r="DX1169" s="4"/>
      <c r="DY1169" s="4"/>
      <c r="DZ1169" s="4"/>
      <c r="EA1169" s="4"/>
      <c r="EB1169" s="4"/>
      <c r="EC1169" s="4"/>
      <c r="ED1169" s="4"/>
      <c r="EE1169" s="4"/>
      <c r="EF1169" s="4"/>
      <c r="EG1169" s="5">
        <v>40823</v>
      </c>
      <c r="EH1169" s="5">
        <v>40854</v>
      </c>
      <c r="EI1169" s="4"/>
    </row>
    <row r="1170" spans="1:139" hidden="1" x14ac:dyDescent="0.2">
      <c r="A1170">
        <f>VLOOKUP(B1170,Sheet1!$A$1:$B$18,2,FALSE)</f>
        <v>0</v>
      </c>
      <c r="B1170" t="str">
        <f>LEFT(D1170,3)</f>
        <v>NTH</v>
      </c>
      <c r="C1170" s="2">
        <v>1169</v>
      </c>
      <c r="D1170" s="3" t="str">
        <f>HYPERLINK("https://sitebase.nzcomms.co.nz/spm/spmnominalview/NTH-002-008/","NTH-002-008")</f>
        <v>NTH-002-008</v>
      </c>
      <c r="E1170" s="4" t="s">
        <v>3561</v>
      </c>
      <c r="F1170" s="3" t="str">
        <f>HYPERLINK("https://sitebase.nzcomms.co.nz/spm/spmcandidateview/NTH-002-008-A/","NTH-002-008-A")</f>
        <v>NTH-002-008-A</v>
      </c>
      <c r="G1170" s="4" t="s">
        <v>3562</v>
      </c>
      <c r="H1170" s="4" t="s">
        <v>3534</v>
      </c>
      <c r="I1170" s="4">
        <v>3</v>
      </c>
      <c r="J1170" s="4" t="s">
        <v>1633</v>
      </c>
      <c r="K1170" s="4" t="s">
        <v>141</v>
      </c>
      <c r="L1170" s="4" t="s">
        <v>142</v>
      </c>
      <c r="M1170" s="4" t="s">
        <v>190</v>
      </c>
      <c r="N1170" s="4" t="s">
        <v>142</v>
      </c>
      <c r="O1170" s="4" t="s">
        <v>356</v>
      </c>
      <c r="P1170" s="4" t="s">
        <v>182</v>
      </c>
      <c r="Q1170" s="4" t="s">
        <v>142</v>
      </c>
      <c r="R1170" s="4">
        <v>23.4</v>
      </c>
      <c r="S1170" s="4">
        <v>23.9</v>
      </c>
      <c r="T1170" s="4"/>
      <c r="U1170" s="4">
        <v>-35.692253669999999</v>
      </c>
      <c r="V1170" s="4">
        <v>174.31321743000001</v>
      </c>
      <c r="W1170" s="5">
        <v>40235</v>
      </c>
      <c r="X1170" s="5">
        <v>40234</v>
      </c>
      <c r="Y1170" s="5">
        <v>40235</v>
      </c>
      <c r="Z1170" s="5">
        <v>40234</v>
      </c>
      <c r="AA1170" s="4" t="s">
        <v>171</v>
      </c>
      <c r="AB1170" s="3" t="str">
        <f>HYPERLINK("https://sitebase.nzcomms.co.nz/spm/spmcandidateview/NTH-002-005-A/","NTH-002-005-A")</f>
        <v>NTH-002-005-A</v>
      </c>
      <c r="AC1170" s="4" t="b">
        <v>1</v>
      </c>
      <c r="AD1170" s="4" t="b">
        <v>0</v>
      </c>
      <c r="AE1170" s="5">
        <v>40220</v>
      </c>
      <c r="AF1170" s="4"/>
      <c r="AG1170" s="4" t="b">
        <v>0</v>
      </c>
      <c r="AH1170" s="4"/>
      <c r="AI1170" s="5">
        <v>40675</v>
      </c>
      <c r="AJ1170" s="5">
        <v>40675</v>
      </c>
      <c r="AK1170" s="5">
        <v>40682</v>
      </c>
      <c r="AL1170" s="5">
        <v>40676</v>
      </c>
      <c r="AM1170" s="5">
        <v>40717</v>
      </c>
      <c r="AN1170" s="5">
        <v>40715</v>
      </c>
      <c r="AO1170" s="4">
        <v>2</v>
      </c>
      <c r="AP1170" s="5">
        <v>40717</v>
      </c>
      <c r="AQ1170" s="5">
        <v>40728</v>
      </c>
      <c r="AR1170" s="5">
        <v>40744</v>
      </c>
      <c r="AS1170" s="5">
        <v>40744</v>
      </c>
      <c r="AT1170" s="5">
        <v>40786</v>
      </c>
      <c r="AU1170" s="5">
        <v>40773</v>
      </c>
      <c r="AV1170" s="4"/>
      <c r="AW1170" s="5">
        <v>40816</v>
      </c>
      <c r="AX1170" s="5">
        <v>40786</v>
      </c>
      <c r="AY1170" s="4" t="s">
        <v>247</v>
      </c>
      <c r="AZ1170" s="5">
        <v>40735</v>
      </c>
      <c r="BA1170" s="5">
        <v>40736</v>
      </c>
      <c r="BB1170" s="5">
        <v>40777</v>
      </c>
      <c r="BC1170" s="5">
        <v>40758</v>
      </c>
      <c r="BD1170" s="4">
        <v>2</v>
      </c>
      <c r="BE1170" s="5">
        <v>40784</v>
      </c>
      <c r="BF1170" s="5">
        <v>40758</v>
      </c>
      <c r="BG1170" s="4"/>
      <c r="BH1170" s="4"/>
      <c r="BI1170" s="5">
        <v>40829</v>
      </c>
      <c r="BJ1170" s="5">
        <v>40851</v>
      </c>
      <c r="BK1170" s="4">
        <v>1</v>
      </c>
      <c r="BL1170" s="4"/>
      <c r="BM1170" s="5">
        <v>40829</v>
      </c>
      <c r="BN1170" s="5">
        <v>40851</v>
      </c>
      <c r="BO1170" s="5">
        <v>40861</v>
      </c>
      <c r="BP1170" s="4"/>
      <c r="BQ1170" s="4"/>
      <c r="BR1170" s="4"/>
      <c r="BS1170" s="4"/>
      <c r="BT1170" s="5">
        <v>40834</v>
      </c>
      <c r="BU1170" s="5">
        <v>40834</v>
      </c>
      <c r="BV1170" s="5">
        <v>40858</v>
      </c>
      <c r="BW1170" s="5">
        <v>40851</v>
      </c>
      <c r="BX1170" s="5">
        <v>40847</v>
      </c>
      <c r="BY1170" s="5">
        <v>40874</v>
      </c>
      <c r="BZ1170" s="5">
        <v>40872</v>
      </c>
      <c r="CA1170" s="4"/>
      <c r="CB1170" s="4"/>
      <c r="CC1170" s="4"/>
      <c r="CD1170" s="4"/>
      <c r="CE1170" s="4"/>
      <c r="CF1170" s="4"/>
      <c r="CG1170" s="4"/>
      <c r="CH1170" s="4"/>
      <c r="CI1170" s="5">
        <v>40876</v>
      </c>
      <c r="CJ1170" s="5">
        <v>40882</v>
      </c>
      <c r="CK1170" s="5">
        <v>40884</v>
      </c>
      <c r="CL1170" s="5">
        <v>40873</v>
      </c>
      <c r="CM1170" s="5">
        <v>40897</v>
      </c>
      <c r="CN1170" s="5">
        <v>40987</v>
      </c>
      <c r="CO1170" s="5">
        <v>41012</v>
      </c>
      <c r="CP1170" s="4" t="s">
        <v>3563</v>
      </c>
      <c r="CQ1170" s="4" t="s">
        <v>230</v>
      </c>
      <c r="CR1170" s="5">
        <v>40875</v>
      </c>
      <c r="CS1170" s="5">
        <v>40777</v>
      </c>
      <c r="CT1170" s="5">
        <v>40777</v>
      </c>
      <c r="CU1170" s="5">
        <v>40828</v>
      </c>
      <c r="CV1170" s="5">
        <v>40849</v>
      </c>
      <c r="CW1170" s="5">
        <v>40861</v>
      </c>
      <c r="CX1170" s="5">
        <v>40861</v>
      </c>
      <c r="CY1170" s="5">
        <v>40851</v>
      </c>
      <c r="CZ1170" s="5">
        <v>40851</v>
      </c>
      <c r="DA1170" s="5">
        <v>40869</v>
      </c>
      <c r="DB1170" s="5">
        <v>40877</v>
      </c>
      <c r="DC1170" s="4"/>
      <c r="DD1170" s="4"/>
      <c r="DE1170" s="4"/>
      <c r="DF1170" s="4"/>
      <c r="DG1170" s="4"/>
      <c r="DH1170" s="4"/>
      <c r="DI1170" s="5">
        <v>40848</v>
      </c>
      <c r="DJ1170" s="4" t="b">
        <v>0</v>
      </c>
      <c r="DK1170" s="4"/>
      <c r="DL1170" s="4">
        <v>2629539</v>
      </c>
      <c r="DM1170" s="4">
        <v>6611204</v>
      </c>
      <c r="DN1170" s="4" t="s">
        <v>3564</v>
      </c>
      <c r="DO1170" s="4"/>
      <c r="DP1170" s="4" t="s">
        <v>3565</v>
      </c>
      <c r="DQ1170" s="4" t="s">
        <v>148</v>
      </c>
      <c r="DR1170" s="4"/>
      <c r="DS1170" s="4"/>
      <c r="DT1170" s="4"/>
      <c r="DU1170" s="4"/>
      <c r="DV1170" s="4"/>
      <c r="DW1170" s="4"/>
      <c r="DX1170" s="4"/>
      <c r="DY1170" s="4"/>
      <c r="DZ1170" s="4"/>
      <c r="EA1170" s="4"/>
      <c r="EB1170" s="4"/>
      <c r="EC1170" s="4"/>
      <c r="ED1170" s="4"/>
      <c r="EE1170" s="4"/>
      <c r="EF1170" s="4"/>
      <c r="EG1170" s="5">
        <v>40885</v>
      </c>
      <c r="EH1170" s="5">
        <v>40885</v>
      </c>
      <c r="EI1170" s="4"/>
    </row>
    <row r="1171" spans="1:139" hidden="1" x14ac:dyDescent="0.2">
      <c r="A1171">
        <f>VLOOKUP(B1171,Sheet1!$A$1:$B$18,2,FALSE)</f>
        <v>0</v>
      </c>
      <c r="B1171" t="str">
        <f>LEFT(D1171,3)</f>
        <v>NTH</v>
      </c>
      <c r="C1171" s="2">
        <v>1170</v>
      </c>
      <c r="D1171" s="3" t="str">
        <f>HYPERLINK("https://sitebase.nzcomms.co.nz/spm/spmnominalview/NTH-002-009/","NTH-002-009")</f>
        <v>NTH-002-009</v>
      </c>
      <c r="E1171" s="4" t="s">
        <v>3566</v>
      </c>
      <c r="F1171" s="3" t="str">
        <f>HYPERLINK("https://sitebase.nzcomms.co.nz/spm/spmcandidateview/NTH-002-009-A/","NTH-002-009-A")</f>
        <v>NTH-002-009-A</v>
      </c>
      <c r="G1171" s="4" t="s">
        <v>3538</v>
      </c>
      <c r="H1171" s="4" t="s">
        <v>3534</v>
      </c>
      <c r="I1171" s="4">
        <v>3</v>
      </c>
      <c r="J1171" s="4" t="s">
        <v>1633</v>
      </c>
      <c r="K1171" s="4" t="s">
        <v>141</v>
      </c>
      <c r="L1171" s="4" t="s">
        <v>142</v>
      </c>
      <c r="M1171" s="4" t="s">
        <v>190</v>
      </c>
      <c r="N1171" s="4" t="s">
        <v>142</v>
      </c>
      <c r="O1171" s="4" t="s">
        <v>144</v>
      </c>
      <c r="P1171" s="4" t="s">
        <v>182</v>
      </c>
      <c r="Q1171" s="4" t="s">
        <v>142</v>
      </c>
      <c r="R1171" s="4">
        <v>15</v>
      </c>
      <c r="S1171" s="4">
        <v>17.899999999999999</v>
      </c>
      <c r="T1171" s="4"/>
      <c r="U1171" s="4">
        <v>-35.708686210000003</v>
      </c>
      <c r="V1171" s="4">
        <v>174.32139427000001</v>
      </c>
      <c r="W1171" s="5">
        <v>40235</v>
      </c>
      <c r="X1171" s="5">
        <v>40234</v>
      </c>
      <c r="Y1171" s="5">
        <v>40235</v>
      </c>
      <c r="Z1171" s="5">
        <v>40234</v>
      </c>
      <c r="AA1171" s="4" t="s">
        <v>171</v>
      </c>
      <c r="AB1171" s="3" t="str">
        <f>HYPERLINK("https://sitebase.nzcomms.co.nz/spm/spmcandidateview/NTH-002-011-A/","NTH-002-011-A")</f>
        <v>NTH-002-011-A</v>
      </c>
      <c r="AC1171" s="4" t="b">
        <v>1</v>
      </c>
      <c r="AD1171" s="4" t="b">
        <v>0</v>
      </c>
      <c r="AE1171" s="5">
        <v>40219</v>
      </c>
      <c r="AF1171" s="4"/>
      <c r="AG1171" s="4" t="b">
        <v>0</v>
      </c>
      <c r="AH1171" s="4" t="s">
        <v>3567</v>
      </c>
      <c r="AI1171" s="5">
        <v>40584</v>
      </c>
      <c r="AJ1171" s="5">
        <v>40598</v>
      </c>
      <c r="AK1171" s="5">
        <v>40605</v>
      </c>
      <c r="AL1171" s="5">
        <v>40602</v>
      </c>
      <c r="AM1171" s="5">
        <v>40686</v>
      </c>
      <c r="AN1171" s="5">
        <v>40668</v>
      </c>
      <c r="AO1171" s="4">
        <v>2</v>
      </c>
      <c r="AP1171" s="5">
        <v>40686</v>
      </c>
      <c r="AQ1171" s="5">
        <v>41969</v>
      </c>
      <c r="AR1171" s="5">
        <v>40714</v>
      </c>
      <c r="AS1171" s="5">
        <v>40702</v>
      </c>
      <c r="AT1171" s="5">
        <v>40812</v>
      </c>
      <c r="AU1171" s="5">
        <v>40788</v>
      </c>
      <c r="AV1171" s="4"/>
      <c r="AW1171" s="5">
        <v>40847</v>
      </c>
      <c r="AX1171" s="5">
        <v>40826</v>
      </c>
      <c r="AY1171" s="4" t="s">
        <v>247</v>
      </c>
      <c r="AZ1171" s="5">
        <v>40679</v>
      </c>
      <c r="BA1171" s="5">
        <v>40679</v>
      </c>
      <c r="BB1171" s="5">
        <v>40735</v>
      </c>
      <c r="BC1171" s="5">
        <v>40704</v>
      </c>
      <c r="BD1171" s="4">
        <v>1</v>
      </c>
      <c r="BE1171" s="5">
        <v>40742</v>
      </c>
      <c r="BF1171" s="5">
        <v>40709</v>
      </c>
      <c r="BG1171" s="4"/>
      <c r="BH1171" s="4"/>
      <c r="BI1171" s="5">
        <v>40830</v>
      </c>
      <c r="BJ1171" s="5">
        <v>40851</v>
      </c>
      <c r="BK1171" s="4">
        <v>1</v>
      </c>
      <c r="BL1171" s="4"/>
      <c r="BM1171" s="5">
        <v>40830</v>
      </c>
      <c r="BN1171" s="5">
        <v>40851</v>
      </c>
      <c r="BO1171" s="5">
        <v>40861</v>
      </c>
      <c r="BP1171" s="4"/>
      <c r="BQ1171" s="4"/>
      <c r="BR1171" s="4"/>
      <c r="BS1171" s="4"/>
      <c r="BT1171" s="5">
        <v>40847</v>
      </c>
      <c r="BU1171" s="5">
        <v>40847</v>
      </c>
      <c r="BV1171" s="5">
        <v>40858</v>
      </c>
      <c r="BW1171" s="5">
        <v>40857</v>
      </c>
      <c r="BX1171" s="5">
        <v>40854</v>
      </c>
      <c r="BY1171" s="5">
        <v>40868</v>
      </c>
      <c r="BZ1171" s="5">
        <v>40872</v>
      </c>
      <c r="CA1171" s="4"/>
      <c r="CB1171" s="4"/>
      <c r="CC1171" s="4"/>
      <c r="CD1171" s="4"/>
      <c r="CE1171" s="4"/>
      <c r="CF1171" s="4"/>
      <c r="CG1171" s="4"/>
      <c r="CH1171" s="4"/>
      <c r="CI1171" s="5">
        <v>40872</v>
      </c>
      <c r="CJ1171" s="5">
        <v>40882</v>
      </c>
      <c r="CK1171" s="5">
        <v>40884</v>
      </c>
      <c r="CL1171" s="5">
        <v>40898</v>
      </c>
      <c r="CM1171" s="5">
        <v>40897</v>
      </c>
      <c r="CN1171" s="5">
        <v>40987</v>
      </c>
      <c r="CO1171" s="5">
        <v>41012</v>
      </c>
      <c r="CP1171" s="4" t="s">
        <v>3568</v>
      </c>
      <c r="CQ1171" s="4" t="s">
        <v>230</v>
      </c>
      <c r="CR1171" s="5">
        <v>40871</v>
      </c>
      <c r="CS1171" s="5">
        <v>40777</v>
      </c>
      <c r="CT1171" s="5">
        <v>40777</v>
      </c>
      <c r="CU1171" s="5">
        <v>40819</v>
      </c>
      <c r="CV1171" s="5">
        <v>40849</v>
      </c>
      <c r="CW1171" s="5">
        <v>40861</v>
      </c>
      <c r="CX1171" s="5">
        <v>40861</v>
      </c>
      <c r="CY1171" s="5">
        <v>40857</v>
      </c>
      <c r="CZ1171" s="5">
        <v>40857</v>
      </c>
      <c r="DA1171" s="5">
        <v>40864</v>
      </c>
      <c r="DB1171" s="5">
        <v>40877</v>
      </c>
      <c r="DC1171" s="4"/>
      <c r="DD1171" s="4"/>
      <c r="DE1171" s="4"/>
      <c r="DF1171" s="4"/>
      <c r="DG1171" s="4"/>
      <c r="DH1171" s="4"/>
      <c r="DI1171" s="5">
        <v>40855</v>
      </c>
      <c r="DJ1171" s="4" t="b">
        <v>0</v>
      </c>
      <c r="DK1171" s="4"/>
      <c r="DL1171" s="4">
        <v>2630250</v>
      </c>
      <c r="DM1171" s="4">
        <v>6609369</v>
      </c>
      <c r="DN1171" s="4" t="s">
        <v>3569</v>
      </c>
      <c r="DO1171" s="4"/>
      <c r="DP1171" s="4" t="s">
        <v>3555</v>
      </c>
      <c r="DQ1171" s="4" t="s">
        <v>148</v>
      </c>
      <c r="DR1171" s="4"/>
      <c r="DS1171" s="4"/>
      <c r="DT1171" s="5">
        <v>42150</v>
      </c>
      <c r="DU1171" s="4"/>
      <c r="DV1171" s="4"/>
      <c r="DW1171" s="4"/>
      <c r="DX1171" s="4"/>
      <c r="DY1171" s="4"/>
      <c r="DZ1171" s="4"/>
      <c r="EA1171" s="4"/>
      <c r="EB1171" s="4"/>
      <c r="EC1171" s="4"/>
      <c r="ED1171" s="4"/>
      <c r="EE1171" s="4"/>
      <c r="EF1171" s="4"/>
      <c r="EG1171" s="5">
        <v>40885</v>
      </c>
      <c r="EH1171" s="5">
        <v>40885</v>
      </c>
      <c r="EI1171" s="4"/>
    </row>
    <row r="1172" spans="1:139" hidden="1" x14ac:dyDescent="0.2">
      <c r="A1172">
        <f>VLOOKUP(B1172,Sheet1!$A$1:$B$18,2,FALSE)</f>
        <v>0</v>
      </c>
      <c r="B1172" t="str">
        <f>LEFT(D1172,3)</f>
        <v>NTH</v>
      </c>
      <c r="C1172" s="2">
        <v>1171</v>
      </c>
      <c r="D1172" s="3" t="str">
        <f>HYPERLINK("https://sitebase.nzcomms.co.nz/spm/spmnominalview/NTH-002-010/","NTH-002-010")</f>
        <v>NTH-002-010</v>
      </c>
      <c r="E1172" s="4" t="s">
        <v>3570</v>
      </c>
      <c r="F1172" s="4"/>
      <c r="G1172" s="4"/>
      <c r="H1172" s="4" t="s">
        <v>3534</v>
      </c>
      <c r="I1172" s="4"/>
      <c r="J1172" s="4" t="s">
        <v>196</v>
      </c>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t="b">
        <v>0</v>
      </c>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t="s">
        <v>3571</v>
      </c>
      <c r="CQ1172" s="4"/>
      <c r="CR1172" s="4"/>
      <c r="CS1172" s="4"/>
      <c r="CT1172" s="4"/>
      <c r="CU1172" s="4"/>
      <c r="CV1172" s="4"/>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c r="EI1172" s="4"/>
    </row>
    <row r="1173" spans="1:139" hidden="1" x14ac:dyDescent="0.2">
      <c r="A1173">
        <f>VLOOKUP(B1173,Sheet1!$A$1:$B$18,2,FALSE)</f>
        <v>0</v>
      </c>
      <c r="B1173" t="str">
        <f>LEFT(D1173,3)</f>
        <v>NTH</v>
      </c>
      <c r="C1173" s="2">
        <v>1172</v>
      </c>
      <c r="D1173" s="3" t="str">
        <f>HYPERLINK("https://sitebase.nzcomms.co.nz/spm/spmnominalview/NTH-002-011/","NTH-002-011")</f>
        <v>NTH-002-011</v>
      </c>
      <c r="E1173" s="4" t="s">
        <v>3572</v>
      </c>
      <c r="F1173" s="3" t="str">
        <f>HYPERLINK("https://sitebase.nzcomms.co.nz/spm/spmcandidateview/NTH-002-011-A/","NTH-002-011-A")</f>
        <v>NTH-002-011-A</v>
      </c>
      <c r="G1173" s="4" t="s">
        <v>3573</v>
      </c>
      <c r="H1173" s="4" t="s">
        <v>3534</v>
      </c>
      <c r="I1173" s="4">
        <v>3</v>
      </c>
      <c r="J1173" s="4" t="s">
        <v>1633</v>
      </c>
      <c r="K1173" s="4" t="s">
        <v>141</v>
      </c>
      <c r="L1173" s="4" t="s">
        <v>181</v>
      </c>
      <c r="M1173" s="4" t="s">
        <v>166</v>
      </c>
      <c r="N1173" s="4" t="s">
        <v>181</v>
      </c>
      <c r="O1173" s="4" t="s">
        <v>144</v>
      </c>
      <c r="P1173" s="4" t="s">
        <v>169</v>
      </c>
      <c r="Q1173" s="4" t="s">
        <v>170</v>
      </c>
      <c r="R1173" s="4">
        <v>22</v>
      </c>
      <c r="S1173" s="4">
        <v>19.8</v>
      </c>
      <c r="T1173" s="4">
        <v>1</v>
      </c>
      <c r="U1173" s="4">
        <v>-35.72279726</v>
      </c>
      <c r="V1173" s="4">
        <v>174.31886306000001</v>
      </c>
      <c r="W1173" s="5">
        <v>40235</v>
      </c>
      <c r="X1173" s="5">
        <v>40234</v>
      </c>
      <c r="Y1173" s="5">
        <v>40235</v>
      </c>
      <c r="Z1173" s="5">
        <v>40234</v>
      </c>
      <c r="AA1173" s="4" t="s">
        <v>145</v>
      </c>
      <c r="AB1173" s="3" t="str">
        <f>HYPERLINK("https://sitebase.nzcomms.co.nz/spm/spmcandidateview/AKL-007-106-A/","AKL-007-106-A")</f>
        <v>AKL-007-106-A</v>
      </c>
      <c r="AC1173" s="4" t="b">
        <v>1</v>
      </c>
      <c r="AD1173" s="4" t="b">
        <v>0</v>
      </c>
      <c r="AE1173" s="5">
        <v>40219</v>
      </c>
      <c r="AF1173" s="4"/>
      <c r="AG1173" s="4" t="b">
        <v>0</v>
      </c>
      <c r="AH1173" s="4"/>
      <c r="AI1173" s="5">
        <v>40584</v>
      </c>
      <c r="AJ1173" s="5">
        <v>40584</v>
      </c>
      <c r="AK1173" s="5">
        <v>40599</v>
      </c>
      <c r="AL1173" s="5">
        <v>40589</v>
      </c>
      <c r="AM1173" s="5">
        <v>40640</v>
      </c>
      <c r="AN1173" s="5">
        <v>40644</v>
      </c>
      <c r="AO1173" s="4">
        <v>3</v>
      </c>
      <c r="AP1173" s="5">
        <v>40641</v>
      </c>
      <c r="AQ1173" s="5">
        <v>41981</v>
      </c>
      <c r="AR1173" s="5">
        <v>40693</v>
      </c>
      <c r="AS1173" s="5">
        <v>40688</v>
      </c>
      <c r="AT1173" s="5">
        <v>40732</v>
      </c>
      <c r="AU1173" s="5">
        <v>40724</v>
      </c>
      <c r="AV1173" s="4">
        <v>2</v>
      </c>
      <c r="AW1173" s="5">
        <v>40732</v>
      </c>
      <c r="AX1173" s="5">
        <v>40729</v>
      </c>
      <c r="AY1173" s="4" t="s">
        <v>247</v>
      </c>
      <c r="AZ1173" s="5">
        <v>40651</v>
      </c>
      <c r="BA1173" s="5">
        <v>40651</v>
      </c>
      <c r="BB1173" s="5">
        <v>40696</v>
      </c>
      <c r="BC1173" s="5">
        <v>40674</v>
      </c>
      <c r="BD1173" s="4">
        <v>1</v>
      </c>
      <c r="BE1173" s="5">
        <v>40681</v>
      </c>
      <c r="BF1173" s="5">
        <v>40679</v>
      </c>
      <c r="BG1173" s="4"/>
      <c r="BH1173" s="4"/>
      <c r="BI1173" s="5">
        <v>40777</v>
      </c>
      <c r="BJ1173" s="5">
        <v>40777</v>
      </c>
      <c r="BK1173" s="4">
        <v>1</v>
      </c>
      <c r="BL1173" s="4"/>
      <c r="BM1173" s="5">
        <v>40777</v>
      </c>
      <c r="BN1173" s="5">
        <v>40777</v>
      </c>
      <c r="BO1173" s="5">
        <v>40780</v>
      </c>
      <c r="BP1173" s="4"/>
      <c r="BQ1173" s="4"/>
      <c r="BR1173" s="4"/>
      <c r="BS1173" s="4"/>
      <c r="BT1173" s="5">
        <v>40780</v>
      </c>
      <c r="BU1173" s="5">
        <v>40785</v>
      </c>
      <c r="BV1173" s="5">
        <v>40809</v>
      </c>
      <c r="BW1173" s="5">
        <v>40809</v>
      </c>
      <c r="BX1173" s="5">
        <v>40796</v>
      </c>
      <c r="BY1173" s="5">
        <v>40808</v>
      </c>
      <c r="BZ1173" s="5">
        <v>40808</v>
      </c>
      <c r="CA1173" s="4"/>
      <c r="CB1173" s="4"/>
      <c r="CC1173" s="4"/>
      <c r="CD1173" s="4"/>
      <c r="CE1173" s="4"/>
      <c r="CF1173" s="4"/>
      <c r="CG1173" s="4"/>
      <c r="CH1173" s="4"/>
      <c r="CI1173" s="5">
        <v>40823</v>
      </c>
      <c r="CJ1173" s="5">
        <v>40846</v>
      </c>
      <c r="CK1173" s="5">
        <v>40843</v>
      </c>
      <c r="CL1173" s="5">
        <v>40837</v>
      </c>
      <c r="CM1173" s="5">
        <v>40848</v>
      </c>
      <c r="CN1173" s="5">
        <v>40938</v>
      </c>
      <c r="CO1173" s="5">
        <v>41002</v>
      </c>
      <c r="CP1173" s="4" t="s">
        <v>3574</v>
      </c>
      <c r="CQ1173" s="4"/>
      <c r="CR1173" s="5">
        <v>40815</v>
      </c>
      <c r="CS1173" s="5">
        <v>40777</v>
      </c>
      <c r="CT1173" s="5">
        <v>40777</v>
      </c>
      <c r="CU1173" s="5">
        <v>40791</v>
      </c>
      <c r="CV1173" s="5">
        <v>40791</v>
      </c>
      <c r="CW1173" s="5">
        <v>40780</v>
      </c>
      <c r="CX1173" s="5">
        <v>40780</v>
      </c>
      <c r="CY1173" s="5">
        <v>40802</v>
      </c>
      <c r="CZ1173" s="5">
        <v>40801</v>
      </c>
      <c r="DA1173" s="4"/>
      <c r="DB1173" s="5">
        <v>40823</v>
      </c>
      <c r="DC1173" s="4"/>
      <c r="DD1173" s="4"/>
      <c r="DE1173" s="4"/>
      <c r="DF1173" s="4"/>
      <c r="DG1173" s="4"/>
      <c r="DH1173" s="4"/>
      <c r="DI1173" s="5">
        <v>40789</v>
      </c>
      <c r="DJ1173" s="4" t="b">
        <v>0</v>
      </c>
      <c r="DK1173" s="4"/>
      <c r="DL1173" s="4">
        <v>2629996</v>
      </c>
      <c r="DM1173" s="4">
        <v>6607807</v>
      </c>
      <c r="DN1173" s="4" t="s">
        <v>3575</v>
      </c>
      <c r="DO1173" s="4"/>
      <c r="DP1173" s="4" t="s">
        <v>3560</v>
      </c>
      <c r="DQ1173" s="4" t="s">
        <v>148</v>
      </c>
      <c r="DR1173" s="4"/>
      <c r="DS1173" s="4"/>
      <c r="DT1173" s="5">
        <v>42150</v>
      </c>
      <c r="DU1173" s="4"/>
      <c r="DV1173" s="4"/>
      <c r="DW1173" s="4"/>
      <c r="DX1173" s="4"/>
      <c r="DY1173" s="4"/>
      <c r="DZ1173" s="4"/>
      <c r="EA1173" s="4"/>
      <c r="EB1173" s="4"/>
      <c r="EC1173" s="4"/>
      <c r="ED1173" s="4"/>
      <c r="EE1173" s="4"/>
      <c r="EF1173" s="4"/>
      <c r="EG1173" s="5">
        <v>40822</v>
      </c>
      <c r="EH1173" s="5">
        <v>40816</v>
      </c>
      <c r="EI1173" s="4"/>
    </row>
    <row r="1174" spans="1:139" hidden="1" x14ac:dyDescent="0.2">
      <c r="A1174">
        <f>VLOOKUP(B1174,Sheet1!$A$1:$B$18,2,FALSE)</f>
        <v>0</v>
      </c>
      <c r="B1174" t="str">
        <f>LEFT(D1174,3)</f>
        <v>NTH</v>
      </c>
      <c r="C1174" s="2">
        <v>1173</v>
      </c>
      <c r="D1174" s="3" t="str">
        <f>HYPERLINK("https://sitebase.nzcomms.co.nz/spm/spmnominalview/NTH-002-012/","NTH-002-012")</f>
        <v>NTH-002-012</v>
      </c>
      <c r="E1174" s="4" t="s">
        <v>3576</v>
      </c>
      <c r="F1174" s="3" t="str">
        <f>HYPERLINK("https://sitebase.nzcomms.co.nz/spm/spmcandidateview/NTH-002-012-A/","NTH-002-012-A")</f>
        <v>NTH-002-012-A</v>
      </c>
      <c r="G1174" s="4" t="s">
        <v>3577</v>
      </c>
      <c r="H1174" s="4" t="s">
        <v>3534</v>
      </c>
      <c r="I1174" s="4">
        <v>23</v>
      </c>
      <c r="J1174" s="4" t="s">
        <v>165</v>
      </c>
      <c r="K1174" s="4" t="s">
        <v>141</v>
      </c>
      <c r="L1174" s="4" t="s">
        <v>142</v>
      </c>
      <c r="M1174" s="4" t="s">
        <v>190</v>
      </c>
      <c r="N1174" s="4" t="s">
        <v>142</v>
      </c>
      <c r="O1174" s="4"/>
      <c r="P1174" s="4" t="s">
        <v>182</v>
      </c>
      <c r="Q1174" s="4" t="s">
        <v>142</v>
      </c>
      <c r="R1174" s="4">
        <v>15</v>
      </c>
      <c r="S1174" s="4">
        <v>15</v>
      </c>
      <c r="T1174" s="4"/>
      <c r="U1174" s="4">
        <v>-35.80708679</v>
      </c>
      <c r="V1174" s="4">
        <v>174.31108479</v>
      </c>
      <c r="W1174" s="5">
        <v>40235</v>
      </c>
      <c r="X1174" s="5">
        <v>40896</v>
      </c>
      <c r="Y1174" s="5">
        <v>40235</v>
      </c>
      <c r="Z1174" s="5">
        <v>40234</v>
      </c>
      <c r="AA1174" s="4" t="s">
        <v>145</v>
      </c>
      <c r="AB1174" s="3" t="str">
        <f>HYPERLINK("https://sitebase.nzcomms.co.nz/spm/spmcandidateview/NTH-002-011-A/","NTH-002-011-A")</f>
        <v>NTH-002-011-A</v>
      </c>
      <c r="AC1174" s="4" t="b">
        <v>1</v>
      </c>
      <c r="AD1174" s="4" t="b">
        <v>0</v>
      </c>
      <c r="AE1174" s="5">
        <v>40219</v>
      </c>
      <c r="AF1174" s="4"/>
      <c r="AG1174" s="4" t="b">
        <v>0</v>
      </c>
      <c r="AH1174" s="4"/>
      <c r="AI1174" s="5">
        <v>40961</v>
      </c>
      <c r="AJ1174" s="5">
        <v>40961</v>
      </c>
      <c r="AK1174" s="5">
        <v>40975</v>
      </c>
      <c r="AL1174" s="5">
        <v>40977</v>
      </c>
      <c r="AM1174" s="5">
        <v>41068</v>
      </c>
      <c r="AN1174" s="5">
        <v>41058</v>
      </c>
      <c r="AO1174" s="4">
        <v>5</v>
      </c>
      <c r="AP1174" s="5">
        <v>41068</v>
      </c>
      <c r="AQ1174" s="5">
        <v>42117</v>
      </c>
      <c r="AR1174" s="5">
        <v>42419</v>
      </c>
      <c r="AS1174" s="5">
        <v>42409</v>
      </c>
      <c r="AT1174" s="5">
        <v>42489</v>
      </c>
      <c r="AU1174" s="4"/>
      <c r="AV1174" s="4"/>
      <c r="AW1174" s="5">
        <v>42489</v>
      </c>
      <c r="AX1174" s="4"/>
      <c r="AY1174" s="4" t="s">
        <v>183</v>
      </c>
      <c r="AZ1174" s="5">
        <v>42156</v>
      </c>
      <c r="BA1174" s="5">
        <v>42151</v>
      </c>
      <c r="BB1174" s="5">
        <v>42202</v>
      </c>
      <c r="BC1174" s="5">
        <v>42172</v>
      </c>
      <c r="BD1174" s="4">
        <v>5</v>
      </c>
      <c r="BE1174" s="5">
        <v>42209</v>
      </c>
      <c r="BF1174" s="5">
        <v>42172</v>
      </c>
      <c r="BG1174" s="5">
        <v>42146</v>
      </c>
      <c r="BH1174" s="5">
        <v>42144</v>
      </c>
      <c r="BI1174" s="5">
        <v>42191</v>
      </c>
      <c r="BJ1174" s="5">
        <v>42172</v>
      </c>
      <c r="BK1174" s="4">
        <v>1</v>
      </c>
      <c r="BL1174" s="4"/>
      <c r="BM1174" s="5">
        <v>42198</v>
      </c>
      <c r="BN1174" s="5">
        <v>42172</v>
      </c>
      <c r="BO1174" s="4"/>
      <c r="BP1174" s="4"/>
      <c r="BQ1174" s="4"/>
      <c r="BR1174" s="4"/>
      <c r="BS1174" s="4"/>
      <c r="BT1174" s="5">
        <v>42527</v>
      </c>
      <c r="BU1174" s="4"/>
      <c r="BV1174" s="4"/>
      <c r="BW1174" s="4"/>
      <c r="BX1174" s="4"/>
      <c r="BY1174" s="4"/>
      <c r="BZ1174" s="4"/>
      <c r="CA1174" s="5">
        <v>42475</v>
      </c>
      <c r="CB1174" s="4"/>
      <c r="CC1174" s="4"/>
      <c r="CD1174" s="4"/>
      <c r="CE1174" s="4"/>
      <c r="CF1174" s="4"/>
      <c r="CG1174" s="4"/>
      <c r="CH1174" s="4"/>
      <c r="CI1174" s="4"/>
      <c r="CJ1174" s="5">
        <v>42580</v>
      </c>
      <c r="CK1174" s="4"/>
      <c r="CL1174" s="4"/>
      <c r="CM1174" s="4"/>
      <c r="CN1174" s="4"/>
      <c r="CO1174" s="4"/>
      <c r="CP1174" s="4" t="s">
        <v>3578</v>
      </c>
      <c r="CQ1174" s="4" t="s">
        <v>230</v>
      </c>
      <c r="CR1174" s="4"/>
      <c r="CS1174" s="4"/>
      <c r="CT1174" s="4"/>
      <c r="CU1174" s="4"/>
      <c r="CV1174" s="4"/>
      <c r="CW1174" s="4"/>
      <c r="CX1174" s="4"/>
      <c r="CY1174" s="4"/>
      <c r="CZ1174" s="4"/>
      <c r="DA1174" s="5">
        <v>42566</v>
      </c>
      <c r="DB1174" s="4"/>
      <c r="DC1174" s="4"/>
      <c r="DD1174" s="4"/>
      <c r="DE1174" s="4" t="s">
        <v>211</v>
      </c>
      <c r="DF1174" s="5">
        <v>42460</v>
      </c>
      <c r="DG1174" s="4"/>
      <c r="DH1174" s="4" t="s">
        <v>174</v>
      </c>
      <c r="DI1174" s="4"/>
      <c r="DJ1174" s="4" t="b">
        <v>0</v>
      </c>
      <c r="DK1174" s="4"/>
      <c r="DL1174" s="4">
        <v>2629144</v>
      </c>
      <c r="DM1174" s="4">
        <v>6598466</v>
      </c>
      <c r="DN1174" s="4" t="s">
        <v>3579</v>
      </c>
      <c r="DO1174" s="4"/>
      <c r="DP1174" s="4" t="s">
        <v>3580</v>
      </c>
      <c r="DQ1174" s="4" t="s">
        <v>148</v>
      </c>
      <c r="DR1174" s="4" t="s">
        <v>255</v>
      </c>
      <c r="DS1174" s="4"/>
      <c r="DT1174" s="4"/>
      <c r="DU1174" s="4" t="s">
        <v>178</v>
      </c>
      <c r="DV1174" s="4"/>
      <c r="DW1174" s="4"/>
      <c r="DX1174" s="4"/>
      <c r="DY1174" s="5">
        <v>42492</v>
      </c>
      <c r="DZ1174" s="4"/>
      <c r="EA1174" s="4"/>
      <c r="EB1174" s="4"/>
      <c r="EC1174" s="4"/>
      <c r="ED1174" s="4"/>
      <c r="EE1174" s="5">
        <v>42517</v>
      </c>
      <c r="EF1174" s="4"/>
      <c r="EG1174" s="4"/>
      <c r="EH1174" s="4"/>
      <c r="EI1174" s="5">
        <v>40977</v>
      </c>
    </row>
    <row r="1175" spans="1:139" hidden="1" x14ac:dyDescent="0.2">
      <c r="A1175">
        <f>VLOOKUP(B1175,Sheet1!$A$1:$B$18,2,FALSE)</f>
        <v>0</v>
      </c>
      <c r="B1175" t="str">
        <f>LEFT(D1175,3)</f>
        <v>NTH</v>
      </c>
      <c r="C1175" s="2">
        <v>1174</v>
      </c>
      <c r="D1175" s="3" t="str">
        <f>HYPERLINK("https://sitebase.nzcomms.co.nz/spm/spmnominalview/NTH-002-013/","NTH-002-013")</f>
        <v>NTH-002-013</v>
      </c>
      <c r="E1175" s="4" t="s">
        <v>3581</v>
      </c>
      <c r="F1175" s="3" t="str">
        <f>HYPERLINK("https://sitebase.nzcomms.co.nz/spm/spmcandidateview/NTH-002-013-A/","NTH-002-013-A")</f>
        <v>NTH-002-013-A</v>
      </c>
      <c r="G1175" s="4" t="s">
        <v>3582</v>
      </c>
      <c r="H1175" s="4" t="s">
        <v>3534</v>
      </c>
      <c r="I1175" s="4">
        <v>23</v>
      </c>
      <c r="J1175" s="4" t="s">
        <v>165</v>
      </c>
      <c r="K1175" s="4" t="s">
        <v>141</v>
      </c>
      <c r="L1175" s="4" t="s">
        <v>142</v>
      </c>
      <c r="M1175" s="4" t="s">
        <v>190</v>
      </c>
      <c r="N1175" s="4" t="s">
        <v>142</v>
      </c>
      <c r="O1175" s="4"/>
      <c r="P1175" s="4" t="s">
        <v>169</v>
      </c>
      <c r="Q1175" s="4" t="s">
        <v>142</v>
      </c>
      <c r="R1175" s="4">
        <v>30</v>
      </c>
      <c r="S1175" s="4">
        <v>30</v>
      </c>
      <c r="T1175" s="4"/>
      <c r="U1175" s="4">
        <v>-35.857463680000002</v>
      </c>
      <c r="V1175" s="4">
        <v>174.41347966000001</v>
      </c>
      <c r="W1175" s="4"/>
      <c r="X1175" s="5">
        <v>40896</v>
      </c>
      <c r="Y1175" s="4"/>
      <c r="Z1175" s="4"/>
      <c r="AA1175" s="4" t="s">
        <v>145</v>
      </c>
      <c r="AB1175" s="3" t="str">
        <f>HYPERLINK("https://sitebase.nzcomms.co.nz/spm/spmcandidateview/NTH-002-011-A/","NTH-002-011-A")</f>
        <v>NTH-002-011-A</v>
      </c>
      <c r="AC1175" s="4" t="b">
        <v>0</v>
      </c>
      <c r="AD1175" s="4" t="b">
        <v>0</v>
      </c>
      <c r="AE1175" s="4"/>
      <c r="AF1175" s="4"/>
      <c r="AG1175" s="4" t="b">
        <v>0</v>
      </c>
      <c r="AH1175" s="4"/>
      <c r="AI1175" s="5">
        <v>40961</v>
      </c>
      <c r="AJ1175" s="5">
        <v>40961</v>
      </c>
      <c r="AK1175" s="5">
        <v>40989</v>
      </c>
      <c r="AL1175" s="5">
        <v>40989</v>
      </c>
      <c r="AM1175" s="5">
        <v>41068</v>
      </c>
      <c r="AN1175" s="5">
        <v>41060</v>
      </c>
      <c r="AO1175" s="4">
        <v>3</v>
      </c>
      <c r="AP1175" s="5">
        <v>41068</v>
      </c>
      <c r="AQ1175" s="5">
        <v>41163</v>
      </c>
      <c r="AR1175" s="5">
        <v>42093</v>
      </c>
      <c r="AS1175" s="5">
        <v>42087</v>
      </c>
      <c r="AT1175" s="5">
        <v>42132</v>
      </c>
      <c r="AU1175" s="5">
        <v>42146</v>
      </c>
      <c r="AV1175" s="4"/>
      <c r="AW1175" s="5">
        <v>42139</v>
      </c>
      <c r="AX1175" s="5">
        <v>42151</v>
      </c>
      <c r="AY1175" s="4" t="s">
        <v>183</v>
      </c>
      <c r="AZ1175" s="5">
        <v>42100</v>
      </c>
      <c r="BA1175" s="5">
        <v>42079</v>
      </c>
      <c r="BB1175" s="5">
        <v>42153</v>
      </c>
      <c r="BC1175" s="5">
        <v>42109</v>
      </c>
      <c r="BD1175" s="4">
        <v>3</v>
      </c>
      <c r="BE1175" s="5">
        <v>42153</v>
      </c>
      <c r="BF1175" s="5">
        <v>42109</v>
      </c>
      <c r="BG1175" s="5">
        <v>42095</v>
      </c>
      <c r="BH1175" s="5">
        <v>42060</v>
      </c>
      <c r="BI1175" s="5">
        <v>42139</v>
      </c>
      <c r="BJ1175" s="5">
        <v>42142</v>
      </c>
      <c r="BK1175" s="4">
        <v>1</v>
      </c>
      <c r="BL1175" s="4"/>
      <c r="BM1175" s="5">
        <v>42146</v>
      </c>
      <c r="BN1175" s="5">
        <v>42142</v>
      </c>
      <c r="BO1175" s="4"/>
      <c r="BP1175" s="4"/>
      <c r="BQ1175" s="4"/>
      <c r="BR1175" s="4"/>
      <c r="BS1175" s="4"/>
      <c r="BT1175" s="5">
        <v>42198</v>
      </c>
      <c r="BU1175" s="5">
        <v>42194</v>
      </c>
      <c r="BV1175" s="5">
        <v>42244</v>
      </c>
      <c r="BW1175" s="5">
        <v>42235</v>
      </c>
      <c r="BX1175" s="4"/>
      <c r="BY1175" s="4"/>
      <c r="BZ1175" s="4"/>
      <c r="CA1175" s="5">
        <v>42244</v>
      </c>
      <c r="CB1175" s="5">
        <v>42241</v>
      </c>
      <c r="CC1175" s="4"/>
      <c r="CD1175" s="4"/>
      <c r="CE1175" s="4"/>
      <c r="CF1175" s="4"/>
      <c r="CG1175" s="4"/>
      <c r="CH1175" s="4"/>
      <c r="CI1175" s="4"/>
      <c r="CJ1175" s="5">
        <v>42265</v>
      </c>
      <c r="CK1175" s="5">
        <v>42258</v>
      </c>
      <c r="CL1175" s="4"/>
      <c r="CM1175" s="4"/>
      <c r="CN1175" s="4"/>
      <c r="CO1175" s="4"/>
      <c r="CP1175" s="4" t="s">
        <v>3583</v>
      </c>
      <c r="CQ1175" s="4" t="s">
        <v>230</v>
      </c>
      <c r="CR1175" s="4"/>
      <c r="CS1175" s="4"/>
      <c r="CT1175" s="4"/>
      <c r="CU1175" s="4"/>
      <c r="CV1175" s="4"/>
      <c r="CW1175" s="4"/>
      <c r="CX1175" s="4"/>
      <c r="CY1175" s="4"/>
      <c r="CZ1175" s="4"/>
      <c r="DA1175" s="5">
        <v>42258</v>
      </c>
      <c r="DB1175" s="5">
        <v>42249</v>
      </c>
      <c r="DC1175" s="4"/>
      <c r="DD1175" s="4"/>
      <c r="DE1175" s="4" t="s">
        <v>211</v>
      </c>
      <c r="DF1175" s="5">
        <v>42237</v>
      </c>
      <c r="DG1175" s="5">
        <v>42241</v>
      </c>
      <c r="DH1175" s="4" t="s">
        <v>174</v>
      </c>
      <c r="DI1175" s="4"/>
      <c r="DJ1175" s="4" t="b">
        <v>0</v>
      </c>
      <c r="DK1175" s="4"/>
      <c r="DL1175" s="4">
        <v>2638304</v>
      </c>
      <c r="DM1175" s="4">
        <v>6592725</v>
      </c>
      <c r="DN1175" s="4" t="s">
        <v>3584</v>
      </c>
      <c r="DO1175" s="4"/>
      <c r="DP1175" s="4" t="s">
        <v>3585</v>
      </c>
      <c r="DQ1175" s="4" t="s">
        <v>148</v>
      </c>
      <c r="DR1175" s="4"/>
      <c r="DS1175" s="4"/>
      <c r="DT1175" s="4"/>
      <c r="DU1175" s="4" t="s">
        <v>178</v>
      </c>
      <c r="DV1175" s="4"/>
      <c r="DW1175" s="4"/>
      <c r="DX1175" s="5">
        <v>42118</v>
      </c>
      <c r="DY1175" s="5">
        <v>42195</v>
      </c>
      <c r="DZ1175" s="5">
        <v>42123</v>
      </c>
      <c r="EA1175" s="4"/>
      <c r="EB1175" s="4"/>
      <c r="EC1175" s="4"/>
      <c r="ED1175" s="4"/>
      <c r="EE1175" s="5">
        <v>42167</v>
      </c>
      <c r="EF1175" s="5">
        <v>42184</v>
      </c>
      <c r="EG1175" s="4"/>
      <c r="EH1175" s="4"/>
      <c r="EI1175" s="5">
        <v>40961</v>
      </c>
    </row>
    <row r="1176" spans="1:139" hidden="1" x14ac:dyDescent="0.2">
      <c r="A1176">
        <f>VLOOKUP(B1176,Sheet1!$A$1:$B$18,2,FALSE)</f>
        <v>0</v>
      </c>
      <c r="B1176" t="str">
        <f>LEFT(D1176,3)</f>
        <v>NTH</v>
      </c>
      <c r="C1176" s="2">
        <v>1175</v>
      </c>
      <c r="D1176" s="3" t="str">
        <f>HYPERLINK("https://sitebase.nzcomms.co.nz/spm/spmnominalview/NTH-002-014/","NTH-002-014")</f>
        <v>NTH-002-014</v>
      </c>
      <c r="E1176" s="4" t="s">
        <v>3586</v>
      </c>
      <c r="F1176" s="3" t="str">
        <f>HYPERLINK("https://sitebase.nzcomms.co.nz/spm/spmcandidateview/NTH-002-014-A/","NTH-002-014-A")</f>
        <v>NTH-002-014-A</v>
      </c>
      <c r="G1176" s="4" t="s">
        <v>3587</v>
      </c>
      <c r="H1176" s="4" t="s">
        <v>3534</v>
      </c>
      <c r="I1176" s="4">
        <v>23</v>
      </c>
      <c r="J1176" s="4" t="s">
        <v>165</v>
      </c>
      <c r="K1176" s="4" t="s">
        <v>141</v>
      </c>
      <c r="L1176" s="4" t="s">
        <v>142</v>
      </c>
      <c r="M1176" s="4" t="s">
        <v>190</v>
      </c>
      <c r="N1176" s="4" t="s">
        <v>142</v>
      </c>
      <c r="O1176" s="4"/>
      <c r="P1176" s="4" t="s">
        <v>169</v>
      </c>
      <c r="Q1176" s="4" t="s">
        <v>142</v>
      </c>
      <c r="R1176" s="4">
        <v>25</v>
      </c>
      <c r="S1176" s="4">
        <v>35</v>
      </c>
      <c r="T1176" s="4"/>
      <c r="U1176" s="4">
        <v>-36.073051110000002</v>
      </c>
      <c r="V1176" s="4">
        <v>174.42442767</v>
      </c>
      <c r="W1176" s="4"/>
      <c r="X1176" s="5">
        <v>40896</v>
      </c>
      <c r="Y1176" s="4"/>
      <c r="Z1176" s="4"/>
      <c r="AA1176" s="4" t="s">
        <v>217</v>
      </c>
      <c r="AB1176" s="4" t="s">
        <v>3588</v>
      </c>
      <c r="AC1176" s="4" t="b">
        <v>0</v>
      </c>
      <c r="AD1176" s="4" t="b">
        <v>0</v>
      </c>
      <c r="AE1176" s="4"/>
      <c r="AF1176" s="4"/>
      <c r="AG1176" s="4" t="b">
        <v>0</v>
      </c>
      <c r="AH1176" s="4"/>
      <c r="AI1176" s="5">
        <v>40982</v>
      </c>
      <c r="AJ1176" s="5">
        <v>40982</v>
      </c>
      <c r="AK1176" s="5">
        <v>40989</v>
      </c>
      <c r="AL1176" s="5">
        <v>40989</v>
      </c>
      <c r="AM1176" s="5">
        <v>41068</v>
      </c>
      <c r="AN1176" s="5">
        <v>41066</v>
      </c>
      <c r="AO1176" s="4">
        <v>4</v>
      </c>
      <c r="AP1176" s="5">
        <v>41068</v>
      </c>
      <c r="AQ1176" s="5">
        <v>42088</v>
      </c>
      <c r="AR1176" s="5">
        <v>42093</v>
      </c>
      <c r="AS1176" s="5">
        <v>42087</v>
      </c>
      <c r="AT1176" s="5">
        <v>42146</v>
      </c>
      <c r="AU1176" s="5">
        <v>42146</v>
      </c>
      <c r="AV1176" s="4"/>
      <c r="AW1176" s="5">
        <v>42160</v>
      </c>
      <c r="AX1176" s="5">
        <v>42151</v>
      </c>
      <c r="AY1176" s="4" t="s">
        <v>183</v>
      </c>
      <c r="AZ1176" s="5">
        <v>42083</v>
      </c>
      <c r="BA1176" s="5">
        <v>42090</v>
      </c>
      <c r="BB1176" s="5">
        <v>42146</v>
      </c>
      <c r="BC1176" s="5">
        <v>42124</v>
      </c>
      <c r="BD1176" s="4">
        <v>4</v>
      </c>
      <c r="BE1176" s="5">
        <v>42153</v>
      </c>
      <c r="BF1176" s="5">
        <v>42124</v>
      </c>
      <c r="BG1176" s="5">
        <v>42095</v>
      </c>
      <c r="BH1176" s="5">
        <v>42060</v>
      </c>
      <c r="BI1176" s="5">
        <v>42102</v>
      </c>
      <c r="BJ1176" s="5">
        <v>42107</v>
      </c>
      <c r="BK1176" s="4">
        <v>1</v>
      </c>
      <c r="BL1176" s="4"/>
      <c r="BM1176" s="5">
        <v>42109</v>
      </c>
      <c r="BN1176" s="5">
        <v>42107</v>
      </c>
      <c r="BO1176" s="4"/>
      <c r="BP1176" s="4"/>
      <c r="BQ1176" s="4"/>
      <c r="BR1176" s="4"/>
      <c r="BS1176" s="4"/>
      <c r="BT1176" s="5">
        <v>42198</v>
      </c>
      <c r="BU1176" s="5">
        <v>42194</v>
      </c>
      <c r="BV1176" s="5">
        <v>42251</v>
      </c>
      <c r="BW1176" s="5">
        <v>42257</v>
      </c>
      <c r="BX1176" s="4"/>
      <c r="BY1176" s="4"/>
      <c r="BZ1176" s="4"/>
      <c r="CA1176" s="4"/>
      <c r="CB1176" s="4"/>
      <c r="CC1176" s="4"/>
      <c r="CD1176" s="4"/>
      <c r="CE1176" s="4"/>
      <c r="CF1176" s="4"/>
      <c r="CG1176" s="4"/>
      <c r="CH1176" s="4"/>
      <c r="CI1176" s="4"/>
      <c r="CJ1176" s="5">
        <v>42276</v>
      </c>
      <c r="CK1176" s="5">
        <v>42275</v>
      </c>
      <c r="CL1176" s="4"/>
      <c r="CM1176" s="5">
        <v>42307</v>
      </c>
      <c r="CN1176" s="4"/>
      <c r="CO1176" s="5">
        <v>42307</v>
      </c>
      <c r="CP1176" s="4" t="s">
        <v>3589</v>
      </c>
      <c r="CQ1176" s="4" t="s">
        <v>230</v>
      </c>
      <c r="CR1176" s="4"/>
      <c r="CS1176" s="4"/>
      <c r="CT1176" s="4"/>
      <c r="CU1176" s="4"/>
      <c r="CV1176" s="4"/>
      <c r="CW1176" s="4"/>
      <c r="CX1176" s="4"/>
      <c r="CY1176" s="4"/>
      <c r="CZ1176" s="4"/>
      <c r="DA1176" s="5">
        <v>42268</v>
      </c>
      <c r="DB1176" s="5">
        <v>42269</v>
      </c>
      <c r="DC1176" s="4"/>
      <c r="DD1176" s="4"/>
      <c r="DE1176" s="4" t="s">
        <v>211</v>
      </c>
      <c r="DF1176" s="4"/>
      <c r="DG1176" s="4"/>
      <c r="DH1176" s="4" t="s">
        <v>174</v>
      </c>
      <c r="DI1176" s="4"/>
      <c r="DJ1176" s="4" t="b">
        <v>0</v>
      </c>
      <c r="DK1176" s="4"/>
      <c r="DL1176" s="4">
        <v>2638886</v>
      </c>
      <c r="DM1176" s="4">
        <v>6568788</v>
      </c>
      <c r="DN1176" s="4" t="s">
        <v>3590</v>
      </c>
      <c r="DO1176" s="4"/>
      <c r="DP1176" s="4" t="s">
        <v>3591</v>
      </c>
      <c r="DQ1176" s="4" t="s">
        <v>148</v>
      </c>
      <c r="DR1176" s="4"/>
      <c r="DS1176" s="4"/>
      <c r="DT1176" s="4"/>
      <c r="DU1176" s="4" t="s">
        <v>178</v>
      </c>
      <c r="DV1176" s="4"/>
      <c r="DW1176" s="4"/>
      <c r="DX1176" s="5">
        <v>42129</v>
      </c>
      <c r="DY1176" s="5">
        <v>42118</v>
      </c>
      <c r="DZ1176" s="5">
        <v>42123</v>
      </c>
      <c r="EA1176" s="4"/>
      <c r="EB1176" s="4"/>
      <c r="EC1176" s="4"/>
      <c r="ED1176" s="4"/>
      <c r="EE1176" s="5">
        <v>42167</v>
      </c>
      <c r="EF1176" s="5">
        <v>42184</v>
      </c>
      <c r="EG1176" s="4"/>
      <c r="EH1176" s="4"/>
      <c r="EI1176" s="5">
        <v>40982</v>
      </c>
    </row>
    <row r="1177" spans="1:139" hidden="1" x14ac:dyDescent="0.2">
      <c r="A1177">
        <f>VLOOKUP(B1177,Sheet1!$A$1:$B$18,2,FALSE)</f>
        <v>0</v>
      </c>
      <c r="B1177" t="str">
        <f>LEFT(D1177,3)</f>
        <v>NTH</v>
      </c>
      <c r="C1177" s="2">
        <v>1176</v>
      </c>
      <c r="D1177" s="3" t="str">
        <f>HYPERLINK("https://sitebase.nzcomms.co.nz/spm/spmnominalview/NTH-002-015/","NTH-002-015")</f>
        <v>NTH-002-015</v>
      </c>
      <c r="E1177" s="4" t="s">
        <v>3592</v>
      </c>
      <c r="F1177" s="3" t="str">
        <f>HYPERLINK("https://sitebase.nzcomms.co.nz/spm/spmcandidateview/NTH-002-015-E/","NTH-002-015-E")</f>
        <v>NTH-002-015-E</v>
      </c>
      <c r="G1177" s="4" t="s">
        <v>3593</v>
      </c>
      <c r="H1177" s="4" t="s">
        <v>3534</v>
      </c>
      <c r="I1177" s="4">
        <v>3</v>
      </c>
      <c r="J1177" s="4" t="s">
        <v>1633</v>
      </c>
      <c r="K1177" s="4" t="s">
        <v>141</v>
      </c>
      <c r="L1177" s="4" t="s">
        <v>189</v>
      </c>
      <c r="M1177" s="4" t="s">
        <v>190</v>
      </c>
      <c r="N1177" s="4" t="s">
        <v>274</v>
      </c>
      <c r="O1177" s="4" t="s">
        <v>144</v>
      </c>
      <c r="P1177" s="4" t="s">
        <v>182</v>
      </c>
      <c r="Q1177" s="4"/>
      <c r="R1177" s="4">
        <v>12.7</v>
      </c>
      <c r="S1177" s="4">
        <v>13.3</v>
      </c>
      <c r="T1177" s="4"/>
      <c r="U1177" s="4">
        <v>-35.734479090000001</v>
      </c>
      <c r="V1177" s="4">
        <v>174.30413501000001</v>
      </c>
      <c r="W1177" s="5">
        <v>40235</v>
      </c>
      <c r="X1177" s="4"/>
      <c r="Y1177" s="5">
        <v>40235</v>
      </c>
      <c r="Z1177" s="4"/>
      <c r="AA1177" s="4" t="s">
        <v>171</v>
      </c>
      <c r="AB1177" s="3" t="str">
        <f>HYPERLINK("https://sitebase.nzcomms.co.nz/spm/spmcandidateview/NTH-002-003-A/","NTH-002-003-A")</f>
        <v>NTH-002-003-A</v>
      </c>
      <c r="AC1177" s="4" t="b">
        <v>1</v>
      </c>
      <c r="AD1177" s="4" t="b">
        <v>0</v>
      </c>
      <c r="AE1177" s="5">
        <v>40219</v>
      </c>
      <c r="AF1177" s="4"/>
      <c r="AG1177" s="4" t="b">
        <v>0</v>
      </c>
      <c r="AH1177" s="4" t="s">
        <v>3594</v>
      </c>
      <c r="AI1177" s="5">
        <v>40625</v>
      </c>
      <c r="AJ1177" s="5">
        <v>40625</v>
      </c>
      <c r="AK1177" s="5">
        <v>40633</v>
      </c>
      <c r="AL1177" s="5">
        <v>40632</v>
      </c>
      <c r="AM1177" s="5">
        <v>40669</v>
      </c>
      <c r="AN1177" s="5">
        <v>40668</v>
      </c>
      <c r="AO1177" s="4">
        <v>2</v>
      </c>
      <c r="AP1177" s="5">
        <v>40669</v>
      </c>
      <c r="AQ1177" s="5">
        <v>41969</v>
      </c>
      <c r="AR1177" s="5">
        <v>40801</v>
      </c>
      <c r="AS1177" s="5">
        <v>40799</v>
      </c>
      <c r="AT1177" s="5">
        <v>40815</v>
      </c>
      <c r="AU1177" s="5">
        <v>40822</v>
      </c>
      <c r="AV1177" s="4"/>
      <c r="AW1177" s="5">
        <v>41005</v>
      </c>
      <c r="AX1177" s="4"/>
      <c r="AY1177" s="4" t="s">
        <v>193</v>
      </c>
      <c r="AZ1177" s="5">
        <v>40786</v>
      </c>
      <c r="BA1177" s="5">
        <v>40784</v>
      </c>
      <c r="BB1177" s="5">
        <v>40814</v>
      </c>
      <c r="BC1177" s="5">
        <v>40815</v>
      </c>
      <c r="BD1177" s="4">
        <v>1</v>
      </c>
      <c r="BE1177" s="5">
        <v>40821</v>
      </c>
      <c r="BF1177" s="5">
        <v>40815</v>
      </c>
      <c r="BG1177" s="4"/>
      <c r="BH1177" s="4"/>
      <c r="BI1177" s="5">
        <v>40798</v>
      </c>
      <c r="BJ1177" s="5">
        <v>40805</v>
      </c>
      <c r="BK1177" s="4">
        <v>1</v>
      </c>
      <c r="BL1177" s="4"/>
      <c r="BM1177" s="5">
        <v>40798</v>
      </c>
      <c r="BN1177" s="5">
        <v>40805</v>
      </c>
      <c r="BO1177" s="5">
        <v>40859</v>
      </c>
      <c r="BP1177" s="4"/>
      <c r="BQ1177" s="4"/>
      <c r="BR1177" s="4"/>
      <c r="BS1177" s="4"/>
      <c r="BT1177" s="5">
        <v>40835</v>
      </c>
      <c r="BU1177" s="5">
        <v>40835</v>
      </c>
      <c r="BV1177" s="5">
        <v>40844</v>
      </c>
      <c r="BW1177" s="5">
        <v>40843</v>
      </c>
      <c r="BX1177" s="5">
        <v>40841</v>
      </c>
      <c r="BY1177" s="5">
        <v>40869</v>
      </c>
      <c r="BZ1177" s="5">
        <v>40841</v>
      </c>
      <c r="CA1177" s="4"/>
      <c r="CB1177" s="4"/>
      <c r="CC1177" s="4"/>
      <c r="CD1177" s="4"/>
      <c r="CE1177" s="4"/>
      <c r="CF1177" s="4"/>
      <c r="CG1177" s="4"/>
      <c r="CH1177" s="4"/>
      <c r="CI1177" s="5">
        <v>40841</v>
      </c>
      <c r="CJ1177" s="5">
        <v>40882</v>
      </c>
      <c r="CK1177" s="5">
        <v>40884</v>
      </c>
      <c r="CL1177" s="5">
        <v>40890</v>
      </c>
      <c r="CM1177" s="5">
        <v>40897</v>
      </c>
      <c r="CN1177" s="5">
        <v>40987</v>
      </c>
      <c r="CO1177" s="5">
        <v>41012</v>
      </c>
      <c r="CP1177" s="4" t="s">
        <v>3595</v>
      </c>
      <c r="CQ1177" s="4"/>
      <c r="CR1177" s="5">
        <v>40870</v>
      </c>
      <c r="CS1177" s="5">
        <v>40777</v>
      </c>
      <c r="CT1177" s="5">
        <v>40859</v>
      </c>
      <c r="CU1177" s="5">
        <v>40820</v>
      </c>
      <c r="CV1177" s="5">
        <v>40859</v>
      </c>
      <c r="CW1177" s="5">
        <v>40826</v>
      </c>
      <c r="CX1177" s="5">
        <v>40859</v>
      </c>
      <c r="CY1177" s="5">
        <v>40843</v>
      </c>
      <c r="CZ1177" s="5">
        <v>40841</v>
      </c>
      <c r="DA1177" s="4"/>
      <c r="DB1177" s="5">
        <v>40877</v>
      </c>
      <c r="DC1177" s="4"/>
      <c r="DD1177" s="4"/>
      <c r="DE1177" s="4"/>
      <c r="DF1177" s="4"/>
      <c r="DG1177" s="4"/>
      <c r="DH1177" s="4"/>
      <c r="DI1177" s="5">
        <v>40841</v>
      </c>
      <c r="DJ1177" s="4" t="b">
        <v>0</v>
      </c>
      <c r="DK1177" s="4"/>
      <c r="DL1177" s="4">
        <v>2628643</v>
      </c>
      <c r="DM1177" s="4">
        <v>6606532</v>
      </c>
      <c r="DN1177" s="4" t="s">
        <v>3596</v>
      </c>
      <c r="DO1177" s="4"/>
      <c r="DP1177" s="4" t="s">
        <v>3597</v>
      </c>
      <c r="DQ1177" s="4" t="s">
        <v>148</v>
      </c>
      <c r="DR1177" s="4"/>
      <c r="DS1177" s="4"/>
      <c r="DT1177" s="5">
        <v>42150</v>
      </c>
      <c r="DU1177" s="4"/>
      <c r="DV1177" s="4"/>
      <c r="DW1177" s="4"/>
      <c r="DX1177" s="4"/>
      <c r="DY1177" s="4"/>
      <c r="DZ1177" s="4"/>
      <c r="EA1177" s="4"/>
      <c r="EB1177" s="4"/>
      <c r="EC1177" s="4"/>
      <c r="ED1177" s="4"/>
      <c r="EE1177" s="4"/>
      <c r="EF1177" s="4"/>
      <c r="EG1177" s="5">
        <v>40884</v>
      </c>
      <c r="EH1177" s="5">
        <v>40884</v>
      </c>
      <c r="EI1177" s="4"/>
    </row>
    <row r="1178" spans="1:139" hidden="1" x14ac:dyDescent="0.2">
      <c r="A1178">
        <f>VLOOKUP(B1178,Sheet1!$A$1:$B$18,2,FALSE)</f>
        <v>0</v>
      </c>
      <c r="B1178" t="str">
        <f>LEFT(D1178,3)</f>
        <v>NTH</v>
      </c>
      <c r="C1178" s="2">
        <v>1177</v>
      </c>
      <c r="D1178" s="3" t="str">
        <f>HYPERLINK("https://sitebase.nzcomms.co.nz/spm/spmnominalview/NTH-002-016/","NTH-002-016")</f>
        <v>NTH-002-016</v>
      </c>
      <c r="E1178" s="4" t="s">
        <v>3598</v>
      </c>
      <c r="F1178" s="3" t="str">
        <f>HYPERLINK("https://sitebase.nzcomms.co.nz/spm/spmcandidateview/NTH-002-016-D/","NTH-002-016-D")</f>
        <v>NTH-002-016-D</v>
      </c>
      <c r="G1178" s="4" t="s">
        <v>3599</v>
      </c>
      <c r="H1178" s="4" t="s">
        <v>3534</v>
      </c>
      <c r="I1178" s="4">
        <v>3</v>
      </c>
      <c r="J1178" s="4" t="s">
        <v>1633</v>
      </c>
      <c r="K1178" s="4" t="s">
        <v>141</v>
      </c>
      <c r="L1178" s="4" t="s">
        <v>189</v>
      </c>
      <c r="M1178" s="4" t="s">
        <v>190</v>
      </c>
      <c r="N1178" s="4" t="s">
        <v>274</v>
      </c>
      <c r="O1178" s="4" t="s">
        <v>144</v>
      </c>
      <c r="P1178" s="4" t="s">
        <v>182</v>
      </c>
      <c r="Q1178" s="4" t="s">
        <v>192</v>
      </c>
      <c r="R1178" s="4">
        <v>14.4</v>
      </c>
      <c r="S1178" s="4">
        <v>14.9</v>
      </c>
      <c r="T1178" s="4">
        <v>1</v>
      </c>
      <c r="U1178" s="4">
        <v>-35.75211822</v>
      </c>
      <c r="V1178" s="4">
        <v>174.36789769000001</v>
      </c>
      <c r="W1178" s="5">
        <v>40235</v>
      </c>
      <c r="X1178" s="5">
        <v>40234</v>
      </c>
      <c r="Y1178" s="5">
        <v>40235</v>
      </c>
      <c r="Z1178" s="5">
        <v>40234</v>
      </c>
      <c r="AA1178" s="4" t="s">
        <v>171</v>
      </c>
      <c r="AB1178" s="3" t="str">
        <f>HYPERLINK("https://sitebase.nzcomms.co.nz/spm/spmcandidateview/NTH-002-003-A/","NTH-002-003-A")</f>
        <v>NTH-002-003-A</v>
      </c>
      <c r="AC1178" s="4" t="b">
        <v>0</v>
      </c>
      <c r="AD1178" s="4" t="b">
        <v>0</v>
      </c>
      <c r="AE1178" s="5">
        <v>40219</v>
      </c>
      <c r="AF1178" s="4"/>
      <c r="AG1178" s="4" t="b">
        <v>0</v>
      </c>
      <c r="AH1178" s="4" t="s">
        <v>3600</v>
      </c>
      <c r="AI1178" s="5">
        <v>40598</v>
      </c>
      <c r="AJ1178" s="5">
        <v>40598</v>
      </c>
      <c r="AK1178" s="5">
        <v>40616</v>
      </c>
      <c r="AL1178" s="5">
        <v>40611</v>
      </c>
      <c r="AM1178" s="5">
        <v>40633</v>
      </c>
      <c r="AN1178" s="5">
        <v>40633</v>
      </c>
      <c r="AO1178" s="4">
        <v>2</v>
      </c>
      <c r="AP1178" s="5">
        <v>40633</v>
      </c>
      <c r="AQ1178" s="5">
        <v>41967</v>
      </c>
      <c r="AR1178" s="5">
        <v>40693</v>
      </c>
      <c r="AS1178" s="5">
        <v>40688</v>
      </c>
      <c r="AT1178" s="5">
        <v>40798</v>
      </c>
      <c r="AU1178" s="5">
        <v>40805</v>
      </c>
      <c r="AV1178" s="4"/>
      <c r="AW1178" s="5">
        <v>40816</v>
      </c>
      <c r="AX1178" s="5">
        <v>40805</v>
      </c>
      <c r="AY1178" s="4" t="s">
        <v>193</v>
      </c>
      <c r="AZ1178" s="5">
        <v>40654</v>
      </c>
      <c r="BA1178" s="5">
        <v>40651</v>
      </c>
      <c r="BB1178" s="5">
        <v>40696</v>
      </c>
      <c r="BC1178" s="5">
        <v>40674</v>
      </c>
      <c r="BD1178" s="4">
        <v>1</v>
      </c>
      <c r="BE1178" s="5">
        <v>40681</v>
      </c>
      <c r="BF1178" s="5">
        <v>40679</v>
      </c>
      <c r="BG1178" s="4"/>
      <c r="BH1178" s="4"/>
      <c r="BI1178" s="5">
        <v>40767</v>
      </c>
      <c r="BJ1178" s="5">
        <v>40767</v>
      </c>
      <c r="BK1178" s="4">
        <v>1</v>
      </c>
      <c r="BL1178" s="4"/>
      <c r="BM1178" s="5">
        <v>40767</v>
      </c>
      <c r="BN1178" s="5">
        <v>40767</v>
      </c>
      <c r="BO1178" s="5">
        <v>40813</v>
      </c>
      <c r="BP1178" s="4"/>
      <c r="BQ1178" s="4"/>
      <c r="BR1178" s="4"/>
      <c r="BS1178" s="4"/>
      <c r="BT1178" s="5">
        <v>40784</v>
      </c>
      <c r="BU1178" s="5">
        <v>40784</v>
      </c>
      <c r="BV1178" s="5">
        <v>40823</v>
      </c>
      <c r="BW1178" s="5">
        <v>40820</v>
      </c>
      <c r="BX1178" s="5">
        <v>40808</v>
      </c>
      <c r="BY1178" s="5">
        <v>40830</v>
      </c>
      <c r="BZ1178" s="5">
        <v>40830</v>
      </c>
      <c r="CA1178" s="4"/>
      <c r="CB1178" s="4"/>
      <c r="CC1178" s="4"/>
      <c r="CD1178" s="4"/>
      <c r="CE1178" s="4"/>
      <c r="CF1178" s="4"/>
      <c r="CG1178" s="4"/>
      <c r="CH1178" s="4"/>
      <c r="CI1178" s="5">
        <v>40837</v>
      </c>
      <c r="CJ1178" s="5">
        <v>40846</v>
      </c>
      <c r="CK1178" s="5">
        <v>40843</v>
      </c>
      <c r="CL1178" s="5">
        <v>40851</v>
      </c>
      <c r="CM1178" s="5">
        <v>40858</v>
      </c>
      <c r="CN1178" s="5">
        <v>40948</v>
      </c>
      <c r="CO1178" s="5">
        <v>41002</v>
      </c>
      <c r="CP1178" s="4" t="s">
        <v>3601</v>
      </c>
      <c r="CQ1178" s="4"/>
      <c r="CR1178" s="5">
        <v>40833</v>
      </c>
      <c r="CS1178" s="5">
        <v>40777</v>
      </c>
      <c r="CT1178" s="5">
        <v>40777</v>
      </c>
      <c r="CU1178" s="5">
        <v>40784</v>
      </c>
      <c r="CV1178" s="5">
        <v>40784</v>
      </c>
      <c r="CW1178" s="5">
        <v>40813</v>
      </c>
      <c r="CX1178" s="5">
        <v>40813</v>
      </c>
      <c r="CY1178" s="5">
        <v>40823</v>
      </c>
      <c r="CZ1178" s="5">
        <v>40820</v>
      </c>
      <c r="DA1178" s="4"/>
      <c r="DB1178" s="5">
        <v>40837</v>
      </c>
      <c r="DC1178" s="4"/>
      <c r="DD1178" s="4"/>
      <c r="DE1178" s="4"/>
      <c r="DF1178" s="4"/>
      <c r="DG1178" s="4"/>
      <c r="DH1178" s="4"/>
      <c r="DI1178" s="5">
        <v>40808</v>
      </c>
      <c r="DJ1178" s="4" t="b">
        <v>0</v>
      </c>
      <c r="DK1178" s="4"/>
      <c r="DL1178" s="4">
        <v>2634379</v>
      </c>
      <c r="DM1178" s="4">
        <v>6604482</v>
      </c>
      <c r="DN1178" s="4" t="s">
        <v>3602</v>
      </c>
      <c r="DO1178" s="4"/>
      <c r="DP1178" s="4" t="s">
        <v>3603</v>
      </c>
      <c r="DQ1178" s="4" t="s">
        <v>148</v>
      </c>
      <c r="DR1178" s="4"/>
      <c r="DS1178" s="4"/>
      <c r="DT1178" s="5">
        <v>42150</v>
      </c>
      <c r="DU1178" s="4"/>
      <c r="DV1178" s="4"/>
      <c r="DW1178" s="4"/>
      <c r="DX1178" s="4"/>
      <c r="DY1178" s="4"/>
      <c r="DZ1178" s="4"/>
      <c r="EA1178" s="4"/>
      <c r="EB1178" s="4"/>
      <c r="EC1178" s="4"/>
      <c r="ED1178" s="4"/>
      <c r="EE1178" s="4"/>
      <c r="EF1178" s="4"/>
      <c r="EG1178" s="5">
        <v>40832</v>
      </c>
      <c r="EH1178" s="5">
        <v>40841</v>
      </c>
      <c r="EI1178" s="4"/>
    </row>
    <row r="1179" spans="1:139" hidden="1" x14ac:dyDescent="0.2">
      <c r="A1179">
        <f>VLOOKUP(B1179,Sheet1!$A$1:$B$18,2,FALSE)</f>
        <v>0</v>
      </c>
      <c r="B1179" t="str">
        <f>LEFT(D1179,3)</f>
        <v>NTH</v>
      </c>
      <c r="C1179" s="2">
        <v>1178</v>
      </c>
      <c r="D1179" s="3" t="str">
        <f>HYPERLINK("https://sitebase.nzcomms.co.nz/spm/spmnominalview/NTH-002-017/","NTH-002-017")</f>
        <v>NTH-002-017</v>
      </c>
      <c r="E1179" s="4" t="s">
        <v>3604</v>
      </c>
      <c r="F1179" s="4"/>
      <c r="G1179" s="4"/>
      <c r="H1179" s="4" t="s">
        <v>3534</v>
      </c>
      <c r="I1179" s="4"/>
      <c r="J1179" s="4" t="s">
        <v>196</v>
      </c>
      <c r="K1179" s="4"/>
      <c r="L1179" s="4"/>
      <c r="M1179" s="4"/>
      <c r="N1179" s="4"/>
      <c r="O1179" s="4"/>
      <c r="P1179" s="4"/>
      <c r="Q1179" s="4"/>
      <c r="R1179" s="4"/>
      <c r="S1179" s="4"/>
      <c r="T1179" s="4"/>
      <c r="U1179" s="4"/>
      <c r="V1179" s="4"/>
      <c r="W1179" s="4"/>
      <c r="X1179" s="4"/>
      <c r="Y1179" s="4"/>
      <c r="Z1179" s="4"/>
      <c r="AA1179" s="4"/>
      <c r="AB1179" s="4"/>
      <c r="AC1179" s="4"/>
      <c r="AD1179" s="4"/>
      <c r="AE1179" s="4"/>
      <c r="AF1179" s="4"/>
      <c r="AG1179" s="4" t="b">
        <v>0</v>
      </c>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t="s">
        <v>3605</v>
      </c>
      <c r="CQ1179" s="4"/>
      <c r="CR1179" s="4"/>
      <c r="CS1179" s="4"/>
      <c r="CT1179" s="4"/>
      <c r="CU1179" s="4"/>
      <c r="CV1179" s="4"/>
      <c r="CW1179" s="4"/>
      <c r="CX1179" s="4"/>
      <c r="CY1179" s="4"/>
      <c r="CZ1179" s="4"/>
      <c r="DA1179" s="4"/>
      <c r="DB1179" s="4"/>
      <c r="DC1179" s="4"/>
      <c r="DD1179" s="4"/>
      <c r="DE1179" s="4"/>
      <c r="DF1179" s="4"/>
      <c r="DG1179" s="4"/>
      <c r="DH1179" s="4"/>
      <c r="DI1179" s="4"/>
      <c r="DJ1179" s="4"/>
      <c r="DK1179" s="4"/>
      <c r="DL1179" s="4"/>
      <c r="DM1179" s="4"/>
      <c r="DN1179" s="4"/>
      <c r="DO1179" s="4"/>
      <c r="DP1179" s="4"/>
      <c r="DQ1179" s="4"/>
      <c r="DR1179" s="4"/>
      <c r="DS1179" s="4"/>
      <c r="DT1179" s="4"/>
      <c r="DU1179" s="4"/>
      <c r="DV1179" s="4"/>
      <c r="DW1179" s="4"/>
      <c r="DX1179" s="4"/>
      <c r="DY1179" s="4"/>
      <c r="DZ1179" s="4"/>
      <c r="EA1179" s="4"/>
      <c r="EB1179" s="4"/>
      <c r="EC1179" s="4"/>
      <c r="ED1179" s="4"/>
      <c r="EE1179" s="4"/>
      <c r="EF1179" s="4"/>
      <c r="EG1179" s="4"/>
      <c r="EH1179" s="4"/>
      <c r="EI1179" s="4"/>
    </row>
    <row r="1180" spans="1:139" hidden="1" x14ac:dyDescent="0.2">
      <c r="A1180">
        <f>VLOOKUP(B1180,Sheet1!$A$1:$B$18,2,FALSE)</f>
        <v>0</v>
      </c>
      <c r="B1180" t="str">
        <f>LEFT(D1180,3)</f>
        <v>NTH</v>
      </c>
      <c r="C1180" s="2">
        <v>1179</v>
      </c>
      <c r="D1180" s="3" t="str">
        <f>HYPERLINK("https://sitebase.nzcomms.co.nz/spm/spmnominalview/NTH-002-018/","NTH-002-018")</f>
        <v>NTH-002-018</v>
      </c>
      <c r="E1180" s="4" t="s">
        <v>3606</v>
      </c>
      <c r="F1180" s="3" t="str">
        <f>HYPERLINK("https://sitebase.nzcomms.co.nz/spm/spmcandidateview/NTH-002-018-G/","NTH-002-018-G")</f>
        <v>NTH-002-018-G</v>
      </c>
      <c r="G1180" s="4" t="s">
        <v>3607</v>
      </c>
      <c r="H1180" s="4" t="s">
        <v>3534</v>
      </c>
      <c r="I1180" s="4">
        <v>3</v>
      </c>
      <c r="J1180" s="4" t="s">
        <v>1633</v>
      </c>
      <c r="K1180" s="4" t="s">
        <v>141</v>
      </c>
      <c r="L1180" s="4" t="s">
        <v>189</v>
      </c>
      <c r="M1180" s="4" t="s">
        <v>190</v>
      </c>
      <c r="N1180" s="4" t="s">
        <v>274</v>
      </c>
      <c r="O1180" s="4" t="s">
        <v>356</v>
      </c>
      <c r="P1180" s="4" t="s">
        <v>182</v>
      </c>
      <c r="Q1180" s="4" t="s">
        <v>170</v>
      </c>
      <c r="R1180" s="4">
        <v>13.5</v>
      </c>
      <c r="S1180" s="4">
        <v>14</v>
      </c>
      <c r="T1180" s="4"/>
      <c r="U1180" s="4">
        <v>-35.734294560000002</v>
      </c>
      <c r="V1180" s="4">
        <v>174.32809689999999</v>
      </c>
      <c r="W1180" s="5">
        <v>40235</v>
      </c>
      <c r="X1180" s="5">
        <v>40234</v>
      </c>
      <c r="Y1180" s="5">
        <v>40235</v>
      </c>
      <c r="Z1180" s="5">
        <v>40234</v>
      </c>
      <c r="AA1180" s="4" t="s">
        <v>171</v>
      </c>
      <c r="AB1180" s="3" t="str">
        <f>HYPERLINK("https://sitebase.nzcomms.co.nz/spm/spmcandidateview/NTH-002-011-A/","NTH-002-011-A")</f>
        <v>NTH-002-011-A</v>
      </c>
      <c r="AC1180" s="4" t="b">
        <v>1</v>
      </c>
      <c r="AD1180" s="4" t="b">
        <v>0</v>
      </c>
      <c r="AE1180" s="5">
        <v>40220</v>
      </c>
      <c r="AF1180" s="4"/>
      <c r="AG1180" s="4" t="b">
        <v>0</v>
      </c>
      <c r="AH1180" s="4" t="s">
        <v>3608</v>
      </c>
      <c r="AI1180" s="5">
        <v>40675</v>
      </c>
      <c r="AJ1180" s="5">
        <v>40675</v>
      </c>
      <c r="AK1180" s="5">
        <v>40686</v>
      </c>
      <c r="AL1180" s="5">
        <v>40681</v>
      </c>
      <c r="AM1180" s="5">
        <v>40695</v>
      </c>
      <c r="AN1180" s="5">
        <v>40688</v>
      </c>
      <c r="AO1180" s="4">
        <v>2</v>
      </c>
      <c r="AP1180" s="5">
        <v>40709</v>
      </c>
      <c r="AQ1180" s="5">
        <v>41967</v>
      </c>
      <c r="AR1180" s="5">
        <v>40694</v>
      </c>
      <c r="AS1180" s="5">
        <v>40688</v>
      </c>
      <c r="AT1180" s="5">
        <v>40798</v>
      </c>
      <c r="AU1180" s="5">
        <v>40805</v>
      </c>
      <c r="AV1180" s="4"/>
      <c r="AW1180" s="5">
        <v>40816</v>
      </c>
      <c r="AX1180" s="5">
        <v>40805</v>
      </c>
      <c r="AY1180" s="4" t="s">
        <v>183</v>
      </c>
      <c r="AZ1180" s="5">
        <v>40693</v>
      </c>
      <c r="BA1180" s="5">
        <v>40695</v>
      </c>
      <c r="BB1180" s="5">
        <v>40736</v>
      </c>
      <c r="BC1180" s="5">
        <v>40729</v>
      </c>
      <c r="BD1180" s="4">
        <v>1</v>
      </c>
      <c r="BE1180" s="5">
        <v>40743</v>
      </c>
      <c r="BF1180" s="5">
        <v>40729</v>
      </c>
      <c r="BG1180" s="4"/>
      <c r="BH1180" s="4"/>
      <c r="BI1180" s="5">
        <v>40777</v>
      </c>
      <c r="BJ1180" s="5">
        <v>40767</v>
      </c>
      <c r="BK1180" s="4">
        <v>1</v>
      </c>
      <c r="BL1180" s="4"/>
      <c r="BM1180" s="5">
        <v>40777</v>
      </c>
      <c r="BN1180" s="5">
        <v>40767</v>
      </c>
      <c r="BO1180" s="5">
        <v>40813</v>
      </c>
      <c r="BP1180" s="4"/>
      <c r="BQ1180" s="4"/>
      <c r="BR1180" s="4"/>
      <c r="BS1180" s="4"/>
      <c r="BT1180" s="5">
        <v>40784</v>
      </c>
      <c r="BU1180" s="5">
        <v>40785</v>
      </c>
      <c r="BV1180" s="5">
        <v>40823</v>
      </c>
      <c r="BW1180" s="5">
        <v>40820</v>
      </c>
      <c r="BX1180" s="5">
        <v>40815</v>
      </c>
      <c r="BY1180" s="5">
        <v>40833</v>
      </c>
      <c r="BZ1180" s="5">
        <v>40837</v>
      </c>
      <c r="CA1180" s="4"/>
      <c r="CB1180" s="4"/>
      <c r="CC1180" s="4"/>
      <c r="CD1180" s="4"/>
      <c r="CE1180" s="4"/>
      <c r="CF1180" s="4"/>
      <c r="CG1180" s="4"/>
      <c r="CH1180" s="4"/>
      <c r="CI1180" s="5">
        <v>40837</v>
      </c>
      <c r="CJ1180" s="5">
        <v>40846</v>
      </c>
      <c r="CK1180" s="5">
        <v>40843</v>
      </c>
      <c r="CL1180" s="5">
        <v>40851</v>
      </c>
      <c r="CM1180" s="5">
        <v>40858</v>
      </c>
      <c r="CN1180" s="5">
        <v>40948</v>
      </c>
      <c r="CO1180" s="5">
        <v>41002</v>
      </c>
      <c r="CP1180" s="4" t="s">
        <v>3609</v>
      </c>
      <c r="CQ1180" s="4"/>
      <c r="CR1180" s="5">
        <v>40834</v>
      </c>
      <c r="CS1180" s="5">
        <v>40777</v>
      </c>
      <c r="CT1180" s="5">
        <v>40777</v>
      </c>
      <c r="CU1180" s="5">
        <v>40784</v>
      </c>
      <c r="CV1180" s="5">
        <v>40784</v>
      </c>
      <c r="CW1180" s="5">
        <v>40813</v>
      </c>
      <c r="CX1180" s="5">
        <v>40813</v>
      </c>
      <c r="CY1180" s="5">
        <v>40823</v>
      </c>
      <c r="CZ1180" s="5">
        <v>40820</v>
      </c>
      <c r="DA1180" s="4"/>
      <c r="DB1180" s="5">
        <v>40837</v>
      </c>
      <c r="DC1180" s="4"/>
      <c r="DD1180" s="4"/>
      <c r="DE1180" s="4"/>
      <c r="DF1180" s="4"/>
      <c r="DG1180" s="4"/>
      <c r="DH1180" s="4"/>
      <c r="DI1180" s="5">
        <v>40815</v>
      </c>
      <c r="DJ1180" s="4" t="b">
        <v>0</v>
      </c>
      <c r="DK1180" s="4"/>
      <c r="DL1180" s="4">
        <v>2630811</v>
      </c>
      <c r="DM1180" s="4">
        <v>6606518</v>
      </c>
      <c r="DN1180" s="4" t="s">
        <v>3610</v>
      </c>
      <c r="DO1180" s="4"/>
      <c r="DP1180" s="4"/>
      <c r="DQ1180" s="4" t="s">
        <v>148</v>
      </c>
      <c r="DR1180" s="4"/>
      <c r="DS1180" s="4"/>
      <c r="DT1180" s="5">
        <v>42150</v>
      </c>
      <c r="DU1180" s="4"/>
      <c r="DV1180" s="4"/>
      <c r="DW1180" s="4"/>
      <c r="DX1180" s="4"/>
      <c r="DY1180" s="4"/>
      <c r="DZ1180" s="4"/>
      <c r="EA1180" s="4"/>
      <c r="EB1180" s="4"/>
      <c r="EC1180" s="4"/>
      <c r="ED1180" s="4"/>
      <c r="EE1180" s="4"/>
      <c r="EF1180" s="4"/>
      <c r="EG1180" s="5">
        <v>40832</v>
      </c>
      <c r="EH1180" s="5">
        <v>40841</v>
      </c>
      <c r="EI1180" s="4"/>
    </row>
    <row r="1181" spans="1:139" hidden="1" x14ac:dyDescent="0.2">
      <c r="A1181">
        <f>VLOOKUP(B1181,Sheet1!$A$1:$B$18,2,FALSE)</f>
        <v>0</v>
      </c>
      <c r="B1181" t="str">
        <f>LEFT(D1181,3)</f>
        <v>NTH</v>
      </c>
      <c r="C1181" s="2">
        <v>1180</v>
      </c>
      <c r="D1181" s="3" t="str">
        <f>HYPERLINK("https://sitebase.nzcomms.co.nz/spm/spmnominalview/NTH-002-019/","NTH-002-019")</f>
        <v>NTH-002-019</v>
      </c>
      <c r="E1181" s="4"/>
      <c r="F1181" s="4"/>
      <c r="G1181" s="4"/>
      <c r="H1181" s="4" t="s">
        <v>3534</v>
      </c>
      <c r="I1181" s="4"/>
      <c r="J1181" s="4" t="s">
        <v>196</v>
      </c>
      <c r="K1181" s="4"/>
      <c r="L1181" s="4"/>
      <c r="M1181" s="4"/>
      <c r="N1181" s="4"/>
      <c r="O1181" s="4"/>
      <c r="P1181" s="4"/>
      <c r="Q1181" s="4"/>
      <c r="R1181" s="4"/>
      <c r="S1181" s="4"/>
      <c r="T1181" s="4"/>
      <c r="U1181" s="4"/>
      <c r="V1181" s="4"/>
      <c r="W1181" s="4"/>
      <c r="X1181" s="4"/>
      <c r="Y1181" s="4"/>
      <c r="Z1181" s="4"/>
      <c r="AA1181" s="4"/>
      <c r="AB1181" s="4"/>
      <c r="AC1181" s="4"/>
      <c r="AD1181" s="4"/>
      <c r="AE1181" s="4"/>
      <c r="AF1181" s="4"/>
      <c r="AG1181" s="4" t="b">
        <v>0</v>
      </c>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4"/>
      <c r="DD1181" s="4"/>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row>
    <row r="1182" spans="1:139" hidden="1" x14ac:dyDescent="0.2">
      <c r="A1182">
        <f>VLOOKUP(B1182,Sheet1!$A$1:$B$18,2,FALSE)</f>
        <v>0</v>
      </c>
      <c r="B1182" t="str">
        <f>LEFT(D1182,3)</f>
        <v>NTH</v>
      </c>
      <c r="C1182" s="2">
        <v>1181</v>
      </c>
      <c r="D1182" s="3" t="str">
        <f>HYPERLINK("https://sitebase.nzcomms.co.nz/spm/spmnominalview/NTH-002-020/","NTH-002-020")</f>
        <v>NTH-002-020</v>
      </c>
      <c r="E1182" s="4" t="s">
        <v>3611</v>
      </c>
      <c r="F1182" s="3" t="str">
        <f>HYPERLINK("https://sitebase.nzcomms.co.nz/spm/spmcandidateview/NTH-002-020-A/","NTH-002-020-A")</f>
        <v>NTH-002-020-A</v>
      </c>
      <c r="G1182" s="4" t="s">
        <v>3612</v>
      </c>
      <c r="H1182" s="4" t="s">
        <v>3534</v>
      </c>
      <c r="I1182" s="4">
        <v>3</v>
      </c>
      <c r="J1182" s="4" t="s">
        <v>1633</v>
      </c>
      <c r="K1182" s="4" t="s">
        <v>141</v>
      </c>
      <c r="L1182" s="4" t="s">
        <v>142</v>
      </c>
      <c r="M1182" s="4" t="s">
        <v>190</v>
      </c>
      <c r="N1182" s="4" t="s">
        <v>142</v>
      </c>
      <c r="O1182" s="4" t="s">
        <v>144</v>
      </c>
      <c r="P1182" s="4" t="s">
        <v>182</v>
      </c>
      <c r="Q1182" s="4" t="s">
        <v>142</v>
      </c>
      <c r="R1182" s="4">
        <v>17.899999999999999</v>
      </c>
      <c r="S1182" s="4">
        <v>18.399999999999999</v>
      </c>
      <c r="T1182" s="4">
        <v>1</v>
      </c>
      <c r="U1182" s="4">
        <v>-35.739515140000002</v>
      </c>
      <c r="V1182" s="4">
        <v>174.28243233000001</v>
      </c>
      <c r="W1182" s="5">
        <v>40235</v>
      </c>
      <c r="X1182" s="5">
        <v>40234</v>
      </c>
      <c r="Y1182" s="5">
        <v>40235</v>
      </c>
      <c r="Z1182" s="5">
        <v>40234</v>
      </c>
      <c r="AA1182" s="4" t="s">
        <v>152</v>
      </c>
      <c r="AB1182" s="3" t="str">
        <f>HYPERLINK("https://sitebase.nzcomms.co.nz/spm/spmcandidateview/NTH-002-011-A/","NTH-002-011-A")</f>
        <v>NTH-002-011-A</v>
      </c>
      <c r="AC1182" s="4" t="b">
        <v>1</v>
      </c>
      <c r="AD1182" s="4" t="b">
        <v>0</v>
      </c>
      <c r="AE1182" s="5">
        <v>40220</v>
      </c>
      <c r="AF1182" s="4"/>
      <c r="AG1182" s="4" t="b">
        <v>0</v>
      </c>
      <c r="AH1182" s="4"/>
      <c r="AI1182" s="5">
        <v>40584</v>
      </c>
      <c r="AJ1182" s="5">
        <v>40584</v>
      </c>
      <c r="AK1182" s="5">
        <v>40627</v>
      </c>
      <c r="AL1182" s="5">
        <v>40589</v>
      </c>
      <c r="AM1182" s="5">
        <v>40613</v>
      </c>
      <c r="AN1182" s="5">
        <v>40613</v>
      </c>
      <c r="AO1182" s="4">
        <v>2</v>
      </c>
      <c r="AP1182" s="5">
        <v>40661</v>
      </c>
      <c r="AQ1182" s="5">
        <v>40660</v>
      </c>
      <c r="AR1182" s="4"/>
      <c r="AS1182" s="5">
        <v>40645</v>
      </c>
      <c r="AT1182" s="5">
        <v>40718</v>
      </c>
      <c r="AU1182" s="5">
        <v>40710</v>
      </c>
      <c r="AV1182" s="4"/>
      <c r="AW1182" s="5">
        <v>40877</v>
      </c>
      <c r="AX1182" s="5">
        <v>40857</v>
      </c>
      <c r="AY1182" s="4" t="s">
        <v>1847</v>
      </c>
      <c r="AZ1182" s="5">
        <v>40742</v>
      </c>
      <c r="BA1182" s="5">
        <v>40736</v>
      </c>
      <c r="BB1182" s="5">
        <v>40843</v>
      </c>
      <c r="BC1182" s="5">
        <v>40816</v>
      </c>
      <c r="BD1182" s="4">
        <v>2</v>
      </c>
      <c r="BE1182" s="5">
        <v>40850</v>
      </c>
      <c r="BF1182" s="5">
        <v>40816</v>
      </c>
      <c r="BG1182" s="4"/>
      <c r="BH1182" s="4"/>
      <c r="BI1182" s="5">
        <v>40876</v>
      </c>
      <c r="BJ1182" s="5">
        <v>40848</v>
      </c>
      <c r="BK1182" s="4">
        <v>1</v>
      </c>
      <c r="BL1182" s="4"/>
      <c r="BM1182" s="5">
        <v>40876</v>
      </c>
      <c r="BN1182" s="5">
        <v>40848</v>
      </c>
      <c r="BO1182" s="5">
        <v>40872</v>
      </c>
      <c r="BP1182" s="4"/>
      <c r="BQ1182" s="4"/>
      <c r="BR1182" s="4"/>
      <c r="BS1182" s="4"/>
      <c r="BT1182" s="5">
        <v>40861</v>
      </c>
      <c r="BU1182" s="5">
        <v>40861</v>
      </c>
      <c r="BV1182" s="5">
        <v>40883</v>
      </c>
      <c r="BW1182" s="5">
        <v>40883</v>
      </c>
      <c r="BX1182" s="5">
        <v>40875</v>
      </c>
      <c r="BY1182" s="5">
        <v>40883</v>
      </c>
      <c r="BZ1182" s="5">
        <v>40883</v>
      </c>
      <c r="CA1182" s="4"/>
      <c r="CB1182" s="4"/>
      <c r="CC1182" s="4"/>
      <c r="CD1182" s="4"/>
      <c r="CE1182" s="4"/>
      <c r="CF1182" s="4"/>
      <c r="CG1182" s="4"/>
      <c r="CH1182" s="4"/>
      <c r="CI1182" s="5">
        <v>40883</v>
      </c>
      <c r="CJ1182" s="5">
        <v>40889</v>
      </c>
      <c r="CK1182" s="5">
        <v>40885</v>
      </c>
      <c r="CL1182" s="5">
        <v>40935</v>
      </c>
      <c r="CM1182" s="5">
        <v>40928</v>
      </c>
      <c r="CN1182" s="5">
        <v>41018</v>
      </c>
      <c r="CO1182" s="5">
        <v>41075</v>
      </c>
      <c r="CP1182" s="4" t="s">
        <v>3613</v>
      </c>
      <c r="CQ1182" s="4" t="s">
        <v>230</v>
      </c>
      <c r="CR1182" s="5">
        <v>40884</v>
      </c>
      <c r="CS1182" s="5">
        <v>40861</v>
      </c>
      <c r="CT1182" s="5">
        <v>40861</v>
      </c>
      <c r="CU1182" s="5">
        <v>40870</v>
      </c>
      <c r="CV1182" s="5">
        <v>40872</v>
      </c>
      <c r="CW1182" s="5">
        <v>40870</v>
      </c>
      <c r="CX1182" s="5">
        <v>40872</v>
      </c>
      <c r="CY1182" s="5">
        <v>40883</v>
      </c>
      <c r="CZ1182" s="5">
        <v>40884</v>
      </c>
      <c r="DA1182" s="5">
        <v>40875</v>
      </c>
      <c r="DB1182" s="5">
        <v>40893</v>
      </c>
      <c r="DC1182" s="4"/>
      <c r="DD1182" s="4"/>
      <c r="DE1182" s="4"/>
      <c r="DF1182" s="4"/>
      <c r="DG1182" s="4"/>
      <c r="DH1182" s="4"/>
      <c r="DI1182" s="5">
        <v>40871</v>
      </c>
      <c r="DJ1182" s="4" t="b">
        <v>0</v>
      </c>
      <c r="DK1182" s="4"/>
      <c r="DL1182" s="4">
        <v>2626671</v>
      </c>
      <c r="DM1182" s="4">
        <v>6606004</v>
      </c>
      <c r="DN1182" s="4" t="s">
        <v>3614</v>
      </c>
      <c r="DO1182" s="4"/>
      <c r="DP1182" s="4" t="s">
        <v>3615</v>
      </c>
      <c r="DQ1182" s="4" t="s">
        <v>148</v>
      </c>
      <c r="DR1182" s="4"/>
      <c r="DS1182" s="4"/>
      <c r="DT1182" s="4"/>
      <c r="DU1182" s="4"/>
      <c r="DV1182" s="4"/>
      <c r="DW1182" s="4"/>
      <c r="DX1182" s="4"/>
      <c r="DY1182" s="4"/>
      <c r="DZ1182" s="4"/>
      <c r="EA1182" s="4"/>
      <c r="EB1182" s="4"/>
      <c r="EC1182" s="4"/>
      <c r="ED1182" s="4"/>
      <c r="EE1182" s="4"/>
      <c r="EF1182" s="4"/>
      <c r="EG1182" s="5">
        <v>40896</v>
      </c>
      <c r="EH1182" s="5">
        <v>40897</v>
      </c>
      <c r="EI1182" s="4"/>
    </row>
    <row r="1183" spans="1:139" hidden="1" x14ac:dyDescent="0.2">
      <c r="A1183">
        <f>VLOOKUP(B1183,Sheet1!$A$1:$B$18,2,FALSE)</f>
        <v>0</v>
      </c>
      <c r="B1183" t="str">
        <f>LEFT(D1183,3)</f>
        <v>NTH</v>
      </c>
      <c r="C1183" s="2">
        <v>1182</v>
      </c>
      <c r="D1183" s="3" t="str">
        <f>HYPERLINK("https://sitebase.nzcomms.co.nz/spm/spmnominalview/NTH-002-021/","NTH-002-021")</f>
        <v>NTH-002-021</v>
      </c>
      <c r="E1183" s="4" t="s">
        <v>3616</v>
      </c>
      <c r="F1183" s="3" t="str">
        <f>HYPERLINK("https://sitebase.nzcomms.co.nz/spm/spmcandidateview/NTH-002-021-A/","NTH-002-021-A")</f>
        <v>NTH-002-021-A</v>
      </c>
      <c r="G1183" s="4" t="s">
        <v>3538</v>
      </c>
      <c r="H1183" s="4" t="s">
        <v>3534</v>
      </c>
      <c r="I1183" s="4">
        <v>3</v>
      </c>
      <c r="J1183" s="4" t="s">
        <v>1633</v>
      </c>
      <c r="K1183" s="4" t="s">
        <v>141</v>
      </c>
      <c r="L1183" s="4" t="s">
        <v>142</v>
      </c>
      <c r="M1183" s="4" t="s">
        <v>190</v>
      </c>
      <c r="N1183" s="4" t="s">
        <v>142</v>
      </c>
      <c r="O1183" s="4" t="s">
        <v>144</v>
      </c>
      <c r="P1183" s="4" t="s">
        <v>182</v>
      </c>
      <c r="Q1183" s="4" t="s">
        <v>142</v>
      </c>
      <c r="R1183" s="4">
        <v>14.64</v>
      </c>
      <c r="S1183" s="4">
        <v>15.14</v>
      </c>
      <c r="T1183" s="4">
        <v>1</v>
      </c>
      <c r="U1183" s="4">
        <v>-35.687424540000002</v>
      </c>
      <c r="V1183" s="4">
        <v>174.32624810999999</v>
      </c>
      <c r="W1183" s="5">
        <v>40235</v>
      </c>
      <c r="X1183" s="5">
        <v>40234</v>
      </c>
      <c r="Y1183" s="5">
        <v>40235</v>
      </c>
      <c r="Z1183" s="5">
        <v>40234</v>
      </c>
      <c r="AA1183" s="4" t="s">
        <v>171</v>
      </c>
      <c r="AB1183" s="3" t="str">
        <f>HYPERLINK("https://sitebase.nzcomms.co.nz/spm/spmcandidateview/NTH-002-005-B/","NTH-002-005-B")</f>
        <v>NTH-002-005-B</v>
      </c>
      <c r="AC1183" s="4" t="b">
        <v>1</v>
      </c>
      <c r="AD1183" s="4" t="b">
        <v>0</v>
      </c>
      <c r="AE1183" s="5">
        <v>40220</v>
      </c>
      <c r="AF1183" s="4"/>
      <c r="AG1183" s="4" t="b">
        <v>0</v>
      </c>
      <c r="AH1183" s="4"/>
      <c r="AI1183" s="5">
        <v>40584</v>
      </c>
      <c r="AJ1183" s="5">
        <v>40584</v>
      </c>
      <c r="AK1183" s="5">
        <v>40590</v>
      </c>
      <c r="AL1183" s="5">
        <v>40590</v>
      </c>
      <c r="AM1183" s="5">
        <v>40617</v>
      </c>
      <c r="AN1183" s="5">
        <v>40617</v>
      </c>
      <c r="AO1183" s="4">
        <v>2</v>
      </c>
      <c r="AP1183" s="5">
        <v>40617</v>
      </c>
      <c r="AQ1183" s="5">
        <v>40640</v>
      </c>
      <c r="AR1183" s="4"/>
      <c r="AS1183" s="5">
        <v>40645</v>
      </c>
      <c r="AT1183" s="5">
        <v>40896</v>
      </c>
      <c r="AU1183" s="5">
        <v>40752</v>
      </c>
      <c r="AV1183" s="4"/>
      <c r="AW1183" s="5">
        <v>40847</v>
      </c>
      <c r="AX1183" s="5">
        <v>40826</v>
      </c>
      <c r="AY1183" s="4" t="s">
        <v>1847</v>
      </c>
      <c r="AZ1183" s="5">
        <v>40749</v>
      </c>
      <c r="BA1183" s="5">
        <v>40749</v>
      </c>
      <c r="BB1183" s="5">
        <v>40820</v>
      </c>
      <c r="BC1183" s="5">
        <v>40816</v>
      </c>
      <c r="BD1183" s="4">
        <v>2</v>
      </c>
      <c r="BE1183" s="5">
        <v>40827</v>
      </c>
      <c r="BF1183" s="5">
        <v>40816</v>
      </c>
      <c r="BG1183" s="4"/>
      <c r="BH1183" s="4"/>
      <c r="BI1183" s="5">
        <v>40876</v>
      </c>
      <c r="BJ1183" s="5">
        <v>40850</v>
      </c>
      <c r="BK1183" s="4">
        <v>1</v>
      </c>
      <c r="BL1183" s="4"/>
      <c r="BM1183" s="5">
        <v>40876</v>
      </c>
      <c r="BN1183" s="5">
        <v>40850</v>
      </c>
      <c r="BO1183" s="5">
        <v>40872</v>
      </c>
      <c r="BP1183" s="4"/>
      <c r="BQ1183" s="4"/>
      <c r="BR1183" s="4"/>
      <c r="BS1183" s="4"/>
      <c r="BT1183" s="5">
        <v>40876</v>
      </c>
      <c r="BU1183" s="5">
        <v>40876</v>
      </c>
      <c r="BV1183" s="5">
        <v>40883</v>
      </c>
      <c r="BW1183" s="5">
        <v>40889</v>
      </c>
      <c r="BX1183" s="5">
        <v>40882</v>
      </c>
      <c r="BY1183" s="5">
        <v>40877</v>
      </c>
      <c r="BZ1183" s="5">
        <v>40889</v>
      </c>
      <c r="CA1183" s="4"/>
      <c r="CB1183" s="4"/>
      <c r="CC1183" s="4"/>
      <c r="CD1183" s="4"/>
      <c r="CE1183" s="4"/>
      <c r="CF1183" s="4"/>
      <c r="CG1183" s="4"/>
      <c r="CH1183" s="4"/>
      <c r="CI1183" s="5">
        <v>40889</v>
      </c>
      <c r="CJ1183" s="5">
        <v>40889</v>
      </c>
      <c r="CK1183" s="5">
        <v>40891</v>
      </c>
      <c r="CL1183" s="5">
        <v>40935</v>
      </c>
      <c r="CM1183" s="5">
        <v>40928</v>
      </c>
      <c r="CN1183" s="5">
        <v>41018</v>
      </c>
      <c r="CO1183" s="5">
        <v>41052</v>
      </c>
      <c r="CP1183" s="4" t="s">
        <v>3617</v>
      </c>
      <c r="CQ1183" s="4" t="s">
        <v>230</v>
      </c>
      <c r="CR1183" s="5">
        <v>40889</v>
      </c>
      <c r="CS1183" s="5">
        <v>40861</v>
      </c>
      <c r="CT1183" s="5">
        <v>40861</v>
      </c>
      <c r="CU1183" s="5">
        <v>40870</v>
      </c>
      <c r="CV1183" s="5">
        <v>40872</v>
      </c>
      <c r="CW1183" s="5">
        <v>40870</v>
      </c>
      <c r="CX1183" s="5">
        <v>40872</v>
      </c>
      <c r="CY1183" s="5">
        <v>40883</v>
      </c>
      <c r="CZ1183" s="5">
        <v>40885</v>
      </c>
      <c r="DA1183" s="4"/>
      <c r="DB1183" s="5">
        <v>40917</v>
      </c>
      <c r="DC1183" s="4"/>
      <c r="DD1183" s="4"/>
      <c r="DE1183" s="4"/>
      <c r="DF1183" s="4"/>
      <c r="DG1183" s="4"/>
      <c r="DH1183" s="4"/>
      <c r="DI1183" s="5">
        <v>40883</v>
      </c>
      <c r="DJ1183" s="4" t="b">
        <v>0</v>
      </c>
      <c r="DK1183" s="4"/>
      <c r="DL1183" s="4">
        <v>2630727</v>
      </c>
      <c r="DM1183" s="4">
        <v>6611721</v>
      </c>
      <c r="DN1183" s="4" t="s">
        <v>3618</v>
      </c>
      <c r="DO1183" s="4"/>
      <c r="DP1183" s="4" t="s">
        <v>3619</v>
      </c>
      <c r="DQ1183" s="4" t="s">
        <v>148</v>
      </c>
      <c r="DR1183" s="4"/>
      <c r="DS1183" s="4"/>
      <c r="DT1183" s="4"/>
      <c r="DU1183" s="4"/>
      <c r="DV1183" s="4"/>
      <c r="DW1183" s="4"/>
      <c r="DX1183" s="4"/>
      <c r="DY1183" s="4"/>
      <c r="DZ1183" s="4"/>
      <c r="EA1183" s="4"/>
      <c r="EB1183" s="4"/>
      <c r="EC1183" s="4"/>
      <c r="ED1183" s="4"/>
      <c r="EE1183" s="4"/>
      <c r="EF1183" s="4"/>
      <c r="EG1183" s="5">
        <v>40896</v>
      </c>
      <c r="EH1183" s="5">
        <v>40897</v>
      </c>
      <c r="EI1183" s="4"/>
    </row>
    <row r="1184" spans="1:139" hidden="1" x14ac:dyDescent="0.2">
      <c r="A1184">
        <f>VLOOKUP(B1184,Sheet1!$A$1:$B$18,2,FALSE)</f>
        <v>0</v>
      </c>
      <c r="B1184" t="str">
        <f>LEFT(D1184,3)</f>
        <v>NTH</v>
      </c>
      <c r="C1184" s="2">
        <v>1183</v>
      </c>
      <c r="D1184" s="3" t="str">
        <f>HYPERLINK("https://sitebase.nzcomms.co.nz/spm/spmnominalview/NTH-002-022/","NTH-002-022")</f>
        <v>NTH-002-022</v>
      </c>
      <c r="E1184" s="4" t="s">
        <v>3504</v>
      </c>
      <c r="F1184" s="3" t="str">
        <f>HYPERLINK("https://sitebase.nzcomms.co.nz/spm/spmcandidateview/NTH-002-022-C/","NTH-002-022-C")</f>
        <v>NTH-002-022-C</v>
      </c>
      <c r="G1184" s="4" t="s">
        <v>3620</v>
      </c>
      <c r="H1184" s="4" t="s">
        <v>3534</v>
      </c>
      <c r="I1184" s="4">
        <v>23</v>
      </c>
      <c r="J1184" s="4" t="s">
        <v>165</v>
      </c>
      <c r="K1184" s="4" t="s">
        <v>141</v>
      </c>
      <c r="L1184" s="4" t="s">
        <v>142</v>
      </c>
      <c r="M1184" s="4" t="s">
        <v>190</v>
      </c>
      <c r="N1184" s="4" t="s">
        <v>142</v>
      </c>
      <c r="O1184" s="4" t="s">
        <v>168</v>
      </c>
      <c r="P1184" s="4" t="s">
        <v>182</v>
      </c>
      <c r="Q1184" s="4" t="s">
        <v>142</v>
      </c>
      <c r="R1184" s="4">
        <v>17</v>
      </c>
      <c r="S1184" s="4">
        <v>24</v>
      </c>
      <c r="T1184" s="4"/>
      <c r="U1184" s="4">
        <v>-35.618381720000002</v>
      </c>
      <c r="V1184" s="4">
        <v>174.51388105999999</v>
      </c>
      <c r="W1184" s="4"/>
      <c r="X1184" s="5">
        <v>40896</v>
      </c>
      <c r="Y1184" s="4"/>
      <c r="Z1184" s="4"/>
      <c r="AA1184" s="4" t="s">
        <v>145</v>
      </c>
      <c r="AB1184" s="3" t="str">
        <f>HYPERLINK("https://sitebase.nzcomms.co.nz/spm/spmcandidateview/NTH-002-011-A/","NTH-002-011-A")</f>
        <v>NTH-002-011-A</v>
      </c>
      <c r="AC1184" s="4" t="b">
        <v>0</v>
      </c>
      <c r="AD1184" s="4" t="b">
        <v>0</v>
      </c>
      <c r="AE1184" s="4"/>
      <c r="AF1184" s="4"/>
      <c r="AG1184" s="4" t="b">
        <v>0</v>
      </c>
      <c r="AH1184" s="4"/>
      <c r="AI1184" s="5">
        <v>40961</v>
      </c>
      <c r="AJ1184" s="5">
        <v>40961</v>
      </c>
      <c r="AK1184" s="5">
        <v>41152</v>
      </c>
      <c r="AL1184" s="5">
        <v>41152</v>
      </c>
      <c r="AM1184" s="5">
        <v>41184</v>
      </c>
      <c r="AN1184" s="5">
        <v>41185</v>
      </c>
      <c r="AO1184" s="4">
        <v>3</v>
      </c>
      <c r="AP1184" s="5">
        <v>41184</v>
      </c>
      <c r="AQ1184" s="5">
        <v>42194</v>
      </c>
      <c r="AR1184" s="5">
        <v>42139</v>
      </c>
      <c r="AS1184" s="5">
        <v>42137</v>
      </c>
      <c r="AT1184" s="5">
        <v>42328</v>
      </c>
      <c r="AU1184" s="5">
        <v>42321</v>
      </c>
      <c r="AV1184" s="4"/>
      <c r="AW1184" s="5">
        <v>42328</v>
      </c>
      <c r="AX1184" s="4"/>
      <c r="AY1184" s="4" t="s">
        <v>183</v>
      </c>
      <c r="AZ1184" s="5">
        <v>42128</v>
      </c>
      <c r="BA1184" s="5">
        <v>42114</v>
      </c>
      <c r="BB1184" s="5">
        <v>42321</v>
      </c>
      <c r="BC1184" s="5">
        <v>42321</v>
      </c>
      <c r="BD1184" s="4">
        <v>2</v>
      </c>
      <c r="BE1184" s="5">
        <v>42321</v>
      </c>
      <c r="BF1184" s="5">
        <v>42321</v>
      </c>
      <c r="BG1184" s="5">
        <v>42142</v>
      </c>
      <c r="BH1184" s="5">
        <v>42139</v>
      </c>
      <c r="BI1184" s="5">
        <v>42174</v>
      </c>
      <c r="BJ1184" s="5">
        <v>42166</v>
      </c>
      <c r="BK1184" s="4">
        <v>1</v>
      </c>
      <c r="BL1184" s="4"/>
      <c r="BM1184" s="5">
        <v>42181</v>
      </c>
      <c r="BN1184" s="5">
        <v>42166</v>
      </c>
      <c r="BO1184" s="4"/>
      <c r="BP1184" s="4"/>
      <c r="BQ1184" s="4"/>
      <c r="BR1184" s="4"/>
      <c r="BS1184" s="4"/>
      <c r="BT1184" s="5">
        <v>42338</v>
      </c>
      <c r="BU1184" s="5">
        <v>42338</v>
      </c>
      <c r="BV1184" s="5">
        <v>42349</v>
      </c>
      <c r="BW1184" s="5">
        <v>42356</v>
      </c>
      <c r="BX1184" s="4"/>
      <c r="BY1184" s="4"/>
      <c r="BZ1184" s="4"/>
      <c r="CA1184" s="5">
        <v>42346</v>
      </c>
      <c r="CB1184" s="5">
        <v>42352</v>
      </c>
      <c r="CC1184" s="5">
        <v>42286</v>
      </c>
      <c r="CD1184" s="4"/>
      <c r="CE1184" s="4"/>
      <c r="CF1184" s="4"/>
      <c r="CG1184" s="4"/>
      <c r="CH1184" s="4"/>
      <c r="CI1184" s="4"/>
      <c r="CJ1184" s="5">
        <v>42360</v>
      </c>
      <c r="CK1184" s="5">
        <v>42359</v>
      </c>
      <c r="CL1184" s="4"/>
      <c r="CM1184" s="4"/>
      <c r="CN1184" s="4"/>
      <c r="CO1184" s="4"/>
      <c r="CP1184" s="4" t="s">
        <v>3621</v>
      </c>
      <c r="CQ1184" s="4" t="s">
        <v>205</v>
      </c>
      <c r="CR1184" s="4"/>
      <c r="CS1184" s="4"/>
      <c r="CT1184" s="4"/>
      <c r="CU1184" s="4"/>
      <c r="CV1184" s="4"/>
      <c r="CW1184" s="4"/>
      <c r="CX1184" s="4"/>
      <c r="CY1184" s="4"/>
      <c r="CZ1184" s="4"/>
      <c r="DA1184" s="5">
        <v>42354</v>
      </c>
      <c r="DB1184" s="5">
        <v>42354</v>
      </c>
      <c r="DC1184" s="4"/>
      <c r="DD1184" s="4"/>
      <c r="DE1184" s="4" t="s">
        <v>3443</v>
      </c>
      <c r="DF1184" s="5">
        <v>42346</v>
      </c>
      <c r="DG1184" s="5">
        <v>42352</v>
      </c>
      <c r="DH1184" s="4" t="s">
        <v>174</v>
      </c>
      <c r="DI1184" s="4"/>
      <c r="DJ1184" s="4" t="b">
        <v>0</v>
      </c>
      <c r="DK1184" s="4"/>
      <c r="DL1184" s="4">
        <v>2647848</v>
      </c>
      <c r="DM1184" s="4">
        <v>6619093</v>
      </c>
      <c r="DN1184" s="4" t="s">
        <v>3622</v>
      </c>
      <c r="DO1184" s="4"/>
      <c r="DP1184" s="4"/>
      <c r="DQ1184" s="4" t="s">
        <v>148</v>
      </c>
      <c r="DR1184" s="4"/>
      <c r="DS1184" s="4"/>
      <c r="DT1184" s="4"/>
      <c r="DU1184" s="4" t="s">
        <v>178</v>
      </c>
      <c r="DV1184" s="4"/>
      <c r="DW1184" s="4"/>
      <c r="DX1184" s="5">
        <v>42219</v>
      </c>
      <c r="DY1184" s="5">
        <v>42265</v>
      </c>
      <c r="DZ1184" s="5">
        <v>42263</v>
      </c>
      <c r="EA1184" s="5">
        <v>42117</v>
      </c>
      <c r="EB1184" s="5">
        <v>42117</v>
      </c>
      <c r="EC1184" s="5">
        <v>42135</v>
      </c>
      <c r="ED1184" s="5">
        <v>42146</v>
      </c>
      <c r="EE1184" s="5">
        <v>42307</v>
      </c>
      <c r="EF1184" s="5">
        <v>42306</v>
      </c>
      <c r="EG1184" s="4"/>
      <c r="EH1184" s="4"/>
      <c r="EI1184" s="5">
        <v>41152</v>
      </c>
    </row>
    <row r="1185" spans="1:139" hidden="1" x14ac:dyDescent="0.2">
      <c r="A1185">
        <f>VLOOKUP(B1185,Sheet1!$A$1:$B$18,2,FALSE)</f>
        <v>0</v>
      </c>
      <c r="B1185" t="str">
        <f>LEFT(D1185,3)</f>
        <v>NTH</v>
      </c>
      <c r="C1185" s="2">
        <v>1184</v>
      </c>
      <c r="D1185" s="3" t="str">
        <f>HYPERLINK("https://sitebase.nzcomms.co.nz/spm/spmnominalview/NTH-002-023/","NTH-002-023")</f>
        <v>NTH-002-023</v>
      </c>
      <c r="E1185" s="4" t="s">
        <v>3623</v>
      </c>
      <c r="F1185" s="3" t="str">
        <f>HYPERLINK("https://sitebase.nzcomms.co.nz/spm/spmcandidateview/NTH-002-023-A/","NTH-002-023-A")</f>
        <v>NTH-002-023-A</v>
      </c>
      <c r="G1185" s="4" t="s">
        <v>3624</v>
      </c>
      <c r="H1185" s="4" t="s">
        <v>3534</v>
      </c>
      <c r="I1185" s="4">
        <v>23</v>
      </c>
      <c r="J1185" s="4" t="s">
        <v>165</v>
      </c>
      <c r="K1185" s="4" t="s">
        <v>141</v>
      </c>
      <c r="L1185" s="4" t="s">
        <v>142</v>
      </c>
      <c r="M1185" s="4" t="s">
        <v>166</v>
      </c>
      <c r="N1185" s="4" t="s">
        <v>142</v>
      </c>
      <c r="O1185" s="4"/>
      <c r="P1185" s="4" t="s">
        <v>182</v>
      </c>
      <c r="Q1185" s="4" t="s">
        <v>142</v>
      </c>
      <c r="R1185" s="4"/>
      <c r="S1185" s="4"/>
      <c r="T1185" s="4"/>
      <c r="U1185" s="4">
        <v>-35.840560660000001</v>
      </c>
      <c r="V1185" s="4">
        <v>174.47419744999999</v>
      </c>
      <c r="W1185" s="4"/>
      <c r="X1185" s="4"/>
      <c r="Y1185" s="4"/>
      <c r="Z1185" s="4"/>
      <c r="AA1185" s="4" t="s">
        <v>145</v>
      </c>
      <c r="AB1185" s="3" t="str">
        <f>HYPERLINK("https://sitebase.nzcomms.co.nz/spm/spmcandidateview/NTH-002-011-A/","NTH-002-011-A")</f>
        <v>NTH-002-011-A</v>
      </c>
      <c r="AC1185" s="4" t="b">
        <v>0</v>
      </c>
      <c r="AD1185" s="4" t="b">
        <v>0</v>
      </c>
      <c r="AE1185" s="4"/>
      <c r="AF1185" s="4"/>
      <c r="AG1185" s="4" t="b">
        <v>0</v>
      </c>
      <c r="AH1185" s="4"/>
      <c r="AI1185" s="5">
        <v>42023</v>
      </c>
      <c r="AJ1185" s="5">
        <v>42053</v>
      </c>
      <c r="AK1185" s="5">
        <v>42024</v>
      </c>
      <c r="AL1185" s="5">
        <v>42053</v>
      </c>
      <c r="AM1185" s="5">
        <v>42080</v>
      </c>
      <c r="AN1185" s="5">
        <v>42089</v>
      </c>
      <c r="AO1185" s="4">
        <v>2</v>
      </c>
      <c r="AP1185" s="5">
        <v>42087</v>
      </c>
      <c r="AQ1185" s="5">
        <v>42103</v>
      </c>
      <c r="AR1185" s="5">
        <v>42174</v>
      </c>
      <c r="AS1185" s="5">
        <v>42135</v>
      </c>
      <c r="AT1185" s="5">
        <v>42244</v>
      </c>
      <c r="AU1185" s="5">
        <v>42213</v>
      </c>
      <c r="AV1185" s="4"/>
      <c r="AW1185" s="5">
        <v>42244</v>
      </c>
      <c r="AX1185" s="5">
        <v>42241</v>
      </c>
      <c r="AY1185" s="4" t="s">
        <v>172</v>
      </c>
      <c r="AZ1185" s="5">
        <v>42114</v>
      </c>
      <c r="BA1185" s="5">
        <v>42114</v>
      </c>
      <c r="BB1185" s="5">
        <v>42146</v>
      </c>
      <c r="BC1185" s="5">
        <v>42143</v>
      </c>
      <c r="BD1185" s="4">
        <v>2</v>
      </c>
      <c r="BE1185" s="5">
        <v>42153</v>
      </c>
      <c r="BF1185" s="5">
        <v>42143</v>
      </c>
      <c r="BG1185" s="5">
        <v>42135</v>
      </c>
      <c r="BH1185" s="5">
        <v>42123</v>
      </c>
      <c r="BI1185" s="5">
        <v>42167</v>
      </c>
      <c r="BJ1185" s="5">
        <v>42166</v>
      </c>
      <c r="BK1185" s="4">
        <v>1</v>
      </c>
      <c r="BL1185" s="4"/>
      <c r="BM1185" s="5">
        <v>42167</v>
      </c>
      <c r="BN1185" s="5">
        <v>42166</v>
      </c>
      <c r="BO1185" s="4"/>
      <c r="BP1185" s="4"/>
      <c r="BQ1185" s="4"/>
      <c r="BR1185" s="4"/>
      <c r="BS1185" s="4"/>
      <c r="BT1185" s="5">
        <v>42247</v>
      </c>
      <c r="BU1185" s="5">
        <v>42241</v>
      </c>
      <c r="BV1185" s="5">
        <v>42279</v>
      </c>
      <c r="BW1185" s="5">
        <v>42277</v>
      </c>
      <c r="BX1185" s="4"/>
      <c r="BY1185" s="4"/>
      <c r="BZ1185" s="4"/>
      <c r="CA1185" s="5">
        <v>42272</v>
      </c>
      <c r="CB1185" s="5">
        <v>42269</v>
      </c>
      <c r="CC1185" s="4"/>
      <c r="CD1185" s="4"/>
      <c r="CE1185" s="4"/>
      <c r="CF1185" s="4"/>
      <c r="CG1185" s="4"/>
      <c r="CH1185" s="4"/>
      <c r="CI1185" s="4"/>
      <c r="CJ1185" s="5">
        <v>42319</v>
      </c>
      <c r="CK1185" s="5">
        <v>42318</v>
      </c>
      <c r="CL1185" s="4"/>
      <c r="CM1185" s="5">
        <v>42307</v>
      </c>
      <c r="CN1185" s="4"/>
      <c r="CO1185" s="5">
        <v>42307</v>
      </c>
      <c r="CP1185" s="4" t="s">
        <v>3625</v>
      </c>
      <c r="CQ1185" s="4" t="s">
        <v>230</v>
      </c>
      <c r="CR1185" s="4"/>
      <c r="CS1185" s="4"/>
      <c r="CT1185" s="4"/>
      <c r="CU1185" s="4"/>
      <c r="CV1185" s="4"/>
      <c r="CW1185" s="4"/>
      <c r="CX1185" s="4"/>
      <c r="CY1185" s="4"/>
      <c r="CZ1185" s="4"/>
      <c r="DA1185" s="5">
        <v>42293</v>
      </c>
      <c r="DB1185" s="5">
        <v>42293</v>
      </c>
      <c r="DC1185" s="4"/>
      <c r="DD1185" s="4"/>
      <c r="DE1185" s="4"/>
      <c r="DF1185" s="5">
        <v>42272</v>
      </c>
      <c r="DG1185" s="5">
        <v>42269</v>
      </c>
      <c r="DH1185" s="4" t="s">
        <v>174</v>
      </c>
      <c r="DI1185" s="4"/>
      <c r="DJ1185" s="4" t="b">
        <v>0</v>
      </c>
      <c r="DK1185" s="4"/>
      <c r="DL1185" s="4">
        <v>2643821</v>
      </c>
      <c r="DM1185" s="4">
        <v>6594506</v>
      </c>
      <c r="DN1185" s="4" t="s">
        <v>3626</v>
      </c>
      <c r="DO1185" s="4"/>
      <c r="DP1185" s="4"/>
      <c r="DQ1185" s="4" t="s">
        <v>148</v>
      </c>
      <c r="DR1185" s="4"/>
      <c r="DS1185" s="4"/>
      <c r="DT1185" s="4"/>
      <c r="DU1185" s="4" t="s">
        <v>178</v>
      </c>
      <c r="DV1185" s="4"/>
      <c r="DW1185" s="4"/>
      <c r="DX1185" s="5">
        <v>42118</v>
      </c>
      <c r="DY1185" s="5">
        <v>42167</v>
      </c>
      <c r="DZ1185" s="5">
        <v>42172</v>
      </c>
      <c r="EA1185" s="5">
        <v>42117</v>
      </c>
      <c r="EB1185" s="5">
        <v>42117</v>
      </c>
      <c r="EC1185" s="5">
        <v>42117</v>
      </c>
      <c r="ED1185" s="5">
        <v>42117</v>
      </c>
      <c r="EE1185" s="5">
        <v>42237</v>
      </c>
      <c r="EF1185" s="5">
        <v>42235</v>
      </c>
      <c r="EG1185" s="4"/>
      <c r="EH1185" s="4"/>
      <c r="EI1185" s="5">
        <v>42053</v>
      </c>
    </row>
    <row r="1186" spans="1:139" hidden="1" x14ac:dyDescent="0.2">
      <c r="A1186">
        <f>VLOOKUP(B1186,Sheet1!$A$1:$B$18,2,FALSE)</f>
        <v>0</v>
      </c>
      <c r="B1186" t="str">
        <f>LEFT(D1186,3)</f>
        <v>NTH</v>
      </c>
      <c r="C1186" s="2">
        <v>1185</v>
      </c>
      <c r="D1186" s="3" t="str">
        <f>HYPERLINK("https://sitebase.nzcomms.co.nz/spm/spmnominalview/NTH-002-024/","NTH-002-024")</f>
        <v>NTH-002-024</v>
      </c>
      <c r="E1186" s="4" t="s">
        <v>3627</v>
      </c>
      <c r="F1186" s="3" t="str">
        <f>HYPERLINK("https://sitebase.nzcomms.co.nz/spm/spmcandidateview/NTH-002-024-B/","NTH-002-024-B")</f>
        <v>NTH-002-024-B</v>
      </c>
      <c r="G1186" s="4" t="s">
        <v>3628</v>
      </c>
      <c r="H1186" s="4" t="s">
        <v>3534</v>
      </c>
      <c r="I1186" s="4">
        <v>23</v>
      </c>
      <c r="J1186" s="4" t="s">
        <v>165</v>
      </c>
      <c r="K1186" s="4" t="s">
        <v>141</v>
      </c>
      <c r="L1186" s="4" t="s">
        <v>150</v>
      </c>
      <c r="M1186" s="4" t="s">
        <v>166</v>
      </c>
      <c r="N1186" s="4" t="s">
        <v>167</v>
      </c>
      <c r="O1186" s="4"/>
      <c r="P1186" s="4" t="s">
        <v>169</v>
      </c>
      <c r="Q1186" s="4" t="s">
        <v>170</v>
      </c>
      <c r="R1186" s="4"/>
      <c r="S1186" s="4"/>
      <c r="T1186" s="4"/>
      <c r="U1186" s="4">
        <v>-35.442890519999999</v>
      </c>
      <c r="V1186" s="4">
        <v>174.31797295999999</v>
      </c>
      <c r="W1186" s="4"/>
      <c r="X1186" s="5">
        <v>42059</v>
      </c>
      <c r="Y1186" s="4"/>
      <c r="Z1186" s="4"/>
      <c r="AA1186" s="4" t="s">
        <v>171</v>
      </c>
      <c r="AB1186" s="3" t="str">
        <f>HYPERLINK("https://sitebase.nzcomms.co.nz/spm/spmcandidateview/NTH-002-004-A/","NTH-002-004-A")</f>
        <v>NTH-002-004-A</v>
      </c>
      <c r="AC1186" s="4" t="b">
        <v>0</v>
      </c>
      <c r="AD1186" s="4" t="b">
        <v>0</v>
      </c>
      <c r="AE1186" s="4"/>
      <c r="AF1186" s="4"/>
      <c r="AG1186" s="4" t="b">
        <v>0</v>
      </c>
      <c r="AH1186" s="4"/>
      <c r="AI1186" s="5">
        <v>42118</v>
      </c>
      <c r="AJ1186" s="5">
        <v>42081</v>
      </c>
      <c r="AK1186" s="5">
        <v>42128</v>
      </c>
      <c r="AL1186" s="5">
        <v>42101</v>
      </c>
      <c r="AM1186" s="5">
        <v>42146</v>
      </c>
      <c r="AN1186" s="5">
        <v>42131</v>
      </c>
      <c r="AO1186" s="4">
        <v>1</v>
      </c>
      <c r="AP1186" s="5">
        <v>42160</v>
      </c>
      <c r="AQ1186" s="5">
        <v>42131</v>
      </c>
      <c r="AR1186" s="5">
        <v>42181</v>
      </c>
      <c r="AS1186" s="5">
        <v>42179</v>
      </c>
      <c r="AT1186" s="5">
        <v>42206</v>
      </c>
      <c r="AU1186" s="5">
        <v>42194</v>
      </c>
      <c r="AV1186" s="4"/>
      <c r="AW1186" s="5">
        <v>42300</v>
      </c>
      <c r="AX1186" s="5">
        <v>42312</v>
      </c>
      <c r="AY1186" s="4" t="s">
        <v>183</v>
      </c>
      <c r="AZ1186" s="5">
        <v>42492</v>
      </c>
      <c r="BA1186" s="4"/>
      <c r="BB1186" s="5">
        <v>42552</v>
      </c>
      <c r="BC1186" s="4"/>
      <c r="BD1186" s="4"/>
      <c r="BE1186" s="5">
        <v>42552</v>
      </c>
      <c r="BF1186" s="4"/>
      <c r="BG1186" s="5">
        <v>42512</v>
      </c>
      <c r="BH1186" s="4"/>
      <c r="BI1186" s="5">
        <v>42559</v>
      </c>
      <c r="BJ1186" s="4"/>
      <c r="BK1186" s="4"/>
      <c r="BL1186" s="4"/>
      <c r="BM1186" s="5">
        <v>42559</v>
      </c>
      <c r="BN1186" s="4"/>
      <c r="BO1186" s="4"/>
      <c r="BP1186" s="4"/>
      <c r="BQ1186" s="4"/>
      <c r="BR1186" s="4"/>
      <c r="BS1186" s="4"/>
      <c r="BT1186" s="5">
        <v>42650</v>
      </c>
      <c r="BU1186" s="4"/>
      <c r="BV1186" s="4"/>
      <c r="BW1186" s="4"/>
      <c r="BX1186" s="4"/>
      <c r="BY1186" s="4"/>
      <c r="BZ1186" s="4"/>
      <c r="CA1186" s="4"/>
      <c r="CB1186" s="4"/>
      <c r="CC1186" s="4"/>
      <c r="CD1186" s="4"/>
      <c r="CE1186" s="4"/>
      <c r="CF1186" s="4"/>
      <c r="CG1186" s="4"/>
      <c r="CH1186" s="4"/>
      <c r="CI1186" s="4"/>
      <c r="CJ1186" s="5">
        <v>42703</v>
      </c>
      <c r="CK1186" s="4"/>
      <c r="CL1186" s="4"/>
      <c r="CM1186" s="4"/>
      <c r="CN1186" s="4"/>
      <c r="CO1186" s="4"/>
      <c r="CP1186" s="4" t="s">
        <v>3629</v>
      </c>
      <c r="CQ1186" s="4" t="s">
        <v>230</v>
      </c>
      <c r="CR1186" s="4"/>
      <c r="CS1186" s="4"/>
      <c r="CT1186" s="4"/>
      <c r="CU1186" s="4"/>
      <c r="CV1186" s="4"/>
      <c r="CW1186" s="4"/>
      <c r="CX1186" s="4"/>
      <c r="CY1186" s="4"/>
      <c r="CZ1186" s="4"/>
      <c r="DA1186" s="5">
        <v>42696</v>
      </c>
      <c r="DB1186" s="4"/>
      <c r="DC1186" s="5">
        <v>42088</v>
      </c>
      <c r="DD1186" s="4" t="s">
        <v>573</v>
      </c>
      <c r="DE1186" s="4"/>
      <c r="DF1186" s="4"/>
      <c r="DG1186" s="4"/>
      <c r="DH1186" s="4" t="s">
        <v>1521</v>
      </c>
      <c r="DI1186" s="4"/>
      <c r="DJ1186" s="4" t="b">
        <v>0</v>
      </c>
      <c r="DK1186" s="4"/>
      <c r="DL1186" s="4">
        <v>2630410</v>
      </c>
      <c r="DM1186" s="4">
        <v>6638864</v>
      </c>
      <c r="DN1186" s="4" t="s">
        <v>3630</v>
      </c>
      <c r="DO1186" s="4"/>
      <c r="DP1186" s="4"/>
      <c r="DQ1186" s="4" t="s">
        <v>148</v>
      </c>
      <c r="DR1186" s="4" t="s">
        <v>255</v>
      </c>
      <c r="DS1186" s="4"/>
      <c r="DT1186" s="4"/>
      <c r="DU1186" s="4" t="s">
        <v>178</v>
      </c>
      <c r="DV1186" s="4"/>
      <c r="DW1186" s="4"/>
      <c r="DX1186" s="4"/>
      <c r="DY1186" s="5">
        <v>42600</v>
      </c>
      <c r="DZ1186" s="4"/>
      <c r="EA1186" s="4"/>
      <c r="EB1186" s="4"/>
      <c r="EC1186" s="4"/>
      <c r="ED1186" s="4"/>
      <c r="EE1186" s="5">
        <v>42625</v>
      </c>
      <c r="EF1186" s="4"/>
      <c r="EG1186" s="4"/>
      <c r="EH1186" s="4"/>
      <c r="EI1186" s="5">
        <v>42101</v>
      </c>
    </row>
    <row r="1187" spans="1:139" hidden="1" x14ac:dyDescent="0.2">
      <c r="A1187">
        <f>VLOOKUP(B1187,Sheet1!$A$1:$B$18,2,FALSE)</f>
        <v>0</v>
      </c>
      <c r="B1187" t="str">
        <f>LEFT(D1187,3)</f>
        <v>NTH</v>
      </c>
      <c r="C1187" s="2">
        <v>1186</v>
      </c>
      <c r="D1187" s="3" t="str">
        <f>HYPERLINK("https://sitebase.nzcomms.co.nz/spm/spmnominalview/NTH-003-001/","NTH-003-001")</f>
        <v>NTH-003-001</v>
      </c>
      <c r="E1187" s="4"/>
      <c r="F1187" s="4"/>
      <c r="G1187" s="4"/>
      <c r="H1187" s="4" t="s">
        <v>3631</v>
      </c>
      <c r="I1187" s="4"/>
      <c r="J1187" s="4" t="s">
        <v>196</v>
      </c>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4"/>
      <c r="DH1187" s="4"/>
      <c r="DI1187" s="4"/>
      <c r="DJ1187" s="4"/>
      <c r="DK1187" s="4"/>
      <c r="DL1187" s="4"/>
      <c r="DM1187" s="4"/>
      <c r="DN1187" s="4"/>
      <c r="DO1187" s="4"/>
      <c r="DP1187" s="4"/>
      <c r="DQ1187" s="4"/>
      <c r="DR1187" s="4"/>
      <c r="DS1187" s="4"/>
      <c r="DT1187" s="4"/>
      <c r="DU1187" s="4"/>
      <c r="DV1187" s="4"/>
      <c r="DW1187" s="4"/>
      <c r="DX1187" s="4"/>
      <c r="DY1187" s="4"/>
      <c r="DZ1187" s="4"/>
      <c r="EA1187" s="4"/>
      <c r="EB1187" s="4"/>
      <c r="EC1187" s="4"/>
      <c r="ED1187" s="4"/>
      <c r="EE1187" s="4"/>
      <c r="EF1187" s="4"/>
      <c r="EG1187" s="4"/>
      <c r="EH1187" s="4"/>
      <c r="EI1187" s="4"/>
    </row>
    <row r="1188" spans="1:139" hidden="1" x14ac:dyDescent="0.2">
      <c r="A1188">
        <f>VLOOKUP(B1188,Sheet1!$A$1:$B$18,2,FALSE)</f>
        <v>0</v>
      </c>
      <c r="B1188" t="str">
        <f>LEFT(D1188,3)</f>
        <v>NTH</v>
      </c>
      <c r="C1188" s="2">
        <v>1187</v>
      </c>
      <c r="D1188" s="3" t="str">
        <f>HYPERLINK("https://sitebase.nzcomms.co.nz/spm/spmnominalview/NTH-003-002/","NTH-003-002")</f>
        <v>NTH-003-002</v>
      </c>
      <c r="E1188" s="4"/>
      <c r="F1188" s="4"/>
      <c r="G1188" s="4"/>
      <c r="H1188" s="4" t="s">
        <v>3631</v>
      </c>
      <c r="I1188" s="4"/>
      <c r="J1188" s="4" t="s">
        <v>196</v>
      </c>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4"/>
      <c r="CL1188" s="4"/>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c r="DY1188" s="4"/>
      <c r="DZ1188" s="4"/>
      <c r="EA1188" s="4"/>
      <c r="EB1188" s="4"/>
      <c r="EC1188" s="4"/>
      <c r="ED1188" s="4"/>
      <c r="EE1188" s="4"/>
      <c r="EF1188" s="4"/>
      <c r="EG1188" s="4"/>
      <c r="EH1188" s="4"/>
      <c r="EI1188" s="4"/>
    </row>
    <row r="1189" spans="1:139" hidden="1" x14ac:dyDescent="0.2">
      <c r="A1189">
        <f>VLOOKUP(B1189,Sheet1!$A$1:$B$18,2,FALSE)</f>
        <v>0</v>
      </c>
      <c r="B1189" t="str">
        <f>LEFT(D1189,3)</f>
        <v>NTH</v>
      </c>
      <c r="C1189" s="2">
        <v>1188</v>
      </c>
      <c r="D1189" s="3" t="str">
        <f>HYPERLINK("https://sitebase.nzcomms.co.nz/spm/spmnominalview/NTH-003-003/","NTH-003-003")</f>
        <v>NTH-003-003</v>
      </c>
      <c r="E1189" s="4"/>
      <c r="F1189" s="4"/>
      <c r="G1189" s="4"/>
      <c r="H1189" s="4" t="s">
        <v>3631</v>
      </c>
      <c r="I1189" s="4"/>
      <c r="J1189" s="4" t="s">
        <v>196</v>
      </c>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4"/>
      <c r="DA1189" s="4"/>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row>
    <row r="1190" spans="1:139" hidden="1" x14ac:dyDescent="0.2">
      <c r="A1190">
        <f>VLOOKUP(B1190,Sheet1!$A$1:$B$18,2,FALSE)</f>
        <v>0</v>
      </c>
      <c r="B1190" t="str">
        <f>LEFT(D1190,3)</f>
        <v>NTH</v>
      </c>
      <c r="C1190" s="2">
        <v>1189</v>
      </c>
      <c r="D1190" s="3" t="str">
        <f>HYPERLINK("https://sitebase.nzcomms.co.nz/spm/spmnominalview/NTH-003-004/","NTH-003-004")</f>
        <v>NTH-003-004</v>
      </c>
      <c r="E1190" s="4"/>
      <c r="F1190" s="4"/>
      <c r="G1190" s="4"/>
      <c r="H1190" s="4" t="s">
        <v>3631</v>
      </c>
      <c r="I1190" s="4"/>
      <c r="J1190" s="4" t="s">
        <v>196</v>
      </c>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4"/>
      <c r="BS1190" s="4"/>
      <c r="BT1190" s="4"/>
      <c r="BU1190" s="4"/>
      <c r="BV1190" s="4"/>
      <c r="BW1190" s="4"/>
      <c r="BX1190" s="4"/>
      <c r="BY1190" s="4"/>
      <c r="BZ1190" s="4"/>
      <c r="CA1190" s="4"/>
      <c r="CB1190" s="4"/>
      <c r="CC1190" s="4"/>
      <c r="CD1190" s="4"/>
      <c r="CE1190" s="4"/>
      <c r="CF1190" s="4"/>
      <c r="CG1190" s="4"/>
      <c r="CH1190" s="4"/>
      <c r="CI1190" s="4"/>
      <c r="CJ1190" s="4"/>
      <c r="CK1190" s="4"/>
      <c r="CL1190" s="4"/>
      <c r="CM1190" s="4"/>
      <c r="CN1190" s="4"/>
      <c r="CO1190" s="4"/>
      <c r="CP1190" s="4"/>
      <c r="CQ1190" s="4"/>
      <c r="CR1190" s="4"/>
      <c r="CS1190" s="4"/>
      <c r="CT1190" s="4"/>
      <c r="CU1190" s="4"/>
      <c r="CV1190" s="4"/>
      <c r="CW1190" s="4"/>
      <c r="CX1190" s="4"/>
      <c r="CY1190" s="4"/>
      <c r="CZ1190" s="4"/>
      <c r="DA1190" s="4"/>
      <c r="DB1190" s="4"/>
      <c r="DC1190" s="4"/>
      <c r="DD1190" s="4"/>
      <c r="DE1190" s="4"/>
      <c r="DF1190" s="4"/>
      <c r="DG1190" s="4"/>
      <c r="DH1190" s="4"/>
      <c r="DI1190" s="4"/>
      <c r="DJ1190" s="4"/>
      <c r="DK1190" s="4"/>
      <c r="DL1190" s="4"/>
      <c r="DM1190" s="4"/>
      <c r="DN1190" s="4"/>
      <c r="DO1190" s="4"/>
      <c r="DP1190" s="4"/>
      <c r="DQ1190" s="4"/>
      <c r="DR1190" s="4"/>
      <c r="DS1190" s="4"/>
      <c r="DT1190" s="4"/>
      <c r="DU1190" s="4"/>
      <c r="DV1190" s="4"/>
      <c r="DW1190" s="4"/>
      <c r="DX1190" s="4"/>
      <c r="DY1190" s="4"/>
      <c r="DZ1190" s="4"/>
      <c r="EA1190" s="4"/>
      <c r="EB1190" s="4"/>
      <c r="EC1190" s="4"/>
      <c r="ED1190" s="4"/>
      <c r="EE1190" s="4"/>
      <c r="EF1190" s="4"/>
      <c r="EG1190" s="4"/>
      <c r="EH1190" s="4"/>
      <c r="EI1190" s="4"/>
    </row>
    <row r="1191" spans="1:139" hidden="1" x14ac:dyDescent="0.2">
      <c r="A1191">
        <f>VLOOKUP(B1191,Sheet1!$A$1:$B$18,2,FALSE)</f>
        <v>0</v>
      </c>
      <c r="B1191" t="str">
        <f>LEFT(D1191,3)</f>
        <v>NTH</v>
      </c>
      <c r="C1191" s="2">
        <v>1190</v>
      </c>
      <c r="D1191" s="3" t="str">
        <f>HYPERLINK("https://sitebase.nzcomms.co.nz/spm/spmnominalview/NTH-003-005/","NTH-003-005")</f>
        <v>NTH-003-005</v>
      </c>
      <c r="E1191" s="4"/>
      <c r="F1191" s="4"/>
      <c r="G1191" s="4"/>
      <c r="H1191" s="4" t="s">
        <v>3631</v>
      </c>
      <c r="I1191" s="4"/>
      <c r="J1191" s="4" t="s">
        <v>196</v>
      </c>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4"/>
      <c r="CO1191" s="4"/>
      <c r="CP1191" s="4"/>
      <c r="CQ1191" s="4"/>
      <c r="CR1191" s="4"/>
      <c r="CS1191" s="4"/>
      <c r="CT1191" s="4"/>
      <c r="CU1191" s="4"/>
      <c r="CV1191" s="4"/>
      <c r="CW1191" s="4"/>
      <c r="CX1191" s="4"/>
      <c r="CY1191" s="4"/>
      <c r="CZ1191" s="4"/>
      <c r="DA1191" s="4"/>
      <c r="DB1191" s="4"/>
      <c r="DC1191" s="4"/>
      <c r="DD1191" s="4"/>
      <c r="DE1191" s="4"/>
      <c r="DF1191" s="4"/>
      <c r="DG1191" s="4"/>
      <c r="DH1191" s="4"/>
      <c r="DI1191" s="4"/>
      <c r="DJ1191" s="4"/>
      <c r="DK1191" s="4"/>
      <c r="DL1191" s="4"/>
      <c r="DM1191" s="4"/>
      <c r="DN1191" s="4"/>
      <c r="DO1191" s="4"/>
      <c r="DP1191" s="4"/>
      <c r="DQ1191" s="4"/>
      <c r="DR1191" s="4"/>
      <c r="DS1191" s="4"/>
      <c r="DT1191" s="4"/>
      <c r="DU1191" s="4"/>
      <c r="DV1191" s="4"/>
      <c r="DW1191" s="4"/>
      <c r="DX1191" s="4"/>
      <c r="DY1191" s="4"/>
      <c r="DZ1191" s="4"/>
      <c r="EA1191" s="4"/>
      <c r="EB1191" s="4"/>
      <c r="EC1191" s="4"/>
      <c r="ED1191" s="4"/>
      <c r="EE1191" s="4"/>
      <c r="EF1191" s="4"/>
      <c r="EG1191" s="4"/>
      <c r="EH1191" s="4"/>
      <c r="EI1191" s="4"/>
    </row>
    <row r="1192" spans="1:139" hidden="1" x14ac:dyDescent="0.2">
      <c r="A1192">
        <f>VLOOKUP(B1192,Sheet1!$A$1:$B$18,2,FALSE)</f>
        <v>0</v>
      </c>
      <c r="B1192" t="str">
        <f>LEFT(D1192,3)</f>
        <v>NTH</v>
      </c>
      <c r="C1192" s="2">
        <v>1191</v>
      </c>
      <c r="D1192" s="3" t="str">
        <f>HYPERLINK("https://sitebase.nzcomms.co.nz/spm/spmnominalview/NTH-003-006/","NTH-003-006")</f>
        <v>NTH-003-006</v>
      </c>
      <c r="E1192" s="4"/>
      <c r="F1192" s="4"/>
      <c r="G1192" s="4"/>
      <c r="H1192" s="4" t="s">
        <v>3631</v>
      </c>
      <c r="I1192" s="4"/>
      <c r="J1192" s="4" t="s">
        <v>196</v>
      </c>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4"/>
      <c r="CP1192" s="4"/>
      <c r="CQ1192" s="4"/>
      <c r="CR1192" s="4"/>
      <c r="CS1192" s="4"/>
      <c r="CT1192" s="4"/>
      <c r="CU1192" s="4"/>
      <c r="CV1192" s="4"/>
      <c r="CW1192" s="4"/>
      <c r="CX1192" s="4"/>
      <c r="CY1192" s="4"/>
      <c r="CZ1192" s="4"/>
      <c r="DA1192" s="4"/>
      <c r="DB1192" s="4"/>
      <c r="DC1192" s="4"/>
      <c r="DD1192" s="4"/>
      <c r="DE1192" s="4"/>
      <c r="DF1192" s="4"/>
      <c r="DG1192" s="4"/>
      <c r="DH1192" s="4"/>
      <c r="DI1192" s="4"/>
      <c r="DJ1192" s="4"/>
      <c r="DK1192" s="4"/>
      <c r="DL1192" s="4"/>
      <c r="DM1192" s="4"/>
      <c r="DN1192" s="4"/>
      <c r="DO1192" s="4"/>
      <c r="DP1192" s="4"/>
      <c r="DQ1192" s="4"/>
      <c r="DR1192" s="4"/>
      <c r="DS1192" s="4"/>
      <c r="DT1192" s="4"/>
      <c r="DU1192" s="4"/>
      <c r="DV1192" s="4"/>
      <c r="DW1192" s="4"/>
      <c r="DX1192" s="4"/>
      <c r="DY1192" s="4"/>
      <c r="DZ1192" s="4"/>
      <c r="EA1192" s="4"/>
      <c r="EB1192" s="4"/>
      <c r="EC1192" s="4"/>
      <c r="ED1192" s="4"/>
      <c r="EE1192" s="4"/>
      <c r="EF1192" s="4"/>
      <c r="EG1192" s="4"/>
      <c r="EH1192" s="4"/>
      <c r="EI1192" s="4"/>
    </row>
    <row r="1193" spans="1:139" hidden="1" x14ac:dyDescent="0.2">
      <c r="A1193">
        <f>VLOOKUP(B1193,Sheet1!$A$1:$B$18,2,FALSE)</f>
        <v>0</v>
      </c>
      <c r="B1193" t="str">
        <f>LEFT(D1193,3)</f>
        <v>NTH</v>
      </c>
      <c r="C1193" s="2">
        <v>1192</v>
      </c>
      <c r="D1193" s="3" t="str">
        <f>HYPERLINK("https://sitebase.nzcomms.co.nz/spm/spmnominalview/NTH-003-007/","NTH-003-007")</f>
        <v>NTH-003-007</v>
      </c>
      <c r="E1193" s="4" t="s">
        <v>3632</v>
      </c>
      <c r="F1193" s="3" t="str">
        <f>HYPERLINK("https://sitebase.nzcomms.co.nz/spm/spmcandidateview/NTH-003-007-B/","NTH-003-007-B")</f>
        <v>NTH-003-007-B</v>
      </c>
      <c r="G1193" s="4" t="s">
        <v>3633</v>
      </c>
      <c r="H1193" s="4" t="s">
        <v>3631</v>
      </c>
      <c r="I1193" s="4">
        <v>23</v>
      </c>
      <c r="J1193" s="4" t="s">
        <v>165</v>
      </c>
      <c r="K1193" s="4" t="s">
        <v>141</v>
      </c>
      <c r="L1193" s="4" t="s">
        <v>150</v>
      </c>
      <c r="M1193" s="4" t="s">
        <v>190</v>
      </c>
      <c r="N1193" s="4" t="s">
        <v>216</v>
      </c>
      <c r="O1193" s="4"/>
      <c r="P1193" s="4" t="s">
        <v>182</v>
      </c>
      <c r="Q1193" s="4" t="s">
        <v>170</v>
      </c>
      <c r="R1193" s="4">
        <v>18</v>
      </c>
      <c r="S1193" s="4">
        <v>18.5</v>
      </c>
      <c r="T1193" s="4"/>
      <c r="U1193" s="4">
        <v>-36.066349510000002</v>
      </c>
      <c r="V1193" s="4">
        <v>174.56440409000001</v>
      </c>
      <c r="W1193" s="4"/>
      <c r="X1193" s="5">
        <v>40896</v>
      </c>
      <c r="Y1193" s="4"/>
      <c r="Z1193" s="4"/>
      <c r="AA1193" s="4" t="s">
        <v>145</v>
      </c>
      <c r="AB1193" s="3" t="str">
        <f>HYPERLINK("https://sitebase.nzcomms.co.nz/spm/spmcandidateview/AKL-005-088-A/","AKL-005-088-A")</f>
        <v>AKL-005-088-A</v>
      </c>
      <c r="AC1193" s="4" t="b">
        <v>0</v>
      </c>
      <c r="AD1193" s="4" t="b">
        <v>0</v>
      </c>
      <c r="AE1193" s="4"/>
      <c r="AF1193" s="4"/>
      <c r="AG1193" s="4" t="b">
        <v>0</v>
      </c>
      <c r="AH1193" s="4"/>
      <c r="AI1193" s="5">
        <v>41116</v>
      </c>
      <c r="AJ1193" s="5">
        <v>41116</v>
      </c>
      <c r="AK1193" s="5">
        <v>41127</v>
      </c>
      <c r="AL1193" s="5">
        <v>41128</v>
      </c>
      <c r="AM1193" s="5">
        <v>41152</v>
      </c>
      <c r="AN1193" s="5">
        <v>41163</v>
      </c>
      <c r="AO1193" s="4">
        <v>2</v>
      </c>
      <c r="AP1193" s="5">
        <v>41152</v>
      </c>
      <c r="AQ1193" s="5">
        <v>41176</v>
      </c>
      <c r="AR1193" s="5">
        <v>41229</v>
      </c>
      <c r="AS1193" s="5">
        <v>41240</v>
      </c>
      <c r="AT1193" s="5">
        <v>41394</v>
      </c>
      <c r="AU1193" s="5">
        <v>41446</v>
      </c>
      <c r="AV1193" s="4"/>
      <c r="AW1193" s="5">
        <v>41394</v>
      </c>
      <c r="AX1193" s="5">
        <v>41446</v>
      </c>
      <c r="AY1193" s="4" t="s">
        <v>183</v>
      </c>
      <c r="AZ1193" s="5">
        <v>41250</v>
      </c>
      <c r="BA1193" s="5">
        <v>41243</v>
      </c>
      <c r="BB1193" s="5">
        <v>41333</v>
      </c>
      <c r="BC1193" s="5">
        <v>41261</v>
      </c>
      <c r="BD1193" s="4">
        <v>2</v>
      </c>
      <c r="BE1193" s="5">
        <v>41333</v>
      </c>
      <c r="BF1193" s="5">
        <v>41291</v>
      </c>
      <c r="BG1193" s="5">
        <v>41936</v>
      </c>
      <c r="BH1193" s="5">
        <v>41933</v>
      </c>
      <c r="BI1193" s="5">
        <v>42027</v>
      </c>
      <c r="BJ1193" s="5">
        <v>42045</v>
      </c>
      <c r="BK1193" s="4">
        <v>2</v>
      </c>
      <c r="BL1193" s="4"/>
      <c r="BM1193" s="5">
        <v>42034</v>
      </c>
      <c r="BN1193" s="5">
        <v>42143</v>
      </c>
      <c r="BO1193" s="4"/>
      <c r="BP1193" s="4"/>
      <c r="BQ1193" s="4"/>
      <c r="BR1193" s="4"/>
      <c r="BS1193" s="4"/>
      <c r="BT1193" s="5">
        <v>42131</v>
      </c>
      <c r="BU1193" s="5">
        <v>42137</v>
      </c>
      <c r="BV1193" s="5">
        <v>42216</v>
      </c>
      <c r="BW1193" s="5">
        <v>42223</v>
      </c>
      <c r="BX1193" s="5">
        <v>42198</v>
      </c>
      <c r="BY1193" s="5">
        <v>42186</v>
      </c>
      <c r="BZ1193" s="5">
        <v>42215</v>
      </c>
      <c r="CA1193" s="5">
        <v>42227</v>
      </c>
      <c r="CB1193" s="5">
        <v>42229</v>
      </c>
      <c r="CC1193" s="4"/>
      <c r="CD1193" s="4"/>
      <c r="CE1193" s="4"/>
      <c r="CF1193" s="4"/>
      <c r="CG1193" s="4"/>
      <c r="CH1193" s="4"/>
      <c r="CI1193" s="5">
        <v>42228</v>
      </c>
      <c r="CJ1193" s="5">
        <v>42241</v>
      </c>
      <c r="CK1193" s="5">
        <v>42235</v>
      </c>
      <c r="CL1193" s="4"/>
      <c r="CM1193" s="4"/>
      <c r="CN1193" s="4"/>
      <c r="CO1193" s="4"/>
      <c r="CP1193" s="4" t="s">
        <v>3634</v>
      </c>
      <c r="CQ1193" s="4"/>
      <c r="CR1193" s="5">
        <v>42228</v>
      </c>
      <c r="CS1193" s="4"/>
      <c r="CT1193" s="4"/>
      <c r="CU1193" s="4"/>
      <c r="CV1193" s="4"/>
      <c r="CW1193" s="4"/>
      <c r="CX1193" s="4"/>
      <c r="CY1193" s="5">
        <v>42215</v>
      </c>
      <c r="CZ1193" s="5">
        <v>42215</v>
      </c>
      <c r="DA1193" s="5">
        <v>42233</v>
      </c>
      <c r="DB1193" s="5">
        <v>42229</v>
      </c>
      <c r="DC1193" s="4"/>
      <c r="DD1193" s="4"/>
      <c r="DE1193" s="4" t="s">
        <v>211</v>
      </c>
      <c r="DF1193" s="5">
        <v>42227</v>
      </c>
      <c r="DG1193" s="5">
        <v>42229</v>
      </c>
      <c r="DH1193" s="4" t="s">
        <v>174</v>
      </c>
      <c r="DI1193" s="5">
        <v>42198</v>
      </c>
      <c r="DJ1193" s="4" t="b">
        <v>1</v>
      </c>
      <c r="DK1193" s="4"/>
      <c r="DL1193" s="4">
        <v>2651508</v>
      </c>
      <c r="DM1193" s="4">
        <v>6569308</v>
      </c>
      <c r="DN1193" s="4" t="s">
        <v>3635</v>
      </c>
      <c r="DO1193" s="4"/>
      <c r="DP1193" s="4"/>
      <c r="DQ1193" s="4" t="s">
        <v>148</v>
      </c>
      <c r="DR1193" s="4"/>
      <c r="DS1193" s="4"/>
      <c r="DT1193" s="4"/>
      <c r="DU1193" s="4" t="s">
        <v>178</v>
      </c>
      <c r="DV1193" s="4"/>
      <c r="DW1193" s="5">
        <v>42076</v>
      </c>
      <c r="DX1193" s="5">
        <v>42039</v>
      </c>
      <c r="DY1193" s="5">
        <v>42101</v>
      </c>
      <c r="DZ1193" s="5">
        <v>42101</v>
      </c>
      <c r="EA1193" s="5">
        <v>42117</v>
      </c>
      <c r="EB1193" s="5">
        <v>42117</v>
      </c>
      <c r="EC1193" s="5">
        <v>42117</v>
      </c>
      <c r="ED1193" s="5">
        <v>42117</v>
      </c>
      <c r="EE1193" s="5">
        <v>42129</v>
      </c>
      <c r="EF1193" s="5">
        <v>42129</v>
      </c>
      <c r="EG1193" s="4"/>
      <c r="EH1193" s="4"/>
      <c r="EI1193" s="5">
        <v>41127</v>
      </c>
    </row>
    <row r="1194" spans="1:139" hidden="1" x14ac:dyDescent="0.2">
      <c r="A1194">
        <f>VLOOKUP(B1194,Sheet1!$A$1:$B$18,2,FALSE)</f>
        <v>0</v>
      </c>
      <c r="B1194" t="str">
        <f>LEFT(D1194,3)</f>
        <v>NTH</v>
      </c>
      <c r="C1194" s="2">
        <v>1193</v>
      </c>
      <c r="D1194" s="3" t="str">
        <f>HYPERLINK("https://sitebase.nzcomms.co.nz/spm/spmnominalview/NTH-003-008/","NTH-003-008")</f>
        <v>NTH-003-008</v>
      </c>
      <c r="E1194" s="4" t="s">
        <v>3636</v>
      </c>
      <c r="F1194" s="3" t="str">
        <f>HYPERLINK("https://sitebase.nzcomms.co.nz/spm/spmcandidateview/NTH-003-008-A/","NTH-003-008-A")</f>
        <v>NTH-003-008-A</v>
      </c>
      <c r="G1194" s="4" t="s">
        <v>3637</v>
      </c>
      <c r="H1194" s="4" t="s">
        <v>3631</v>
      </c>
      <c r="I1194" s="4">
        <v>23</v>
      </c>
      <c r="J1194" s="4" t="s">
        <v>165</v>
      </c>
      <c r="K1194" s="4" t="s">
        <v>141</v>
      </c>
      <c r="L1194" s="4" t="s">
        <v>142</v>
      </c>
      <c r="M1194" s="4" t="s">
        <v>190</v>
      </c>
      <c r="N1194" s="4" t="s">
        <v>142</v>
      </c>
      <c r="O1194" s="4"/>
      <c r="P1194" s="4" t="s">
        <v>182</v>
      </c>
      <c r="Q1194" s="4" t="s">
        <v>142</v>
      </c>
      <c r="R1194" s="4">
        <v>20</v>
      </c>
      <c r="S1194" s="4">
        <v>20</v>
      </c>
      <c r="T1194" s="4"/>
      <c r="U1194" s="4">
        <v>-35.958617400000001</v>
      </c>
      <c r="V1194" s="4">
        <v>173.8631987</v>
      </c>
      <c r="W1194" s="4"/>
      <c r="X1194" s="5">
        <v>40896</v>
      </c>
      <c r="Y1194" s="4"/>
      <c r="Z1194" s="4"/>
      <c r="AA1194" s="4" t="s">
        <v>145</v>
      </c>
      <c r="AB1194" s="3" t="str">
        <f>HYPERLINK("https://sitebase.nzcomms.co.nz/spm/spmcandidateview/NTH-002-011-A/","NTH-002-011-A")</f>
        <v>NTH-002-011-A</v>
      </c>
      <c r="AC1194" s="4" t="b">
        <v>0</v>
      </c>
      <c r="AD1194" s="4" t="b">
        <v>0</v>
      </c>
      <c r="AE1194" s="4"/>
      <c r="AF1194" s="4"/>
      <c r="AG1194" s="4" t="b">
        <v>0</v>
      </c>
      <c r="AH1194" s="4"/>
      <c r="AI1194" s="5">
        <v>40961</v>
      </c>
      <c r="AJ1194" s="5">
        <v>40961</v>
      </c>
      <c r="AK1194" s="5">
        <v>40977</v>
      </c>
      <c r="AL1194" s="5">
        <v>40977</v>
      </c>
      <c r="AM1194" s="5">
        <v>41068</v>
      </c>
      <c r="AN1194" s="5">
        <v>41060</v>
      </c>
      <c r="AO1194" s="4">
        <v>2</v>
      </c>
      <c r="AP1194" s="5">
        <v>41068</v>
      </c>
      <c r="AQ1194" s="5">
        <v>42164</v>
      </c>
      <c r="AR1194" s="5">
        <v>42342</v>
      </c>
      <c r="AS1194" s="5">
        <v>42318</v>
      </c>
      <c r="AT1194" s="5">
        <v>42461</v>
      </c>
      <c r="AU1194" s="4"/>
      <c r="AV1194" s="4"/>
      <c r="AW1194" s="5">
        <v>42461</v>
      </c>
      <c r="AX1194" s="4"/>
      <c r="AY1194" s="4" t="s">
        <v>183</v>
      </c>
      <c r="AZ1194" s="5">
        <v>42325</v>
      </c>
      <c r="BA1194" s="5">
        <v>42326</v>
      </c>
      <c r="BB1194" s="5">
        <v>42356</v>
      </c>
      <c r="BC1194" s="5">
        <v>42338</v>
      </c>
      <c r="BD1194" s="4">
        <v>1</v>
      </c>
      <c r="BE1194" s="5">
        <v>42356</v>
      </c>
      <c r="BF1194" s="5">
        <v>42339</v>
      </c>
      <c r="BG1194" s="5">
        <v>42095</v>
      </c>
      <c r="BH1194" s="5">
        <v>42060</v>
      </c>
      <c r="BI1194" s="5">
        <v>42102</v>
      </c>
      <c r="BJ1194" s="5">
        <v>42115</v>
      </c>
      <c r="BK1194" s="4">
        <v>1</v>
      </c>
      <c r="BL1194" s="4"/>
      <c r="BM1194" s="5">
        <v>42109</v>
      </c>
      <c r="BN1194" s="5">
        <v>42115</v>
      </c>
      <c r="BO1194" s="4"/>
      <c r="BP1194" s="4"/>
      <c r="BQ1194" s="4"/>
      <c r="BR1194" s="4"/>
      <c r="BS1194" s="4"/>
      <c r="BT1194" s="5">
        <v>42478</v>
      </c>
      <c r="BU1194" s="4"/>
      <c r="BV1194" s="4"/>
      <c r="BW1194" s="4"/>
      <c r="BX1194" s="4"/>
      <c r="BY1194" s="4"/>
      <c r="BZ1194" s="4"/>
      <c r="CA1194" s="5">
        <v>42454</v>
      </c>
      <c r="CB1194" s="4"/>
      <c r="CC1194" s="4"/>
      <c r="CD1194" s="4"/>
      <c r="CE1194" s="4"/>
      <c r="CF1194" s="4"/>
      <c r="CG1194" s="4"/>
      <c r="CH1194" s="4"/>
      <c r="CI1194" s="4"/>
      <c r="CJ1194" s="5">
        <v>42524</v>
      </c>
      <c r="CK1194" s="4"/>
      <c r="CL1194" s="4"/>
      <c r="CM1194" s="4"/>
      <c r="CN1194" s="4"/>
      <c r="CO1194" s="4"/>
      <c r="CP1194" s="4" t="s">
        <v>3638</v>
      </c>
      <c r="CQ1194" s="4" t="s">
        <v>230</v>
      </c>
      <c r="CR1194" s="4"/>
      <c r="CS1194" s="4"/>
      <c r="CT1194" s="4"/>
      <c r="CU1194" s="4"/>
      <c r="CV1194" s="4"/>
      <c r="CW1194" s="4"/>
      <c r="CX1194" s="4"/>
      <c r="CY1194" s="4"/>
      <c r="CZ1194" s="4"/>
      <c r="DA1194" s="5">
        <v>42510</v>
      </c>
      <c r="DB1194" s="4"/>
      <c r="DC1194" s="4"/>
      <c r="DD1194" s="4"/>
      <c r="DE1194" s="4" t="s">
        <v>3443</v>
      </c>
      <c r="DF1194" s="5">
        <v>42447</v>
      </c>
      <c r="DG1194" s="4"/>
      <c r="DH1194" s="4" t="s">
        <v>174</v>
      </c>
      <c r="DI1194" s="4"/>
      <c r="DJ1194" s="4" t="b">
        <v>0</v>
      </c>
      <c r="DK1194" s="4"/>
      <c r="DL1194" s="4">
        <v>2588472</v>
      </c>
      <c r="DM1194" s="4">
        <v>6582200</v>
      </c>
      <c r="DN1194" s="4" t="s">
        <v>3639</v>
      </c>
      <c r="DO1194" s="4" t="s">
        <v>3640</v>
      </c>
      <c r="DP1194" s="4" t="s">
        <v>3641</v>
      </c>
      <c r="DQ1194" s="4" t="s">
        <v>148</v>
      </c>
      <c r="DR1194" s="4" t="s">
        <v>255</v>
      </c>
      <c r="DS1194" s="4"/>
      <c r="DT1194" s="4"/>
      <c r="DU1194" s="4" t="s">
        <v>178</v>
      </c>
      <c r="DV1194" s="4"/>
      <c r="DW1194" s="4"/>
      <c r="DX1194" s="5">
        <v>42383</v>
      </c>
      <c r="DY1194" s="5">
        <v>42394</v>
      </c>
      <c r="DZ1194" s="5">
        <v>42387</v>
      </c>
      <c r="EA1194" s="4"/>
      <c r="EB1194" s="4"/>
      <c r="EC1194" s="4"/>
      <c r="ED1194" s="4"/>
      <c r="EE1194" s="5">
        <v>42440</v>
      </c>
      <c r="EF1194" s="4"/>
      <c r="EG1194" s="4"/>
      <c r="EH1194" s="4"/>
      <c r="EI1194" s="5">
        <v>40961</v>
      </c>
    </row>
    <row r="1195" spans="1:139" hidden="1" x14ac:dyDescent="0.2">
      <c r="A1195">
        <f>VLOOKUP(B1195,Sheet1!$A$1:$B$18,2,FALSE)</f>
        <v>0</v>
      </c>
      <c r="B1195" t="str">
        <f>LEFT(D1195,3)</f>
        <v>NTH</v>
      </c>
      <c r="C1195" s="2">
        <v>1194</v>
      </c>
      <c r="D1195" s="3" t="str">
        <f>HYPERLINK("https://sitebase.nzcomms.co.nz/spm/spmnominalview/NTH-003-009/","NTH-003-009")</f>
        <v>NTH-003-009</v>
      </c>
      <c r="E1195" s="4" t="s">
        <v>3642</v>
      </c>
      <c r="F1195" s="3" t="str">
        <f>HYPERLINK("https://sitebase.nzcomms.co.nz/spm/spmcandidateview/NTH-003-009-A/","NTH-003-009-A")</f>
        <v>NTH-003-009-A</v>
      </c>
      <c r="G1195" s="4" t="s">
        <v>3643</v>
      </c>
      <c r="H1195" s="4" t="s">
        <v>3631</v>
      </c>
      <c r="I1195" s="4">
        <v>23</v>
      </c>
      <c r="J1195" s="4" t="s">
        <v>165</v>
      </c>
      <c r="K1195" s="4" t="s">
        <v>141</v>
      </c>
      <c r="L1195" s="4" t="s">
        <v>142</v>
      </c>
      <c r="M1195" s="4" t="s">
        <v>166</v>
      </c>
      <c r="N1195" s="4" t="s">
        <v>142</v>
      </c>
      <c r="O1195" s="4"/>
      <c r="P1195" s="4" t="s">
        <v>182</v>
      </c>
      <c r="Q1195" s="4" t="s">
        <v>142</v>
      </c>
      <c r="R1195" s="4">
        <v>24</v>
      </c>
      <c r="S1195" s="4">
        <v>50</v>
      </c>
      <c r="T1195" s="4"/>
      <c r="U1195" s="4">
        <v>-35.870123110000002</v>
      </c>
      <c r="V1195" s="4">
        <v>174.1353799</v>
      </c>
      <c r="W1195" s="4"/>
      <c r="X1195" s="5">
        <v>40896</v>
      </c>
      <c r="Y1195" s="4"/>
      <c r="Z1195" s="4"/>
      <c r="AA1195" s="4" t="s">
        <v>171</v>
      </c>
      <c r="AB1195" s="3" t="str">
        <f>HYPERLINK("https://sitebase.nzcomms.co.nz/spm/spmcandidateview/NTH-002-013-A/","NTH-002-013-A")</f>
        <v>NTH-002-013-A</v>
      </c>
      <c r="AC1195" s="4" t="b">
        <v>0</v>
      </c>
      <c r="AD1195" s="4" t="b">
        <v>0</v>
      </c>
      <c r="AE1195" s="4"/>
      <c r="AF1195" s="4"/>
      <c r="AG1195" s="4" t="b">
        <v>0</v>
      </c>
      <c r="AH1195" s="4"/>
      <c r="AI1195" s="5">
        <v>40982</v>
      </c>
      <c r="AJ1195" s="5">
        <v>42053</v>
      </c>
      <c r="AK1195" s="5">
        <v>42058</v>
      </c>
      <c r="AL1195" s="5">
        <v>40982</v>
      </c>
      <c r="AM1195" s="5">
        <v>42111</v>
      </c>
      <c r="AN1195" s="5">
        <v>42101</v>
      </c>
      <c r="AO1195" s="4">
        <v>1</v>
      </c>
      <c r="AP1195" s="5">
        <v>42111</v>
      </c>
      <c r="AQ1195" s="5">
        <v>42101</v>
      </c>
      <c r="AR1195" s="5">
        <v>42124</v>
      </c>
      <c r="AS1195" s="5">
        <v>42128</v>
      </c>
      <c r="AT1195" s="5">
        <v>42139</v>
      </c>
      <c r="AU1195" s="5">
        <v>42128</v>
      </c>
      <c r="AV1195" s="4"/>
      <c r="AW1195" s="5">
        <v>42146</v>
      </c>
      <c r="AX1195" s="5">
        <v>42144</v>
      </c>
      <c r="AY1195" s="4" t="s">
        <v>1901</v>
      </c>
      <c r="AZ1195" s="5">
        <v>42100</v>
      </c>
      <c r="BA1195" s="5">
        <v>42083</v>
      </c>
      <c r="BB1195" s="5">
        <v>42132</v>
      </c>
      <c r="BC1195" s="5">
        <v>42105</v>
      </c>
      <c r="BD1195" s="4">
        <v>1</v>
      </c>
      <c r="BE1195" s="5">
        <v>42132</v>
      </c>
      <c r="BF1195" s="5">
        <v>42105</v>
      </c>
      <c r="BG1195" s="5">
        <v>42104</v>
      </c>
      <c r="BH1195" s="5">
        <v>42099</v>
      </c>
      <c r="BI1195" s="5">
        <v>42132</v>
      </c>
      <c r="BJ1195" s="5">
        <v>42128</v>
      </c>
      <c r="BK1195" s="4">
        <v>1</v>
      </c>
      <c r="BL1195" s="4"/>
      <c r="BM1195" s="5">
        <v>42132</v>
      </c>
      <c r="BN1195" s="5">
        <v>42128</v>
      </c>
      <c r="BO1195" s="4"/>
      <c r="BP1195" s="4"/>
      <c r="BQ1195" s="4"/>
      <c r="BR1195" s="4"/>
      <c r="BS1195" s="4"/>
      <c r="BT1195" s="5">
        <v>42205</v>
      </c>
      <c r="BU1195" s="5">
        <v>42159</v>
      </c>
      <c r="BV1195" s="5">
        <v>42307</v>
      </c>
      <c r="BW1195" s="5">
        <v>42312</v>
      </c>
      <c r="BX1195" s="4"/>
      <c r="BY1195" s="5">
        <v>42318</v>
      </c>
      <c r="BZ1195" s="4"/>
      <c r="CA1195" s="4"/>
      <c r="CB1195" s="4"/>
      <c r="CC1195" s="4"/>
      <c r="CD1195" s="4"/>
      <c r="CE1195" s="4"/>
      <c r="CF1195" s="4"/>
      <c r="CG1195" s="4"/>
      <c r="CH1195" s="4"/>
      <c r="CI1195" s="4"/>
      <c r="CJ1195" s="5">
        <v>42352</v>
      </c>
      <c r="CK1195" s="5">
        <v>42351</v>
      </c>
      <c r="CL1195" s="4"/>
      <c r="CM1195" s="4"/>
      <c r="CN1195" s="4"/>
      <c r="CO1195" s="4"/>
      <c r="CP1195" s="4" t="s">
        <v>3644</v>
      </c>
      <c r="CQ1195" s="4" t="s">
        <v>1657</v>
      </c>
      <c r="CR1195" s="4"/>
      <c r="CS1195" s="4"/>
      <c r="CT1195" s="4"/>
      <c r="CU1195" s="4"/>
      <c r="CV1195" s="4"/>
      <c r="CW1195" s="4"/>
      <c r="CX1195" s="4"/>
      <c r="CY1195" s="4"/>
      <c r="CZ1195" s="4"/>
      <c r="DA1195" s="5">
        <v>42346</v>
      </c>
      <c r="DB1195" s="5">
        <v>42345</v>
      </c>
      <c r="DC1195" s="4"/>
      <c r="DD1195" s="4"/>
      <c r="DE1195" s="4" t="s">
        <v>3443</v>
      </c>
      <c r="DF1195" s="4"/>
      <c r="DG1195" s="4"/>
      <c r="DH1195" s="4" t="s">
        <v>174</v>
      </c>
      <c r="DI1195" s="4"/>
      <c r="DJ1195" s="4" t="b">
        <v>0</v>
      </c>
      <c r="DK1195" s="4"/>
      <c r="DL1195" s="4">
        <v>2613165</v>
      </c>
      <c r="DM1195" s="4">
        <v>6591709</v>
      </c>
      <c r="DN1195" s="4" t="s">
        <v>3645</v>
      </c>
      <c r="DO1195" s="4"/>
      <c r="DP1195" s="4"/>
      <c r="DQ1195" s="4" t="s">
        <v>148</v>
      </c>
      <c r="DR1195" s="4"/>
      <c r="DS1195" s="4"/>
      <c r="DT1195" s="4"/>
      <c r="DU1195" s="4" t="s">
        <v>178</v>
      </c>
      <c r="DV1195" s="4"/>
      <c r="DW1195" s="4"/>
      <c r="DX1195" s="5">
        <v>42118</v>
      </c>
      <c r="DY1195" s="5">
        <v>42128</v>
      </c>
      <c r="DZ1195" s="5">
        <v>42124</v>
      </c>
      <c r="EA1195" s="4"/>
      <c r="EB1195" s="4"/>
      <c r="EC1195" s="4"/>
      <c r="ED1195" s="4"/>
      <c r="EE1195" s="5">
        <v>42150</v>
      </c>
      <c r="EF1195" s="5">
        <v>42144</v>
      </c>
      <c r="EG1195" s="4"/>
      <c r="EH1195" s="4"/>
      <c r="EI1195" s="5">
        <v>42053</v>
      </c>
    </row>
    <row r="1196" spans="1:139" hidden="1" x14ac:dyDescent="0.2">
      <c r="A1196">
        <f>VLOOKUP(B1196,Sheet1!$A$1:$B$18,2,FALSE)</f>
        <v>0</v>
      </c>
      <c r="B1196" t="str">
        <f>LEFT(D1196,3)</f>
        <v>NTH</v>
      </c>
      <c r="C1196" s="2">
        <v>1195</v>
      </c>
      <c r="D1196" s="3" t="str">
        <f>HYPERLINK("https://sitebase.nzcomms.co.nz/spm/spmnominalview/NTH-003-010/","NTH-003-010")</f>
        <v>NTH-003-010</v>
      </c>
      <c r="E1196" s="4" t="s">
        <v>3646</v>
      </c>
      <c r="F1196" s="3" t="str">
        <f>HYPERLINK("https://sitebase.nzcomms.co.nz/spm/spmcandidateview/NTH-003-010-A/","NTH-003-010-A")</f>
        <v>NTH-003-010-A</v>
      </c>
      <c r="G1196" s="4" t="s">
        <v>3647</v>
      </c>
      <c r="H1196" s="4" t="s">
        <v>3631</v>
      </c>
      <c r="I1196" s="4">
        <v>23</v>
      </c>
      <c r="J1196" s="4" t="s">
        <v>165</v>
      </c>
      <c r="K1196" s="4" t="s">
        <v>141</v>
      </c>
      <c r="L1196" s="4" t="s">
        <v>142</v>
      </c>
      <c r="M1196" s="4" t="s">
        <v>166</v>
      </c>
      <c r="N1196" s="4" t="s">
        <v>142</v>
      </c>
      <c r="O1196" s="4"/>
      <c r="P1196" s="4" t="s">
        <v>182</v>
      </c>
      <c r="Q1196" s="4" t="s">
        <v>142</v>
      </c>
      <c r="R1196" s="4"/>
      <c r="S1196" s="4"/>
      <c r="T1196" s="4"/>
      <c r="U1196" s="4">
        <v>-36.188441210000001</v>
      </c>
      <c r="V1196" s="4">
        <v>174.44319121000001</v>
      </c>
      <c r="W1196" s="4"/>
      <c r="X1196" s="4"/>
      <c r="Y1196" s="4"/>
      <c r="Z1196" s="4"/>
      <c r="AA1196" s="4" t="s">
        <v>171</v>
      </c>
      <c r="AB1196" s="3" t="str">
        <f>HYPERLINK("https://sitebase.nzcomms.co.nz/spm/spmcandidateview/NTH-003-007-B/","NTH-003-007-B")</f>
        <v>NTH-003-007-B</v>
      </c>
      <c r="AC1196" s="4" t="b">
        <v>0</v>
      </c>
      <c r="AD1196" s="4" t="b">
        <v>0</v>
      </c>
      <c r="AE1196" s="4"/>
      <c r="AF1196" s="4"/>
      <c r="AG1196" s="4" t="b">
        <v>0</v>
      </c>
      <c r="AH1196" s="4"/>
      <c r="AI1196" s="5">
        <v>42107</v>
      </c>
      <c r="AJ1196" s="5">
        <v>42081</v>
      </c>
      <c r="AK1196" s="5">
        <v>42114</v>
      </c>
      <c r="AL1196" s="5">
        <v>42107</v>
      </c>
      <c r="AM1196" s="5">
        <v>42146</v>
      </c>
      <c r="AN1196" s="5">
        <v>42142</v>
      </c>
      <c r="AO1196" s="4">
        <v>2</v>
      </c>
      <c r="AP1196" s="5">
        <v>42160</v>
      </c>
      <c r="AQ1196" s="5">
        <v>42247</v>
      </c>
      <c r="AR1196" s="5">
        <v>42181</v>
      </c>
      <c r="AS1196" s="5">
        <v>42158</v>
      </c>
      <c r="AT1196" s="5">
        <v>42272</v>
      </c>
      <c r="AU1196" s="5">
        <v>42293</v>
      </c>
      <c r="AV1196" s="4"/>
      <c r="AW1196" s="5">
        <v>42279</v>
      </c>
      <c r="AX1196" s="5">
        <v>42293</v>
      </c>
      <c r="AY1196" s="4" t="s">
        <v>247</v>
      </c>
      <c r="AZ1196" s="5">
        <v>42184</v>
      </c>
      <c r="BA1196" s="5">
        <v>42184</v>
      </c>
      <c r="BB1196" s="5">
        <v>42230</v>
      </c>
      <c r="BC1196" s="5">
        <v>42201</v>
      </c>
      <c r="BD1196" s="4">
        <v>1</v>
      </c>
      <c r="BE1196" s="5">
        <v>42237</v>
      </c>
      <c r="BF1196" s="5">
        <v>42201</v>
      </c>
      <c r="BG1196" s="5">
        <v>42167</v>
      </c>
      <c r="BH1196" s="5">
        <v>42171</v>
      </c>
      <c r="BI1196" s="5">
        <v>42244</v>
      </c>
      <c r="BJ1196" s="5">
        <v>42227</v>
      </c>
      <c r="BK1196" s="4">
        <v>2</v>
      </c>
      <c r="BL1196" s="4"/>
      <c r="BM1196" s="5">
        <v>42244</v>
      </c>
      <c r="BN1196" s="5">
        <v>42255</v>
      </c>
      <c r="BO1196" s="4"/>
      <c r="BP1196" s="4"/>
      <c r="BQ1196" s="4"/>
      <c r="BR1196" s="4"/>
      <c r="BS1196" s="4"/>
      <c r="BT1196" s="5">
        <v>42310</v>
      </c>
      <c r="BU1196" s="5">
        <v>42310</v>
      </c>
      <c r="BV1196" s="5">
        <v>42342</v>
      </c>
      <c r="BW1196" s="5">
        <v>42342</v>
      </c>
      <c r="BX1196" s="4"/>
      <c r="BY1196" s="4"/>
      <c r="BZ1196" s="4"/>
      <c r="CA1196" s="4"/>
      <c r="CB1196" s="4"/>
      <c r="CC1196" s="4"/>
      <c r="CD1196" s="4"/>
      <c r="CE1196" s="4"/>
      <c r="CF1196" s="4"/>
      <c r="CG1196" s="4"/>
      <c r="CH1196" s="4"/>
      <c r="CI1196" s="4"/>
      <c r="CJ1196" s="5">
        <v>42355</v>
      </c>
      <c r="CK1196" s="5">
        <v>42348</v>
      </c>
      <c r="CL1196" s="4"/>
      <c r="CM1196" s="4"/>
      <c r="CN1196" s="4"/>
      <c r="CO1196" s="4"/>
      <c r="CP1196" s="4" t="s">
        <v>3648</v>
      </c>
      <c r="CQ1196" s="4" t="s">
        <v>230</v>
      </c>
      <c r="CR1196" s="4"/>
      <c r="CS1196" s="4"/>
      <c r="CT1196" s="4"/>
      <c r="CU1196" s="4"/>
      <c r="CV1196" s="4"/>
      <c r="CW1196" s="4"/>
      <c r="CX1196" s="4"/>
      <c r="CY1196" s="4"/>
      <c r="CZ1196" s="4"/>
      <c r="DA1196" s="5">
        <v>42348</v>
      </c>
      <c r="DB1196" s="5">
        <v>42342</v>
      </c>
      <c r="DC1196" s="4"/>
      <c r="DD1196" s="4"/>
      <c r="DE1196" s="4"/>
      <c r="DF1196" s="4"/>
      <c r="DG1196" s="4"/>
      <c r="DH1196" s="4" t="s">
        <v>174</v>
      </c>
      <c r="DI1196" s="4"/>
      <c r="DJ1196" s="4" t="b">
        <v>0</v>
      </c>
      <c r="DK1196" s="4"/>
      <c r="DL1196" s="4">
        <v>2640356</v>
      </c>
      <c r="DM1196" s="4">
        <v>6555956</v>
      </c>
      <c r="DN1196" s="4" t="s">
        <v>3649</v>
      </c>
      <c r="DO1196" s="4"/>
      <c r="DP1196" s="4"/>
      <c r="DQ1196" s="4" t="s">
        <v>148</v>
      </c>
      <c r="DR1196" s="4"/>
      <c r="DS1196" s="4"/>
      <c r="DT1196" s="4"/>
      <c r="DU1196" s="4" t="s">
        <v>178</v>
      </c>
      <c r="DV1196" s="4"/>
      <c r="DW1196" s="4"/>
      <c r="DX1196" s="5">
        <v>42289</v>
      </c>
      <c r="DY1196" s="5">
        <v>42223</v>
      </c>
      <c r="DZ1196" s="5">
        <v>42218</v>
      </c>
      <c r="EA1196" s="4"/>
      <c r="EB1196" s="4"/>
      <c r="EC1196" s="4"/>
      <c r="ED1196" s="4"/>
      <c r="EE1196" s="5">
        <v>42279</v>
      </c>
      <c r="EF1196" s="5">
        <v>42278</v>
      </c>
      <c r="EG1196" s="4"/>
      <c r="EH1196" s="4"/>
      <c r="EI1196" s="5">
        <v>42107</v>
      </c>
    </row>
    <row r="1197" spans="1:139" hidden="1" x14ac:dyDescent="0.2">
      <c r="A1197">
        <f>VLOOKUP(B1197,Sheet1!$A$1:$B$18,2,FALSE)</f>
        <v>0</v>
      </c>
      <c r="B1197" t="str">
        <f>LEFT(D1197,3)</f>
        <v>NTH</v>
      </c>
      <c r="C1197" s="2">
        <v>1196</v>
      </c>
      <c r="D1197" s="3" t="str">
        <f>HYPERLINK("https://sitebase.nzcomms.co.nz/spm/spmnominalview/NTH-003-011/","NTH-003-011")</f>
        <v>NTH-003-011</v>
      </c>
      <c r="E1197" s="4" t="s">
        <v>3650</v>
      </c>
      <c r="F1197" s="3" t="str">
        <f>HYPERLINK("https://sitebase.nzcomms.co.nz/spm/spmcandidateview/NTH-003-011-A/","NTH-003-011-A")</f>
        <v>NTH-003-011-A</v>
      </c>
      <c r="G1197" s="4" t="s">
        <v>3650</v>
      </c>
      <c r="H1197" s="4" t="s">
        <v>3631</v>
      </c>
      <c r="I1197" s="4">
        <v>25</v>
      </c>
      <c r="J1197" s="4" t="s">
        <v>331</v>
      </c>
      <c r="K1197" s="4" t="s">
        <v>141</v>
      </c>
      <c r="L1197" s="4" t="s">
        <v>142</v>
      </c>
      <c r="M1197" s="4" t="s">
        <v>166</v>
      </c>
      <c r="N1197" s="4" t="s">
        <v>142</v>
      </c>
      <c r="O1197" s="4"/>
      <c r="P1197" s="4" t="s">
        <v>169</v>
      </c>
      <c r="Q1197" s="4" t="s">
        <v>142</v>
      </c>
      <c r="R1197" s="4">
        <v>26</v>
      </c>
      <c r="S1197" s="4">
        <v>28</v>
      </c>
      <c r="T1197" s="4"/>
      <c r="U1197" s="4">
        <v>-36.136912250000002</v>
      </c>
      <c r="V1197" s="4">
        <v>174.11029730999999</v>
      </c>
      <c r="W1197" s="5">
        <v>42299</v>
      </c>
      <c r="X1197" s="4"/>
      <c r="Y1197" s="4"/>
      <c r="Z1197" s="4"/>
      <c r="AA1197" s="4"/>
      <c r="AB1197" s="4"/>
      <c r="AC1197" s="4" t="b">
        <v>0</v>
      </c>
      <c r="AD1197" s="4" t="b">
        <v>0</v>
      </c>
      <c r="AE1197" s="4"/>
      <c r="AF1197" s="4"/>
      <c r="AG1197" s="4" t="b">
        <v>0</v>
      </c>
      <c r="AH1197" s="4"/>
      <c r="AI1197" s="5">
        <v>42338</v>
      </c>
      <c r="AJ1197" s="5">
        <v>42338</v>
      </c>
      <c r="AK1197" s="5">
        <v>42348</v>
      </c>
      <c r="AL1197" s="5">
        <v>42346</v>
      </c>
      <c r="AM1197" s="5">
        <v>42356</v>
      </c>
      <c r="AN1197" s="5">
        <v>42390</v>
      </c>
      <c r="AO1197" s="4">
        <v>1</v>
      </c>
      <c r="AP1197" s="5">
        <v>42390</v>
      </c>
      <c r="AQ1197" s="5">
        <v>42390</v>
      </c>
      <c r="AR1197" s="5">
        <v>42429</v>
      </c>
      <c r="AS1197" s="4"/>
      <c r="AT1197" s="5">
        <v>42460</v>
      </c>
      <c r="AU1197" s="4"/>
      <c r="AV1197" s="4"/>
      <c r="AW1197" s="5">
        <v>42475</v>
      </c>
      <c r="AX1197" s="4"/>
      <c r="AY1197" s="4" t="s">
        <v>198</v>
      </c>
      <c r="AZ1197" s="5">
        <v>42438</v>
      </c>
      <c r="BA1197" s="4"/>
      <c r="BB1197" s="5">
        <v>42466</v>
      </c>
      <c r="BC1197" s="4"/>
      <c r="BD1197" s="4"/>
      <c r="BE1197" s="5">
        <v>42466</v>
      </c>
      <c r="BF1197" s="4"/>
      <c r="BG1197" s="5">
        <v>42467</v>
      </c>
      <c r="BH1197" s="4"/>
      <c r="BI1197" s="5">
        <v>42475</v>
      </c>
      <c r="BJ1197" s="4"/>
      <c r="BK1197" s="4"/>
      <c r="BL1197" s="4"/>
      <c r="BM1197" s="4"/>
      <c r="BN1197" s="4"/>
      <c r="BO1197" s="4"/>
      <c r="BP1197" s="4"/>
      <c r="BQ1197" s="4"/>
      <c r="BR1197" s="4"/>
      <c r="BS1197" s="4"/>
      <c r="BT1197" s="5">
        <v>42485</v>
      </c>
      <c r="BU1197" s="4"/>
      <c r="BV1197" s="5">
        <v>42489</v>
      </c>
      <c r="BW1197" s="4"/>
      <c r="BX1197" s="4"/>
      <c r="BY1197" s="5">
        <v>42487</v>
      </c>
      <c r="BZ1197" s="4"/>
      <c r="CA1197" s="5">
        <v>42445</v>
      </c>
      <c r="CB1197" s="4"/>
      <c r="CC1197" s="5">
        <v>42452</v>
      </c>
      <c r="CD1197" s="4"/>
      <c r="CE1197" s="5">
        <v>42473</v>
      </c>
      <c r="CF1197" s="4"/>
      <c r="CG1197" s="5">
        <v>42478</v>
      </c>
      <c r="CH1197" s="4"/>
      <c r="CI1197" s="4"/>
      <c r="CJ1197" s="5">
        <v>42500</v>
      </c>
      <c r="CK1197" s="4"/>
      <c r="CL1197" s="4"/>
      <c r="CM1197" s="4"/>
      <c r="CN1197" s="4"/>
      <c r="CO1197" s="4"/>
      <c r="CP1197" s="4" t="s">
        <v>3651</v>
      </c>
      <c r="CQ1197" s="4" t="s">
        <v>230</v>
      </c>
      <c r="CR1197" s="4"/>
      <c r="CS1197" s="4"/>
      <c r="CT1197" s="4"/>
      <c r="CU1197" s="4"/>
      <c r="CV1197" s="4"/>
      <c r="CW1197" s="4"/>
      <c r="CX1197" s="4"/>
      <c r="CY1197" s="4"/>
      <c r="CZ1197" s="4"/>
      <c r="DA1197" s="5">
        <v>42489</v>
      </c>
      <c r="DB1197" s="4"/>
      <c r="DC1197" s="4"/>
      <c r="DD1197" s="4"/>
      <c r="DE1197" s="4"/>
      <c r="DF1197" s="4"/>
      <c r="DG1197" s="4"/>
      <c r="DH1197" s="4" t="s">
        <v>174</v>
      </c>
      <c r="DI1197" s="5">
        <v>42478</v>
      </c>
      <c r="DJ1197" s="4" t="b">
        <v>0</v>
      </c>
      <c r="DK1197" s="4"/>
      <c r="DL1197" s="4">
        <v>2610492</v>
      </c>
      <c r="DM1197" s="4">
        <v>6562137</v>
      </c>
      <c r="DN1197" s="4" t="s">
        <v>3652</v>
      </c>
      <c r="DO1197" s="4"/>
      <c r="DP1197" s="4"/>
      <c r="DQ1197" s="4" t="s">
        <v>148</v>
      </c>
      <c r="DR1197" s="4"/>
      <c r="DS1197" s="4"/>
      <c r="DT1197" s="4"/>
      <c r="DU1197" s="4" t="s">
        <v>178</v>
      </c>
      <c r="DV1197" s="4"/>
      <c r="DW1197" s="4"/>
      <c r="DX1197" s="4"/>
      <c r="DY1197" s="5">
        <v>42450</v>
      </c>
      <c r="DZ1197" s="4"/>
      <c r="EA1197" s="5">
        <v>42340</v>
      </c>
      <c r="EB1197" s="5">
        <v>42340</v>
      </c>
      <c r="EC1197" s="4"/>
      <c r="ED1197" s="4"/>
      <c r="EE1197" s="5">
        <v>42471</v>
      </c>
      <c r="EF1197" s="4"/>
      <c r="EG1197" s="4"/>
      <c r="EH1197" s="4"/>
      <c r="EI1197" s="5">
        <v>42346</v>
      </c>
    </row>
    <row r="1198" spans="1:139" hidden="1" x14ac:dyDescent="0.2">
      <c r="A1198" t="str">
        <f>VLOOKUP(B1198,Sheet1!$A$1:$B$18,2,FALSE)</f>
        <v>South Island</v>
      </c>
      <c r="B1198" t="str">
        <f>LEFT(D1198,3)</f>
        <v>CAN</v>
      </c>
      <c r="C1198" s="2">
        <v>624</v>
      </c>
      <c r="D1198" s="3" t="str">
        <f>HYPERLINK("https://sitebase.nzcomms.co.nz/spm/spmnominalview/CAN-054-004/","CAN-054-004")</f>
        <v>CAN-054-004</v>
      </c>
      <c r="E1198" s="4"/>
      <c r="F1198" s="4"/>
      <c r="G1198" s="4"/>
      <c r="H1198" s="4" t="s">
        <v>2011</v>
      </c>
      <c r="I1198" s="4"/>
      <c r="J1198" s="4" t="s">
        <v>196</v>
      </c>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4"/>
      <c r="DG1198" s="4"/>
      <c r="DH1198" s="4"/>
      <c r="DI1198" s="4"/>
      <c r="DJ1198" s="4"/>
      <c r="DK1198" s="4"/>
      <c r="DL1198" s="4"/>
      <c r="DM1198" s="4"/>
      <c r="DN1198" s="4"/>
      <c r="DO1198" s="4"/>
      <c r="DP1198" s="4"/>
      <c r="DQ1198" s="4"/>
      <c r="DR1198" s="4"/>
      <c r="DS1198" s="4"/>
      <c r="DT1198" s="4"/>
      <c r="DU1198" s="4"/>
      <c r="DV1198" s="4"/>
      <c r="DW1198" s="4"/>
      <c r="DX1198" s="4"/>
      <c r="DY1198" s="4"/>
      <c r="DZ1198" s="4"/>
      <c r="EA1198" s="4"/>
      <c r="EB1198" s="4"/>
      <c r="EC1198" s="4"/>
      <c r="ED1198" s="4"/>
      <c r="EE1198" s="4"/>
      <c r="EF1198" s="4"/>
      <c r="EG1198" s="4"/>
      <c r="EH1198" s="4"/>
      <c r="EI1198" s="4"/>
    </row>
    <row r="1199" spans="1:139" hidden="1" x14ac:dyDescent="0.2">
      <c r="A1199" t="str">
        <f>VLOOKUP(B1199,Sheet1!$A$1:$B$18,2,FALSE)</f>
        <v>South Island</v>
      </c>
      <c r="B1199" t="str">
        <f>LEFT(D1199,3)</f>
        <v>CAN</v>
      </c>
      <c r="C1199" s="2">
        <v>628</v>
      </c>
      <c r="D1199" s="3" t="str">
        <f>HYPERLINK("https://sitebase.nzcomms.co.nz/spm/spmnominalview/CAN-058-005/","CAN-058-005")</f>
        <v>CAN-058-005</v>
      </c>
      <c r="E1199" s="4"/>
      <c r="F1199" s="4"/>
      <c r="G1199" s="4"/>
      <c r="H1199" s="4" t="s">
        <v>2024</v>
      </c>
      <c r="I1199" s="4"/>
      <c r="J1199" s="4" t="s">
        <v>196</v>
      </c>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4"/>
      <c r="DG1199" s="4"/>
      <c r="DH1199" s="4"/>
      <c r="DI1199" s="4"/>
      <c r="DJ1199" s="4"/>
      <c r="DK1199" s="4"/>
      <c r="DL1199" s="4"/>
      <c r="DM1199" s="4"/>
      <c r="DN1199" s="4"/>
      <c r="DO1199" s="4"/>
      <c r="DP1199" s="4"/>
      <c r="DQ1199" s="4"/>
      <c r="DR1199" s="4"/>
      <c r="DS1199" s="4"/>
      <c r="DT1199" s="4"/>
      <c r="DU1199" s="4"/>
      <c r="DV1199" s="4"/>
      <c r="DW1199" s="4"/>
      <c r="DX1199" s="4"/>
      <c r="DY1199" s="4"/>
      <c r="DZ1199" s="4"/>
      <c r="EA1199" s="4"/>
      <c r="EB1199" s="4"/>
      <c r="EC1199" s="4"/>
      <c r="ED1199" s="4"/>
      <c r="EE1199" s="4"/>
      <c r="EF1199" s="4"/>
      <c r="EG1199" s="4"/>
      <c r="EH1199" s="4"/>
      <c r="EI1199" s="4"/>
    </row>
    <row r="1200" spans="1:139" hidden="1" x14ac:dyDescent="0.2">
      <c r="A1200" t="str">
        <f>VLOOKUP(B1200,Sheet1!$A$1:$B$18,2,FALSE)</f>
        <v>South Island</v>
      </c>
      <c r="B1200" t="str">
        <f>LEFT(D1200,3)</f>
        <v>CAN</v>
      </c>
      <c r="C1200" s="2">
        <v>629</v>
      </c>
      <c r="D1200" s="3" t="str">
        <f>HYPERLINK("https://sitebase.nzcomms.co.nz/spm/spmnominalview/CAN-058-006/","CAN-058-006")</f>
        <v>CAN-058-006</v>
      </c>
      <c r="E1200" s="4"/>
      <c r="F1200" s="4"/>
      <c r="G1200" s="4"/>
      <c r="H1200" s="4" t="s">
        <v>2024</v>
      </c>
      <c r="I1200" s="4"/>
      <c r="J1200" s="4" t="s">
        <v>196</v>
      </c>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4"/>
      <c r="DI1200" s="4"/>
      <c r="DJ1200" s="4"/>
      <c r="DK1200" s="4"/>
      <c r="DL1200" s="4"/>
      <c r="DM1200" s="4"/>
      <c r="DN1200" s="4"/>
      <c r="DO1200" s="4"/>
      <c r="DP1200" s="4"/>
      <c r="DQ1200" s="4"/>
      <c r="DR1200" s="4"/>
      <c r="DS1200" s="4"/>
      <c r="DT1200" s="4"/>
      <c r="DU1200" s="4"/>
      <c r="DV1200" s="4"/>
      <c r="DW1200" s="4"/>
      <c r="DX1200" s="4"/>
      <c r="DY1200" s="4"/>
      <c r="DZ1200" s="4"/>
      <c r="EA1200" s="4"/>
      <c r="EB1200" s="4"/>
      <c r="EC1200" s="4"/>
      <c r="ED1200" s="4"/>
      <c r="EE1200" s="4"/>
      <c r="EF1200" s="4"/>
      <c r="EG1200" s="4"/>
      <c r="EH1200" s="4"/>
      <c r="EI1200" s="4"/>
    </row>
    <row r="1201" spans="1:139" hidden="1" x14ac:dyDescent="0.2">
      <c r="A1201" t="str">
        <f>VLOOKUP(B1201,Sheet1!$A$1:$B$18,2,FALSE)</f>
        <v>South Island</v>
      </c>
      <c r="B1201" t="str">
        <f>LEFT(D1201,3)</f>
        <v>CAN</v>
      </c>
      <c r="C1201" s="2">
        <v>630</v>
      </c>
      <c r="D1201" s="3" t="str">
        <f>HYPERLINK("https://sitebase.nzcomms.co.nz/spm/spmnominalview/CAN-058-007/","CAN-058-007")</f>
        <v>CAN-058-007</v>
      </c>
      <c r="E1201" s="4"/>
      <c r="F1201" s="4"/>
      <c r="G1201" s="4"/>
      <c r="H1201" s="4" t="s">
        <v>2024</v>
      </c>
      <c r="I1201" s="4"/>
      <c r="J1201" s="4" t="s">
        <v>196</v>
      </c>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4"/>
      <c r="DB1201" s="4"/>
      <c r="DC1201" s="4"/>
      <c r="DD1201" s="4"/>
      <c r="DE1201" s="4"/>
      <c r="DF1201" s="4"/>
      <c r="DG1201" s="4"/>
      <c r="DH1201" s="4"/>
      <c r="DI1201" s="4"/>
      <c r="DJ1201" s="4"/>
      <c r="DK1201" s="4"/>
      <c r="DL1201" s="4"/>
      <c r="DM1201" s="4"/>
      <c r="DN1201" s="4"/>
      <c r="DO1201" s="4"/>
      <c r="DP1201" s="4"/>
      <c r="DQ1201" s="4"/>
      <c r="DR1201" s="4"/>
      <c r="DS1201" s="4"/>
      <c r="DT1201" s="4"/>
      <c r="DU1201" s="4"/>
      <c r="DV1201" s="4"/>
      <c r="DW1201" s="4"/>
      <c r="DX1201" s="4"/>
      <c r="DY1201" s="4"/>
      <c r="DZ1201" s="4"/>
      <c r="EA1201" s="4"/>
      <c r="EB1201" s="4"/>
      <c r="EC1201" s="4"/>
      <c r="ED1201" s="4"/>
      <c r="EE1201" s="4"/>
      <c r="EF1201" s="4"/>
      <c r="EG1201" s="4"/>
      <c r="EH1201" s="4"/>
      <c r="EI1201" s="4"/>
    </row>
    <row r="1202" spans="1:139" hidden="1" x14ac:dyDescent="0.2">
      <c r="A1202" t="str">
        <f>VLOOKUP(B1202,Sheet1!$A$1:$B$18,2,FALSE)</f>
        <v>South Island</v>
      </c>
      <c r="B1202" t="str">
        <f>LEFT(D1202,3)</f>
        <v>CAN</v>
      </c>
      <c r="C1202" s="2">
        <v>631</v>
      </c>
      <c r="D1202" s="3" t="str">
        <f>HYPERLINK("https://sitebase.nzcomms.co.nz/spm/spmnominalview/CAN-058-008/","CAN-058-008")</f>
        <v>CAN-058-008</v>
      </c>
      <c r="E1202" s="4"/>
      <c r="F1202" s="4"/>
      <c r="G1202" s="4"/>
      <c r="H1202" s="4" t="s">
        <v>2024</v>
      </c>
      <c r="I1202" s="4"/>
      <c r="J1202" s="4" t="s">
        <v>196</v>
      </c>
      <c r="K1202" s="4"/>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4"/>
      <c r="DA1202" s="4"/>
      <c r="DB1202" s="4"/>
      <c r="DC1202" s="4"/>
      <c r="DD1202" s="4"/>
      <c r="DE1202" s="4"/>
      <c r="DF1202" s="4"/>
      <c r="DG1202" s="4"/>
      <c r="DH1202" s="4"/>
      <c r="DI1202" s="4"/>
      <c r="DJ1202" s="4"/>
      <c r="DK1202" s="4"/>
      <c r="DL1202" s="4"/>
      <c r="DM1202" s="4"/>
      <c r="DN1202" s="4"/>
      <c r="DO1202" s="4"/>
      <c r="DP1202" s="4"/>
      <c r="DQ1202" s="4"/>
      <c r="DR1202" s="4"/>
      <c r="DS1202" s="4"/>
      <c r="DT1202" s="4"/>
      <c r="DU1202" s="4"/>
      <c r="DV1202" s="4"/>
      <c r="DW1202" s="4"/>
      <c r="DX1202" s="4"/>
      <c r="DY1202" s="4"/>
      <c r="DZ1202" s="4"/>
      <c r="EA1202" s="4"/>
      <c r="EB1202" s="4"/>
      <c r="EC1202" s="4"/>
      <c r="ED1202" s="4"/>
      <c r="EE1202" s="4"/>
      <c r="EF1202" s="4"/>
      <c r="EG1202" s="4"/>
      <c r="EH1202" s="4"/>
      <c r="EI1202" s="4"/>
    </row>
    <row r="1203" spans="1:139" hidden="1" x14ac:dyDescent="0.2">
      <c r="A1203" t="str">
        <f>VLOOKUP(B1203,Sheet1!$A$1:$B$18,2,FALSE)</f>
        <v>South Island</v>
      </c>
      <c r="B1203" t="str">
        <f>LEFT(D1203,3)</f>
        <v>CAN</v>
      </c>
      <c r="C1203" s="2">
        <v>632</v>
      </c>
      <c r="D1203" s="3" t="str">
        <f>HYPERLINK("https://sitebase.nzcomms.co.nz/spm/spmnominalview/CAN-058-009/","CAN-058-009")</f>
        <v>CAN-058-009</v>
      </c>
      <c r="E1203" s="4" t="s">
        <v>2037</v>
      </c>
      <c r="F1203" s="4"/>
      <c r="G1203" s="4"/>
      <c r="H1203" s="4" t="s">
        <v>2024</v>
      </c>
      <c r="I1203" s="4">
        <v>5</v>
      </c>
      <c r="J1203" s="4" t="s">
        <v>196</v>
      </c>
      <c r="K1203" s="4"/>
      <c r="L1203" s="4"/>
      <c r="M1203" s="4"/>
      <c r="N1203" s="4"/>
      <c r="O1203" s="4"/>
      <c r="P1203" s="4"/>
      <c r="Q1203" s="4"/>
      <c r="R1203" s="4"/>
      <c r="S1203" s="4"/>
      <c r="T1203" s="4"/>
      <c r="U1203" s="4"/>
      <c r="V1203" s="4"/>
      <c r="W1203" s="4"/>
      <c r="X1203" s="4"/>
      <c r="Y1203" s="4"/>
      <c r="Z1203" s="4"/>
      <c r="AA1203" s="4"/>
      <c r="AB1203" s="4"/>
      <c r="AC1203" s="4"/>
      <c r="AD1203" s="4"/>
      <c r="AE1203" s="4"/>
      <c r="AF1203" s="4"/>
      <c r="AG1203" s="4" t="b">
        <v>0</v>
      </c>
      <c r="AH1203" s="4"/>
      <c r="AI1203" s="4"/>
      <c r="AJ1203" s="4"/>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t="s">
        <v>2038</v>
      </c>
      <c r="CQ1203" s="4"/>
      <c r="CR1203" s="4"/>
      <c r="CS1203" s="4"/>
      <c r="CT1203" s="4"/>
      <c r="CU1203" s="4"/>
      <c r="CV1203" s="4"/>
      <c r="CW1203" s="4"/>
      <c r="CX1203" s="4"/>
      <c r="CY1203" s="4"/>
      <c r="CZ1203" s="4"/>
      <c r="DA1203" s="4"/>
      <c r="DB1203" s="4"/>
      <c r="DC1203" s="4"/>
      <c r="DD1203" s="4"/>
      <c r="DE1203" s="4" t="s">
        <v>2013</v>
      </c>
      <c r="DF1203" s="4"/>
      <c r="DG1203" s="4"/>
      <c r="DH1203" s="4"/>
      <c r="DI1203" s="4"/>
      <c r="DJ1203" s="4"/>
      <c r="DK1203" s="4"/>
      <c r="DL1203" s="4"/>
      <c r="DM1203" s="4"/>
      <c r="DN1203" s="4"/>
      <c r="DO1203" s="4"/>
      <c r="DP1203" s="4"/>
      <c r="DQ1203" s="4"/>
      <c r="DR1203" s="4"/>
      <c r="DS1203" s="4"/>
      <c r="DT1203" s="4"/>
      <c r="DU1203" s="4"/>
      <c r="DV1203" s="4"/>
      <c r="DW1203" s="4"/>
      <c r="DX1203" s="4"/>
      <c r="DY1203" s="4"/>
      <c r="DZ1203" s="4"/>
      <c r="EA1203" s="4"/>
      <c r="EB1203" s="4"/>
      <c r="EC1203" s="4"/>
      <c r="ED1203" s="4"/>
      <c r="EE1203" s="4"/>
      <c r="EF1203" s="4"/>
      <c r="EG1203" s="4"/>
      <c r="EH1203" s="4"/>
      <c r="EI1203" s="4"/>
    </row>
    <row r="1204" spans="1:139" hidden="1" x14ac:dyDescent="0.2">
      <c r="A1204" t="str">
        <f>VLOOKUP(B1204,Sheet1!$A$1:$B$18,2,FALSE)</f>
        <v>South Island</v>
      </c>
      <c r="B1204" t="str">
        <f>LEFT(D1204,3)</f>
        <v>CAN</v>
      </c>
      <c r="C1204" s="2">
        <v>634</v>
      </c>
      <c r="D1204" s="3" t="str">
        <f>HYPERLINK("https://sitebase.nzcomms.co.nz/spm/spmnominalview/CAN-058-012/","CAN-058-012")</f>
        <v>CAN-058-012</v>
      </c>
      <c r="E1204" s="4" t="s">
        <v>2044</v>
      </c>
      <c r="F1204" s="4"/>
      <c r="G1204" s="4"/>
      <c r="H1204" s="4" t="s">
        <v>2024</v>
      </c>
      <c r="I1204" s="4">
        <v>5</v>
      </c>
      <c r="J1204" s="4" t="s">
        <v>180</v>
      </c>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t="b">
        <v>0</v>
      </c>
      <c r="AH1204" s="4"/>
      <c r="AI1204" s="4"/>
      <c r="AJ1204" s="4"/>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t="s">
        <v>2021</v>
      </c>
      <c r="CQ1204" s="4"/>
      <c r="CR1204" s="4"/>
      <c r="CS1204" s="4"/>
      <c r="CT1204" s="4"/>
      <c r="CU1204" s="4"/>
      <c r="CV1204" s="4"/>
      <c r="CW1204" s="4"/>
      <c r="CX1204" s="4"/>
      <c r="CY1204" s="4"/>
      <c r="CZ1204" s="4"/>
      <c r="DA1204" s="4"/>
      <c r="DB1204" s="4"/>
      <c r="DC1204" s="4"/>
      <c r="DD1204" s="4"/>
      <c r="DE1204" s="4" t="s">
        <v>1982</v>
      </c>
      <c r="DF1204" s="4"/>
      <c r="DG1204" s="4"/>
      <c r="DH1204" s="4"/>
      <c r="DI1204" s="4"/>
      <c r="DJ1204" s="4"/>
      <c r="DK1204" s="4"/>
      <c r="DL1204" s="4"/>
      <c r="DM1204" s="4"/>
      <c r="DN1204" s="4"/>
      <c r="DO1204" s="4"/>
      <c r="DP1204" s="4"/>
      <c r="DQ1204" s="4"/>
      <c r="DR1204" s="4"/>
      <c r="DS1204" s="4"/>
      <c r="DT1204" s="4"/>
      <c r="DU1204" s="4"/>
      <c r="DV1204" s="4"/>
      <c r="DW1204" s="4"/>
      <c r="DX1204" s="4"/>
      <c r="DY1204" s="4"/>
      <c r="DZ1204" s="4"/>
      <c r="EA1204" s="4"/>
      <c r="EB1204" s="4"/>
      <c r="EC1204" s="4"/>
      <c r="ED1204" s="4"/>
      <c r="EE1204" s="4"/>
      <c r="EF1204" s="4"/>
      <c r="EG1204" s="4"/>
      <c r="EH1204" s="4"/>
      <c r="EI1204" s="4"/>
    </row>
    <row r="1205" spans="1:139" hidden="1" x14ac:dyDescent="0.2">
      <c r="A1205" t="str">
        <f>VLOOKUP(B1205,Sheet1!$A$1:$B$18,2,FALSE)</f>
        <v>South Island</v>
      </c>
      <c r="B1205" t="str">
        <f>LEFT(D1205,3)</f>
        <v>CAN</v>
      </c>
      <c r="C1205" s="2">
        <v>635</v>
      </c>
      <c r="D1205" s="3" t="str">
        <f>HYPERLINK("https://sitebase.nzcomms.co.nz/spm/spmnominalview/CAN-058-013/","CAN-058-013")</f>
        <v>CAN-058-013</v>
      </c>
      <c r="E1205" s="4" t="s">
        <v>2045</v>
      </c>
      <c r="F1205" s="4"/>
      <c r="G1205" s="4"/>
      <c r="H1205" s="4" t="s">
        <v>2024</v>
      </c>
      <c r="I1205" s="4">
        <v>5</v>
      </c>
      <c r="J1205" s="4" t="s">
        <v>196</v>
      </c>
      <c r="K1205" s="4"/>
      <c r="L1205" s="4"/>
      <c r="M1205" s="4"/>
      <c r="N1205" s="4"/>
      <c r="O1205" s="4"/>
      <c r="P1205" s="4"/>
      <c r="Q1205" s="4"/>
      <c r="R1205" s="4"/>
      <c r="S1205" s="4"/>
      <c r="T1205" s="4"/>
      <c r="U1205" s="4"/>
      <c r="V1205" s="4"/>
      <c r="W1205" s="4"/>
      <c r="X1205" s="4"/>
      <c r="Y1205" s="4"/>
      <c r="Z1205" s="4"/>
      <c r="AA1205" s="4"/>
      <c r="AB1205" s="4"/>
      <c r="AC1205" s="4"/>
      <c r="AD1205" s="4"/>
      <c r="AE1205" s="4"/>
      <c r="AF1205" s="4"/>
      <c r="AG1205" s="4" t="b">
        <v>0</v>
      </c>
      <c r="AH1205" s="4"/>
      <c r="AI1205" s="4"/>
      <c r="AJ1205" s="4"/>
      <c r="AK1205" s="4"/>
      <c r="AL1205" s="4"/>
      <c r="AM1205" s="4"/>
      <c r="AN1205" s="4"/>
      <c r="AO1205" s="4"/>
      <c r="AP1205" s="4"/>
      <c r="AQ1205" s="4"/>
      <c r="AR1205" s="4"/>
      <c r="AS1205" s="4"/>
      <c r="AT1205" s="4"/>
      <c r="AU1205" s="4"/>
      <c r="AV1205" s="4"/>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t="s">
        <v>2021</v>
      </c>
      <c r="CQ1205" s="4"/>
      <c r="CR1205" s="4"/>
      <c r="CS1205" s="4"/>
      <c r="CT1205" s="4"/>
      <c r="CU1205" s="4"/>
      <c r="CV1205" s="4"/>
      <c r="CW1205" s="4"/>
      <c r="CX1205" s="4"/>
      <c r="CY1205" s="4"/>
      <c r="CZ1205" s="4"/>
      <c r="DA1205" s="4"/>
      <c r="DB1205" s="4"/>
      <c r="DC1205" s="4"/>
      <c r="DD1205" s="4"/>
      <c r="DE1205" s="4" t="s">
        <v>2013</v>
      </c>
      <c r="DF1205" s="4"/>
      <c r="DG1205" s="4"/>
      <c r="DH1205" s="4"/>
      <c r="DI1205" s="4"/>
      <c r="DJ1205" s="4"/>
      <c r="DK1205" s="4"/>
      <c r="DL1205" s="4"/>
      <c r="DM1205" s="4"/>
      <c r="DN1205" s="4"/>
      <c r="DO1205" s="4"/>
      <c r="DP1205" s="4"/>
      <c r="DQ1205" s="4"/>
      <c r="DR1205" s="4"/>
      <c r="DS1205" s="4"/>
      <c r="DT1205" s="4"/>
      <c r="DU1205" s="4"/>
      <c r="DV1205" s="4"/>
      <c r="DW1205" s="4"/>
      <c r="DX1205" s="4"/>
      <c r="DY1205" s="4"/>
      <c r="DZ1205" s="4"/>
      <c r="EA1205" s="4"/>
      <c r="EB1205" s="4"/>
      <c r="EC1205" s="4"/>
      <c r="ED1205" s="4"/>
      <c r="EE1205" s="4"/>
      <c r="EF1205" s="4"/>
      <c r="EG1205" s="4"/>
      <c r="EH1205" s="4"/>
      <c r="EI1205" s="4"/>
    </row>
    <row r="1206" spans="1:139" hidden="1" x14ac:dyDescent="0.2">
      <c r="A1206" t="str">
        <f>VLOOKUP(B1206,Sheet1!$A$1:$B$18,2,FALSE)</f>
        <v>South Island</v>
      </c>
      <c r="B1206" t="str">
        <f>LEFT(D1206,3)</f>
        <v>CAN</v>
      </c>
      <c r="C1206" s="2">
        <v>636</v>
      </c>
      <c r="D1206" s="3" t="str">
        <f>HYPERLINK("https://sitebase.nzcomms.co.nz/spm/spmnominalview/CAN-058-014/","CAN-058-014")</f>
        <v>CAN-058-014</v>
      </c>
      <c r="E1206" s="4"/>
      <c r="F1206" s="4"/>
      <c r="G1206" s="4"/>
      <c r="H1206" s="4" t="s">
        <v>2024</v>
      </c>
      <c r="I1206" s="4"/>
      <c r="J1206" s="4" t="s">
        <v>196</v>
      </c>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4"/>
      <c r="CN1206" s="4"/>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c r="EA1206" s="4"/>
      <c r="EB1206" s="4"/>
      <c r="EC1206" s="4"/>
      <c r="ED1206" s="4"/>
      <c r="EE1206" s="4"/>
      <c r="EF1206" s="4"/>
      <c r="EG1206" s="4"/>
      <c r="EH1206" s="4"/>
      <c r="EI1206" s="4"/>
    </row>
    <row r="1207" spans="1:139" hidden="1" x14ac:dyDescent="0.2">
      <c r="A1207" t="str">
        <f>VLOOKUP(B1207,Sheet1!$A$1:$B$18,2,FALSE)</f>
        <v>South Island</v>
      </c>
      <c r="B1207" t="str">
        <f>LEFT(D1207,3)</f>
        <v>CAN</v>
      </c>
      <c r="C1207" s="2">
        <v>639</v>
      </c>
      <c r="D1207" s="3" t="str">
        <f>HYPERLINK("https://sitebase.nzcomms.co.nz/spm/spmnominalview/CAN-059-002/","CAN-059-002")</f>
        <v>CAN-059-002</v>
      </c>
      <c r="E1207" s="4" t="s">
        <v>2056</v>
      </c>
      <c r="F1207" s="3" t="str">
        <f>HYPERLINK("https://sitebase.nzcomms.co.nz/spm/spmcandidateview/CAN-059-002-A/","CAN-059-002-A")</f>
        <v>CAN-059-002-A</v>
      </c>
      <c r="G1207" s="4" t="s">
        <v>2057</v>
      </c>
      <c r="H1207" s="4" t="s">
        <v>2053</v>
      </c>
      <c r="I1207" s="4">
        <v>11</v>
      </c>
      <c r="J1207" s="4" t="s">
        <v>180</v>
      </c>
      <c r="K1207" s="4" t="s">
        <v>141</v>
      </c>
      <c r="L1207" s="4" t="s">
        <v>189</v>
      </c>
      <c r="M1207" s="4" t="s">
        <v>190</v>
      </c>
      <c r="N1207" s="4" t="s">
        <v>2058</v>
      </c>
      <c r="O1207" s="4"/>
      <c r="P1207" s="4" t="s">
        <v>182</v>
      </c>
      <c r="Q1207" s="4"/>
      <c r="R1207" s="4"/>
      <c r="S1207" s="4"/>
      <c r="T1207" s="4">
        <v>1</v>
      </c>
      <c r="U1207" s="4">
        <v>-43.306212180000003</v>
      </c>
      <c r="V1207" s="4">
        <v>172.57419711</v>
      </c>
      <c r="W1207" s="4"/>
      <c r="X1207" s="5">
        <v>41059</v>
      </c>
      <c r="Y1207" s="4"/>
      <c r="Z1207" s="4"/>
      <c r="AA1207" s="4"/>
      <c r="AB1207" s="4"/>
      <c r="AC1207" s="4" t="b">
        <v>0</v>
      </c>
      <c r="AD1207" s="4" t="b">
        <v>0</v>
      </c>
      <c r="AE1207" s="4"/>
      <c r="AF1207" s="4"/>
      <c r="AG1207" s="4" t="b">
        <v>0</v>
      </c>
      <c r="AH1207" s="4"/>
      <c r="AI1207" s="5">
        <v>41094</v>
      </c>
      <c r="AJ1207" s="5">
        <v>41094</v>
      </c>
      <c r="AK1207" s="5">
        <v>41101</v>
      </c>
      <c r="AL1207" s="5">
        <v>41102</v>
      </c>
      <c r="AM1207" s="5">
        <v>41110</v>
      </c>
      <c r="AN1207" s="5">
        <v>41135</v>
      </c>
      <c r="AO1207" s="4">
        <v>1</v>
      </c>
      <c r="AP1207" s="5">
        <v>41131</v>
      </c>
      <c r="AQ1207" s="5">
        <v>41135</v>
      </c>
      <c r="AR1207" s="5">
        <v>41145</v>
      </c>
      <c r="AS1207" s="5">
        <v>41129</v>
      </c>
      <c r="AT1207" s="5">
        <v>41162</v>
      </c>
      <c r="AU1207" s="5">
        <v>41165</v>
      </c>
      <c r="AV1207" s="4">
        <v>1</v>
      </c>
      <c r="AW1207" s="4"/>
      <c r="AX1207" s="5">
        <v>41165</v>
      </c>
      <c r="AY1207" s="4" t="s">
        <v>172</v>
      </c>
      <c r="AZ1207" s="5">
        <v>41164</v>
      </c>
      <c r="BA1207" s="5">
        <v>41170</v>
      </c>
      <c r="BB1207" s="5">
        <v>41201</v>
      </c>
      <c r="BC1207" s="5">
        <v>41199</v>
      </c>
      <c r="BD1207" s="4">
        <v>1</v>
      </c>
      <c r="BE1207" s="4"/>
      <c r="BF1207" s="4"/>
      <c r="BG1207" s="4"/>
      <c r="BH1207" s="4"/>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t="s">
        <v>2059</v>
      </c>
      <c r="CQ1207" s="4"/>
      <c r="CR1207" s="4"/>
      <c r="CS1207" s="4"/>
      <c r="CT1207" s="4"/>
      <c r="CU1207" s="4"/>
      <c r="CV1207" s="4"/>
      <c r="CW1207" s="4"/>
      <c r="CX1207" s="4"/>
      <c r="CY1207" s="4"/>
      <c r="CZ1207" s="4"/>
      <c r="DA1207" s="4"/>
      <c r="DB1207" s="4"/>
      <c r="DC1207" s="5">
        <v>41136</v>
      </c>
      <c r="DD1207" s="4" t="s">
        <v>206</v>
      </c>
      <c r="DE1207" s="4" t="s">
        <v>194</v>
      </c>
      <c r="DF1207" s="4"/>
      <c r="DG1207" s="4"/>
      <c r="DH1207" s="4" t="s">
        <v>240</v>
      </c>
      <c r="DI1207" s="4"/>
      <c r="DJ1207" s="4" t="b">
        <v>1</v>
      </c>
      <c r="DK1207" s="4"/>
      <c r="DL1207" s="4">
        <v>2475465</v>
      </c>
      <c r="DM1207" s="4">
        <v>5766713</v>
      </c>
      <c r="DN1207" s="4"/>
      <c r="DO1207" s="4"/>
      <c r="DP1207" s="4" t="s">
        <v>2060</v>
      </c>
      <c r="DQ1207" s="4" t="s">
        <v>148</v>
      </c>
      <c r="DR1207" s="4" t="s">
        <v>244</v>
      </c>
      <c r="DS1207" s="4"/>
      <c r="DT1207" s="4"/>
      <c r="DU1207" s="4"/>
      <c r="DV1207" s="4"/>
      <c r="DW1207" s="4"/>
      <c r="DX1207" s="4"/>
      <c r="DY1207" s="4"/>
      <c r="DZ1207" s="4"/>
      <c r="EA1207" s="4"/>
      <c r="EB1207" s="4"/>
      <c r="EC1207" s="4"/>
      <c r="ED1207" s="4"/>
      <c r="EE1207" s="4"/>
      <c r="EF1207" s="4"/>
      <c r="EG1207" s="4"/>
      <c r="EH1207" s="4"/>
      <c r="EI1207" s="4"/>
    </row>
    <row r="1208" spans="1:139" hidden="1" x14ac:dyDescent="0.2">
      <c r="A1208" t="str">
        <f>VLOOKUP(B1208,Sheet1!$A$1:$B$18,2,FALSE)</f>
        <v>South Island</v>
      </c>
      <c r="B1208" t="str">
        <f>LEFT(D1208,3)</f>
        <v>CAN</v>
      </c>
      <c r="C1208" s="2">
        <v>641</v>
      </c>
      <c r="D1208" s="3" t="str">
        <f>HYPERLINK("https://sitebase.nzcomms.co.nz/spm/spmnominalview/CAN-059-004/","CAN-059-004")</f>
        <v>CAN-059-004</v>
      </c>
      <c r="E1208" s="4" t="s">
        <v>2067</v>
      </c>
      <c r="F1208" s="4"/>
      <c r="G1208" s="4"/>
      <c r="H1208" s="4" t="s">
        <v>2053</v>
      </c>
      <c r="I1208" s="4"/>
      <c r="J1208" s="4" t="s">
        <v>196</v>
      </c>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t="b">
        <v>0</v>
      </c>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t="s">
        <v>2068</v>
      </c>
      <c r="CQ1208" s="4"/>
      <c r="CR1208" s="4"/>
      <c r="CS1208" s="4"/>
      <c r="CT1208" s="4"/>
      <c r="CU1208" s="4"/>
      <c r="CV1208" s="4"/>
      <c r="CW1208" s="4"/>
      <c r="CX1208" s="4"/>
      <c r="CY1208" s="4"/>
      <c r="CZ1208" s="4"/>
      <c r="DA1208" s="4"/>
      <c r="DB1208" s="4"/>
      <c r="DC1208" s="4"/>
      <c r="DD1208" s="4"/>
      <c r="DE1208" s="4" t="s">
        <v>2054</v>
      </c>
      <c r="DF1208" s="4"/>
      <c r="DG1208" s="4"/>
      <c r="DH1208" s="4"/>
      <c r="DI1208" s="4"/>
      <c r="DJ1208" s="4"/>
      <c r="DK1208" s="4"/>
      <c r="DL1208" s="4"/>
      <c r="DM1208" s="4"/>
      <c r="DN1208" s="4"/>
      <c r="DO1208" s="4"/>
      <c r="DP1208" s="4"/>
      <c r="DQ1208" s="4"/>
      <c r="DR1208" s="4"/>
      <c r="DS1208" s="4"/>
      <c r="DT1208" s="4"/>
      <c r="DU1208" s="4"/>
      <c r="DV1208" s="4"/>
      <c r="DW1208" s="4"/>
      <c r="DX1208" s="4"/>
      <c r="DY1208" s="4"/>
      <c r="DZ1208" s="4"/>
      <c r="EA1208" s="4"/>
      <c r="EB1208" s="4"/>
      <c r="EC1208" s="4"/>
      <c r="ED1208" s="4"/>
      <c r="EE1208" s="4"/>
      <c r="EF1208" s="4"/>
      <c r="EG1208" s="4"/>
      <c r="EH1208" s="4"/>
      <c r="EI1208" s="4"/>
    </row>
    <row r="1209" spans="1:139" hidden="1" x14ac:dyDescent="0.2">
      <c r="A1209" t="str">
        <f>VLOOKUP(B1209,Sheet1!$A$1:$B$18,2,FALSE)</f>
        <v>South Island</v>
      </c>
      <c r="B1209" t="str">
        <f>LEFT(D1209,3)</f>
        <v>CAN</v>
      </c>
      <c r="C1209" s="2">
        <v>646</v>
      </c>
      <c r="D1209" s="3" t="str">
        <f>HYPERLINK("https://sitebase.nzcomms.co.nz/spm/spmnominalview/CAN-059-009/","CAN-059-009")</f>
        <v>CAN-059-009</v>
      </c>
      <c r="E1209" s="4" t="s">
        <v>2087</v>
      </c>
      <c r="F1209" s="3" t="str">
        <f>HYPERLINK("https://sitebase.nzcomms.co.nz/spm/spmcandidateview/CAN-059-009-A/","CAN-059-009-A")</f>
        <v>CAN-059-009-A</v>
      </c>
      <c r="G1209" s="4" t="s">
        <v>2088</v>
      </c>
      <c r="H1209" s="4" t="s">
        <v>2053</v>
      </c>
      <c r="I1209" s="4">
        <v>11</v>
      </c>
      <c r="J1209" s="4" t="s">
        <v>180</v>
      </c>
      <c r="K1209" s="4" t="s">
        <v>141</v>
      </c>
      <c r="L1209" s="4" t="s">
        <v>150</v>
      </c>
      <c r="M1209" s="4" t="s">
        <v>190</v>
      </c>
      <c r="N1209" s="4"/>
      <c r="O1209" s="4"/>
      <c r="P1209" s="4"/>
      <c r="Q1209" s="4" t="s">
        <v>192</v>
      </c>
      <c r="R1209" s="4"/>
      <c r="S1209" s="4"/>
      <c r="T1209" s="4">
        <v>1</v>
      </c>
      <c r="U1209" s="4">
        <v>-43.310974340000001</v>
      </c>
      <c r="V1209" s="4">
        <v>172.69497595000001</v>
      </c>
      <c r="W1209" s="4"/>
      <c r="X1209" s="5">
        <v>41059</v>
      </c>
      <c r="Y1209" s="4"/>
      <c r="Z1209" s="4"/>
      <c r="AA1209" s="4"/>
      <c r="AB1209" s="4"/>
      <c r="AC1209" s="4" t="b">
        <v>0</v>
      </c>
      <c r="AD1209" s="4" t="b">
        <v>0</v>
      </c>
      <c r="AE1209" s="4"/>
      <c r="AF1209" s="4"/>
      <c r="AG1209" s="4" t="b">
        <v>0</v>
      </c>
      <c r="AH1209" s="4"/>
      <c r="AI1209" s="5">
        <v>41144</v>
      </c>
      <c r="AJ1209" s="5">
        <v>41144</v>
      </c>
      <c r="AK1209" s="5">
        <v>41183</v>
      </c>
      <c r="AL1209" s="5">
        <v>41183</v>
      </c>
      <c r="AM1209" s="5">
        <v>41187</v>
      </c>
      <c r="AN1209" s="5">
        <v>41233</v>
      </c>
      <c r="AO1209" s="4">
        <v>1</v>
      </c>
      <c r="AP1209" s="5">
        <v>41239</v>
      </c>
      <c r="AQ1209" s="5">
        <v>41233</v>
      </c>
      <c r="AR1209" s="5">
        <v>41199</v>
      </c>
      <c r="AS1209" s="5">
        <v>41228</v>
      </c>
      <c r="AT1209" s="5">
        <v>41409</v>
      </c>
      <c r="AU1209" s="4"/>
      <c r="AV1209" s="4"/>
      <c r="AW1209" s="4"/>
      <c r="AX1209" s="4"/>
      <c r="AY1209" s="4" t="s">
        <v>183</v>
      </c>
      <c r="AZ1209" s="5">
        <v>41299</v>
      </c>
      <c r="BA1209" s="4"/>
      <c r="BB1209" s="5">
        <v>41439</v>
      </c>
      <c r="BC1209" s="4"/>
      <c r="BD1209" s="4"/>
      <c r="BE1209" s="4"/>
      <c r="BF1209" s="4"/>
      <c r="BG1209" s="4"/>
      <c r="BH1209" s="4"/>
      <c r="BI1209" s="4"/>
      <c r="BJ1209" s="4"/>
      <c r="BK1209" s="4"/>
      <c r="BL1209" s="4"/>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t="s">
        <v>2089</v>
      </c>
      <c r="CQ1209" s="4"/>
      <c r="CR1209" s="4"/>
      <c r="CS1209" s="4"/>
      <c r="CT1209" s="4"/>
      <c r="CU1209" s="4"/>
      <c r="CV1209" s="4"/>
      <c r="CW1209" s="4"/>
      <c r="CX1209" s="4"/>
      <c r="CY1209" s="4"/>
      <c r="CZ1209" s="4"/>
      <c r="DA1209" s="4"/>
      <c r="DB1209" s="4"/>
      <c r="DC1209" s="5">
        <v>41169</v>
      </c>
      <c r="DD1209" s="4" t="s">
        <v>206</v>
      </c>
      <c r="DE1209" s="4" t="s">
        <v>194</v>
      </c>
      <c r="DF1209" s="4"/>
      <c r="DG1209" s="4"/>
      <c r="DH1209" s="4" t="s">
        <v>240</v>
      </c>
      <c r="DI1209" s="4"/>
      <c r="DJ1209" s="4" t="b">
        <v>1</v>
      </c>
      <c r="DK1209" s="4"/>
      <c r="DL1209" s="4">
        <v>2485266</v>
      </c>
      <c r="DM1209" s="4">
        <v>5766227</v>
      </c>
      <c r="DN1209" s="4"/>
      <c r="DO1209" s="4"/>
      <c r="DP1209" s="4"/>
      <c r="DQ1209" s="4"/>
      <c r="DR1209" s="4"/>
      <c r="DS1209" s="4"/>
      <c r="DT1209" s="4"/>
      <c r="DU1209" s="4"/>
      <c r="DV1209" s="4"/>
      <c r="DW1209" s="4"/>
      <c r="DX1209" s="4"/>
      <c r="DY1209" s="4"/>
      <c r="DZ1209" s="4"/>
      <c r="EA1209" s="4"/>
      <c r="EB1209" s="4"/>
      <c r="EC1209" s="4"/>
      <c r="ED1209" s="4"/>
      <c r="EE1209" s="4"/>
      <c r="EF1209" s="4"/>
      <c r="EG1209" s="4"/>
      <c r="EH1209" s="4"/>
      <c r="EI1209" s="4"/>
    </row>
    <row r="1210" spans="1:139" hidden="1" x14ac:dyDescent="0.2">
      <c r="A1210" t="str">
        <f>VLOOKUP(B1210,Sheet1!$A$1:$B$18,2,FALSE)</f>
        <v>South Island</v>
      </c>
      <c r="B1210" t="str">
        <f>LEFT(D1210,3)</f>
        <v>CAN</v>
      </c>
      <c r="C1210" s="2">
        <v>647</v>
      </c>
      <c r="D1210" s="3" t="str">
        <f>HYPERLINK("https://sitebase.nzcomms.co.nz/spm/spmnominalview/CAN-059-010/","CAN-059-010")</f>
        <v>CAN-059-010</v>
      </c>
      <c r="E1210" s="4" t="s">
        <v>2090</v>
      </c>
      <c r="F1210" s="4"/>
      <c r="G1210" s="4"/>
      <c r="H1210" s="4" t="s">
        <v>2053</v>
      </c>
      <c r="I1210" s="4"/>
      <c r="J1210" s="4" t="s">
        <v>722</v>
      </c>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t="b">
        <v>0</v>
      </c>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4"/>
      <c r="DD1210" s="4"/>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row>
    <row r="1211" spans="1:139" hidden="1" x14ac:dyDescent="0.2">
      <c r="A1211" t="str">
        <f>VLOOKUP(B1211,Sheet1!$A$1:$B$18,2,FALSE)</f>
        <v>South Island</v>
      </c>
      <c r="B1211" t="str">
        <f>LEFT(D1211,3)</f>
        <v>CAN</v>
      </c>
      <c r="C1211" s="2">
        <v>648</v>
      </c>
      <c r="D1211" s="3" t="str">
        <f>HYPERLINK("https://sitebase.nzcomms.co.nz/spm/spmnominalview/CAN-059-011/","CAN-059-011")</f>
        <v>CAN-059-011</v>
      </c>
      <c r="E1211" s="4" t="s">
        <v>2091</v>
      </c>
      <c r="F1211" s="4"/>
      <c r="G1211" s="4"/>
      <c r="H1211" s="4" t="s">
        <v>2053</v>
      </c>
      <c r="I1211" s="4"/>
      <c r="J1211" s="4" t="s">
        <v>722</v>
      </c>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t="b">
        <v>0</v>
      </c>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4"/>
      <c r="DE1211" s="4"/>
      <c r="DF1211" s="4"/>
      <c r="DG1211" s="4"/>
      <c r="DH1211" s="4"/>
      <c r="DI1211" s="4"/>
      <c r="DJ1211" s="4"/>
      <c r="DK1211" s="4"/>
      <c r="DL1211" s="4"/>
      <c r="DM1211" s="4"/>
      <c r="DN1211" s="4"/>
      <c r="DO1211" s="4"/>
      <c r="DP1211" s="4"/>
      <c r="DQ1211" s="4"/>
      <c r="DR1211" s="4"/>
      <c r="DS1211" s="4"/>
      <c r="DT1211" s="4"/>
      <c r="DU1211" s="4"/>
      <c r="DV1211" s="4"/>
      <c r="DW1211" s="4"/>
      <c r="DX1211" s="4"/>
      <c r="DY1211" s="4"/>
      <c r="DZ1211" s="4"/>
      <c r="EA1211" s="4"/>
      <c r="EB1211" s="4"/>
      <c r="EC1211" s="4"/>
      <c r="ED1211" s="4"/>
      <c r="EE1211" s="4"/>
      <c r="EF1211" s="4"/>
      <c r="EG1211" s="4"/>
      <c r="EH1211" s="4"/>
      <c r="EI1211" s="4"/>
    </row>
    <row r="1212" spans="1:139" hidden="1" x14ac:dyDescent="0.2">
      <c r="A1212" t="str">
        <f>VLOOKUP(B1212,Sheet1!$A$1:$B$18,2,FALSE)</f>
        <v>South Island</v>
      </c>
      <c r="B1212" t="str">
        <f>LEFT(D1212,3)</f>
        <v>CAN</v>
      </c>
      <c r="C1212" s="2">
        <v>649</v>
      </c>
      <c r="D1212" s="3" t="str">
        <f>HYPERLINK("https://sitebase.nzcomms.co.nz/spm/spmnominalview/CAN-059-012/","CAN-059-012")</f>
        <v>CAN-059-012</v>
      </c>
      <c r="E1212" s="4" t="s">
        <v>2092</v>
      </c>
      <c r="F1212" s="4"/>
      <c r="G1212" s="4"/>
      <c r="H1212" s="4" t="s">
        <v>2053</v>
      </c>
      <c r="I1212" s="4"/>
      <c r="J1212" s="4" t="s">
        <v>722</v>
      </c>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t="b">
        <v>0</v>
      </c>
      <c r="AH1212" s="4"/>
      <c r="AI1212" s="4"/>
      <c r="AJ1212" s="4"/>
      <c r="AK1212" s="4"/>
      <c r="AL1212" s="4"/>
      <c r="AM1212" s="4"/>
      <c r="AN1212" s="4"/>
      <c r="AO1212" s="4"/>
      <c r="AP1212" s="4"/>
      <c r="AQ1212" s="4"/>
      <c r="AR1212" s="4"/>
      <c r="AS1212" s="4"/>
      <c r="AT1212" s="4"/>
      <c r="AU1212" s="4"/>
      <c r="AV1212" s="4"/>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4"/>
      <c r="DA1212" s="4"/>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row>
    <row r="1213" spans="1:139" hidden="1" x14ac:dyDescent="0.2">
      <c r="A1213" t="str">
        <f>VLOOKUP(B1213,Sheet1!$A$1:$B$18,2,FALSE)</f>
        <v>South Island</v>
      </c>
      <c r="B1213" t="str">
        <f>LEFT(D1213,3)</f>
        <v>CAN</v>
      </c>
      <c r="C1213" s="2">
        <v>653</v>
      </c>
      <c r="D1213" s="3" t="str">
        <f>HYPERLINK("https://sitebase.nzcomms.co.nz/spm/spmnominalview/CAN-059-016/","CAN-059-016")</f>
        <v>CAN-059-016</v>
      </c>
      <c r="E1213" s="4" t="s">
        <v>2103</v>
      </c>
      <c r="F1213" s="3" t="str">
        <f>HYPERLINK("https://sitebase.nzcomms.co.nz/spm/spmcandidateview/CAN-059-016-A/","CAN-059-016-A")</f>
        <v>CAN-059-016-A</v>
      </c>
      <c r="G1213" s="4" t="s">
        <v>2104</v>
      </c>
      <c r="H1213" s="4" t="s">
        <v>2053</v>
      </c>
      <c r="I1213" s="4"/>
      <c r="J1213" s="4" t="s">
        <v>570</v>
      </c>
      <c r="K1213" s="4" t="s">
        <v>141</v>
      </c>
      <c r="L1213" s="4" t="s">
        <v>1124</v>
      </c>
      <c r="M1213" s="4" t="s">
        <v>2105</v>
      </c>
      <c r="N1213" s="4" t="s">
        <v>364</v>
      </c>
      <c r="O1213" s="4"/>
      <c r="P1213" s="4"/>
      <c r="Q1213" s="4"/>
      <c r="R1213" s="4">
        <v>4</v>
      </c>
      <c r="S1213" s="4">
        <v>12</v>
      </c>
      <c r="T1213" s="4"/>
      <c r="U1213" s="4">
        <v>-43.267586469999998</v>
      </c>
      <c r="V1213" s="4">
        <v>172.62249498</v>
      </c>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5">
        <v>42354</v>
      </c>
      <c r="CL1213" s="4"/>
      <c r="CM1213" s="4"/>
      <c r="CN1213" s="4"/>
      <c r="CO1213" s="4"/>
      <c r="CP1213" s="4"/>
      <c r="CQ1213" s="4"/>
      <c r="CR1213" s="4"/>
      <c r="CS1213" s="4"/>
      <c r="CT1213" s="4"/>
      <c r="CU1213" s="4"/>
      <c r="CV1213" s="4"/>
      <c r="CW1213" s="4"/>
      <c r="CX1213" s="4"/>
      <c r="CY1213" s="4"/>
      <c r="CZ1213" s="4"/>
      <c r="DA1213" s="4"/>
      <c r="DB1213" s="4"/>
      <c r="DC1213" s="4"/>
      <c r="DD1213" s="4"/>
      <c r="DE1213" s="4"/>
      <c r="DF1213" s="4"/>
      <c r="DG1213" s="4"/>
      <c r="DH1213" s="4"/>
      <c r="DI1213" s="4"/>
      <c r="DJ1213" s="4"/>
      <c r="DK1213" s="4"/>
      <c r="DL1213" s="4">
        <v>2479364</v>
      </c>
      <c r="DM1213" s="4">
        <v>5771023</v>
      </c>
      <c r="DN1213" s="4" t="s">
        <v>2106</v>
      </c>
      <c r="DO1213" s="4"/>
      <c r="DP1213" s="4"/>
      <c r="DQ1213" s="4" t="s">
        <v>148</v>
      </c>
      <c r="DR1213" s="4"/>
      <c r="DS1213" s="4"/>
      <c r="DT1213" s="4"/>
      <c r="DU1213" s="4"/>
      <c r="DV1213" s="4"/>
      <c r="DW1213" s="4"/>
      <c r="DX1213" s="4"/>
      <c r="DY1213" s="4"/>
      <c r="DZ1213" s="4"/>
      <c r="EA1213" s="4"/>
      <c r="EB1213" s="4"/>
      <c r="EC1213" s="4"/>
      <c r="ED1213" s="4"/>
      <c r="EE1213" s="4"/>
      <c r="EF1213" s="4"/>
      <c r="EG1213" s="4"/>
      <c r="EH1213" s="4"/>
      <c r="EI1213" s="4"/>
    </row>
    <row r="1214" spans="1:139" hidden="1" x14ac:dyDescent="0.2">
      <c r="A1214" t="str">
        <f>VLOOKUP(B1214,Sheet1!$A$1:$B$18,2,FALSE)</f>
        <v>South Island</v>
      </c>
      <c r="B1214" t="str">
        <f>LEFT(D1214,3)</f>
        <v>CAN</v>
      </c>
      <c r="C1214" s="2">
        <v>654</v>
      </c>
      <c r="D1214" s="3" t="str">
        <f>HYPERLINK("https://sitebase.nzcomms.co.nz/spm/spmnominalview/CAN-059-017/","CAN-059-017")</f>
        <v>CAN-059-017</v>
      </c>
      <c r="E1214" s="4" t="s">
        <v>2107</v>
      </c>
      <c r="F1214" s="3" t="str">
        <f>HYPERLINK("https://sitebase.nzcomms.co.nz/spm/spmcandidateview/CAN-059-017-A/","CAN-059-017-A")</f>
        <v>CAN-059-017-A</v>
      </c>
      <c r="G1214" s="4" t="s">
        <v>2108</v>
      </c>
      <c r="H1214" s="4" t="s">
        <v>2053</v>
      </c>
      <c r="I1214" s="4">
        <v>23</v>
      </c>
      <c r="J1214" s="4" t="s">
        <v>331</v>
      </c>
      <c r="K1214" s="4" t="s">
        <v>141</v>
      </c>
      <c r="L1214" s="4"/>
      <c r="M1214" s="4"/>
      <c r="N1214" s="4"/>
      <c r="O1214" s="4"/>
      <c r="P1214" s="4"/>
      <c r="Q1214" s="4"/>
      <c r="R1214" s="4"/>
      <c r="S1214" s="4"/>
      <c r="T1214" s="4"/>
      <c r="U1214" s="4"/>
      <c r="V1214" s="4"/>
      <c r="W1214" s="4"/>
      <c r="X1214" s="4"/>
      <c r="Y1214" s="4"/>
      <c r="Z1214" s="4"/>
      <c r="AA1214" s="4"/>
      <c r="AB1214" s="4"/>
      <c r="AC1214" s="4" t="b">
        <v>0</v>
      </c>
      <c r="AD1214" s="4" t="b">
        <v>0</v>
      </c>
      <c r="AE1214" s="4"/>
      <c r="AF1214" s="4"/>
      <c r="AG1214" s="4" t="b">
        <v>0</v>
      </c>
      <c r="AH1214" s="4"/>
      <c r="AI1214" s="5">
        <v>42460</v>
      </c>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t="s">
        <v>2109</v>
      </c>
      <c r="CQ1214" s="4"/>
      <c r="CR1214" s="4"/>
      <c r="CS1214" s="4"/>
      <c r="CT1214" s="4"/>
      <c r="CU1214" s="4"/>
      <c r="CV1214" s="4"/>
      <c r="CW1214" s="4"/>
      <c r="CX1214" s="4"/>
      <c r="CY1214" s="4"/>
      <c r="CZ1214" s="4"/>
      <c r="DA1214" s="4"/>
      <c r="DB1214" s="4"/>
      <c r="DC1214" s="4"/>
      <c r="DD1214" s="4"/>
      <c r="DE1214" s="4"/>
      <c r="DF1214" s="4"/>
      <c r="DG1214" s="4"/>
      <c r="DH1214" s="4"/>
      <c r="DI1214" s="4"/>
      <c r="DJ1214" s="4" t="b">
        <v>0</v>
      </c>
      <c r="DK1214" s="4"/>
      <c r="DL1214" s="4"/>
      <c r="DM1214" s="4"/>
      <c r="DN1214" s="4"/>
      <c r="DO1214" s="4"/>
      <c r="DP1214" s="4"/>
      <c r="DQ1214" s="4"/>
      <c r="DR1214" s="4"/>
      <c r="DS1214" s="4"/>
      <c r="DT1214" s="4"/>
      <c r="DU1214" s="4" t="s">
        <v>577</v>
      </c>
      <c r="DV1214" s="4"/>
      <c r="DW1214" s="4"/>
      <c r="DX1214" s="4"/>
      <c r="DY1214" s="4"/>
      <c r="DZ1214" s="4"/>
      <c r="EA1214" s="4"/>
      <c r="EB1214" s="4"/>
      <c r="EC1214" s="4"/>
      <c r="ED1214" s="4"/>
      <c r="EE1214" s="4"/>
      <c r="EF1214" s="4"/>
      <c r="EG1214" s="4"/>
      <c r="EH1214" s="4"/>
      <c r="EI1214" s="4"/>
    </row>
    <row r="1215" spans="1:139" hidden="1" x14ac:dyDescent="0.2">
      <c r="A1215" t="str">
        <f>VLOOKUP(B1215,Sheet1!$A$1:$B$18,2,FALSE)</f>
        <v>South Island</v>
      </c>
      <c r="B1215" t="str">
        <f>LEFT(D1215,3)</f>
        <v>CAN</v>
      </c>
      <c r="C1215" s="2">
        <v>655</v>
      </c>
      <c r="D1215" s="3" t="str">
        <f>HYPERLINK("https://sitebase.nzcomms.co.nz/spm/spmnominalview/CAN-062-001/","CAN-062-001")</f>
        <v>CAN-062-001</v>
      </c>
      <c r="E1215" s="4" t="s">
        <v>2110</v>
      </c>
      <c r="F1215" s="4"/>
      <c r="G1215" s="4"/>
      <c r="H1215" s="4" t="s">
        <v>2111</v>
      </c>
      <c r="I1215" s="4">
        <v>8</v>
      </c>
      <c r="J1215" s="4" t="s">
        <v>180</v>
      </c>
      <c r="K1215" s="4"/>
      <c r="L1215" s="4"/>
      <c r="M1215" s="4"/>
      <c r="N1215" s="4"/>
      <c r="O1215" s="4"/>
      <c r="P1215" s="4"/>
      <c r="Q1215" s="4"/>
      <c r="R1215" s="4"/>
      <c r="S1215" s="4"/>
      <c r="T1215" s="4"/>
      <c r="U1215" s="4"/>
      <c r="V1215" s="4"/>
      <c r="W1215" s="4"/>
      <c r="X1215" s="4"/>
      <c r="Y1215" s="4"/>
      <c r="Z1215" s="4"/>
      <c r="AA1215" s="4"/>
      <c r="AB1215" s="4"/>
      <c r="AC1215" s="4"/>
      <c r="AD1215" s="4"/>
      <c r="AE1215" s="4"/>
      <c r="AF1215" s="4"/>
      <c r="AG1215" s="4" t="b">
        <v>0</v>
      </c>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t="s">
        <v>2112</v>
      </c>
      <c r="CQ1215" s="4"/>
      <c r="CR1215" s="4"/>
      <c r="CS1215" s="4"/>
      <c r="CT1215" s="4"/>
      <c r="CU1215" s="4"/>
      <c r="CV1215" s="4"/>
      <c r="CW1215" s="4"/>
      <c r="CX1215" s="4"/>
      <c r="CY1215" s="4"/>
      <c r="CZ1215" s="4"/>
      <c r="DA1215" s="4"/>
      <c r="DB1215" s="4"/>
      <c r="DC1215" s="4"/>
      <c r="DD1215" s="4"/>
      <c r="DE1215" s="4" t="s">
        <v>722</v>
      </c>
      <c r="DF1215" s="4"/>
      <c r="DG1215" s="4"/>
      <c r="DH1215" s="4"/>
      <c r="DI1215" s="4"/>
      <c r="DJ1215" s="4"/>
      <c r="DK1215" s="4"/>
      <c r="DL1215" s="4"/>
      <c r="DM1215" s="4"/>
      <c r="DN1215" s="4"/>
      <c r="DO1215" s="4"/>
      <c r="DP1215" s="4"/>
      <c r="DQ1215" s="4"/>
      <c r="DR1215" s="4"/>
      <c r="DS1215" s="4"/>
      <c r="DT1215" s="4"/>
      <c r="DU1215" s="4"/>
      <c r="DV1215" s="4"/>
      <c r="DW1215" s="4"/>
      <c r="DX1215" s="4"/>
      <c r="DY1215" s="4"/>
      <c r="DZ1215" s="4"/>
      <c r="EA1215" s="4"/>
      <c r="EB1215" s="4"/>
      <c r="EC1215" s="4"/>
      <c r="ED1215" s="4"/>
      <c r="EE1215" s="4"/>
      <c r="EF1215" s="4"/>
      <c r="EG1215" s="4"/>
      <c r="EH1215" s="4"/>
      <c r="EI1215" s="4"/>
    </row>
    <row r="1216" spans="1:139" hidden="1" x14ac:dyDescent="0.2">
      <c r="A1216" t="str">
        <f>VLOOKUP(B1216,Sheet1!$A$1:$B$18,2,FALSE)</f>
        <v>South Island</v>
      </c>
      <c r="B1216" t="str">
        <f>LEFT(D1216,3)</f>
        <v>CAN</v>
      </c>
      <c r="C1216" s="2">
        <v>664</v>
      </c>
      <c r="D1216" s="3" t="str">
        <f>HYPERLINK("https://sitebase.nzcomms.co.nz/spm/spmnominalview/CAN-062-010/","CAN-062-010")</f>
        <v>CAN-062-010</v>
      </c>
      <c r="E1216" s="4" t="s">
        <v>2153</v>
      </c>
      <c r="F1216" s="4"/>
      <c r="G1216" s="4"/>
      <c r="H1216" s="4" t="s">
        <v>2111</v>
      </c>
      <c r="I1216" s="4"/>
      <c r="J1216" s="4" t="s">
        <v>196</v>
      </c>
      <c r="K1216" s="4"/>
      <c r="L1216" s="4"/>
      <c r="M1216" s="4"/>
      <c r="N1216" s="4"/>
      <c r="O1216" s="4"/>
      <c r="P1216" s="4"/>
      <c r="Q1216" s="4"/>
      <c r="R1216" s="4"/>
      <c r="S1216" s="4"/>
      <c r="T1216" s="4"/>
      <c r="U1216" s="4"/>
      <c r="V1216" s="4"/>
      <c r="W1216" s="4"/>
      <c r="X1216" s="4"/>
      <c r="Y1216" s="4"/>
      <c r="Z1216" s="4"/>
      <c r="AA1216" s="4"/>
      <c r="AB1216" s="4"/>
      <c r="AC1216" s="4"/>
      <c r="AD1216" s="4"/>
      <c r="AE1216" s="4"/>
      <c r="AF1216" s="4"/>
      <c r="AG1216" s="4" t="b">
        <v>0</v>
      </c>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t="s">
        <v>2154</v>
      </c>
      <c r="CQ1216" s="4"/>
      <c r="CR1216" s="4"/>
      <c r="CS1216" s="4"/>
      <c r="CT1216" s="4"/>
      <c r="CU1216" s="4"/>
      <c r="CV1216" s="4"/>
      <c r="CW1216" s="4"/>
      <c r="CX1216" s="4"/>
      <c r="CY1216" s="4"/>
      <c r="CZ1216" s="4"/>
      <c r="DA1216" s="4"/>
      <c r="DB1216" s="4"/>
      <c r="DC1216" s="4"/>
      <c r="DD1216" s="4"/>
      <c r="DE1216" s="4" t="s">
        <v>2054</v>
      </c>
      <c r="DF1216" s="4"/>
      <c r="DG1216" s="4"/>
      <c r="DH1216" s="4"/>
      <c r="DI1216" s="4"/>
      <c r="DJ1216" s="4"/>
      <c r="DK1216" s="4"/>
      <c r="DL1216" s="4"/>
      <c r="DM1216" s="4"/>
      <c r="DN1216" s="4"/>
      <c r="DO1216" s="4"/>
      <c r="DP1216" s="4"/>
      <c r="DQ1216" s="4"/>
      <c r="DR1216" s="4"/>
      <c r="DS1216" s="4"/>
      <c r="DT1216" s="4"/>
      <c r="DU1216" s="4"/>
      <c r="DV1216" s="4"/>
      <c r="DW1216" s="4"/>
      <c r="DX1216" s="4"/>
      <c r="DY1216" s="4"/>
      <c r="DZ1216" s="4"/>
      <c r="EA1216" s="4"/>
      <c r="EB1216" s="4"/>
      <c r="EC1216" s="4"/>
      <c r="ED1216" s="4"/>
      <c r="EE1216" s="4"/>
      <c r="EF1216" s="4"/>
      <c r="EG1216" s="4"/>
      <c r="EH1216" s="4"/>
      <c r="EI1216" s="4"/>
    </row>
    <row r="1217" spans="1:139" hidden="1" x14ac:dyDescent="0.2">
      <c r="A1217" t="str">
        <f>VLOOKUP(B1217,Sheet1!$A$1:$B$18,2,FALSE)</f>
        <v>South Island</v>
      </c>
      <c r="B1217" t="str">
        <f>LEFT(D1217,3)</f>
        <v>CAN</v>
      </c>
      <c r="C1217" s="2">
        <v>670</v>
      </c>
      <c r="D1217" s="3" t="str">
        <f>HYPERLINK("https://sitebase.nzcomms.co.nz/spm/spmnominalview/CAN-062-016/","CAN-062-016")</f>
        <v>CAN-062-016</v>
      </c>
      <c r="E1217" s="4" t="s">
        <v>2179</v>
      </c>
      <c r="F1217" s="4"/>
      <c r="G1217" s="4"/>
      <c r="H1217" s="4" t="s">
        <v>2111</v>
      </c>
      <c r="I1217" s="4"/>
      <c r="J1217" s="4" t="s">
        <v>196</v>
      </c>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t="b">
        <v>0</v>
      </c>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4"/>
      <c r="DA1217" s="4"/>
      <c r="DB1217" s="4"/>
      <c r="DC1217" s="4"/>
      <c r="DD1217" s="4"/>
      <c r="DE1217" s="4"/>
      <c r="DF1217" s="4"/>
      <c r="DG1217" s="4"/>
      <c r="DH1217" s="4"/>
      <c r="DI1217" s="4"/>
      <c r="DJ1217" s="4"/>
      <c r="DK1217" s="4"/>
      <c r="DL1217" s="4"/>
      <c r="DM1217" s="4"/>
      <c r="DN1217" s="4"/>
      <c r="DO1217" s="4"/>
      <c r="DP1217" s="4"/>
      <c r="DQ1217" s="4"/>
      <c r="DR1217" s="4"/>
      <c r="DS1217" s="4"/>
      <c r="DT1217" s="4"/>
      <c r="DU1217" s="4"/>
      <c r="DV1217" s="4"/>
      <c r="DW1217" s="4"/>
      <c r="DX1217" s="4"/>
      <c r="DY1217" s="4"/>
      <c r="DZ1217" s="4"/>
      <c r="EA1217" s="4"/>
      <c r="EB1217" s="4"/>
      <c r="EC1217" s="4"/>
      <c r="ED1217" s="4"/>
      <c r="EE1217" s="4"/>
      <c r="EF1217" s="4"/>
      <c r="EG1217" s="4"/>
      <c r="EH1217" s="4"/>
      <c r="EI1217" s="4"/>
    </row>
    <row r="1218" spans="1:139" hidden="1" x14ac:dyDescent="0.2">
      <c r="A1218" t="str">
        <f>VLOOKUP(B1218,Sheet1!$A$1:$B$18,2,FALSE)</f>
        <v>South Island</v>
      </c>
      <c r="B1218" t="str">
        <f>LEFT(D1218,3)</f>
        <v>CAN</v>
      </c>
      <c r="C1218" s="2">
        <v>672</v>
      </c>
      <c r="D1218" s="3" t="str">
        <f>HYPERLINK("https://sitebase.nzcomms.co.nz/spm/spmnominalview/CAN-062-018/","CAN-062-018")</f>
        <v>CAN-062-018</v>
      </c>
      <c r="E1218" s="4" t="s">
        <v>2185</v>
      </c>
      <c r="F1218" s="4"/>
      <c r="G1218" s="4"/>
      <c r="H1218" s="4" t="s">
        <v>2111</v>
      </c>
      <c r="I1218" s="4"/>
      <c r="J1218" s="4" t="s">
        <v>317</v>
      </c>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4"/>
      <c r="DI1218" s="4"/>
      <c r="DJ1218" s="4"/>
      <c r="DK1218" s="4"/>
      <c r="DL1218" s="4"/>
      <c r="DM1218" s="4"/>
      <c r="DN1218" s="4"/>
      <c r="DO1218" s="4"/>
      <c r="DP1218" s="4"/>
      <c r="DQ1218" s="4"/>
      <c r="DR1218" s="4"/>
      <c r="DS1218" s="4"/>
      <c r="DT1218" s="4"/>
      <c r="DU1218" s="4"/>
      <c r="DV1218" s="4"/>
      <c r="DW1218" s="4"/>
      <c r="DX1218" s="4"/>
      <c r="DY1218" s="4"/>
      <c r="DZ1218" s="4"/>
      <c r="EA1218" s="4"/>
      <c r="EB1218" s="4"/>
      <c r="EC1218" s="4"/>
      <c r="ED1218" s="4"/>
      <c r="EE1218" s="4"/>
      <c r="EF1218" s="4"/>
      <c r="EG1218" s="4"/>
      <c r="EH1218" s="4"/>
      <c r="EI1218" s="4"/>
    </row>
    <row r="1219" spans="1:139" hidden="1" x14ac:dyDescent="0.2">
      <c r="A1219" t="str">
        <f>VLOOKUP(B1219,Sheet1!$A$1:$B$18,2,FALSE)</f>
        <v>South Island</v>
      </c>
      <c r="B1219" t="str">
        <f>LEFT(D1219,3)</f>
        <v>CAN</v>
      </c>
      <c r="C1219" s="2">
        <v>674</v>
      </c>
      <c r="D1219" s="3" t="str">
        <f>HYPERLINK("https://sitebase.nzcomms.co.nz/spm/spmnominalview/CAN-062-020/","CAN-062-020")</f>
        <v>CAN-062-020</v>
      </c>
      <c r="E1219" s="4" t="s">
        <v>2190</v>
      </c>
      <c r="F1219" s="3" t="str">
        <f>HYPERLINK("https://sitebase.nzcomms.co.nz/spm/spmcandidateview/CAN-062-020-A/","CAN-062-020-A")</f>
        <v>CAN-062-020-A</v>
      </c>
      <c r="G1219" s="4" t="s">
        <v>2191</v>
      </c>
      <c r="H1219" s="4" t="s">
        <v>2111</v>
      </c>
      <c r="I1219" s="4">
        <v>21</v>
      </c>
      <c r="J1219" s="4" t="s">
        <v>196</v>
      </c>
      <c r="K1219" s="4" t="s">
        <v>141</v>
      </c>
      <c r="L1219" s="4" t="s">
        <v>722</v>
      </c>
      <c r="M1219" s="4"/>
      <c r="N1219" s="4"/>
      <c r="O1219" s="4"/>
      <c r="P1219" s="4"/>
      <c r="Q1219" s="4" t="s">
        <v>142</v>
      </c>
      <c r="R1219" s="4"/>
      <c r="S1219" s="4"/>
      <c r="T1219" s="4"/>
      <c r="U1219" s="4">
        <v>-43.821703620000001</v>
      </c>
      <c r="V1219" s="4">
        <v>172.24162258000001</v>
      </c>
      <c r="W1219" s="4"/>
      <c r="X1219" s="4"/>
      <c r="Y1219" s="4"/>
      <c r="Z1219" s="4"/>
      <c r="AA1219" s="4"/>
      <c r="AB1219" s="4"/>
      <c r="AC1219" s="4" t="b">
        <v>0</v>
      </c>
      <c r="AD1219" s="4" t="b">
        <v>0</v>
      </c>
      <c r="AE1219" s="4"/>
      <c r="AF1219" s="4"/>
      <c r="AG1219" s="4" t="b">
        <v>0</v>
      </c>
      <c r="AH1219" s="4"/>
      <c r="AI1219" s="4"/>
      <c r="AJ1219" s="4"/>
      <c r="AK1219" s="4"/>
      <c r="AL1219" s="4"/>
      <c r="AM1219" s="4"/>
      <c r="AN1219" s="4"/>
      <c r="AO1219" s="4"/>
      <c r="AP1219" s="4"/>
      <c r="AQ1219" s="4"/>
      <c r="AR1219" s="4"/>
      <c r="AS1219" s="4"/>
      <c r="AT1219" s="4"/>
      <c r="AU1219" s="4"/>
      <c r="AV1219" s="4"/>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4"/>
      <c r="DD1219" s="4"/>
      <c r="DE1219" s="4"/>
      <c r="DF1219" s="4"/>
      <c r="DG1219" s="4"/>
      <c r="DH1219" s="4"/>
      <c r="DI1219" s="4"/>
      <c r="DJ1219" s="4"/>
      <c r="DK1219" s="4"/>
      <c r="DL1219" s="4">
        <v>2449002</v>
      </c>
      <c r="DM1219" s="4">
        <v>5709253</v>
      </c>
      <c r="DN1219" s="4" t="s">
        <v>2192</v>
      </c>
      <c r="DO1219" s="4"/>
      <c r="DP1219" s="4"/>
      <c r="DQ1219" s="4"/>
      <c r="DR1219" s="4"/>
      <c r="DS1219" s="4"/>
      <c r="DT1219" s="4"/>
      <c r="DU1219" s="4" t="s">
        <v>178</v>
      </c>
      <c r="DV1219" s="4"/>
      <c r="DW1219" s="4"/>
      <c r="DX1219" s="4"/>
      <c r="DY1219" s="4"/>
      <c r="DZ1219" s="4"/>
      <c r="EA1219" s="4"/>
      <c r="EB1219" s="4"/>
      <c r="EC1219" s="4"/>
      <c r="ED1219" s="4"/>
      <c r="EE1219" s="4"/>
      <c r="EF1219" s="4"/>
      <c r="EG1219" s="4"/>
      <c r="EH1219" s="4"/>
      <c r="EI1219" s="4"/>
    </row>
    <row r="1220" spans="1:139" hidden="1" x14ac:dyDescent="0.2">
      <c r="A1220" t="str">
        <f>VLOOKUP(B1220,Sheet1!$A$1:$B$18,2,FALSE)</f>
        <v>South Island</v>
      </c>
      <c r="B1220" t="str">
        <f>LEFT(D1220,3)</f>
        <v>CAN</v>
      </c>
      <c r="C1220" s="2">
        <v>676</v>
      </c>
      <c r="D1220" s="3" t="str">
        <f>HYPERLINK("https://sitebase.nzcomms.co.nz/spm/spmnominalview/CAN-063-002/","CAN-063-002")</f>
        <v>CAN-063-002</v>
      </c>
      <c r="E1220" s="4" t="s">
        <v>2199</v>
      </c>
      <c r="F1220" s="4"/>
      <c r="G1220" s="4"/>
      <c r="H1220" s="4" t="s">
        <v>2195</v>
      </c>
      <c r="I1220" s="4"/>
      <c r="J1220" s="4" t="s">
        <v>196</v>
      </c>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4"/>
      <c r="CP1220" s="4"/>
      <c r="CQ1220" s="4"/>
      <c r="CR1220" s="4"/>
      <c r="CS1220" s="4"/>
      <c r="CT1220" s="4"/>
      <c r="CU1220" s="4"/>
      <c r="CV1220" s="4"/>
      <c r="CW1220" s="4"/>
      <c r="CX1220" s="4"/>
      <c r="CY1220" s="4"/>
      <c r="CZ1220" s="4"/>
      <c r="DA1220" s="4"/>
      <c r="DB1220" s="4"/>
      <c r="DC1220" s="4"/>
      <c r="DD1220" s="4"/>
      <c r="DE1220" s="4"/>
      <c r="DF1220" s="4"/>
      <c r="DG1220" s="4"/>
      <c r="DH1220" s="4"/>
      <c r="DI1220" s="4"/>
      <c r="DJ1220" s="4"/>
      <c r="DK1220" s="4"/>
      <c r="DL1220" s="4"/>
      <c r="DM1220" s="4"/>
      <c r="DN1220" s="4"/>
      <c r="DO1220" s="4"/>
      <c r="DP1220" s="4"/>
      <c r="DQ1220" s="4"/>
      <c r="DR1220" s="4"/>
      <c r="DS1220" s="4"/>
      <c r="DT1220" s="4"/>
      <c r="DU1220" s="4"/>
      <c r="DV1220" s="4"/>
      <c r="DW1220" s="4"/>
      <c r="DX1220" s="4"/>
      <c r="DY1220" s="4"/>
      <c r="DZ1220" s="4"/>
      <c r="EA1220" s="4"/>
      <c r="EB1220" s="4"/>
      <c r="EC1220" s="4"/>
      <c r="ED1220" s="4"/>
      <c r="EE1220" s="4"/>
      <c r="EF1220" s="4"/>
      <c r="EG1220" s="4"/>
      <c r="EH1220" s="4"/>
      <c r="EI1220" s="4"/>
    </row>
    <row r="1221" spans="1:139" hidden="1" x14ac:dyDescent="0.2">
      <c r="A1221" t="str">
        <f>VLOOKUP(B1221,Sheet1!$A$1:$B$18,2,FALSE)</f>
        <v>South Island</v>
      </c>
      <c r="B1221" t="str">
        <f>LEFT(D1221,3)</f>
        <v>CAN</v>
      </c>
      <c r="C1221" s="2">
        <v>683</v>
      </c>
      <c r="D1221" s="3" t="str">
        <f>HYPERLINK("https://sitebase.nzcomms.co.nz/spm/spmnominalview/CAN-064-001/","CAN-064-001")</f>
        <v>CAN-064-001</v>
      </c>
      <c r="E1221" s="4"/>
      <c r="F1221" s="4"/>
      <c r="G1221" s="4"/>
      <c r="H1221" s="4" t="s">
        <v>2229</v>
      </c>
      <c r="I1221" s="4"/>
      <c r="J1221" s="4" t="s">
        <v>196</v>
      </c>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4"/>
      <c r="DE1221" s="4"/>
      <c r="DF1221" s="4"/>
      <c r="DG1221" s="4"/>
      <c r="DH1221" s="4"/>
      <c r="DI1221" s="4"/>
      <c r="DJ1221" s="4"/>
      <c r="DK1221" s="4"/>
      <c r="DL1221" s="4"/>
      <c r="DM1221" s="4"/>
      <c r="DN1221" s="4"/>
      <c r="DO1221" s="4"/>
      <c r="DP1221" s="4"/>
      <c r="DQ1221" s="4"/>
      <c r="DR1221" s="4"/>
      <c r="DS1221" s="4"/>
      <c r="DT1221" s="4"/>
      <c r="DU1221" s="4"/>
      <c r="DV1221" s="4"/>
      <c r="DW1221" s="4"/>
      <c r="DX1221" s="4"/>
      <c r="DY1221" s="4"/>
      <c r="DZ1221" s="4"/>
      <c r="EA1221" s="4"/>
      <c r="EB1221" s="4"/>
      <c r="EC1221" s="4"/>
      <c r="ED1221" s="4"/>
      <c r="EE1221" s="4"/>
      <c r="EF1221" s="4"/>
      <c r="EG1221" s="4"/>
      <c r="EH1221" s="4"/>
      <c r="EI1221" s="4"/>
    </row>
    <row r="1222" spans="1:139" hidden="1" x14ac:dyDescent="0.2">
      <c r="A1222" t="str">
        <f>VLOOKUP(B1222,Sheet1!$A$1:$B$18,2,FALSE)</f>
        <v>South Island</v>
      </c>
      <c r="B1222" t="str">
        <f>LEFT(D1222,3)</f>
        <v>CAN</v>
      </c>
      <c r="C1222" s="2">
        <v>694</v>
      </c>
      <c r="D1222" s="3" t="str">
        <f>HYPERLINK("https://sitebase.nzcomms.co.nz/spm/spmnominalview/CAN-064-012/","CAN-064-012")</f>
        <v>CAN-064-012</v>
      </c>
      <c r="E1222" s="4" t="s">
        <v>2282</v>
      </c>
      <c r="F1222" s="4"/>
      <c r="G1222" s="4"/>
      <c r="H1222" s="4" t="s">
        <v>2229</v>
      </c>
      <c r="I1222" s="4"/>
      <c r="J1222" s="4" t="s">
        <v>196</v>
      </c>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t="b">
        <v>0</v>
      </c>
      <c r="AH1222" s="4"/>
      <c r="AI1222" s="4"/>
      <c r="AJ1222" s="4"/>
      <c r="AK1222" s="4"/>
      <c r="AL1222" s="4"/>
      <c r="AM1222" s="4"/>
      <c r="AN1222" s="4"/>
      <c r="AO1222" s="4"/>
      <c r="AP1222" s="4"/>
      <c r="AQ1222" s="4"/>
      <c r="AR1222" s="4"/>
      <c r="AS1222" s="4"/>
      <c r="AT1222" s="4"/>
      <c r="AU1222" s="4"/>
      <c r="AV1222" s="4"/>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4"/>
      <c r="CK1222" s="4"/>
      <c r="CL1222" s="4"/>
      <c r="CM1222" s="4"/>
      <c r="CN1222" s="4"/>
      <c r="CO1222" s="4"/>
      <c r="CP1222" s="4" t="s">
        <v>2283</v>
      </c>
      <c r="CQ1222" s="4"/>
      <c r="CR1222" s="4"/>
      <c r="CS1222" s="4"/>
      <c r="CT1222" s="4"/>
      <c r="CU1222" s="4"/>
      <c r="CV1222" s="4"/>
      <c r="CW1222" s="4"/>
      <c r="CX1222" s="4"/>
      <c r="CY1222" s="4"/>
      <c r="CZ1222" s="4"/>
      <c r="DA1222" s="4"/>
      <c r="DB1222" s="4"/>
      <c r="DC1222" s="4"/>
      <c r="DD1222" s="4"/>
      <c r="DE1222" s="4"/>
      <c r="DF1222" s="4"/>
      <c r="DG1222" s="4"/>
      <c r="DH1222" s="4"/>
      <c r="DI1222" s="4"/>
      <c r="DJ1222" s="4"/>
      <c r="DK1222" s="4"/>
      <c r="DL1222" s="4"/>
      <c r="DM1222" s="4"/>
      <c r="DN1222" s="4"/>
      <c r="DO1222" s="4"/>
      <c r="DP1222" s="4"/>
      <c r="DQ1222" s="4"/>
      <c r="DR1222" s="4"/>
      <c r="DS1222" s="4"/>
      <c r="DT1222" s="4"/>
      <c r="DU1222" s="4"/>
      <c r="DV1222" s="4"/>
      <c r="DW1222" s="4"/>
      <c r="DX1222" s="4"/>
      <c r="DY1222" s="4"/>
      <c r="DZ1222" s="4"/>
      <c r="EA1222" s="4"/>
      <c r="EB1222" s="4"/>
      <c r="EC1222" s="4"/>
      <c r="ED1222" s="4"/>
      <c r="EE1222" s="4"/>
      <c r="EF1222" s="4"/>
      <c r="EG1222" s="4"/>
      <c r="EH1222" s="4"/>
      <c r="EI1222" s="4"/>
    </row>
    <row r="1223" spans="1:139" hidden="1" x14ac:dyDescent="0.2">
      <c r="A1223" t="str">
        <f>VLOOKUP(B1223,Sheet1!$A$1:$B$18,2,FALSE)</f>
        <v>South Island</v>
      </c>
      <c r="B1223" t="str">
        <f>LEFT(D1223,3)</f>
        <v>CAN</v>
      </c>
      <c r="C1223" s="2">
        <v>695</v>
      </c>
      <c r="D1223" s="3" t="str">
        <f>HYPERLINK("https://sitebase.nzcomms.co.nz/spm/spmnominalview/CAN-064-013/","CAN-064-013")</f>
        <v>CAN-064-013</v>
      </c>
      <c r="E1223" s="4" t="s">
        <v>2284</v>
      </c>
      <c r="F1223" s="4"/>
      <c r="G1223" s="4"/>
      <c r="H1223" s="4" t="s">
        <v>2229</v>
      </c>
      <c r="I1223" s="4"/>
      <c r="J1223" s="4" t="s">
        <v>196</v>
      </c>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t="b">
        <v>0</v>
      </c>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4"/>
      <c r="DA1223" s="4"/>
      <c r="DB1223" s="4"/>
      <c r="DC1223" s="4"/>
      <c r="DD1223" s="4"/>
      <c r="DE1223" s="4"/>
      <c r="DF1223" s="4"/>
      <c r="DG1223" s="4"/>
      <c r="DH1223" s="4"/>
      <c r="DI1223" s="4"/>
      <c r="DJ1223" s="4"/>
      <c r="DK1223" s="4"/>
      <c r="DL1223" s="4"/>
      <c r="DM1223" s="4"/>
      <c r="DN1223" s="4"/>
      <c r="DO1223" s="4"/>
      <c r="DP1223" s="4"/>
      <c r="DQ1223" s="4"/>
      <c r="DR1223" s="4"/>
      <c r="DS1223" s="4"/>
      <c r="DT1223" s="4"/>
      <c r="DU1223" s="4"/>
      <c r="DV1223" s="4"/>
      <c r="DW1223" s="4"/>
      <c r="DX1223" s="4"/>
      <c r="DY1223" s="4"/>
      <c r="DZ1223" s="4"/>
      <c r="EA1223" s="4"/>
      <c r="EB1223" s="4"/>
      <c r="EC1223" s="4"/>
      <c r="ED1223" s="4"/>
      <c r="EE1223" s="4"/>
      <c r="EF1223" s="4"/>
      <c r="EG1223" s="4"/>
      <c r="EH1223" s="4"/>
      <c r="EI1223" s="4"/>
    </row>
    <row r="1224" spans="1:139" hidden="1" x14ac:dyDescent="0.2">
      <c r="A1224" t="str">
        <f>VLOOKUP(B1224,Sheet1!$A$1:$B$18,2,FALSE)</f>
        <v>South Island</v>
      </c>
      <c r="B1224" t="str">
        <f>LEFT(D1224,3)</f>
        <v>CAN</v>
      </c>
      <c r="C1224" s="2">
        <v>697</v>
      </c>
      <c r="D1224" s="3" t="str">
        <f>HYPERLINK("https://sitebase.nzcomms.co.nz/spm/spmnominalview/CAN-064-015/","CAN-064-015")</f>
        <v>CAN-064-015</v>
      </c>
      <c r="E1224" s="4" t="s">
        <v>2291</v>
      </c>
      <c r="F1224" s="4"/>
      <c r="G1224" s="4"/>
      <c r="H1224" s="4" t="s">
        <v>2229</v>
      </c>
      <c r="I1224" s="4">
        <v>5</v>
      </c>
      <c r="J1224" s="4" t="s">
        <v>196</v>
      </c>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t="b">
        <v>0</v>
      </c>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t="s">
        <v>2021</v>
      </c>
      <c r="CQ1224" s="4"/>
      <c r="CR1224" s="4"/>
      <c r="CS1224" s="4"/>
      <c r="CT1224" s="4"/>
      <c r="CU1224" s="4"/>
      <c r="CV1224" s="4"/>
      <c r="CW1224" s="4"/>
      <c r="CX1224" s="4"/>
      <c r="CY1224" s="4"/>
      <c r="CZ1224" s="4"/>
      <c r="DA1224" s="4"/>
      <c r="DB1224" s="4"/>
      <c r="DC1224" s="4"/>
      <c r="DD1224" s="4"/>
      <c r="DE1224" s="4"/>
      <c r="DF1224" s="4"/>
      <c r="DG1224" s="4"/>
      <c r="DH1224" s="4"/>
      <c r="DI1224" s="4"/>
      <c r="DJ1224" s="4"/>
      <c r="DK1224" s="4"/>
      <c r="DL1224" s="4"/>
      <c r="DM1224" s="4"/>
      <c r="DN1224" s="4"/>
      <c r="DO1224" s="4"/>
      <c r="DP1224" s="4"/>
      <c r="DQ1224" s="4"/>
      <c r="DR1224" s="4"/>
      <c r="DS1224" s="4"/>
      <c r="DT1224" s="4"/>
      <c r="DU1224" s="4"/>
      <c r="DV1224" s="4"/>
      <c r="DW1224" s="4"/>
      <c r="DX1224" s="4"/>
      <c r="DY1224" s="4"/>
      <c r="DZ1224" s="4"/>
      <c r="EA1224" s="4"/>
      <c r="EB1224" s="4"/>
      <c r="EC1224" s="4"/>
      <c r="ED1224" s="4"/>
      <c r="EE1224" s="4"/>
      <c r="EF1224" s="4"/>
      <c r="EG1224" s="4"/>
      <c r="EH1224" s="4"/>
      <c r="EI1224" s="4"/>
    </row>
    <row r="1225" spans="1:139" hidden="1" x14ac:dyDescent="0.2">
      <c r="A1225" t="str">
        <f>VLOOKUP(B1225,Sheet1!$A$1:$B$18,2,FALSE)</f>
        <v>South Island</v>
      </c>
      <c r="B1225" t="str">
        <f>LEFT(D1225,3)</f>
        <v>CAN</v>
      </c>
      <c r="C1225" s="2">
        <v>698</v>
      </c>
      <c r="D1225" s="3" t="str">
        <f>HYPERLINK("https://sitebase.nzcomms.co.nz/spm/spmnominalview/CAN-064-016/","CAN-064-016")</f>
        <v>CAN-064-016</v>
      </c>
      <c r="E1225" s="4" t="s">
        <v>2292</v>
      </c>
      <c r="F1225" s="3" t="str">
        <f>HYPERLINK("https://sitebase.nzcomms.co.nz/spm/spmcandidateview/CAN-064-016-A/","CAN-064-016-A")</f>
        <v>CAN-064-016-A</v>
      </c>
      <c r="G1225" s="4" t="s">
        <v>2293</v>
      </c>
      <c r="H1225" s="4" t="s">
        <v>2229</v>
      </c>
      <c r="I1225" s="4">
        <v>4</v>
      </c>
      <c r="J1225" s="4" t="s">
        <v>180</v>
      </c>
      <c r="K1225" s="4" t="s">
        <v>141</v>
      </c>
      <c r="L1225" s="4" t="s">
        <v>142</v>
      </c>
      <c r="M1225" s="4" t="s">
        <v>324</v>
      </c>
      <c r="N1225" s="4"/>
      <c r="O1225" s="4"/>
      <c r="P1225" s="4"/>
      <c r="Q1225" s="4" t="s">
        <v>142</v>
      </c>
      <c r="R1225" s="4"/>
      <c r="S1225" s="4"/>
      <c r="T1225" s="4"/>
      <c r="U1225" s="4">
        <v>-44.397000040000002</v>
      </c>
      <c r="V1225" s="4">
        <v>171.25190237000001</v>
      </c>
      <c r="W1225" s="4"/>
      <c r="X1225" s="4"/>
      <c r="Y1225" s="4"/>
      <c r="Z1225" s="4"/>
      <c r="AA1225" s="4"/>
      <c r="AB1225" s="4"/>
      <c r="AC1225" s="4" t="b">
        <v>0</v>
      </c>
      <c r="AD1225" s="4" t="b">
        <v>0</v>
      </c>
      <c r="AE1225" s="4"/>
      <c r="AF1225" s="4"/>
      <c r="AG1225" s="4" t="b">
        <v>0</v>
      </c>
      <c r="AH1225" s="4"/>
      <c r="AI1225" s="5">
        <v>41101</v>
      </c>
      <c r="AJ1225" s="5">
        <v>41109</v>
      </c>
      <c r="AK1225" s="5">
        <v>41101</v>
      </c>
      <c r="AL1225" s="5">
        <v>41109</v>
      </c>
      <c r="AM1225" s="5">
        <v>41101</v>
      </c>
      <c r="AN1225" s="5">
        <v>41173</v>
      </c>
      <c r="AO1225" s="4">
        <v>1</v>
      </c>
      <c r="AP1225" s="4"/>
      <c r="AQ1225" s="5">
        <v>41173</v>
      </c>
      <c r="AR1225" s="4"/>
      <c r="AS1225" s="4"/>
      <c r="AT1225" s="4"/>
      <c r="AU1225" s="5">
        <v>41138</v>
      </c>
      <c r="AV1225" s="4"/>
      <c r="AW1225" s="4"/>
      <c r="AX1225" s="5">
        <v>41358</v>
      </c>
      <c r="AY1225" s="4"/>
      <c r="AZ1225" s="5">
        <v>41155</v>
      </c>
      <c r="BA1225" s="5">
        <v>41212</v>
      </c>
      <c r="BB1225" s="5">
        <v>41144</v>
      </c>
      <c r="BC1225" s="5">
        <v>41212</v>
      </c>
      <c r="BD1225" s="4">
        <v>1</v>
      </c>
      <c r="BE1225" s="4"/>
      <c r="BF1225" s="5">
        <v>41159</v>
      </c>
      <c r="BG1225" s="4"/>
      <c r="BH1225" s="4"/>
      <c r="BI1225" s="4"/>
      <c r="BJ1225" s="4"/>
      <c r="BK1225" s="4"/>
      <c r="BL1225" s="4"/>
      <c r="BM1225" s="4"/>
      <c r="BN1225" s="4"/>
      <c r="BO1225" s="4"/>
      <c r="BP1225" s="4"/>
      <c r="BQ1225" s="4"/>
      <c r="BR1225" s="4"/>
      <c r="BS1225" s="4"/>
      <c r="BT1225" s="5">
        <v>41162</v>
      </c>
      <c r="BU1225" s="5">
        <v>41162</v>
      </c>
      <c r="BV1225" s="5">
        <v>41197</v>
      </c>
      <c r="BW1225" s="5">
        <v>41197</v>
      </c>
      <c r="BX1225" s="5">
        <v>41197</v>
      </c>
      <c r="BY1225" s="5">
        <v>41199</v>
      </c>
      <c r="BZ1225" s="5">
        <v>41199</v>
      </c>
      <c r="CA1225" s="4"/>
      <c r="CB1225" s="4"/>
      <c r="CC1225" s="4"/>
      <c r="CD1225" s="4"/>
      <c r="CE1225" s="4"/>
      <c r="CF1225" s="4"/>
      <c r="CG1225" s="4"/>
      <c r="CH1225" s="4"/>
      <c r="CI1225" s="5">
        <v>41200</v>
      </c>
      <c r="CJ1225" s="4"/>
      <c r="CK1225" s="5">
        <v>41236</v>
      </c>
      <c r="CL1225" s="5">
        <v>41244</v>
      </c>
      <c r="CM1225" s="5">
        <v>41213</v>
      </c>
      <c r="CN1225" s="5">
        <v>41499</v>
      </c>
      <c r="CO1225" s="5">
        <v>41465</v>
      </c>
      <c r="CP1225" s="4" t="s">
        <v>2294</v>
      </c>
      <c r="CQ1225" s="4" t="s">
        <v>205</v>
      </c>
      <c r="CR1225" s="5">
        <v>41200</v>
      </c>
      <c r="CS1225" s="4"/>
      <c r="CT1225" s="4"/>
      <c r="CU1225" s="4"/>
      <c r="CV1225" s="4"/>
      <c r="CW1225" s="4"/>
      <c r="CX1225" s="4"/>
      <c r="CY1225" s="4"/>
      <c r="CZ1225" s="4"/>
      <c r="DA1225" s="4"/>
      <c r="DB1225" s="5">
        <v>41208</v>
      </c>
      <c r="DC1225" s="4"/>
      <c r="DD1225" s="4"/>
      <c r="DE1225" s="4" t="s">
        <v>1982</v>
      </c>
      <c r="DF1225" s="5">
        <v>41175</v>
      </c>
      <c r="DG1225" s="5">
        <v>41212</v>
      </c>
      <c r="DH1225" s="4" t="s">
        <v>174</v>
      </c>
      <c r="DI1225" s="5">
        <v>41192</v>
      </c>
      <c r="DJ1225" s="4" t="b">
        <v>0</v>
      </c>
      <c r="DK1225" s="4"/>
      <c r="DL1225" s="4">
        <v>2370734</v>
      </c>
      <c r="DM1225" s="4">
        <v>5644155</v>
      </c>
      <c r="DN1225" s="4" t="s">
        <v>2295</v>
      </c>
      <c r="DO1225" s="4"/>
      <c r="DP1225" s="4"/>
      <c r="DQ1225" s="4" t="s">
        <v>328</v>
      </c>
      <c r="DR1225" s="4"/>
      <c r="DS1225" s="4"/>
      <c r="DT1225" s="4"/>
      <c r="DU1225" s="4"/>
      <c r="DV1225" s="4"/>
      <c r="DW1225" s="4"/>
      <c r="DX1225" s="4"/>
      <c r="DY1225" s="4"/>
      <c r="DZ1225" s="4"/>
      <c r="EA1225" s="4"/>
      <c r="EB1225" s="4"/>
      <c r="EC1225" s="4"/>
      <c r="ED1225" s="4"/>
      <c r="EE1225" s="4"/>
      <c r="EF1225" s="4"/>
      <c r="EG1225" s="5">
        <v>41207</v>
      </c>
      <c r="EH1225" s="5">
        <v>41208</v>
      </c>
      <c r="EI1225" s="5">
        <v>41109</v>
      </c>
    </row>
    <row r="1226" spans="1:139" hidden="1" x14ac:dyDescent="0.2">
      <c r="A1226" t="str">
        <f>VLOOKUP(B1226,Sheet1!$A$1:$B$18,2,FALSE)</f>
        <v>South Island</v>
      </c>
      <c r="B1226" t="str">
        <f>LEFT(D1226,3)</f>
        <v>CAN</v>
      </c>
      <c r="C1226" s="2">
        <v>701</v>
      </c>
      <c r="D1226" s="3" t="str">
        <f>HYPERLINK("https://sitebase.nzcomms.co.nz/spm/spmnominalview/CAN-065-002/","CAN-065-002")</f>
        <v>CAN-065-002</v>
      </c>
      <c r="E1226" s="4"/>
      <c r="F1226" s="4"/>
      <c r="G1226" s="4"/>
      <c r="H1226" s="4" t="s">
        <v>2301</v>
      </c>
      <c r="I1226" s="4"/>
      <c r="J1226" s="4" t="s">
        <v>196</v>
      </c>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4"/>
      <c r="BS1226" s="4"/>
      <c r="BT1226" s="4"/>
      <c r="BU1226" s="4"/>
      <c r="BV1226" s="4"/>
      <c r="BW1226" s="4"/>
      <c r="BX1226" s="4"/>
      <c r="BY1226" s="4"/>
      <c r="BZ1226" s="4"/>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c r="DM1226" s="4"/>
      <c r="DN1226" s="4"/>
      <c r="DO1226" s="4"/>
      <c r="DP1226" s="4"/>
      <c r="DQ1226" s="4"/>
      <c r="DR1226" s="4"/>
      <c r="DS1226" s="4"/>
      <c r="DT1226" s="4"/>
      <c r="DU1226" s="4"/>
      <c r="DV1226" s="4"/>
      <c r="DW1226" s="4"/>
      <c r="DX1226" s="4"/>
      <c r="DY1226" s="4"/>
      <c r="DZ1226" s="4"/>
      <c r="EA1226" s="4"/>
      <c r="EB1226" s="4"/>
      <c r="EC1226" s="4"/>
      <c r="ED1226" s="4"/>
      <c r="EE1226" s="4"/>
      <c r="EF1226" s="4"/>
      <c r="EG1226" s="4"/>
      <c r="EH1226" s="4"/>
      <c r="EI1226" s="4"/>
    </row>
    <row r="1227" spans="1:139" hidden="1" x14ac:dyDescent="0.2">
      <c r="A1227" t="str">
        <f>VLOOKUP(B1227,Sheet1!$A$1:$B$18,2,FALSE)</f>
        <v>South Island</v>
      </c>
      <c r="B1227" t="str">
        <f>LEFT(D1227,3)</f>
        <v>CAN</v>
      </c>
      <c r="C1227" s="2">
        <v>702</v>
      </c>
      <c r="D1227" s="3" t="str">
        <f>HYPERLINK("https://sitebase.nzcomms.co.nz/spm/spmnominalview/CAN-065-003/","CAN-065-003")</f>
        <v>CAN-065-003</v>
      </c>
      <c r="E1227" s="4"/>
      <c r="F1227" s="4"/>
      <c r="G1227" s="4"/>
      <c r="H1227" s="4" t="s">
        <v>2301</v>
      </c>
      <c r="I1227" s="4"/>
      <c r="J1227" s="4" t="s">
        <v>196</v>
      </c>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4"/>
      <c r="CL1227" s="4"/>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c r="DY1227" s="4"/>
      <c r="DZ1227" s="4"/>
      <c r="EA1227" s="4"/>
      <c r="EB1227" s="4"/>
      <c r="EC1227" s="4"/>
      <c r="ED1227" s="4"/>
      <c r="EE1227" s="4"/>
      <c r="EF1227" s="4"/>
      <c r="EG1227" s="4"/>
      <c r="EH1227" s="4"/>
      <c r="EI1227" s="4"/>
    </row>
    <row r="1228" spans="1:139" hidden="1" x14ac:dyDescent="0.2">
      <c r="A1228" t="str">
        <f>VLOOKUP(B1228,Sheet1!$A$1:$B$18,2,FALSE)</f>
        <v>South Island</v>
      </c>
      <c r="B1228" t="str">
        <f>LEFT(D1228,3)</f>
        <v>CAN</v>
      </c>
      <c r="C1228" s="2">
        <v>703</v>
      </c>
      <c r="D1228" s="3" t="str">
        <f>HYPERLINK("https://sitebase.nzcomms.co.nz/spm/spmnominalview/CAN-065-004/","CAN-065-004")</f>
        <v>CAN-065-004</v>
      </c>
      <c r="E1228" s="4"/>
      <c r="F1228" s="4"/>
      <c r="G1228" s="4"/>
      <c r="H1228" s="4" t="s">
        <v>2301</v>
      </c>
      <c r="I1228" s="4"/>
      <c r="J1228" s="4" t="s">
        <v>196</v>
      </c>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4"/>
      <c r="CV1228" s="4"/>
      <c r="CW1228" s="4"/>
      <c r="CX1228" s="4"/>
      <c r="CY1228" s="4"/>
      <c r="CZ1228" s="4"/>
      <c r="DA1228" s="4"/>
      <c r="DB1228" s="4"/>
      <c r="DC1228" s="4"/>
      <c r="DD1228" s="4"/>
      <c r="DE1228" s="4"/>
      <c r="DF1228" s="4"/>
      <c r="DG1228" s="4"/>
      <c r="DH1228" s="4"/>
      <c r="DI1228" s="4"/>
      <c r="DJ1228" s="4"/>
      <c r="DK1228" s="4"/>
      <c r="DL1228" s="4"/>
      <c r="DM1228" s="4"/>
      <c r="DN1228" s="4"/>
      <c r="DO1228" s="4"/>
      <c r="DP1228" s="4"/>
      <c r="DQ1228" s="4"/>
      <c r="DR1228" s="4"/>
      <c r="DS1228" s="4"/>
      <c r="DT1228" s="4"/>
      <c r="DU1228" s="4"/>
      <c r="DV1228" s="4"/>
      <c r="DW1228" s="4"/>
      <c r="DX1228" s="4"/>
      <c r="DY1228" s="4"/>
      <c r="DZ1228" s="4"/>
      <c r="EA1228" s="4"/>
      <c r="EB1228" s="4"/>
      <c r="EC1228" s="4"/>
      <c r="ED1228" s="4"/>
      <c r="EE1228" s="4"/>
      <c r="EF1228" s="4"/>
      <c r="EG1228" s="4"/>
      <c r="EH1228" s="4"/>
      <c r="EI1228" s="4"/>
    </row>
    <row r="1229" spans="1:139" hidden="1" x14ac:dyDescent="0.2">
      <c r="A1229" t="str">
        <f>VLOOKUP(B1229,Sheet1!$A$1:$B$18,2,FALSE)</f>
        <v>South Island</v>
      </c>
      <c r="B1229" t="str">
        <f>LEFT(D1229,3)</f>
        <v>CAN</v>
      </c>
      <c r="C1229" s="2">
        <v>704</v>
      </c>
      <c r="D1229" s="3" t="str">
        <f>HYPERLINK("https://sitebase.nzcomms.co.nz/spm/spmnominalview/CAN-065-005/","CAN-065-005")</f>
        <v>CAN-065-005</v>
      </c>
      <c r="E1229" s="4"/>
      <c r="F1229" s="4"/>
      <c r="G1229" s="4"/>
      <c r="H1229" s="4" t="s">
        <v>2301</v>
      </c>
      <c r="I1229" s="4"/>
      <c r="J1229" s="4" t="s">
        <v>196</v>
      </c>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c r="BX1229" s="4"/>
      <c r="BY1229" s="4"/>
      <c r="BZ1229" s="4"/>
      <c r="CA1229" s="4"/>
      <c r="CB1229" s="4"/>
      <c r="CC1229" s="4"/>
      <c r="CD1229" s="4"/>
      <c r="CE1229" s="4"/>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c r="DO1229" s="4"/>
      <c r="DP1229" s="4"/>
      <c r="DQ1229" s="4"/>
      <c r="DR1229" s="4"/>
      <c r="DS1229" s="4"/>
      <c r="DT1229" s="4"/>
      <c r="DU1229" s="4"/>
      <c r="DV1229" s="4"/>
      <c r="DW1229" s="4"/>
      <c r="DX1229" s="4"/>
      <c r="DY1229" s="4"/>
      <c r="DZ1229" s="4"/>
      <c r="EA1229" s="4"/>
      <c r="EB1229" s="4"/>
      <c r="EC1229" s="4"/>
      <c r="ED1229" s="4"/>
      <c r="EE1229" s="4"/>
      <c r="EF1229" s="4"/>
      <c r="EG1229" s="4"/>
      <c r="EH1229" s="4"/>
      <c r="EI1229" s="4"/>
    </row>
    <row r="1230" spans="1:139" hidden="1" x14ac:dyDescent="0.2">
      <c r="A1230" t="str">
        <f>VLOOKUP(B1230,Sheet1!$A$1:$B$18,2,FALSE)</f>
        <v>South Island</v>
      </c>
      <c r="B1230" t="str">
        <f>LEFT(D1230,3)</f>
        <v>CAN</v>
      </c>
      <c r="C1230" s="2">
        <v>709</v>
      </c>
      <c r="D1230" s="3" t="str">
        <f>HYPERLINK("https://sitebase.nzcomms.co.nz/spm/spmnominalview/CAN-066-001/","CAN-066-001")</f>
        <v>CAN-066-001</v>
      </c>
      <c r="E1230" s="4"/>
      <c r="F1230" s="4"/>
      <c r="G1230" s="4"/>
      <c r="H1230" s="4" t="s">
        <v>2319</v>
      </c>
      <c r="I1230" s="4"/>
      <c r="J1230" s="4" t="s">
        <v>196</v>
      </c>
      <c r="K1230" s="4"/>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4"/>
      <c r="DF1230" s="4"/>
      <c r="DG1230" s="4"/>
      <c r="DH1230" s="4"/>
      <c r="DI1230" s="4"/>
      <c r="DJ1230" s="4"/>
      <c r="DK1230" s="4"/>
      <c r="DL1230" s="4"/>
      <c r="DM1230" s="4"/>
      <c r="DN1230" s="4"/>
      <c r="DO1230" s="4"/>
      <c r="DP1230" s="4"/>
      <c r="DQ1230" s="4"/>
      <c r="DR1230" s="4"/>
      <c r="DS1230" s="4"/>
      <c r="DT1230" s="4"/>
      <c r="DU1230" s="4"/>
      <c r="DV1230" s="4"/>
      <c r="DW1230" s="4"/>
      <c r="DX1230" s="4"/>
      <c r="DY1230" s="4"/>
      <c r="DZ1230" s="4"/>
      <c r="EA1230" s="4"/>
      <c r="EB1230" s="4"/>
      <c r="EC1230" s="4"/>
      <c r="ED1230" s="4"/>
      <c r="EE1230" s="4"/>
      <c r="EF1230" s="4"/>
      <c r="EG1230" s="4"/>
      <c r="EH1230" s="4"/>
      <c r="EI1230" s="4"/>
    </row>
    <row r="1231" spans="1:139" hidden="1" x14ac:dyDescent="0.2">
      <c r="A1231" t="str">
        <f>VLOOKUP(B1231,Sheet1!$A$1:$B$18,2,FALSE)</f>
        <v>South Island</v>
      </c>
      <c r="B1231" t="str">
        <f>LEFT(D1231,3)</f>
        <v>CAN</v>
      </c>
      <c r="C1231" s="2">
        <v>710</v>
      </c>
      <c r="D1231" s="3" t="str">
        <f>HYPERLINK("https://sitebase.nzcomms.co.nz/spm/spmnominalview/CAN-066-002/","CAN-066-002")</f>
        <v>CAN-066-002</v>
      </c>
      <c r="E1231" s="4"/>
      <c r="F1231" s="4"/>
      <c r="G1231" s="4"/>
      <c r="H1231" s="4" t="s">
        <v>2319</v>
      </c>
      <c r="I1231" s="4"/>
      <c r="J1231" s="4" t="s">
        <v>196</v>
      </c>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c r="AU1231" s="4"/>
      <c r="AV1231" s="4"/>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4"/>
      <c r="CN1231" s="4"/>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c r="EA1231" s="4"/>
      <c r="EB1231" s="4"/>
      <c r="EC1231" s="4"/>
      <c r="ED1231" s="4"/>
      <c r="EE1231" s="4"/>
      <c r="EF1231" s="4"/>
      <c r="EG1231" s="4"/>
      <c r="EH1231" s="4"/>
      <c r="EI1231" s="4"/>
    </row>
    <row r="1232" spans="1:139" hidden="1" x14ac:dyDescent="0.2">
      <c r="A1232" t="str">
        <f>VLOOKUP(B1232,Sheet1!$A$1:$B$18,2,FALSE)</f>
        <v>South Island</v>
      </c>
      <c r="B1232" t="str">
        <f>LEFT(D1232,3)</f>
        <v>CAN</v>
      </c>
      <c r="C1232" s="2">
        <v>712</v>
      </c>
      <c r="D1232" s="3" t="str">
        <f>HYPERLINK("https://sitebase.nzcomms.co.nz/spm/spmnominalview/CAN-066-004/","CAN-066-004")</f>
        <v>CAN-066-004</v>
      </c>
      <c r="E1232" s="4" t="s">
        <v>2326</v>
      </c>
      <c r="F1232" s="4"/>
      <c r="G1232" s="4"/>
      <c r="H1232" s="4" t="s">
        <v>2319</v>
      </c>
      <c r="I1232" s="4">
        <v>21</v>
      </c>
      <c r="J1232" s="4" t="s">
        <v>196</v>
      </c>
      <c r="K1232" s="4"/>
      <c r="L1232" s="4"/>
      <c r="M1232" s="4"/>
      <c r="N1232" s="4"/>
      <c r="O1232" s="4"/>
      <c r="P1232" s="4"/>
      <c r="Q1232" s="4"/>
      <c r="R1232" s="4"/>
      <c r="S1232" s="4"/>
      <c r="T1232" s="4"/>
      <c r="U1232" s="4"/>
      <c r="V1232" s="4"/>
      <c r="W1232" s="4"/>
      <c r="X1232" s="4"/>
      <c r="Y1232" s="4"/>
      <c r="Z1232" s="4"/>
      <c r="AA1232" s="4"/>
      <c r="AB1232" s="4"/>
      <c r="AC1232" s="4"/>
      <c r="AD1232" s="4"/>
      <c r="AE1232" s="4"/>
      <c r="AF1232" s="4"/>
      <c r="AG1232" s="4" t="b">
        <v>0</v>
      </c>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4"/>
      <c r="DF1232" s="4"/>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row>
    <row r="1233" spans="1:139" hidden="1" x14ac:dyDescent="0.2">
      <c r="A1233" t="str">
        <f>VLOOKUP(B1233,Sheet1!$A$1:$B$18,2,FALSE)</f>
        <v>South Island</v>
      </c>
      <c r="B1233" t="str">
        <f>LEFT(D1233,3)</f>
        <v>CAN</v>
      </c>
      <c r="C1233" s="2">
        <v>714</v>
      </c>
      <c r="D1233" s="3" t="str">
        <f>HYPERLINK("https://sitebase.nzcomms.co.nz/spm/spmnominalview/CAN-066-006/","CAN-066-006")</f>
        <v>CAN-066-006</v>
      </c>
      <c r="E1233" s="4" t="s">
        <v>2331</v>
      </c>
      <c r="F1233" s="4"/>
      <c r="G1233" s="4"/>
      <c r="H1233" s="4" t="s">
        <v>2319</v>
      </c>
      <c r="I1233" s="4">
        <v>21</v>
      </c>
      <c r="J1233" s="4" t="s">
        <v>196</v>
      </c>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t="b">
        <v>0</v>
      </c>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4"/>
      <c r="DG1233" s="4"/>
      <c r="DH1233" s="4"/>
      <c r="DI1233" s="4"/>
      <c r="DJ1233" s="4"/>
      <c r="DK1233" s="4"/>
      <c r="DL1233" s="4"/>
      <c r="DM1233" s="4"/>
      <c r="DN1233" s="4"/>
      <c r="DO1233" s="4"/>
      <c r="DP1233" s="4"/>
      <c r="DQ1233" s="4"/>
      <c r="DR1233" s="4"/>
      <c r="DS1233" s="4"/>
      <c r="DT1233" s="4"/>
      <c r="DU1233" s="4"/>
      <c r="DV1233" s="4"/>
      <c r="DW1233" s="4"/>
      <c r="DX1233" s="4"/>
      <c r="DY1233" s="4"/>
      <c r="DZ1233" s="4"/>
      <c r="EA1233" s="4"/>
      <c r="EB1233" s="4"/>
      <c r="EC1233" s="4"/>
      <c r="ED1233" s="4"/>
      <c r="EE1233" s="4"/>
      <c r="EF1233" s="4"/>
      <c r="EG1233" s="4"/>
      <c r="EH1233" s="4"/>
      <c r="EI1233" s="4"/>
    </row>
    <row r="1234" spans="1:139" hidden="1" x14ac:dyDescent="0.2">
      <c r="A1234" t="str">
        <f>VLOOKUP(B1234,Sheet1!$A$1:$B$18,2,FALSE)</f>
        <v>South Island</v>
      </c>
      <c r="B1234" t="str">
        <f>LEFT(D1234,3)</f>
        <v>CAN</v>
      </c>
      <c r="C1234" s="2">
        <v>716</v>
      </c>
      <c r="D1234" s="3" t="str">
        <f>HYPERLINK("https://sitebase.nzcomms.co.nz/spm/spmnominalview/CAN-068-001/","CAN-068-001")</f>
        <v>CAN-068-001</v>
      </c>
      <c r="E1234" s="4"/>
      <c r="F1234" s="4"/>
      <c r="G1234" s="4"/>
      <c r="H1234" s="4" t="s">
        <v>2335</v>
      </c>
      <c r="I1234" s="4"/>
      <c r="J1234" s="4" t="s">
        <v>196</v>
      </c>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4"/>
      <c r="CJ1234" s="4"/>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c r="DW1234" s="4"/>
      <c r="DX1234" s="4"/>
      <c r="DY1234" s="4"/>
      <c r="DZ1234" s="4"/>
      <c r="EA1234" s="4"/>
      <c r="EB1234" s="4"/>
      <c r="EC1234" s="4"/>
      <c r="ED1234" s="4"/>
      <c r="EE1234" s="4"/>
      <c r="EF1234" s="4"/>
      <c r="EG1234" s="4"/>
      <c r="EH1234" s="4"/>
      <c r="EI1234" s="4"/>
    </row>
    <row r="1235" spans="1:139" hidden="1" x14ac:dyDescent="0.2">
      <c r="A1235" t="str">
        <f>VLOOKUP(B1235,Sheet1!$A$1:$B$18,2,FALSE)</f>
        <v>South Island</v>
      </c>
      <c r="B1235" t="str">
        <f>LEFT(D1235,3)</f>
        <v>CAN</v>
      </c>
      <c r="C1235" s="2">
        <v>717</v>
      </c>
      <c r="D1235" s="3" t="str">
        <f>HYPERLINK("https://sitebase.nzcomms.co.nz/spm/spmnominalview/CAN-068-002/","CAN-068-002")</f>
        <v>CAN-068-002</v>
      </c>
      <c r="E1235" s="4"/>
      <c r="F1235" s="4"/>
      <c r="G1235" s="4"/>
      <c r="H1235" s="4" t="s">
        <v>2335</v>
      </c>
      <c r="I1235" s="4"/>
      <c r="J1235" s="4" t="s">
        <v>196</v>
      </c>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4"/>
      <c r="DD1235" s="4"/>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row>
    <row r="1236" spans="1:139" hidden="1" x14ac:dyDescent="0.2">
      <c r="A1236" t="str">
        <f>VLOOKUP(B1236,Sheet1!$A$1:$B$18,2,FALSE)</f>
        <v>South Island</v>
      </c>
      <c r="B1236" t="str">
        <f>LEFT(D1236,3)</f>
        <v>CAN</v>
      </c>
      <c r="C1236" s="2">
        <v>720</v>
      </c>
      <c r="D1236" s="3" t="str">
        <f>HYPERLINK("https://sitebase.nzcomms.co.nz/spm/spmnominalview/CAN-068-005/","CAN-068-005")</f>
        <v>CAN-068-005</v>
      </c>
      <c r="E1236" s="4"/>
      <c r="F1236" s="4"/>
      <c r="G1236" s="4"/>
      <c r="H1236" s="4" t="s">
        <v>2335</v>
      </c>
      <c r="I1236" s="4"/>
      <c r="J1236" s="4" t="s">
        <v>196</v>
      </c>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4"/>
      <c r="DD1236" s="4"/>
      <c r="DE1236" s="4"/>
      <c r="DF1236" s="4"/>
      <c r="DG1236" s="4"/>
      <c r="DH1236" s="4"/>
      <c r="DI1236" s="4"/>
      <c r="DJ1236" s="4"/>
      <c r="DK1236" s="4"/>
      <c r="DL1236" s="4"/>
      <c r="DM1236" s="4"/>
      <c r="DN1236" s="4"/>
      <c r="DO1236" s="4"/>
      <c r="DP1236" s="4"/>
      <c r="DQ1236" s="4"/>
      <c r="DR1236" s="4"/>
      <c r="DS1236" s="4"/>
      <c r="DT1236" s="4"/>
      <c r="DU1236" s="4"/>
      <c r="DV1236" s="4"/>
      <c r="DW1236" s="4"/>
      <c r="DX1236" s="4"/>
      <c r="DY1236" s="4"/>
      <c r="DZ1236" s="4"/>
      <c r="EA1236" s="4"/>
      <c r="EB1236" s="4"/>
      <c r="EC1236" s="4"/>
      <c r="ED1236" s="4"/>
      <c r="EE1236" s="4"/>
      <c r="EF1236" s="4"/>
      <c r="EG1236" s="4"/>
      <c r="EH1236" s="4"/>
      <c r="EI1236" s="4"/>
    </row>
    <row r="1237" spans="1:139" hidden="1" x14ac:dyDescent="0.2">
      <c r="A1237" t="str">
        <f>VLOOKUP(B1237,Sheet1!$A$1:$B$18,2,FALSE)</f>
        <v>South Island</v>
      </c>
      <c r="B1237" t="str">
        <f>LEFT(D1237,3)</f>
        <v>CAN</v>
      </c>
      <c r="C1237" s="2">
        <v>721</v>
      </c>
      <c r="D1237" s="3" t="str">
        <f>HYPERLINK("https://sitebase.nzcomms.co.nz/spm/spmnominalview/CAN-068-006/","CAN-068-006")</f>
        <v>CAN-068-006</v>
      </c>
      <c r="E1237" s="4"/>
      <c r="F1237" s="4"/>
      <c r="G1237" s="4"/>
      <c r="H1237" s="4" t="s">
        <v>2335</v>
      </c>
      <c r="I1237" s="4"/>
      <c r="J1237" s="4" t="s">
        <v>196</v>
      </c>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4"/>
      <c r="DE1237" s="4"/>
      <c r="DF1237" s="4"/>
      <c r="DG1237" s="4"/>
      <c r="DH1237" s="4"/>
      <c r="DI1237" s="4"/>
      <c r="DJ1237" s="4"/>
      <c r="DK1237" s="4"/>
      <c r="DL1237" s="4"/>
      <c r="DM1237" s="4"/>
      <c r="DN1237" s="4"/>
      <c r="DO1237" s="4"/>
      <c r="DP1237" s="4"/>
      <c r="DQ1237" s="4"/>
      <c r="DR1237" s="4"/>
      <c r="DS1237" s="4"/>
      <c r="DT1237" s="4"/>
      <c r="DU1237" s="4"/>
      <c r="DV1237" s="4"/>
      <c r="DW1237" s="4"/>
      <c r="DX1237" s="4"/>
      <c r="DY1237" s="4"/>
      <c r="DZ1237" s="4"/>
      <c r="EA1237" s="4"/>
      <c r="EB1237" s="4"/>
      <c r="EC1237" s="4"/>
      <c r="ED1237" s="4"/>
      <c r="EE1237" s="4"/>
      <c r="EF1237" s="4"/>
      <c r="EG1237" s="4"/>
      <c r="EH1237" s="4"/>
      <c r="EI1237" s="4"/>
    </row>
    <row r="1238" spans="1:139" hidden="1" x14ac:dyDescent="0.2">
      <c r="A1238" t="str">
        <f>VLOOKUP(B1238,Sheet1!$A$1:$B$18,2,FALSE)</f>
        <v>South Island</v>
      </c>
      <c r="B1238" t="str">
        <f>LEFT(D1238,3)</f>
        <v>CAN</v>
      </c>
      <c r="C1238" s="2">
        <v>722</v>
      </c>
      <c r="D1238" s="3" t="str">
        <f>HYPERLINK("https://sitebase.nzcomms.co.nz/spm/spmnominalview/CAN-068-007/","CAN-068-007")</f>
        <v>CAN-068-007</v>
      </c>
      <c r="E1238" s="4"/>
      <c r="F1238" s="4"/>
      <c r="G1238" s="4"/>
      <c r="H1238" s="4" t="s">
        <v>2335</v>
      </c>
      <c r="I1238" s="4"/>
      <c r="J1238" s="4" t="s">
        <v>196</v>
      </c>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4"/>
      <c r="CW1238" s="4"/>
      <c r="CX1238" s="4"/>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row>
    <row r="1239" spans="1:139" hidden="1" x14ac:dyDescent="0.2">
      <c r="A1239" t="str">
        <f>VLOOKUP(B1239,Sheet1!$A$1:$B$18,2,FALSE)</f>
        <v>South Island</v>
      </c>
      <c r="B1239" t="str">
        <f>LEFT(D1239,3)</f>
        <v>CAN</v>
      </c>
      <c r="C1239" s="2">
        <v>723</v>
      </c>
      <c r="D1239" s="3" t="str">
        <f>HYPERLINK("https://sitebase.nzcomms.co.nz/spm/spmnominalview/CAN-068-008/","CAN-068-008")</f>
        <v>CAN-068-008</v>
      </c>
      <c r="E1239" s="4"/>
      <c r="F1239" s="4"/>
      <c r="G1239" s="4"/>
      <c r="H1239" s="4" t="s">
        <v>2335</v>
      </c>
      <c r="I1239" s="4"/>
      <c r="J1239" s="4" t="s">
        <v>196</v>
      </c>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4"/>
      <c r="DB1239" s="4"/>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row>
    <row r="1240" spans="1:139" hidden="1" x14ac:dyDescent="0.2">
      <c r="A1240" t="str">
        <f>VLOOKUP(B1240,Sheet1!$A$1:$B$18,2,FALSE)</f>
        <v>South Island</v>
      </c>
      <c r="B1240" t="str">
        <f>LEFT(D1240,3)</f>
        <v>CAN</v>
      </c>
      <c r="C1240" s="2">
        <v>725</v>
      </c>
      <c r="D1240" s="3" t="str">
        <f>HYPERLINK("https://sitebase.nzcomms.co.nz/spm/spmnominalview/CAN-068-010/","CAN-068-010")</f>
        <v>CAN-068-010</v>
      </c>
      <c r="E1240" s="4" t="s">
        <v>2351</v>
      </c>
      <c r="F1240" s="4"/>
      <c r="G1240" s="4"/>
      <c r="H1240" s="4" t="s">
        <v>2335</v>
      </c>
      <c r="I1240" s="4"/>
      <c r="J1240" s="4" t="s">
        <v>1027</v>
      </c>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4"/>
      <c r="DB1240" s="4"/>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row>
    <row r="1241" spans="1:139" hidden="1" x14ac:dyDescent="0.2">
      <c r="A1241" t="str">
        <f>VLOOKUP(B1241,Sheet1!$A$1:$B$18,2,FALSE)</f>
        <v>South Island</v>
      </c>
      <c r="B1241" t="str">
        <f>LEFT(D1241,3)</f>
        <v>MBN</v>
      </c>
      <c r="C1241" s="2">
        <v>982</v>
      </c>
      <c r="D1241" s="3" t="str">
        <f>HYPERLINK("https://sitebase.nzcomms.co.nz/spm/spmnominalview/MBN-051-001/","MBN-051-001")</f>
        <v>MBN-051-001</v>
      </c>
      <c r="E1241" s="4"/>
      <c r="F1241" s="4"/>
      <c r="G1241" s="4"/>
      <c r="H1241" s="4" t="s">
        <v>3047</v>
      </c>
      <c r="I1241" s="4"/>
      <c r="J1241" s="4" t="s">
        <v>196</v>
      </c>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4"/>
      <c r="DE1241" s="4"/>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row>
    <row r="1242" spans="1:139" hidden="1" x14ac:dyDescent="0.2">
      <c r="A1242" t="str">
        <f>VLOOKUP(B1242,Sheet1!$A$1:$B$18,2,FALSE)</f>
        <v>South Island</v>
      </c>
      <c r="B1242" t="str">
        <f>LEFT(D1242,3)</f>
        <v>MBN</v>
      </c>
      <c r="C1242" s="2">
        <v>983</v>
      </c>
      <c r="D1242" s="3" t="str">
        <f>HYPERLINK("https://sitebase.nzcomms.co.nz/spm/spmnominalview/MBN-051-002/","MBN-051-002")</f>
        <v>MBN-051-002</v>
      </c>
      <c r="E1242" s="4"/>
      <c r="F1242" s="4"/>
      <c r="G1242" s="4"/>
      <c r="H1242" s="4" t="s">
        <v>3047</v>
      </c>
      <c r="I1242" s="4"/>
      <c r="J1242" s="4" t="s">
        <v>196</v>
      </c>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4"/>
      <c r="DD1242" s="4"/>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row>
    <row r="1243" spans="1:139" hidden="1" x14ac:dyDescent="0.2">
      <c r="A1243" t="str">
        <f>VLOOKUP(B1243,Sheet1!$A$1:$B$18,2,FALSE)</f>
        <v>South Island</v>
      </c>
      <c r="B1243" t="str">
        <f>LEFT(D1243,3)</f>
        <v>MBN</v>
      </c>
      <c r="C1243" s="2">
        <v>986</v>
      </c>
      <c r="D1243" s="3" t="str">
        <f>HYPERLINK("https://sitebase.nzcomms.co.nz/spm/spmnominalview/MBN-051-005/","MBN-051-005")</f>
        <v>MBN-051-005</v>
      </c>
      <c r="E1243" s="4"/>
      <c r="F1243" s="4"/>
      <c r="G1243" s="4"/>
      <c r="H1243" s="4" t="s">
        <v>3047</v>
      </c>
      <c r="I1243" s="4"/>
      <c r="J1243" s="4" t="s">
        <v>196</v>
      </c>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4"/>
      <c r="DH1243" s="4"/>
      <c r="DI1243" s="4"/>
      <c r="DJ1243" s="4"/>
      <c r="DK1243" s="4"/>
      <c r="DL1243" s="4"/>
      <c r="DM1243" s="4"/>
      <c r="DN1243" s="4"/>
      <c r="DO1243" s="4"/>
      <c r="DP1243" s="4"/>
      <c r="DQ1243" s="4"/>
      <c r="DR1243" s="4"/>
      <c r="DS1243" s="4"/>
      <c r="DT1243" s="4"/>
      <c r="DU1243" s="4"/>
      <c r="DV1243" s="4"/>
      <c r="DW1243" s="4"/>
      <c r="DX1243" s="4"/>
      <c r="DY1243" s="4"/>
      <c r="DZ1243" s="4"/>
      <c r="EA1243" s="4"/>
      <c r="EB1243" s="4"/>
      <c r="EC1243" s="4"/>
      <c r="ED1243" s="4"/>
      <c r="EE1243" s="4"/>
      <c r="EF1243" s="4"/>
      <c r="EG1243" s="4"/>
      <c r="EH1243" s="4"/>
      <c r="EI1243" s="4"/>
    </row>
    <row r="1244" spans="1:139" hidden="1" x14ac:dyDescent="0.2">
      <c r="A1244" t="str">
        <f>VLOOKUP(B1244,Sheet1!$A$1:$B$18,2,FALSE)</f>
        <v>South Island</v>
      </c>
      <c r="B1244" t="str">
        <f>LEFT(D1244,3)</f>
        <v>MBN</v>
      </c>
      <c r="C1244" s="2">
        <v>987</v>
      </c>
      <c r="D1244" s="3" t="str">
        <f>HYPERLINK("https://sitebase.nzcomms.co.nz/spm/spmnominalview/MBN-051-006/","MBN-051-006")</f>
        <v>MBN-051-006</v>
      </c>
      <c r="E1244" s="4"/>
      <c r="F1244" s="4"/>
      <c r="G1244" s="4"/>
      <c r="H1244" s="4" t="s">
        <v>3047</v>
      </c>
      <c r="I1244" s="4"/>
      <c r="J1244" s="4" t="s">
        <v>196</v>
      </c>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4"/>
      <c r="DC1244" s="4"/>
      <c r="DD1244" s="4"/>
      <c r="DE1244" s="4"/>
      <c r="DF1244" s="4"/>
      <c r="DG1244" s="4"/>
      <c r="DH1244" s="4"/>
      <c r="DI1244" s="4"/>
      <c r="DJ1244" s="4"/>
      <c r="DK1244" s="4"/>
      <c r="DL1244" s="4"/>
      <c r="DM1244" s="4"/>
      <c r="DN1244" s="4"/>
      <c r="DO1244" s="4"/>
      <c r="DP1244" s="4"/>
      <c r="DQ1244" s="4"/>
      <c r="DR1244" s="4"/>
      <c r="DS1244" s="4"/>
      <c r="DT1244" s="4"/>
      <c r="DU1244" s="4"/>
      <c r="DV1244" s="4"/>
      <c r="DW1244" s="4"/>
      <c r="DX1244" s="4"/>
      <c r="DY1244" s="4"/>
      <c r="DZ1244" s="4"/>
      <c r="EA1244" s="4"/>
      <c r="EB1244" s="4"/>
      <c r="EC1244" s="4"/>
      <c r="ED1244" s="4"/>
      <c r="EE1244" s="4"/>
      <c r="EF1244" s="4"/>
      <c r="EG1244" s="4"/>
      <c r="EH1244" s="4"/>
      <c r="EI1244" s="4"/>
    </row>
    <row r="1245" spans="1:139" hidden="1" x14ac:dyDescent="0.2">
      <c r="A1245" t="str">
        <f>VLOOKUP(B1245,Sheet1!$A$1:$B$18,2,FALSE)</f>
        <v>South Island</v>
      </c>
      <c r="B1245" t="str">
        <f>LEFT(D1245,3)</f>
        <v>MBN</v>
      </c>
      <c r="C1245" s="2">
        <v>993</v>
      </c>
      <c r="D1245" s="3" t="str">
        <f>HYPERLINK("https://sitebase.nzcomms.co.nz/spm/spmnominalview/MBN-051-013/","MBN-051-013")</f>
        <v>MBN-051-013</v>
      </c>
      <c r="E1245" s="4" t="s">
        <v>3064</v>
      </c>
      <c r="F1245" s="4"/>
      <c r="G1245" s="4"/>
      <c r="H1245" s="4" t="s">
        <v>3047</v>
      </c>
      <c r="I1245" s="4"/>
      <c r="J1245" s="4" t="s">
        <v>196</v>
      </c>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4"/>
      <c r="DA1245" s="4"/>
      <c r="DB1245" s="4"/>
      <c r="DC1245" s="4"/>
      <c r="DD1245" s="4"/>
      <c r="DE1245" s="4"/>
      <c r="DF1245" s="4"/>
      <c r="DG1245" s="4"/>
      <c r="DH1245" s="4"/>
      <c r="DI1245" s="4"/>
      <c r="DJ1245" s="4"/>
      <c r="DK1245" s="4"/>
      <c r="DL1245" s="4"/>
      <c r="DM1245" s="4"/>
      <c r="DN1245" s="4"/>
      <c r="DO1245" s="4"/>
      <c r="DP1245" s="4"/>
      <c r="DQ1245" s="4"/>
      <c r="DR1245" s="4"/>
      <c r="DS1245" s="4"/>
      <c r="DT1245" s="4"/>
      <c r="DU1245" s="4"/>
      <c r="DV1245" s="4"/>
      <c r="DW1245" s="4"/>
      <c r="DX1245" s="4"/>
      <c r="DY1245" s="4"/>
      <c r="DZ1245" s="4"/>
      <c r="EA1245" s="4"/>
      <c r="EB1245" s="4"/>
      <c r="EC1245" s="4"/>
      <c r="ED1245" s="4"/>
      <c r="EE1245" s="4"/>
      <c r="EF1245" s="4"/>
      <c r="EG1245" s="4"/>
      <c r="EH1245" s="4"/>
      <c r="EI1245" s="4"/>
    </row>
    <row r="1246" spans="1:139" hidden="1" x14ac:dyDescent="0.2">
      <c r="A1246" t="str">
        <f>VLOOKUP(B1246,Sheet1!$A$1:$B$18,2,FALSE)</f>
        <v>South Island</v>
      </c>
      <c r="B1246" t="str">
        <f>LEFT(D1246,3)</f>
        <v>MBN</v>
      </c>
      <c r="C1246" s="2">
        <v>994</v>
      </c>
      <c r="D1246" s="3" t="str">
        <f>HYPERLINK("https://sitebase.nzcomms.co.nz/spm/spmnominalview/MBN-051-014/","MBN-051-014")</f>
        <v>MBN-051-014</v>
      </c>
      <c r="E1246" s="4" t="s">
        <v>3075</v>
      </c>
      <c r="F1246" s="4"/>
      <c r="G1246" s="4"/>
      <c r="H1246" s="4" t="s">
        <v>3047</v>
      </c>
      <c r="I1246" s="4"/>
      <c r="J1246" s="4" t="s">
        <v>196</v>
      </c>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4"/>
      <c r="CT1246" s="4"/>
      <c r="CU1246" s="4"/>
      <c r="CV1246" s="4"/>
      <c r="CW1246" s="4"/>
      <c r="CX1246" s="4"/>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c r="EG1246" s="4"/>
      <c r="EH1246" s="4"/>
      <c r="EI1246" s="4"/>
    </row>
    <row r="1247" spans="1:139" hidden="1" x14ac:dyDescent="0.2">
      <c r="A1247" t="str">
        <f>VLOOKUP(B1247,Sheet1!$A$1:$B$18,2,FALSE)</f>
        <v>South Island</v>
      </c>
      <c r="B1247" t="str">
        <f>LEFT(D1247,3)</f>
        <v>MBN</v>
      </c>
      <c r="C1247" s="2">
        <v>995</v>
      </c>
      <c r="D1247" s="3" t="str">
        <f>HYPERLINK("https://sitebase.nzcomms.co.nz/spm/spmnominalview/MBN-051-015/","MBN-051-015")</f>
        <v>MBN-051-015</v>
      </c>
      <c r="E1247" s="4" t="s">
        <v>3076</v>
      </c>
      <c r="F1247" s="4"/>
      <c r="G1247" s="4"/>
      <c r="H1247" s="4" t="s">
        <v>3047</v>
      </c>
      <c r="I1247" s="4"/>
      <c r="J1247" s="4" t="s">
        <v>722</v>
      </c>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t="b">
        <v>0</v>
      </c>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4"/>
      <c r="CQ1247" s="4"/>
      <c r="CR1247" s="4"/>
      <c r="CS1247" s="4"/>
      <c r="CT1247" s="4"/>
      <c r="CU1247" s="4"/>
      <c r="CV1247" s="4"/>
      <c r="CW1247" s="4"/>
      <c r="CX1247" s="4"/>
      <c r="CY1247" s="4"/>
      <c r="CZ1247" s="4"/>
      <c r="DA1247" s="4"/>
      <c r="DB1247" s="4"/>
      <c r="DC1247" s="4"/>
      <c r="DD1247" s="4"/>
      <c r="DE1247" s="4"/>
      <c r="DF1247" s="4"/>
      <c r="DG1247" s="4"/>
      <c r="DH1247" s="4"/>
      <c r="DI1247" s="4"/>
      <c r="DJ1247" s="4"/>
      <c r="DK1247" s="4"/>
      <c r="DL1247" s="4"/>
      <c r="DM1247" s="4"/>
      <c r="DN1247" s="4"/>
      <c r="DO1247" s="4"/>
      <c r="DP1247" s="4"/>
      <c r="DQ1247" s="4"/>
      <c r="DR1247" s="4"/>
      <c r="DS1247" s="4"/>
      <c r="DT1247" s="4"/>
      <c r="DU1247" s="4"/>
      <c r="DV1247" s="4"/>
      <c r="DW1247" s="4"/>
      <c r="DX1247" s="4"/>
      <c r="DY1247" s="4"/>
      <c r="DZ1247" s="4"/>
      <c r="EA1247" s="4"/>
      <c r="EB1247" s="4"/>
      <c r="EC1247" s="4"/>
      <c r="ED1247" s="4"/>
      <c r="EE1247" s="4"/>
      <c r="EF1247" s="4"/>
      <c r="EG1247" s="4"/>
      <c r="EH1247" s="4"/>
      <c r="EI1247" s="4"/>
    </row>
    <row r="1248" spans="1:139" hidden="1" x14ac:dyDescent="0.2">
      <c r="A1248" t="str">
        <f>VLOOKUP(B1248,Sheet1!$A$1:$B$18,2,FALSE)</f>
        <v>South Island</v>
      </c>
      <c r="B1248" t="str">
        <f>LEFT(D1248,3)</f>
        <v>MBN</v>
      </c>
      <c r="C1248" s="2">
        <v>999</v>
      </c>
      <c r="D1248" s="3" t="str">
        <f>HYPERLINK("https://sitebase.nzcomms.co.nz/spm/spmnominalview/MBN-051-019/","MBN-051-019")</f>
        <v>MBN-051-019</v>
      </c>
      <c r="E1248" s="4" t="s">
        <v>3085</v>
      </c>
      <c r="F1248" s="4"/>
      <c r="G1248" s="4"/>
      <c r="H1248" s="4" t="s">
        <v>3047</v>
      </c>
      <c r="I1248" s="4"/>
      <c r="J1248" s="4" t="s">
        <v>196</v>
      </c>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4"/>
      <c r="DG1248" s="4"/>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row>
    <row r="1249" spans="1:139" hidden="1" x14ac:dyDescent="0.2">
      <c r="A1249" t="str">
        <f>VLOOKUP(B1249,Sheet1!$A$1:$B$18,2,FALSE)</f>
        <v>South Island</v>
      </c>
      <c r="B1249" t="str">
        <f>LEFT(D1249,3)</f>
        <v>MBN</v>
      </c>
      <c r="C1249" s="2">
        <v>1000</v>
      </c>
      <c r="D1249" s="3" t="str">
        <f>HYPERLINK("https://sitebase.nzcomms.co.nz/spm/spmnominalview/MBN-051-020/","MBN-051-020")</f>
        <v>MBN-051-020</v>
      </c>
      <c r="E1249" s="4" t="s">
        <v>3086</v>
      </c>
      <c r="F1249" s="4"/>
      <c r="G1249" s="4"/>
      <c r="H1249" s="4" t="s">
        <v>3047</v>
      </c>
      <c r="I1249" s="4"/>
      <c r="J1249" s="4" t="s">
        <v>196</v>
      </c>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4"/>
      <c r="DF1249" s="4"/>
      <c r="DG1249" s="4"/>
      <c r="DH1249" s="4"/>
      <c r="DI1249" s="4"/>
      <c r="DJ1249" s="4"/>
      <c r="DK1249" s="4"/>
      <c r="DL1249" s="4"/>
      <c r="DM1249" s="4"/>
      <c r="DN1249" s="4"/>
      <c r="DO1249" s="4"/>
      <c r="DP1249" s="4"/>
      <c r="DQ1249" s="4"/>
      <c r="DR1249" s="4"/>
      <c r="DS1249" s="4"/>
      <c r="DT1249" s="4"/>
      <c r="DU1249" s="4"/>
      <c r="DV1249" s="4"/>
      <c r="DW1249" s="4"/>
      <c r="DX1249" s="4"/>
      <c r="DY1249" s="4"/>
      <c r="DZ1249" s="4"/>
      <c r="EA1249" s="4"/>
      <c r="EB1249" s="4"/>
      <c r="EC1249" s="4"/>
      <c r="ED1249" s="4"/>
      <c r="EE1249" s="4"/>
      <c r="EF1249" s="4"/>
      <c r="EG1249" s="4"/>
      <c r="EH1249" s="4"/>
      <c r="EI1249" s="4"/>
    </row>
    <row r="1250" spans="1:139" hidden="1" x14ac:dyDescent="0.2">
      <c r="A1250" t="str">
        <f>VLOOKUP(B1250,Sheet1!$A$1:$B$18,2,FALSE)</f>
        <v>South Island</v>
      </c>
      <c r="B1250" t="str">
        <f>LEFT(D1250,3)</f>
        <v>MBN</v>
      </c>
      <c r="C1250" s="2">
        <v>1001</v>
      </c>
      <c r="D1250" s="3" t="str">
        <f>HYPERLINK("https://sitebase.nzcomms.co.nz/spm/spmnominalview/MBN-051-021/","MBN-051-021")</f>
        <v>MBN-051-021</v>
      </c>
      <c r="E1250" s="4" t="s">
        <v>3087</v>
      </c>
      <c r="F1250" s="4"/>
      <c r="G1250" s="4"/>
      <c r="H1250" s="4" t="s">
        <v>3047</v>
      </c>
      <c r="I1250" s="4"/>
      <c r="J1250" s="4" t="s">
        <v>196</v>
      </c>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t="b">
        <v>0</v>
      </c>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4"/>
      <c r="DE1250" s="4"/>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row>
    <row r="1251" spans="1:139" hidden="1" x14ac:dyDescent="0.2">
      <c r="A1251" t="str">
        <f>VLOOKUP(B1251,Sheet1!$A$1:$B$18,2,FALSE)</f>
        <v>South Island</v>
      </c>
      <c r="B1251" t="str">
        <f>LEFT(D1251,3)</f>
        <v>MBN</v>
      </c>
      <c r="C1251" s="2">
        <v>1002</v>
      </c>
      <c r="D1251" s="3" t="str">
        <f>HYPERLINK("https://sitebase.nzcomms.co.nz/spm/spmnominalview/MBN-051-022/","MBN-051-022")</f>
        <v>MBN-051-022</v>
      </c>
      <c r="E1251" s="4" t="s">
        <v>3088</v>
      </c>
      <c r="F1251" s="4"/>
      <c r="G1251" s="4"/>
      <c r="H1251" s="4" t="s">
        <v>3047</v>
      </c>
      <c r="I1251" s="4">
        <v>21</v>
      </c>
      <c r="J1251" s="4" t="s">
        <v>196</v>
      </c>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t="b">
        <v>0</v>
      </c>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4"/>
      <c r="CU1251" s="4"/>
      <c r="CV1251" s="4"/>
      <c r="CW1251" s="4"/>
      <c r="CX1251" s="4"/>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c r="EH1251" s="4"/>
      <c r="EI1251" s="4"/>
    </row>
    <row r="1252" spans="1:139" hidden="1" x14ac:dyDescent="0.2">
      <c r="A1252" t="str">
        <f>VLOOKUP(B1252,Sheet1!$A$1:$B$18,2,FALSE)</f>
        <v>South Island</v>
      </c>
      <c r="B1252" t="str">
        <f>LEFT(D1252,3)</f>
        <v>MBN</v>
      </c>
      <c r="C1252" s="2">
        <v>1004</v>
      </c>
      <c r="D1252" s="3" t="str">
        <f>HYPERLINK("https://sitebase.nzcomms.co.nz/spm/spmnominalview/MBN-051-024/","MBN-051-024")</f>
        <v>MBN-051-024</v>
      </c>
      <c r="E1252" s="4" t="s">
        <v>3093</v>
      </c>
      <c r="F1252" s="4"/>
      <c r="G1252" s="4"/>
      <c r="H1252" s="4" t="s">
        <v>3047</v>
      </c>
      <c r="I1252" s="4">
        <v>7</v>
      </c>
      <c r="J1252" s="4" t="s">
        <v>196</v>
      </c>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t="b">
        <v>0</v>
      </c>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c r="BM1252" s="4"/>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4"/>
      <c r="CY1252" s="4"/>
      <c r="CZ1252" s="4"/>
      <c r="DA1252" s="4"/>
      <c r="DB1252" s="4"/>
      <c r="DC1252" s="4"/>
      <c r="DD1252" s="4"/>
      <c r="DE1252" s="4"/>
      <c r="DF1252" s="4"/>
      <c r="DG1252" s="4"/>
      <c r="DH1252" s="4"/>
      <c r="DI1252" s="4"/>
      <c r="DJ1252" s="4"/>
      <c r="DK1252" s="4"/>
      <c r="DL1252" s="4"/>
      <c r="DM1252" s="4"/>
      <c r="DN1252" s="4"/>
      <c r="DO1252" s="4"/>
      <c r="DP1252" s="4"/>
      <c r="DQ1252" s="4"/>
      <c r="DR1252" s="4"/>
      <c r="DS1252" s="4"/>
      <c r="DT1252" s="4"/>
      <c r="DU1252" s="4"/>
      <c r="DV1252" s="4"/>
      <c r="DW1252" s="4"/>
      <c r="DX1252" s="4"/>
      <c r="DY1252" s="4"/>
      <c r="DZ1252" s="4"/>
      <c r="EA1252" s="4"/>
      <c r="EB1252" s="4"/>
      <c r="EC1252" s="4"/>
      <c r="ED1252" s="4"/>
      <c r="EE1252" s="4"/>
      <c r="EF1252" s="4"/>
      <c r="EG1252" s="4"/>
      <c r="EH1252" s="4"/>
      <c r="EI1252" s="4"/>
    </row>
    <row r="1253" spans="1:139" hidden="1" x14ac:dyDescent="0.2">
      <c r="A1253" t="str">
        <f>VLOOKUP(B1253,Sheet1!$A$1:$B$18,2,FALSE)</f>
        <v>South Island</v>
      </c>
      <c r="B1253" t="str">
        <f>LEFT(D1253,3)</f>
        <v>MBN</v>
      </c>
      <c r="C1253" s="2">
        <v>1008</v>
      </c>
      <c r="D1253" s="3" t="str">
        <f>HYPERLINK("https://sitebase.nzcomms.co.nz/spm/spmnominalview/MBN-052-004/","MBN-052-004")</f>
        <v>MBN-052-004</v>
      </c>
      <c r="E1253" s="4"/>
      <c r="F1253" s="4"/>
      <c r="G1253" s="4"/>
      <c r="H1253" s="4" t="s">
        <v>3096</v>
      </c>
      <c r="I1253" s="4"/>
      <c r="J1253" s="4" t="s">
        <v>196</v>
      </c>
      <c r="K1253" s="4"/>
      <c r="L1253" s="4"/>
      <c r="M1253" s="4"/>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c r="AT1253" s="4"/>
      <c r="AU1253" s="4"/>
      <c r="AV1253" s="4"/>
      <c r="AW1253" s="4"/>
      <c r="AX1253" s="4"/>
      <c r="AY1253" s="4"/>
      <c r="AZ1253" s="4"/>
      <c r="BA1253" s="4"/>
      <c r="BB1253" s="4"/>
      <c r="BC1253" s="4"/>
      <c r="BD1253" s="4"/>
      <c r="BE1253" s="4"/>
      <c r="BF1253" s="4"/>
      <c r="BG1253" s="4"/>
      <c r="BH1253" s="4"/>
      <c r="BI1253" s="4"/>
      <c r="BJ1253" s="4"/>
      <c r="BK1253" s="4"/>
      <c r="BL1253" s="4"/>
      <c r="BM1253" s="4"/>
      <c r="BN1253" s="4"/>
      <c r="BO1253" s="4"/>
      <c r="BP1253" s="4"/>
      <c r="BQ1253" s="4"/>
      <c r="BR1253" s="4"/>
      <c r="BS1253" s="4"/>
      <c r="BT1253" s="4"/>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4"/>
      <c r="CV1253" s="4"/>
      <c r="CW1253" s="4"/>
      <c r="CX1253" s="4"/>
      <c r="CY1253" s="4"/>
      <c r="CZ1253" s="4"/>
      <c r="DA1253" s="4"/>
      <c r="DB1253" s="4"/>
      <c r="DC1253" s="4"/>
      <c r="DD1253" s="4"/>
      <c r="DE1253" s="4"/>
      <c r="DF1253" s="4"/>
      <c r="DG1253" s="4"/>
      <c r="DH1253" s="4"/>
      <c r="DI1253" s="4"/>
      <c r="DJ1253" s="4"/>
      <c r="DK1253" s="4"/>
      <c r="DL1253" s="4"/>
      <c r="DM1253" s="4"/>
      <c r="DN1253" s="4"/>
      <c r="DO1253" s="4"/>
      <c r="DP1253" s="4"/>
      <c r="DQ1253" s="4"/>
      <c r="DR1253" s="4"/>
      <c r="DS1253" s="4"/>
      <c r="DT1253" s="4"/>
      <c r="DU1253" s="4"/>
      <c r="DV1253" s="4"/>
      <c r="DW1253" s="4"/>
      <c r="DX1253" s="4"/>
      <c r="DY1253" s="4"/>
      <c r="DZ1253" s="4"/>
      <c r="EA1253" s="4"/>
      <c r="EB1253" s="4"/>
      <c r="EC1253" s="4"/>
      <c r="ED1253" s="4"/>
      <c r="EE1253" s="4"/>
      <c r="EF1253" s="4"/>
      <c r="EG1253" s="4"/>
      <c r="EH1253" s="4"/>
      <c r="EI1253" s="4"/>
    </row>
    <row r="1254" spans="1:139" hidden="1" x14ac:dyDescent="0.2">
      <c r="A1254" t="str">
        <f>VLOOKUP(B1254,Sheet1!$A$1:$B$18,2,FALSE)</f>
        <v>South Island</v>
      </c>
      <c r="B1254" t="str">
        <f>LEFT(D1254,3)</f>
        <v>MBN</v>
      </c>
      <c r="C1254" s="2">
        <v>1009</v>
      </c>
      <c r="D1254" s="3" t="str">
        <f>HYPERLINK("https://sitebase.nzcomms.co.nz/spm/spmnominalview/MBN-052-005/","MBN-052-005")</f>
        <v>MBN-052-005</v>
      </c>
      <c r="E1254" s="4"/>
      <c r="F1254" s="4"/>
      <c r="G1254" s="4"/>
      <c r="H1254" s="4" t="s">
        <v>3096</v>
      </c>
      <c r="I1254" s="4"/>
      <c r="J1254" s="4" t="s">
        <v>196</v>
      </c>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c r="AT1254" s="4"/>
      <c r="AU1254" s="4"/>
      <c r="AV1254" s="4"/>
      <c r="AW1254" s="4"/>
      <c r="AX1254" s="4"/>
      <c r="AY1254" s="4"/>
      <c r="AZ1254" s="4"/>
      <c r="BA1254" s="4"/>
      <c r="BB1254" s="4"/>
      <c r="BC1254" s="4"/>
      <c r="BD1254" s="4"/>
      <c r="BE1254" s="4"/>
      <c r="BF1254" s="4"/>
      <c r="BG1254" s="4"/>
      <c r="BH1254" s="4"/>
      <c r="BI1254" s="4"/>
      <c r="BJ1254" s="4"/>
      <c r="BK1254" s="4"/>
      <c r="BL1254" s="4"/>
      <c r="BM1254" s="4"/>
      <c r="BN1254" s="4"/>
      <c r="BO1254" s="4"/>
      <c r="BP1254" s="4"/>
      <c r="BQ1254" s="4"/>
      <c r="BR1254" s="4"/>
      <c r="BS1254" s="4"/>
      <c r="BT1254" s="4"/>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4"/>
      <c r="CW1254" s="4"/>
      <c r="CX1254" s="4"/>
      <c r="CY1254" s="4"/>
      <c r="CZ1254" s="4"/>
      <c r="DA1254" s="4"/>
      <c r="DB1254" s="4"/>
      <c r="DC1254" s="4"/>
      <c r="DD1254" s="4"/>
      <c r="DE1254" s="4"/>
      <c r="DF1254" s="4"/>
      <c r="DG1254" s="4"/>
      <c r="DH1254" s="4"/>
      <c r="DI1254" s="4"/>
      <c r="DJ1254" s="4"/>
      <c r="DK1254" s="4"/>
      <c r="DL1254" s="4"/>
      <c r="DM1254" s="4"/>
      <c r="DN1254" s="4"/>
      <c r="DO1254" s="4"/>
      <c r="DP1254" s="4"/>
      <c r="DQ1254" s="4"/>
      <c r="DR1254" s="4"/>
      <c r="DS1254" s="4"/>
      <c r="DT1254" s="4"/>
      <c r="DU1254" s="4"/>
      <c r="DV1254" s="4"/>
      <c r="DW1254" s="4"/>
      <c r="DX1254" s="4"/>
      <c r="DY1254" s="4"/>
      <c r="DZ1254" s="4"/>
      <c r="EA1254" s="4"/>
      <c r="EB1254" s="4"/>
      <c r="EC1254" s="4"/>
      <c r="ED1254" s="4"/>
      <c r="EE1254" s="4"/>
      <c r="EF1254" s="4"/>
      <c r="EG1254" s="4"/>
      <c r="EH1254" s="4"/>
      <c r="EI1254" s="4"/>
    </row>
    <row r="1255" spans="1:139" hidden="1" x14ac:dyDescent="0.2">
      <c r="A1255" t="str">
        <f>VLOOKUP(B1255,Sheet1!$A$1:$B$18,2,FALSE)</f>
        <v>South Island</v>
      </c>
      <c r="B1255" t="str">
        <f>LEFT(D1255,3)</f>
        <v>MBN</v>
      </c>
      <c r="C1255" s="2">
        <v>1015</v>
      </c>
      <c r="D1255" s="3" t="str">
        <f>HYPERLINK("https://sitebase.nzcomms.co.nz/spm/spmnominalview/MBN-052-011/","MBN-052-011")</f>
        <v>MBN-052-011</v>
      </c>
      <c r="E1255" s="4" t="s">
        <v>3130</v>
      </c>
      <c r="F1255" s="4"/>
      <c r="G1255" s="4"/>
      <c r="H1255" s="4" t="s">
        <v>3096</v>
      </c>
      <c r="I1255" s="4"/>
      <c r="J1255" s="4" t="s">
        <v>196</v>
      </c>
      <c r="K1255" s="4"/>
      <c r="L1255" s="4"/>
      <c r="M1255" s="4"/>
      <c r="N1255" s="4"/>
      <c r="O1255" s="4"/>
      <c r="P1255" s="4"/>
      <c r="Q1255" s="4"/>
      <c r="R1255" s="4"/>
      <c r="S1255" s="4"/>
      <c r="T1255" s="4"/>
      <c r="U1255" s="4"/>
      <c r="V1255" s="4"/>
      <c r="W1255" s="4"/>
      <c r="X1255" s="4"/>
      <c r="Y1255" s="4"/>
      <c r="Z1255" s="4"/>
      <c r="AA1255" s="4"/>
      <c r="AB1255" s="4"/>
      <c r="AC1255" s="4"/>
      <c r="AD1255" s="4"/>
      <c r="AE1255" s="4"/>
      <c r="AF1255" s="4"/>
      <c r="AG1255" s="4" t="b">
        <v>0</v>
      </c>
      <c r="AH1255" s="4"/>
      <c r="AI1255" s="4"/>
      <c r="AJ1255" s="4"/>
      <c r="AK1255" s="4"/>
      <c r="AL1255" s="4"/>
      <c r="AM1255" s="4"/>
      <c r="AN1255" s="4"/>
      <c r="AO1255" s="4"/>
      <c r="AP1255" s="4"/>
      <c r="AQ1255" s="4"/>
      <c r="AR1255" s="4"/>
      <c r="AS1255" s="4"/>
      <c r="AT1255" s="4"/>
      <c r="AU1255" s="4"/>
      <c r="AV1255" s="4"/>
      <c r="AW1255" s="4"/>
      <c r="AX1255" s="4"/>
      <c r="AY1255" s="4"/>
      <c r="AZ1255" s="4"/>
      <c r="BA1255" s="4"/>
      <c r="BB1255" s="4"/>
      <c r="BC1255" s="4"/>
      <c r="BD1255" s="4"/>
      <c r="BE1255" s="4"/>
      <c r="BF1255" s="4"/>
      <c r="BG1255" s="4"/>
      <c r="BH1255" s="4"/>
      <c r="BI1255" s="4"/>
      <c r="BJ1255" s="4"/>
      <c r="BK1255" s="4"/>
      <c r="BL1255" s="4"/>
      <c r="BM1255" s="4"/>
      <c r="BN1255" s="4"/>
      <c r="BO1255" s="4"/>
      <c r="BP1255" s="4"/>
      <c r="BQ1255" s="4"/>
      <c r="BR1255" s="4"/>
      <c r="BS1255" s="4"/>
      <c r="BT1255" s="4"/>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4"/>
      <c r="CW1255" s="4"/>
      <c r="CX1255" s="4"/>
      <c r="CY1255" s="4"/>
      <c r="CZ1255" s="4"/>
      <c r="DA1255" s="4"/>
      <c r="DB1255" s="4"/>
      <c r="DC1255" s="4"/>
      <c r="DD1255" s="4"/>
      <c r="DE1255" s="4"/>
      <c r="DF1255" s="4"/>
      <c r="DG1255" s="4"/>
      <c r="DH1255" s="4"/>
      <c r="DI1255" s="4"/>
      <c r="DJ1255" s="4"/>
      <c r="DK1255" s="4"/>
      <c r="DL1255" s="4"/>
      <c r="DM1255" s="4"/>
      <c r="DN1255" s="4"/>
      <c r="DO1255" s="4"/>
      <c r="DP1255" s="4"/>
      <c r="DQ1255" s="4"/>
      <c r="DR1255" s="4"/>
      <c r="DS1255" s="4"/>
      <c r="DT1255" s="4"/>
      <c r="DU1255" s="4"/>
      <c r="DV1255" s="4"/>
      <c r="DW1255" s="4"/>
      <c r="DX1255" s="4"/>
      <c r="DY1255" s="4"/>
      <c r="DZ1255" s="4"/>
      <c r="EA1255" s="4"/>
      <c r="EB1255" s="4"/>
      <c r="EC1255" s="4"/>
      <c r="ED1255" s="4"/>
      <c r="EE1255" s="4"/>
      <c r="EF1255" s="4"/>
      <c r="EG1255" s="4"/>
      <c r="EH1255" s="4"/>
      <c r="EI1255" s="4"/>
    </row>
    <row r="1256" spans="1:139" hidden="1" x14ac:dyDescent="0.2">
      <c r="A1256" t="str">
        <f>VLOOKUP(B1256,Sheet1!$A$1:$B$18,2,FALSE)</f>
        <v>South Island</v>
      </c>
      <c r="B1256" t="str">
        <f>LEFT(D1256,3)</f>
        <v>MBN</v>
      </c>
      <c r="C1256" s="2">
        <v>1017</v>
      </c>
      <c r="D1256" s="3" t="str">
        <f>HYPERLINK("https://sitebase.nzcomms.co.nz/spm/spmnominalview/MBN-052-013/","MBN-052-013")</f>
        <v>MBN-052-013</v>
      </c>
      <c r="E1256" s="4" t="s">
        <v>3134</v>
      </c>
      <c r="F1256" s="4"/>
      <c r="G1256" s="4"/>
      <c r="H1256" s="4" t="s">
        <v>3096</v>
      </c>
      <c r="I1256" s="4">
        <v>7</v>
      </c>
      <c r="J1256" s="4" t="s">
        <v>196</v>
      </c>
      <c r="K1256" s="4"/>
      <c r="L1256" s="4"/>
      <c r="M1256" s="4"/>
      <c r="N1256" s="4"/>
      <c r="O1256" s="4"/>
      <c r="P1256" s="4"/>
      <c r="Q1256" s="4"/>
      <c r="R1256" s="4"/>
      <c r="S1256" s="4"/>
      <c r="T1256" s="4"/>
      <c r="U1256" s="4"/>
      <c r="V1256" s="4"/>
      <c r="W1256" s="4"/>
      <c r="X1256" s="4"/>
      <c r="Y1256" s="4"/>
      <c r="Z1256" s="4"/>
      <c r="AA1256" s="4"/>
      <c r="AB1256" s="4"/>
      <c r="AC1256" s="4"/>
      <c r="AD1256" s="4"/>
      <c r="AE1256" s="4"/>
      <c r="AF1256" s="4"/>
      <c r="AG1256" s="4" t="b">
        <v>0</v>
      </c>
      <c r="AH1256" s="4"/>
      <c r="AI1256" s="4"/>
      <c r="AJ1256" s="4"/>
      <c r="AK1256" s="4"/>
      <c r="AL1256" s="4"/>
      <c r="AM1256" s="4"/>
      <c r="AN1256" s="4"/>
      <c r="AO1256" s="4"/>
      <c r="AP1256" s="4"/>
      <c r="AQ1256" s="4"/>
      <c r="AR1256" s="4"/>
      <c r="AS1256" s="4"/>
      <c r="AT1256" s="4"/>
      <c r="AU1256" s="4"/>
      <c r="AV1256" s="4"/>
      <c r="AW1256" s="4"/>
      <c r="AX1256" s="4"/>
      <c r="AY1256" s="4"/>
      <c r="AZ1256" s="4"/>
      <c r="BA1256" s="4"/>
      <c r="BB1256" s="4"/>
      <c r="BC1256" s="4"/>
      <c r="BD1256" s="4"/>
      <c r="BE1256" s="4"/>
      <c r="BF1256" s="4"/>
      <c r="BG1256" s="4"/>
      <c r="BH1256" s="4"/>
      <c r="BI1256" s="4"/>
      <c r="BJ1256" s="4"/>
      <c r="BK1256" s="4"/>
      <c r="BL1256" s="4"/>
      <c r="BM1256" s="4"/>
      <c r="BN1256" s="4"/>
      <c r="BO1256" s="4"/>
      <c r="BP1256" s="4"/>
      <c r="BQ1256" s="4"/>
      <c r="BR1256" s="4"/>
      <c r="BS1256" s="4"/>
      <c r="BT1256" s="4"/>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t="s">
        <v>3135</v>
      </c>
      <c r="CQ1256" s="4"/>
      <c r="CR1256" s="4"/>
      <c r="CS1256" s="4"/>
      <c r="CT1256" s="4"/>
      <c r="CU1256" s="4"/>
      <c r="CV1256" s="4"/>
      <c r="CW1256" s="4"/>
      <c r="CX1256" s="4"/>
      <c r="CY1256" s="4"/>
      <c r="CZ1256" s="4"/>
      <c r="DA1256" s="4"/>
      <c r="DB1256" s="4"/>
      <c r="DC1256" s="4"/>
      <c r="DD1256" s="4"/>
      <c r="DE1256" s="4"/>
      <c r="DF1256" s="4"/>
      <c r="DG1256" s="4"/>
      <c r="DH1256" s="4"/>
      <c r="DI1256" s="4"/>
      <c r="DJ1256" s="4"/>
      <c r="DK1256" s="4"/>
      <c r="DL1256" s="4"/>
      <c r="DM1256" s="4"/>
      <c r="DN1256" s="4"/>
      <c r="DO1256" s="4"/>
      <c r="DP1256" s="4"/>
      <c r="DQ1256" s="4"/>
      <c r="DR1256" s="4"/>
      <c r="DS1256" s="4"/>
      <c r="DT1256" s="4"/>
      <c r="DU1256" s="4"/>
      <c r="DV1256" s="4"/>
      <c r="DW1256" s="4"/>
      <c r="DX1256" s="4"/>
      <c r="DY1256" s="4"/>
      <c r="DZ1256" s="4"/>
      <c r="EA1256" s="4"/>
      <c r="EB1256" s="4"/>
      <c r="EC1256" s="4"/>
      <c r="ED1256" s="4"/>
      <c r="EE1256" s="4"/>
      <c r="EF1256" s="4"/>
      <c r="EG1256" s="4"/>
      <c r="EH1256" s="4"/>
      <c r="EI1256" s="4"/>
    </row>
    <row r="1257" spans="1:139" hidden="1" x14ac:dyDescent="0.2">
      <c r="A1257" t="str">
        <f>VLOOKUP(B1257,Sheet1!$A$1:$B$18,2,FALSE)</f>
        <v>South Island</v>
      </c>
      <c r="B1257" t="str">
        <f>LEFT(D1257,3)</f>
        <v>MBN</v>
      </c>
      <c r="C1257" s="2">
        <v>1018</v>
      </c>
      <c r="D1257" s="3" t="str">
        <f>HYPERLINK("https://sitebase.nzcomms.co.nz/spm/spmnominalview/MBN-052-014/","MBN-052-014")</f>
        <v>MBN-052-014</v>
      </c>
      <c r="E1257" s="4" t="s">
        <v>3136</v>
      </c>
      <c r="F1257" s="4"/>
      <c r="G1257" s="4"/>
      <c r="H1257" s="4" t="s">
        <v>3096</v>
      </c>
      <c r="I1257" s="4">
        <v>7</v>
      </c>
      <c r="J1257" s="4" t="s">
        <v>196</v>
      </c>
      <c r="K1257" s="4"/>
      <c r="L1257" s="4"/>
      <c r="M1257" s="4"/>
      <c r="N1257" s="4"/>
      <c r="O1257" s="4"/>
      <c r="P1257" s="4"/>
      <c r="Q1257" s="4"/>
      <c r="R1257" s="4"/>
      <c r="S1257" s="4"/>
      <c r="T1257" s="4"/>
      <c r="U1257" s="4"/>
      <c r="V1257" s="4"/>
      <c r="W1257" s="4"/>
      <c r="X1257" s="4"/>
      <c r="Y1257" s="4"/>
      <c r="Z1257" s="4"/>
      <c r="AA1257" s="4"/>
      <c r="AB1257" s="4"/>
      <c r="AC1257" s="4"/>
      <c r="AD1257" s="4"/>
      <c r="AE1257" s="4"/>
      <c r="AF1257" s="4"/>
      <c r="AG1257" s="4" t="b">
        <v>0</v>
      </c>
      <c r="AH1257" s="4"/>
      <c r="AI1257" s="4"/>
      <c r="AJ1257" s="4"/>
      <c r="AK1257" s="4"/>
      <c r="AL1257" s="4"/>
      <c r="AM1257" s="4"/>
      <c r="AN1257" s="4"/>
      <c r="AO1257" s="4"/>
      <c r="AP1257" s="4"/>
      <c r="AQ1257" s="4"/>
      <c r="AR1257" s="4"/>
      <c r="AS1257" s="4"/>
      <c r="AT1257" s="4"/>
      <c r="AU1257" s="4"/>
      <c r="AV1257" s="4"/>
      <c r="AW1257" s="4"/>
      <c r="AX1257" s="4"/>
      <c r="AY1257" s="4"/>
      <c r="AZ1257" s="4"/>
      <c r="BA1257" s="4"/>
      <c r="BB1257" s="4"/>
      <c r="BC1257" s="4"/>
      <c r="BD1257" s="4"/>
      <c r="BE1257" s="4"/>
      <c r="BF1257" s="4"/>
      <c r="BG1257" s="4"/>
      <c r="BH1257" s="4"/>
      <c r="BI1257" s="4"/>
      <c r="BJ1257" s="4"/>
      <c r="BK1257" s="4"/>
      <c r="BL1257" s="4"/>
      <c r="BM1257" s="4"/>
      <c r="BN1257" s="4"/>
      <c r="BO1257" s="4"/>
      <c r="BP1257" s="4"/>
      <c r="BQ1257" s="4"/>
      <c r="BR1257" s="4"/>
      <c r="BS1257" s="4"/>
      <c r="BT1257" s="4"/>
      <c r="BU1257" s="4"/>
      <c r="BV1257" s="4"/>
      <c r="BW1257" s="4"/>
      <c r="BX1257" s="4"/>
      <c r="BY1257" s="4"/>
      <c r="BZ1257" s="4"/>
      <c r="CA1257" s="4"/>
      <c r="CB1257" s="4"/>
      <c r="CC1257" s="4"/>
      <c r="CD1257" s="4"/>
      <c r="CE1257" s="4"/>
      <c r="CF1257" s="4"/>
      <c r="CG1257" s="4"/>
      <c r="CH1257" s="4"/>
      <c r="CI1257" s="4"/>
      <c r="CJ1257" s="4"/>
      <c r="CK1257" s="4"/>
      <c r="CL1257" s="4"/>
      <c r="CM1257" s="4"/>
      <c r="CN1257" s="4"/>
      <c r="CO1257" s="4"/>
      <c r="CP1257" s="4" t="s">
        <v>3137</v>
      </c>
      <c r="CQ1257" s="4"/>
      <c r="CR1257" s="4"/>
      <c r="CS1257" s="4"/>
      <c r="CT1257" s="4"/>
      <c r="CU1257" s="4"/>
      <c r="CV1257" s="4"/>
      <c r="CW1257" s="4"/>
      <c r="CX1257" s="4"/>
      <c r="CY1257" s="4"/>
      <c r="CZ1257" s="4"/>
      <c r="DA1257" s="4"/>
      <c r="DB1257" s="4"/>
      <c r="DC1257" s="4"/>
      <c r="DD1257" s="4"/>
      <c r="DE1257" s="4"/>
      <c r="DF1257" s="4"/>
      <c r="DG1257" s="4"/>
      <c r="DH1257" s="4"/>
      <c r="DI1257" s="4"/>
      <c r="DJ1257" s="4"/>
      <c r="DK1257" s="4"/>
      <c r="DL1257" s="4"/>
      <c r="DM1257" s="4"/>
      <c r="DN1257" s="4"/>
      <c r="DO1257" s="4"/>
      <c r="DP1257" s="4"/>
      <c r="DQ1257" s="4"/>
      <c r="DR1257" s="4"/>
      <c r="DS1257" s="4"/>
      <c r="DT1257" s="4"/>
      <c r="DU1257" s="4"/>
      <c r="DV1257" s="4"/>
      <c r="DW1257" s="4"/>
      <c r="DX1257" s="4"/>
      <c r="DY1257" s="4"/>
      <c r="DZ1257" s="4"/>
      <c r="EA1257" s="4"/>
      <c r="EB1257" s="4"/>
      <c r="EC1257" s="4"/>
      <c r="ED1257" s="4"/>
      <c r="EE1257" s="4"/>
      <c r="EF1257" s="4"/>
      <c r="EG1257" s="4"/>
      <c r="EH1257" s="4"/>
      <c r="EI1257" s="4"/>
    </row>
    <row r="1258" spans="1:139" hidden="1" x14ac:dyDescent="0.2">
      <c r="A1258" t="str">
        <f>VLOOKUP(B1258,Sheet1!$A$1:$B$18,2,FALSE)</f>
        <v>South Island</v>
      </c>
      <c r="B1258" t="str">
        <f>LEFT(D1258,3)</f>
        <v>MBN</v>
      </c>
      <c r="C1258" s="2">
        <v>1020</v>
      </c>
      <c r="D1258" s="3" t="str">
        <f>HYPERLINK("https://sitebase.nzcomms.co.nz/spm/spmnominalview/MBN-052-016/","MBN-052-016")</f>
        <v>MBN-052-016</v>
      </c>
      <c r="E1258" s="4" t="s">
        <v>3142</v>
      </c>
      <c r="F1258" s="3" t="str">
        <f>HYPERLINK("https://sitebase.nzcomms.co.nz/spm/spmcandidateview/MBN-052-016-C/","MBN-052-016-C")</f>
        <v>MBN-052-016-C</v>
      </c>
      <c r="G1258" s="4" t="s">
        <v>3143</v>
      </c>
      <c r="H1258" s="4" t="s">
        <v>3096</v>
      </c>
      <c r="I1258" s="4">
        <v>7</v>
      </c>
      <c r="J1258" s="4" t="s">
        <v>180</v>
      </c>
      <c r="K1258" s="4" t="s">
        <v>141</v>
      </c>
      <c r="L1258" s="4" t="s">
        <v>150</v>
      </c>
      <c r="M1258" s="4" t="s">
        <v>190</v>
      </c>
      <c r="N1258" s="4" t="s">
        <v>291</v>
      </c>
      <c r="O1258" s="4"/>
      <c r="P1258" s="4" t="s">
        <v>169</v>
      </c>
      <c r="Q1258" s="4" t="s">
        <v>170</v>
      </c>
      <c r="R1258" s="4">
        <v>20</v>
      </c>
      <c r="S1258" s="4">
        <v>20</v>
      </c>
      <c r="T1258" s="4">
        <v>1</v>
      </c>
      <c r="U1258" s="4">
        <v>-41.202982349999999</v>
      </c>
      <c r="V1258" s="4">
        <v>173.32439643999999</v>
      </c>
      <c r="W1258" s="4"/>
      <c r="X1258" s="4"/>
      <c r="Y1258" s="4"/>
      <c r="Z1258" s="4"/>
      <c r="AA1258" s="4" t="s">
        <v>171</v>
      </c>
      <c r="AB1258" s="3" t="str">
        <f>HYPERLINK("https://sitebase.nzcomms.co.nz/spm/spmcandidateview/MBN-052-010-A/","MBN-052-010-A")</f>
        <v>MBN-052-010-A</v>
      </c>
      <c r="AC1258" s="4" t="b">
        <v>0</v>
      </c>
      <c r="AD1258" s="4" t="b">
        <v>0</v>
      </c>
      <c r="AE1258" s="4"/>
      <c r="AF1258" s="4"/>
      <c r="AG1258" s="4" t="b">
        <v>0</v>
      </c>
      <c r="AH1258" s="4"/>
      <c r="AI1258" s="5">
        <v>41229</v>
      </c>
      <c r="AJ1258" s="5">
        <v>41228</v>
      </c>
      <c r="AK1258" s="5">
        <v>41236</v>
      </c>
      <c r="AL1258" s="5">
        <v>41236</v>
      </c>
      <c r="AM1258" s="5">
        <v>41262</v>
      </c>
      <c r="AN1258" s="5">
        <v>41263</v>
      </c>
      <c r="AO1258" s="4">
        <v>1</v>
      </c>
      <c r="AP1258" s="5">
        <v>41262</v>
      </c>
      <c r="AQ1258" s="5">
        <v>41263</v>
      </c>
      <c r="AR1258" s="5">
        <v>41432</v>
      </c>
      <c r="AS1258" s="4"/>
      <c r="AT1258" s="5">
        <v>41474</v>
      </c>
      <c r="AU1258" s="4"/>
      <c r="AV1258" s="4"/>
      <c r="AW1258" s="5">
        <v>41474</v>
      </c>
      <c r="AX1258" s="4"/>
      <c r="AY1258" s="4" t="s">
        <v>198</v>
      </c>
      <c r="AZ1258" s="5">
        <v>41313</v>
      </c>
      <c r="BA1258" s="5">
        <v>41312</v>
      </c>
      <c r="BB1258" s="5">
        <v>41474</v>
      </c>
      <c r="BC1258" s="4"/>
      <c r="BD1258" s="4">
        <v>1</v>
      </c>
      <c r="BE1258" s="5">
        <v>41474</v>
      </c>
      <c r="BF1258" s="4"/>
      <c r="BG1258" s="4"/>
      <c r="BH1258" s="4"/>
      <c r="BI1258" s="4"/>
      <c r="BJ1258" s="4"/>
      <c r="BK1258" s="4"/>
      <c r="BL1258" s="4"/>
      <c r="BM1258" s="4"/>
      <c r="BN1258" s="4"/>
      <c r="BO1258" s="4"/>
      <c r="BP1258" s="4"/>
      <c r="BQ1258" s="4"/>
      <c r="BR1258" s="4"/>
      <c r="BS1258" s="4"/>
      <c r="BT1258" s="4"/>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t="s">
        <v>3144</v>
      </c>
      <c r="CQ1258" s="4"/>
      <c r="CR1258" s="4"/>
      <c r="CS1258" s="4"/>
      <c r="CT1258" s="4"/>
      <c r="CU1258" s="4"/>
      <c r="CV1258" s="4"/>
      <c r="CW1258" s="4"/>
      <c r="CX1258" s="4"/>
      <c r="CY1258" s="4"/>
      <c r="CZ1258" s="4"/>
      <c r="DA1258" s="4"/>
      <c r="DB1258" s="4"/>
      <c r="DC1258" s="5">
        <v>41296</v>
      </c>
      <c r="DD1258" s="4" t="s">
        <v>586</v>
      </c>
      <c r="DE1258" s="4" t="s">
        <v>3057</v>
      </c>
      <c r="DF1258" s="4"/>
      <c r="DG1258" s="4"/>
      <c r="DH1258" s="4" t="s">
        <v>240</v>
      </c>
      <c r="DI1258" s="4"/>
      <c r="DJ1258" s="4" t="b">
        <v>0</v>
      </c>
      <c r="DK1258" s="4"/>
      <c r="DL1258" s="4">
        <v>2537194</v>
      </c>
      <c r="DM1258" s="4">
        <v>6000365</v>
      </c>
      <c r="DN1258" s="4" t="s">
        <v>3145</v>
      </c>
      <c r="DO1258" s="4"/>
      <c r="DP1258" s="4" t="s">
        <v>3146</v>
      </c>
      <c r="DQ1258" s="4"/>
      <c r="DR1258" s="4"/>
      <c r="DS1258" s="4"/>
      <c r="DT1258" s="4"/>
      <c r="DU1258" s="4"/>
      <c r="DV1258" s="4"/>
      <c r="DW1258" s="4"/>
      <c r="DX1258" s="4"/>
      <c r="DY1258" s="4"/>
      <c r="DZ1258" s="4"/>
      <c r="EA1258" s="4"/>
      <c r="EB1258" s="4"/>
      <c r="EC1258" s="4"/>
      <c r="ED1258" s="4"/>
      <c r="EE1258" s="4"/>
      <c r="EF1258" s="4"/>
      <c r="EG1258" s="4"/>
      <c r="EH1258" s="4"/>
      <c r="EI1258" s="5">
        <v>41235</v>
      </c>
    </row>
    <row r="1259" spans="1:139" hidden="1" x14ac:dyDescent="0.2">
      <c r="A1259" t="str">
        <f>VLOOKUP(B1259,Sheet1!$A$1:$B$18,2,FALSE)</f>
        <v>South Island</v>
      </c>
      <c r="B1259" t="str">
        <f>LEFT(D1259,3)</f>
        <v>MBN</v>
      </c>
      <c r="C1259" s="2">
        <v>1022</v>
      </c>
      <c r="D1259" s="3" t="str">
        <f>HYPERLINK("https://sitebase.nzcomms.co.nz/spm/spmnominalview/MBN-052-018/","MBN-052-018")</f>
        <v>MBN-052-018</v>
      </c>
      <c r="E1259" s="4" t="s">
        <v>3151</v>
      </c>
      <c r="F1259" s="4"/>
      <c r="G1259" s="4"/>
      <c r="H1259" s="4" t="s">
        <v>3096</v>
      </c>
      <c r="I1259" s="4"/>
      <c r="J1259" s="4" t="s">
        <v>196</v>
      </c>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t="b">
        <v>0</v>
      </c>
      <c r="AH1259" s="4"/>
      <c r="AI1259" s="4"/>
      <c r="AJ1259" s="4"/>
      <c r="AK1259" s="4"/>
      <c r="AL1259" s="4"/>
      <c r="AM1259" s="4"/>
      <c r="AN1259" s="4"/>
      <c r="AO1259" s="4"/>
      <c r="AP1259" s="4"/>
      <c r="AQ1259" s="4"/>
      <c r="AR1259" s="4"/>
      <c r="AS1259" s="4"/>
      <c r="AT1259" s="4"/>
      <c r="AU1259" s="4"/>
      <c r="AV1259" s="4"/>
      <c r="AW1259" s="4"/>
      <c r="AX1259" s="4"/>
      <c r="AY1259" s="4"/>
      <c r="AZ1259" s="4"/>
      <c r="BA1259" s="4"/>
      <c r="BB1259" s="4"/>
      <c r="BC1259" s="4"/>
      <c r="BD1259" s="4"/>
      <c r="BE1259" s="4"/>
      <c r="BF1259" s="4"/>
      <c r="BG1259" s="4"/>
      <c r="BH1259" s="4"/>
      <c r="BI1259" s="4"/>
      <c r="BJ1259" s="4"/>
      <c r="BK1259" s="4"/>
      <c r="BL1259" s="4"/>
      <c r="BM1259" s="4"/>
      <c r="BN1259" s="4"/>
      <c r="BO1259" s="4"/>
      <c r="BP1259" s="4"/>
      <c r="BQ1259" s="4"/>
      <c r="BR1259" s="4"/>
      <c r="BS1259" s="4"/>
      <c r="BT1259" s="4"/>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4"/>
      <c r="CW1259" s="4"/>
      <c r="CX1259" s="4"/>
      <c r="CY1259" s="4"/>
      <c r="CZ1259" s="4"/>
      <c r="DA1259" s="4"/>
      <c r="DB1259" s="4"/>
      <c r="DC1259" s="4"/>
      <c r="DD1259" s="4"/>
      <c r="DE1259" s="4"/>
      <c r="DF1259" s="4"/>
      <c r="DG1259" s="4"/>
      <c r="DH1259" s="4"/>
      <c r="DI1259" s="4"/>
      <c r="DJ1259" s="4"/>
      <c r="DK1259" s="4"/>
      <c r="DL1259" s="4"/>
      <c r="DM1259" s="4"/>
      <c r="DN1259" s="4"/>
      <c r="DO1259" s="4"/>
      <c r="DP1259" s="4"/>
      <c r="DQ1259" s="4"/>
      <c r="DR1259" s="4"/>
      <c r="DS1259" s="4"/>
      <c r="DT1259" s="4"/>
      <c r="DU1259" s="4"/>
      <c r="DV1259" s="4"/>
      <c r="DW1259" s="4"/>
      <c r="DX1259" s="4"/>
      <c r="DY1259" s="4"/>
      <c r="DZ1259" s="4"/>
      <c r="EA1259" s="4"/>
      <c r="EB1259" s="4"/>
      <c r="EC1259" s="4"/>
      <c r="ED1259" s="4"/>
      <c r="EE1259" s="4"/>
      <c r="EF1259" s="4"/>
      <c r="EG1259" s="4"/>
      <c r="EH1259" s="4"/>
      <c r="EI1259" s="4"/>
    </row>
    <row r="1260" spans="1:139" hidden="1" x14ac:dyDescent="0.2">
      <c r="A1260" t="str">
        <f>VLOOKUP(B1260,Sheet1!$A$1:$B$18,2,FALSE)</f>
        <v>South Island</v>
      </c>
      <c r="B1260" t="str">
        <f>LEFT(D1260,3)</f>
        <v>MBN</v>
      </c>
      <c r="C1260" s="2">
        <v>1023</v>
      </c>
      <c r="D1260" s="3" t="str">
        <f>HYPERLINK("https://sitebase.nzcomms.co.nz/spm/spmnominalview/MBN-053-001/","MBN-053-001")</f>
        <v>MBN-053-001</v>
      </c>
      <c r="E1260" s="4"/>
      <c r="F1260" s="4"/>
      <c r="G1260" s="4"/>
      <c r="H1260" s="4" t="s">
        <v>3152</v>
      </c>
      <c r="I1260" s="4"/>
      <c r="J1260" s="4" t="s">
        <v>196</v>
      </c>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c r="AT1260" s="4"/>
      <c r="AU1260" s="4"/>
      <c r="AV1260" s="4"/>
      <c r="AW1260" s="4"/>
      <c r="AX1260" s="4"/>
      <c r="AY1260" s="4"/>
      <c r="AZ1260" s="4"/>
      <c r="BA1260" s="4"/>
      <c r="BB1260" s="4"/>
      <c r="BC1260" s="4"/>
      <c r="BD1260" s="4"/>
      <c r="BE1260" s="4"/>
      <c r="BF1260" s="4"/>
      <c r="BG1260" s="4"/>
      <c r="BH1260" s="4"/>
      <c r="BI1260" s="4"/>
      <c r="BJ1260" s="4"/>
      <c r="BK1260" s="4"/>
      <c r="BL1260" s="4"/>
      <c r="BM1260" s="4"/>
      <c r="BN1260" s="4"/>
      <c r="BO1260" s="4"/>
      <c r="BP1260" s="4"/>
      <c r="BQ1260" s="4"/>
      <c r="BR1260" s="4"/>
      <c r="BS1260" s="4"/>
      <c r="BT1260" s="4"/>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4"/>
      <c r="CW1260" s="4"/>
      <c r="CX1260" s="4"/>
      <c r="CY1260" s="4"/>
      <c r="CZ1260" s="4"/>
      <c r="DA1260" s="4"/>
      <c r="DB1260" s="4"/>
      <c r="DC1260" s="4"/>
      <c r="DD1260" s="4"/>
      <c r="DE1260" s="4"/>
      <c r="DF1260" s="4"/>
      <c r="DG1260" s="4"/>
      <c r="DH1260" s="4"/>
      <c r="DI1260" s="4"/>
      <c r="DJ1260" s="4"/>
      <c r="DK1260" s="4"/>
      <c r="DL1260" s="4"/>
      <c r="DM1260" s="4"/>
      <c r="DN1260" s="4"/>
      <c r="DO1260" s="4"/>
      <c r="DP1260" s="4"/>
      <c r="DQ1260" s="4"/>
      <c r="DR1260" s="4"/>
      <c r="DS1260" s="4"/>
      <c r="DT1260" s="4"/>
      <c r="DU1260" s="4"/>
      <c r="DV1260" s="4"/>
      <c r="DW1260" s="4"/>
      <c r="DX1260" s="4"/>
      <c r="DY1260" s="4"/>
      <c r="DZ1260" s="4"/>
      <c r="EA1260" s="4"/>
      <c r="EB1260" s="4"/>
      <c r="EC1260" s="4"/>
      <c r="ED1260" s="4"/>
      <c r="EE1260" s="4"/>
      <c r="EF1260" s="4"/>
      <c r="EG1260" s="4"/>
      <c r="EH1260" s="4"/>
      <c r="EI1260" s="4"/>
    </row>
    <row r="1261" spans="1:139" hidden="1" x14ac:dyDescent="0.2">
      <c r="A1261" t="str">
        <f>VLOOKUP(B1261,Sheet1!$A$1:$B$18,2,FALSE)</f>
        <v>South Island</v>
      </c>
      <c r="B1261" t="str">
        <f>LEFT(D1261,3)</f>
        <v>MBN</v>
      </c>
      <c r="C1261" s="2">
        <v>1024</v>
      </c>
      <c r="D1261" s="3" t="str">
        <f>HYPERLINK("https://sitebase.nzcomms.co.nz/spm/spmnominalview/MBN-053-002/","MBN-053-002")</f>
        <v>MBN-053-002</v>
      </c>
      <c r="E1261" s="4"/>
      <c r="F1261" s="4"/>
      <c r="G1261" s="4"/>
      <c r="H1261" s="4" t="s">
        <v>3152</v>
      </c>
      <c r="I1261" s="4"/>
      <c r="J1261" s="4" t="s">
        <v>196</v>
      </c>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4"/>
      <c r="BB1261" s="4"/>
      <c r="BC1261" s="4"/>
      <c r="BD1261" s="4"/>
      <c r="BE1261" s="4"/>
      <c r="BF1261" s="4"/>
      <c r="BG1261" s="4"/>
      <c r="BH1261" s="4"/>
      <c r="BI1261" s="4"/>
      <c r="BJ1261" s="4"/>
      <c r="BK1261" s="4"/>
      <c r="BL1261" s="4"/>
      <c r="BM1261" s="4"/>
      <c r="BN1261" s="4"/>
      <c r="BO1261" s="4"/>
      <c r="BP1261" s="4"/>
      <c r="BQ1261" s="4"/>
      <c r="BR1261" s="4"/>
      <c r="BS1261" s="4"/>
      <c r="BT1261" s="4"/>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4"/>
      <c r="CW1261" s="4"/>
      <c r="CX1261" s="4"/>
      <c r="CY1261" s="4"/>
      <c r="CZ1261" s="4"/>
      <c r="DA1261" s="4"/>
      <c r="DB1261" s="4"/>
      <c r="DC1261" s="4"/>
      <c r="DD1261" s="4"/>
      <c r="DE1261" s="4"/>
      <c r="DF1261" s="4"/>
      <c r="DG1261" s="4"/>
      <c r="DH1261" s="4"/>
      <c r="DI1261" s="4"/>
      <c r="DJ1261" s="4"/>
      <c r="DK1261" s="4"/>
      <c r="DL1261" s="4"/>
      <c r="DM1261" s="4"/>
      <c r="DN1261" s="4"/>
      <c r="DO1261" s="4"/>
      <c r="DP1261" s="4"/>
      <c r="DQ1261" s="4"/>
      <c r="DR1261" s="4"/>
      <c r="DS1261" s="4"/>
      <c r="DT1261" s="4"/>
      <c r="DU1261" s="4"/>
      <c r="DV1261" s="4"/>
      <c r="DW1261" s="4"/>
      <c r="DX1261" s="4"/>
      <c r="DY1261" s="4"/>
      <c r="DZ1261" s="4"/>
      <c r="EA1261" s="4"/>
      <c r="EB1261" s="4"/>
      <c r="EC1261" s="4"/>
      <c r="ED1261" s="4"/>
      <c r="EE1261" s="4"/>
      <c r="EF1261" s="4"/>
      <c r="EG1261" s="4"/>
      <c r="EH1261" s="4"/>
      <c r="EI1261" s="4"/>
    </row>
    <row r="1262" spans="1:139" hidden="1" x14ac:dyDescent="0.2">
      <c r="A1262" t="str">
        <f>VLOOKUP(B1262,Sheet1!$A$1:$B$18,2,FALSE)</f>
        <v>South Island</v>
      </c>
      <c r="B1262" t="str">
        <f>LEFT(D1262,3)</f>
        <v>MBN</v>
      </c>
      <c r="C1262" s="2">
        <v>1025</v>
      </c>
      <c r="D1262" s="3" t="str">
        <f>HYPERLINK("https://sitebase.nzcomms.co.nz/spm/spmnominalview/MBN-053-003/","MBN-053-003")</f>
        <v>MBN-053-003</v>
      </c>
      <c r="E1262" s="4"/>
      <c r="F1262" s="4"/>
      <c r="G1262" s="4"/>
      <c r="H1262" s="4" t="s">
        <v>3152</v>
      </c>
      <c r="I1262" s="4"/>
      <c r="J1262" s="4" t="s">
        <v>196</v>
      </c>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c r="BH1262" s="4"/>
      <c r="BI1262" s="4"/>
      <c r="BJ1262" s="4"/>
      <c r="BK1262" s="4"/>
      <c r="BL1262" s="4"/>
      <c r="BM1262" s="4"/>
      <c r="BN1262" s="4"/>
      <c r="BO1262" s="4"/>
      <c r="BP1262" s="4"/>
      <c r="BQ1262" s="4"/>
      <c r="BR1262" s="4"/>
      <c r="BS1262" s="4"/>
      <c r="BT1262" s="4"/>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4"/>
      <c r="CW1262" s="4"/>
      <c r="CX1262" s="4"/>
      <c r="CY1262" s="4"/>
      <c r="CZ1262" s="4"/>
      <c r="DA1262" s="4"/>
      <c r="DB1262" s="4"/>
      <c r="DC1262" s="4"/>
      <c r="DD1262" s="4"/>
      <c r="DE1262" s="4"/>
      <c r="DF1262" s="4"/>
      <c r="DG1262" s="4"/>
      <c r="DH1262" s="4"/>
      <c r="DI1262" s="4"/>
      <c r="DJ1262" s="4"/>
      <c r="DK1262" s="4"/>
      <c r="DL1262" s="4"/>
      <c r="DM1262" s="4"/>
      <c r="DN1262" s="4"/>
      <c r="DO1262" s="4"/>
      <c r="DP1262" s="4"/>
      <c r="DQ1262" s="4"/>
      <c r="DR1262" s="4"/>
      <c r="DS1262" s="4"/>
      <c r="DT1262" s="4"/>
      <c r="DU1262" s="4"/>
      <c r="DV1262" s="4"/>
      <c r="DW1262" s="4"/>
      <c r="DX1262" s="4"/>
      <c r="DY1262" s="4"/>
      <c r="DZ1262" s="4"/>
      <c r="EA1262" s="4"/>
      <c r="EB1262" s="4"/>
      <c r="EC1262" s="4"/>
      <c r="ED1262" s="4"/>
      <c r="EE1262" s="4"/>
      <c r="EF1262" s="4"/>
      <c r="EG1262" s="4"/>
      <c r="EH1262" s="4"/>
      <c r="EI1262" s="4"/>
    </row>
    <row r="1263" spans="1:139" hidden="1" x14ac:dyDescent="0.2">
      <c r="A1263" t="str">
        <f>VLOOKUP(B1263,Sheet1!$A$1:$B$18,2,FALSE)</f>
        <v>South Island</v>
      </c>
      <c r="B1263" t="str">
        <f>LEFT(D1263,3)</f>
        <v>MBN</v>
      </c>
      <c r="C1263" s="2">
        <v>1028</v>
      </c>
      <c r="D1263" s="3" t="str">
        <f>HYPERLINK("https://sitebase.nzcomms.co.nz/spm/spmnominalview/MBN-053-006/","MBN-053-006")</f>
        <v>MBN-053-006</v>
      </c>
      <c r="E1263" s="4" t="s">
        <v>3162</v>
      </c>
      <c r="F1263" s="4"/>
      <c r="G1263" s="4"/>
      <c r="H1263" s="4" t="s">
        <v>3152</v>
      </c>
      <c r="I1263" s="4">
        <v>7</v>
      </c>
      <c r="J1263" s="4" t="s">
        <v>180</v>
      </c>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t="b">
        <v>0</v>
      </c>
      <c r="AH1263" s="4"/>
      <c r="AI1263" s="4"/>
      <c r="AJ1263" s="4"/>
      <c r="AK1263" s="4"/>
      <c r="AL1263" s="4"/>
      <c r="AM1263" s="4"/>
      <c r="AN1263" s="4"/>
      <c r="AO1263" s="4"/>
      <c r="AP1263" s="4"/>
      <c r="AQ1263" s="4"/>
      <c r="AR1263" s="4"/>
      <c r="AS1263" s="4"/>
      <c r="AT1263" s="4"/>
      <c r="AU1263" s="4"/>
      <c r="AV1263" s="4"/>
      <c r="AW1263" s="4"/>
      <c r="AX1263" s="4"/>
      <c r="AY1263" s="4"/>
      <c r="AZ1263" s="4"/>
      <c r="BA1263" s="4"/>
      <c r="BB1263" s="4"/>
      <c r="BC1263" s="4"/>
      <c r="BD1263" s="4"/>
      <c r="BE1263" s="4"/>
      <c r="BF1263" s="4"/>
      <c r="BG1263" s="4"/>
      <c r="BH1263" s="4"/>
      <c r="BI1263" s="4"/>
      <c r="BJ1263" s="4"/>
      <c r="BK1263" s="4"/>
      <c r="BL1263" s="4"/>
      <c r="BM1263" s="4"/>
      <c r="BN1263" s="4"/>
      <c r="BO1263" s="4"/>
      <c r="BP1263" s="4"/>
      <c r="BQ1263" s="4"/>
      <c r="BR1263" s="4"/>
      <c r="BS1263" s="4"/>
      <c r="BT1263" s="4"/>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t="s">
        <v>3163</v>
      </c>
      <c r="CQ1263" s="4"/>
      <c r="CR1263" s="4"/>
      <c r="CS1263" s="4"/>
      <c r="CT1263" s="4"/>
      <c r="CU1263" s="4"/>
      <c r="CV1263" s="4"/>
      <c r="CW1263" s="4"/>
      <c r="CX1263" s="4"/>
      <c r="CY1263" s="4"/>
      <c r="CZ1263" s="4"/>
      <c r="DA1263" s="4"/>
      <c r="DB1263" s="4"/>
      <c r="DC1263" s="4"/>
      <c r="DD1263" s="4"/>
      <c r="DE1263" s="4" t="s">
        <v>3155</v>
      </c>
      <c r="DF1263" s="4"/>
      <c r="DG1263" s="4"/>
      <c r="DH1263" s="4"/>
      <c r="DI1263" s="4"/>
      <c r="DJ1263" s="4"/>
      <c r="DK1263" s="4"/>
      <c r="DL1263" s="4"/>
      <c r="DM1263" s="4"/>
      <c r="DN1263" s="4"/>
      <c r="DO1263" s="4"/>
      <c r="DP1263" s="4"/>
      <c r="DQ1263" s="4"/>
      <c r="DR1263" s="4"/>
      <c r="DS1263" s="4"/>
      <c r="DT1263" s="4"/>
      <c r="DU1263" s="4"/>
      <c r="DV1263" s="4"/>
      <c r="DW1263" s="4"/>
      <c r="DX1263" s="4"/>
      <c r="DY1263" s="4"/>
      <c r="DZ1263" s="4"/>
      <c r="EA1263" s="4"/>
      <c r="EB1263" s="4"/>
      <c r="EC1263" s="4"/>
      <c r="ED1263" s="4"/>
      <c r="EE1263" s="4"/>
      <c r="EF1263" s="4"/>
      <c r="EG1263" s="4"/>
      <c r="EH1263" s="4"/>
      <c r="EI1263" s="4"/>
    </row>
    <row r="1264" spans="1:139" hidden="1" x14ac:dyDescent="0.2">
      <c r="A1264" t="str">
        <f>VLOOKUP(B1264,Sheet1!$A$1:$B$18,2,FALSE)</f>
        <v>South Island</v>
      </c>
      <c r="B1264" t="str">
        <f>LEFT(D1264,3)</f>
        <v>MBN</v>
      </c>
      <c r="C1264" s="2">
        <v>1031</v>
      </c>
      <c r="D1264" s="3" t="str">
        <f>HYPERLINK("https://sitebase.nzcomms.co.nz/spm/spmnominalview/MBN-053-009/","MBN-053-009")</f>
        <v>MBN-053-009</v>
      </c>
      <c r="E1264" s="4"/>
      <c r="F1264" s="4"/>
      <c r="G1264" s="4"/>
      <c r="H1264" s="4" t="s">
        <v>3152</v>
      </c>
      <c r="I1264" s="4"/>
      <c r="J1264" s="4" t="s">
        <v>196</v>
      </c>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4"/>
      <c r="BF1264" s="4"/>
      <c r="BG1264" s="4"/>
      <c r="BH1264" s="4"/>
      <c r="BI1264" s="4"/>
      <c r="BJ1264" s="4"/>
      <c r="BK1264" s="4"/>
      <c r="BL1264" s="4"/>
      <c r="BM1264" s="4"/>
      <c r="BN1264" s="4"/>
      <c r="BO1264" s="4"/>
      <c r="BP1264" s="4"/>
      <c r="BQ1264" s="4"/>
      <c r="BR1264" s="4"/>
      <c r="BS1264" s="4"/>
      <c r="BT1264" s="4"/>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4"/>
      <c r="CW1264" s="4"/>
      <c r="CX1264" s="4"/>
      <c r="CY1264" s="4"/>
      <c r="CZ1264" s="4"/>
      <c r="DA1264" s="4"/>
      <c r="DB1264" s="4"/>
      <c r="DC1264" s="4"/>
      <c r="DD1264" s="4"/>
      <c r="DE1264" s="4"/>
      <c r="DF1264" s="4"/>
      <c r="DG1264" s="4"/>
      <c r="DH1264" s="4"/>
      <c r="DI1264" s="4"/>
      <c r="DJ1264" s="4"/>
      <c r="DK1264" s="4"/>
      <c r="DL1264" s="4"/>
      <c r="DM1264" s="4"/>
      <c r="DN1264" s="4"/>
      <c r="DO1264" s="4"/>
      <c r="DP1264" s="4"/>
      <c r="DQ1264" s="4"/>
      <c r="DR1264" s="4"/>
      <c r="DS1264" s="4"/>
      <c r="DT1264" s="4"/>
      <c r="DU1264" s="4"/>
      <c r="DV1264" s="4"/>
      <c r="DW1264" s="4"/>
      <c r="DX1264" s="4"/>
      <c r="DY1264" s="4"/>
      <c r="DZ1264" s="4"/>
      <c r="EA1264" s="4"/>
      <c r="EB1264" s="4"/>
      <c r="EC1264" s="4"/>
      <c r="ED1264" s="4"/>
      <c r="EE1264" s="4"/>
      <c r="EF1264" s="4"/>
      <c r="EG1264" s="4"/>
      <c r="EH1264" s="4"/>
      <c r="EI1264" s="4"/>
    </row>
    <row r="1265" spans="1:139" hidden="1" x14ac:dyDescent="0.2">
      <c r="A1265" t="str">
        <f>VLOOKUP(B1265,Sheet1!$A$1:$B$18,2,FALSE)</f>
        <v>South Island</v>
      </c>
      <c r="B1265" t="str">
        <f>LEFT(D1265,3)</f>
        <v>MBN</v>
      </c>
      <c r="C1265" s="2">
        <v>1032</v>
      </c>
      <c r="D1265" s="3" t="str">
        <f>HYPERLINK("https://sitebase.nzcomms.co.nz/spm/spmnominalview/MBN-053-010/","MBN-053-010")</f>
        <v>MBN-053-010</v>
      </c>
      <c r="E1265" s="4"/>
      <c r="F1265" s="4"/>
      <c r="G1265" s="4"/>
      <c r="H1265" s="4" t="s">
        <v>3152</v>
      </c>
      <c r="I1265" s="4"/>
      <c r="J1265" s="4" t="s">
        <v>196</v>
      </c>
      <c r="K1265" s="4"/>
      <c r="L1265" s="4"/>
      <c r="M1265" s="4"/>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c r="AT1265" s="4"/>
      <c r="AU1265" s="4"/>
      <c r="AV1265" s="4"/>
      <c r="AW1265" s="4"/>
      <c r="AX1265" s="4"/>
      <c r="AY1265" s="4"/>
      <c r="AZ1265" s="4"/>
      <c r="BA1265" s="4"/>
      <c r="BB1265" s="4"/>
      <c r="BC1265" s="4"/>
      <c r="BD1265" s="4"/>
      <c r="BE1265" s="4"/>
      <c r="BF1265" s="4"/>
      <c r="BG1265" s="4"/>
      <c r="BH1265" s="4"/>
      <c r="BI1265" s="4"/>
      <c r="BJ1265" s="4"/>
      <c r="BK1265" s="4"/>
      <c r="BL1265" s="4"/>
      <c r="BM1265" s="4"/>
      <c r="BN1265" s="4"/>
      <c r="BO1265" s="4"/>
      <c r="BP1265" s="4"/>
      <c r="BQ1265" s="4"/>
      <c r="BR1265" s="4"/>
      <c r="BS1265" s="4"/>
      <c r="BT1265" s="4"/>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4"/>
      <c r="CW1265" s="4"/>
      <c r="CX1265" s="4"/>
      <c r="CY1265" s="4"/>
      <c r="CZ1265" s="4"/>
      <c r="DA1265" s="4"/>
      <c r="DB1265" s="4"/>
      <c r="DC1265" s="4"/>
      <c r="DD1265" s="4"/>
      <c r="DE1265" s="4"/>
      <c r="DF1265" s="4"/>
      <c r="DG1265" s="4"/>
      <c r="DH1265" s="4"/>
      <c r="DI1265" s="4"/>
      <c r="DJ1265" s="4"/>
      <c r="DK1265" s="4"/>
      <c r="DL1265" s="4"/>
      <c r="DM1265" s="4"/>
      <c r="DN1265" s="4"/>
      <c r="DO1265" s="4"/>
      <c r="DP1265" s="4"/>
      <c r="DQ1265" s="4"/>
      <c r="DR1265" s="4"/>
      <c r="DS1265" s="4"/>
      <c r="DT1265" s="4"/>
      <c r="DU1265" s="4"/>
      <c r="DV1265" s="4"/>
      <c r="DW1265" s="4"/>
      <c r="DX1265" s="4"/>
      <c r="DY1265" s="4"/>
      <c r="DZ1265" s="4"/>
      <c r="EA1265" s="4"/>
      <c r="EB1265" s="4"/>
      <c r="EC1265" s="4"/>
      <c r="ED1265" s="4"/>
      <c r="EE1265" s="4"/>
      <c r="EF1265" s="4"/>
      <c r="EG1265" s="4"/>
      <c r="EH1265" s="4"/>
      <c r="EI1265" s="4"/>
    </row>
    <row r="1266" spans="1:139" hidden="1" x14ac:dyDescent="0.2">
      <c r="A1266" t="str">
        <f>VLOOKUP(B1266,Sheet1!$A$1:$B$18,2,FALSE)</f>
        <v>South Island</v>
      </c>
      <c r="B1266" t="str">
        <f>LEFT(D1266,3)</f>
        <v>MBN</v>
      </c>
      <c r="C1266" s="2">
        <v>1033</v>
      </c>
      <c r="D1266" s="3" t="str">
        <f>HYPERLINK("https://sitebase.nzcomms.co.nz/spm/spmnominalview/MBN-053-011/","MBN-053-011")</f>
        <v>MBN-053-011</v>
      </c>
      <c r="E1266" s="4"/>
      <c r="F1266" s="4"/>
      <c r="G1266" s="4"/>
      <c r="H1266" s="4" t="s">
        <v>3152</v>
      </c>
      <c r="I1266" s="4"/>
      <c r="J1266" s="4" t="s">
        <v>196</v>
      </c>
      <c r="K1266" s="4"/>
      <c r="L1266" s="4"/>
      <c r="M1266" s="4"/>
      <c r="N1266" s="4"/>
      <c r="O1266" s="4"/>
      <c r="P1266" s="4"/>
      <c r="Q1266" s="4"/>
      <c r="R1266" s="4"/>
      <c r="S1266" s="4"/>
      <c r="T1266" s="4"/>
      <c r="U1266" s="4"/>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c r="AT1266" s="4"/>
      <c r="AU1266" s="4"/>
      <c r="AV1266" s="4"/>
      <c r="AW1266" s="4"/>
      <c r="AX1266" s="4"/>
      <c r="AY1266" s="4"/>
      <c r="AZ1266" s="4"/>
      <c r="BA1266" s="4"/>
      <c r="BB1266" s="4"/>
      <c r="BC1266" s="4"/>
      <c r="BD1266" s="4"/>
      <c r="BE1266" s="4"/>
      <c r="BF1266" s="4"/>
      <c r="BG1266" s="4"/>
      <c r="BH1266" s="4"/>
      <c r="BI1266" s="4"/>
      <c r="BJ1266" s="4"/>
      <c r="BK1266" s="4"/>
      <c r="BL1266" s="4"/>
      <c r="BM1266" s="4"/>
      <c r="BN1266" s="4"/>
      <c r="BO1266" s="4"/>
      <c r="BP1266" s="4"/>
      <c r="BQ1266" s="4"/>
      <c r="BR1266" s="4"/>
      <c r="BS1266" s="4"/>
      <c r="BT1266" s="4"/>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4"/>
      <c r="CW1266" s="4"/>
      <c r="CX1266" s="4"/>
      <c r="CY1266" s="4"/>
      <c r="CZ1266" s="4"/>
      <c r="DA1266" s="4"/>
      <c r="DB1266" s="4"/>
      <c r="DC1266" s="4"/>
      <c r="DD1266" s="4"/>
      <c r="DE1266" s="4"/>
      <c r="DF1266" s="4"/>
      <c r="DG1266" s="4"/>
      <c r="DH1266" s="4"/>
      <c r="DI1266" s="4"/>
      <c r="DJ1266" s="4"/>
      <c r="DK1266" s="4"/>
      <c r="DL1266" s="4"/>
      <c r="DM1266" s="4"/>
      <c r="DN1266" s="4"/>
      <c r="DO1266" s="4"/>
      <c r="DP1266" s="4"/>
      <c r="DQ1266" s="4"/>
      <c r="DR1266" s="4"/>
      <c r="DS1266" s="4"/>
      <c r="DT1266" s="4"/>
      <c r="DU1266" s="4"/>
      <c r="DV1266" s="4"/>
      <c r="DW1266" s="4"/>
      <c r="DX1266" s="4"/>
      <c r="DY1266" s="4"/>
      <c r="DZ1266" s="4"/>
      <c r="EA1266" s="4"/>
      <c r="EB1266" s="4"/>
      <c r="EC1266" s="4"/>
      <c r="ED1266" s="4"/>
      <c r="EE1266" s="4"/>
      <c r="EF1266" s="4"/>
      <c r="EG1266" s="4"/>
      <c r="EH1266" s="4"/>
      <c r="EI1266" s="4"/>
    </row>
    <row r="1267" spans="1:139" hidden="1" x14ac:dyDescent="0.2">
      <c r="A1267" t="str">
        <f>VLOOKUP(B1267,Sheet1!$A$1:$B$18,2,FALSE)</f>
        <v>South Island</v>
      </c>
      <c r="B1267" t="str">
        <f>LEFT(D1267,3)</f>
        <v>MBN</v>
      </c>
      <c r="C1267" s="2">
        <v>1035</v>
      </c>
      <c r="D1267" s="3" t="str">
        <f>HYPERLINK("https://sitebase.nzcomms.co.nz/spm/spmnominalview/MBN-053-013/","MBN-053-013")</f>
        <v>MBN-053-013</v>
      </c>
      <c r="E1267" s="4" t="s">
        <v>3178</v>
      </c>
      <c r="F1267" s="4"/>
      <c r="G1267" s="4"/>
      <c r="H1267" s="4" t="s">
        <v>3152</v>
      </c>
      <c r="I1267" s="4">
        <v>7</v>
      </c>
      <c r="J1267" s="4" t="s">
        <v>180</v>
      </c>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t="b">
        <v>0</v>
      </c>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c r="BF1267" s="4"/>
      <c r="BG1267" s="4"/>
      <c r="BH1267" s="4"/>
      <c r="BI1267" s="4"/>
      <c r="BJ1267" s="4"/>
      <c r="BK1267" s="4"/>
      <c r="BL1267" s="4"/>
      <c r="BM1267" s="4"/>
      <c r="BN1267" s="4"/>
      <c r="BO1267" s="4"/>
      <c r="BP1267" s="4"/>
      <c r="BQ1267" s="4"/>
      <c r="BR1267" s="4"/>
      <c r="BS1267" s="4"/>
      <c r="BT1267" s="4"/>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t="s">
        <v>3179</v>
      </c>
      <c r="CQ1267" s="4"/>
      <c r="CR1267" s="4"/>
      <c r="CS1267" s="4"/>
      <c r="CT1267" s="4"/>
      <c r="CU1267" s="4"/>
      <c r="CV1267" s="4"/>
      <c r="CW1267" s="4"/>
      <c r="CX1267" s="4"/>
      <c r="CY1267" s="4"/>
      <c r="CZ1267" s="4"/>
      <c r="DA1267" s="4"/>
      <c r="DB1267" s="4"/>
      <c r="DC1267" s="4"/>
      <c r="DD1267" s="4"/>
      <c r="DE1267" s="4" t="s">
        <v>3155</v>
      </c>
      <c r="DF1267" s="4"/>
      <c r="DG1267" s="4"/>
      <c r="DH1267" s="4"/>
      <c r="DI1267" s="4"/>
      <c r="DJ1267" s="4"/>
      <c r="DK1267" s="4"/>
      <c r="DL1267" s="4"/>
      <c r="DM1267" s="4"/>
      <c r="DN1267" s="4"/>
      <c r="DO1267" s="4"/>
      <c r="DP1267" s="4"/>
      <c r="DQ1267" s="4"/>
      <c r="DR1267" s="4"/>
      <c r="DS1267" s="4"/>
      <c r="DT1267" s="4"/>
      <c r="DU1267" s="4"/>
      <c r="DV1267" s="4"/>
      <c r="DW1267" s="4"/>
      <c r="DX1267" s="4"/>
      <c r="DY1267" s="4"/>
      <c r="DZ1267" s="4"/>
      <c r="EA1267" s="4"/>
      <c r="EB1267" s="4"/>
      <c r="EC1267" s="4"/>
      <c r="ED1267" s="4"/>
      <c r="EE1267" s="4"/>
      <c r="EF1267" s="4"/>
      <c r="EG1267" s="4"/>
      <c r="EH1267" s="4"/>
      <c r="EI1267" s="4"/>
    </row>
    <row r="1268" spans="1:139" hidden="1" x14ac:dyDescent="0.2">
      <c r="A1268" t="str">
        <f>VLOOKUP(B1268,Sheet1!$A$1:$B$18,2,FALSE)</f>
        <v>South Island</v>
      </c>
      <c r="B1268" t="str">
        <f>LEFT(D1268,3)</f>
        <v>MBN</v>
      </c>
      <c r="C1268" s="2">
        <v>1036</v>
      </c>
      <c r="D1268" s="3" t="str">
        <f>HYPERLINK("https://sitebase.nzcomms.co.nz/spm/spmnominalview/MBN-053-014/","MBN-053-014")</f>
        <v>MBN-053-014</v>
      </c>
      <c r="E1268" s="4" t="s">
        <v>3180</v>
      </c>
      <c r="F1268" s="3" t="str">
        <f>HYPERLINK("https://sitebase.nzcomms.co.nz/spm/spmcandidateview/MBN-053-014-G/","MBN-053-014-G")</f>
        <v>MBN-053-014-G</v>
      </c>
      <c r="G1268" s="4" t="s">
        <v>3181</v>
      </c>
      <c r="H1268" s="4" t="s">
        <v>3152</v>
      </c>
      <c r="I1268" s="4">
        <v>7</v>
      </c>
      <c r="J1268" s="4" t="s">
        <v>180</v>
      </c>
      <c r="K1268" s="4" t="s">
        <v>141</v>
      </c>
      <c r="L1268" s="4" t="s">
        <v>189</v>
      </c>
      <c r="M1268" s="4" t="s">
        <v>190</v>
      </c>
      <c r="N1268" s="4" t="s">
        <v>2348</v>
      </c>
      <c r="O1268" s="4"/>
      <c r="P1268" s="4" t="s">
        <v>169</v>
      </c>
      <c r="Q1268" s="4" t="s">
        <v>192</v>
      </c>
      <c r="R1268" s="4">
        <v>17</v>
      </c>
      <c r="S1268" s="4">
        <v>18</v>
      </c>
      <c r="T1268" s="4">
        <v>1</v>
      </c>
      <c r="U1268" s="4">
        <v>-41.512600480000003</v>
      </c>
      <c r="V1268" s="4">
        <v>173.86888981999999</v>
      </c>
      <c r="W1268" s="4"/>
      <c r="X1268" s="5">
        <v>40934</v>
      </c>
      <c r="Y1268" s="4"/>
      <c r="Z1268" s="4"/>
      <c r="AA1268" s="4" t="s">
        <v>171</v>
      </c>
      <c r="AB1268" s="3" t="str">
        <f>HYPERLINK("https://sitebase.nzcomms.co.nz/spm/spmcandidateview/MBN-053-012-D/","MBN-053-012-D")</f>
        <v>MBN-053-012-D</v>
      </c>
      <c r="AC1268" s="4" t="b">
        <v>0</v>
      </c>
      <c r="AD1268" s="4" t="b">
        <v>0</v>
      </c>
      <c r="AE1268" s="4"/>
      <c r="AF1268" s="4"/>
      <c r="AG1268" s="4" t="b">
        <v>0</v>
      </c>
      <c r="AH1268" s="4"/>
      <c r="AI1268" s="5">
        <v>41162</v>
      </c>
      <c r="AJ1268" s="5">
        <v>41162</v>
      </c>
      <c r="AK1268" s="5">
        <v>41222</v>
      </c>
      <c r="AL1268" s="5">
        <v>41221</v>
      </c>
      <c r="AM1268" s="5">
        <v>41243</v>
      </c>
      <c r="AN1268" s="5">
        <v>41243</v>
      </c>
      <c r="AO1268" s="4">
        <v>1</v>
      </c>
      <c r="AP1268" s="5">
        <v>41243</v>
      </c>
      <c r="AQ1268" s="5">
        <v>41243</v>
      </c>
      <c r="AR1268" s="5">
        <v>41425</v>
      </c>
      <c r="AS1268" s="4"/>
      <c r="AT1268" s="5">
        <v>41432</v>
      </c>
      <c r="AU1268" s="4"/>
      <c r="AV1268" s="4"/>
      <c r="AW1268" s="5">
        <v>41432</v>
      </c>
      <c r="AX1268" s="4"/>
      <c r="AY1268" s="4" t="s">
        <v>172</v>
      </c>
      <c r="AZ1268" s="5">
        <v>41264</v>
      </c>
      <c r="BA1268" s="5">
        <v>41260</v>
      </c>
      <c r="BB1268" s="5">
        <v>41320</v>
      </c>
      <c r="BC1268" s="5">
        <v>41292</v>
      </c>
      <c r="BD1268" s="4">
        <v>1</v>
      </c>
      <c r="BE1268" s="5">
        <v>41320</v>
      </c>
      <c r="BF1268" s="5">
        <v>41292</v>
      </c>
      <c r="BG1268" s="4"/>
      <c r="BH1268" s="4"/>
      <c r="BI1268" s="4"/>
      <c r="BJ1268" s="4"/>
      <c r="BK1268" s="4"/>
      <c r="BL1268" s="4"/>
      <c r="BM1268" s="4"/>
      <c r="BN1268" s="4"/>
      <c r="BO1268" s="4"/>
      <c r="BP1268" s="4"/>
      <c r="BQ1268" s="4"/>
      <c r="BR1268" s="4"/>
      <c r="BS1268" s="4"/>
      <c r="BT1268" s="4"/>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t="s">
        <v>3182</v>
      </c>
      <c r="CQ1268" s="4"/>
      <c r="CR1268" s="4"/>
      <c r="CS1268" s="4"/>
      <c r="CT1268" s="4"/>
      <c r="CU1268" s="4"/>
      <c r="CV1268" s="4"/>
      <c r="CW1268" s="4"/>
      <c r="CX1268" s="4"/>
      <c r="CY1268" s="4"/>
      <c r="CZ1268" s="4"/>
      <c r="DA1268" s="4"/>
      <c r="DB1268" s="4"/>
      <c r="DC1268" s="5">
        <v>41260</v>
      </c>
      <c r="DD1268" s="4" t="s">
        <v>206</v>
      </c>
      <c r="DE1268" s="4" t="s">
        <v>3155</v>
      </c>
      <c r="DF1268" s="4"/>
      <c r="DG1268" s="4"/>
      <c r="DH1268" s="4" t="s">
        <v>240</v>
      </c>
      <c r="DI1268" s="4"/>
      <c r="DJ1268" s="4" t="b">
        <v>1</v>
      </c>
      <c r="DK1268" s="4"/>
      <c r="DL1268" s="4">
        <v>2582517</v>
      </c>
      <c r="DM1268" s="4">
        <v>5965672</v>
      </c>
      <c r="DN1268" s="4" t="s">
        <v>3183</v>
      </c>
      <c r="DO1268" s="4"/>
      <c r="DP1268" s="4"/>
      <c r="DQ1268" s="4"/>
      <c r="DR1268" s="4"/>
      <c r="DS1268" s="4"/>
      <c r="DT1268" s="4"/>
      <c r="DU1268" s="4"/>
      <c r="DV1268" s="4"/>
      <c r="DW1268" s="4"/>
      <c r="DX1268" s="4"/>
      <c r="DY1268" s="4"/>
      <c r="DZ1268" s="4"/>
      <c r="EA1268" s="4"/>
      <c r="EB1268" s="4"/>
      <c r="EC1268" s="4"/>
      <c r="ED1268" s="4"/>
      <c r="EE1268" s="4"/>
      <c r="EF1268" s="4"/>
      <c r="EG1268" s="4"/>
      <c r="EH1268" s="4"/>
      <c r="EI1268" s="4"/>
    </row>
    <row r="1269" spans="1:139" hidden="1" x14ac:dyDescent="0.2">
      <c r="A1269" t="str">
        <f>VLOOKUP(B1269,Sheet1!$A$1:$B$18,2,FALSE)</f>
        <v>South Island</v>
      </c>
      <c r="B1269" t="str">
        <f>LEFT(D1269,3)</f>
        <v>MBN</v>
      </c>
      <c r="C1269" s="2">
        <v>1038</v>
      </c>
      <c r="D1269" s="3" t="str">
        <f>HYPERLINK("https://sitebase.nzcomms.co.nz/spm/spmnominalview/MBN-053-016/","MBN-053-016")</f>
        <v>MBN-053-016</v>
      </c>
      <c r="E1269" s="4" t="s">
        <v>3188</v>
      </c>
      <c r="F1269" s="4"/>
      <c r="G1269" s="4"/>
      <c r="H1269" s="4" t="s">
        <v>3152</v>
      </c>
      <c r="I1269" s="4"/>
      <c r="J1269" s="4" t="s">
        <v>196</v>
      </c>
      <c r="K1269" s="4"/>
      <c r="L1269" s="4"/>
      <c r="M1269" s="4"/>
      <c r="N1269" s="4"/>
      <c r="O1269" s="4"/>
      <c r="P1269" s="4"/>
      <c r="Q1269" s="4"/>
      <c r="R1269" s="4"/>
      <c r="S1269" s="4"/>
      <c r="T1269" s="4"/>
      <c r="U1269" s="4"/>
      <c r="V1269" s="4"/>
      <c r="W1269" s="4"/>
      <c r="X1269" s="4"/>
      <c r="Y1269" s="4"/>
      <c r="Z1269" s="4"/>
      <c r="AA1269" s="4"/>
      <c r="AB1269" s="4"/>
      <c r="AC1269" s="4"/>
      <c r="AD1269" s="4"/>
      <c r="AE1269" s="4"/>
      <c r="AF1269" s="4"/>
      <c r="AG1269" s="4" t="b">
        <v>0</v>
      </c>
      <c r="AH1269" s="4"/>
      <c r="AI1269" s="4"/>
      <c r="AJ1269" s="4"/>
      <c r="AK1269" s="4"/>
      <c r="AL1269" s="4"/>
      <c r="AM1269" s="4"/>
      <c r="AN1269" s="4"/>
      <c r="AO1269" s="4"/>
      <c r="AP1269" s="4"/>
      <c r="AQ1269" s="4"/>
      <c r="AR1269" s="4"/>
      <c r="AS1269" s="4"/>
      <c r="AT1269" s="4"/>
      <c r="AU1269" s="4"/>
      <c r="AV1269" s="4"/>
      <c r="AW1269" s="4"/>
      <c r="AX1269" s="4"/>
      <c r="AY1269" s="4"/>
      <c r="AZ1269" s="4"/>
      <c r="BA1269" s="4"/>
      <c r="BB1269" s="4"/>
      <c r="BC1269" s="4"/>
      <c r="BD1269" s="4"/>
      <c r="BE1269" s="4"/>
      <c r="BF1269" s="4"/>
      <c r="BG1269" s="4"/>
      <c r="BH1269" s="4"/>
      <c r="BI1269" s="4"/>
      <c r="BJ1269" s="4"/>
      <c r="BK1269" s="4"/>
      <c r="BL1269" s="4"/>
      <c r="BM1269" s="4"/>
      <c r="BN1269" s="4"/>
      <c r="BO1269" s="4"/>
      <c r="BP1269" s="4"/>
      <c r="BQ1269" s="4"/>
      <c r="BR1269" s="4"/>
      <c r="BS1269" s="4"/>
      <c r="BT1269" s="4"/>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4"/>
      <c r="CW1269" s="4"/>
      <c r="CX1269" s="4"/>
      <c r="CY1269" s="4"/>
      <c r="CZ1269" s="4"/>
      <c r="DA1269" s="4"/>
      <c r="DB1269" s="4"/>
      <c r="DC1269" s="4"/>
      <c r="DD1269" s="4"/>
      <c r="DE1269" s="4"/>
      <c r="DF1269" s="4"/>
      <c r="DG1269" s="4"/>
      <c r="DH1269" s="4"/>
      <c r="DI1269" s="4"/>
      <c r="DJ1269" s="4"/>
      <c r="DK1269" s="4"/>
      <c r="DL1269" s="4"/>
      <c r="DM1269" s="4"/>
      <c r="DN1269" s="4"/>
      <c r="DO1269" s="4"/>
      <c r="DP1269" s="4"/>
      <c r="DQ1269" s="4"/>
      <c r="DR1269" s="4"/>
      <c r="DS1269" s="4"/>
      <c r="DT1269" s="4"/>
      <c r="DU1269" s="4"/>
      <c r="DV1269" s="4"/>
      <c r="DW1269" s="4"/>
      <c r="DX1269" s="4"/>
      <c r="DY1269" s="4"/>
      <c r="DZ1269" s="4"/>
      <c r="EA1269" s="4"/>
      <c r="EB1269" s="4"/>
      <c r="EC1269" s="4"/>
      <c r="ED1269" s="4"/>
      <c r="EE1269" s="4"/>
      <c r="EF1269" s="4"/>
      <c r="EG1269" s="4"/>
      <c r="EH1269" s="4"/>
      <c r="EI1269" s="4"/>
    </row>
    <row r="1270" spans="1:139" hidden="1" x14ac:dyDescent="0.2">
      <c r="A1270" t="str">
        <f>VLOOKUP(B1270,Sheet1!$A$1:$B$18,2,FALSE)</f>
        <v>South Island</v>
      </c>
      <c r="B1270" t="str">
        <f>LEFT(D1270,3)</f>
        <v>OTG</v>
      </c>
      <c r="C1270" s="2">
        <v>1197</v>
      </c>
      <c r="D1270" s="3" t="str">
        <f>HYPERLINK("https://sitebase.nzcomms.co.nz/spm/spmnominalview/OTG-069-001/","OTG-069-001")</f>
        <v>OTG-069-001</v>
      </c>
      <c r="E1270" s="4"/>
      <c r="F1270" s="4"/>
      <c r="G1270" s="4"/>
      <c r="H1270" s="4" t="s">
        <v>3653</v>
      </c>
      <c r="I1270" s="4"/>
      <c r="J1270" s="4" t="s">
        <v>196</v>
      </c>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4"/>
      <c r="BF1270" s="4"/>
      <c r="BG1270" s="4"/>
      <c r="BH1270" s="4"/>
      <c r="BI1270" s="4"/>
      <c r="BJ1270" s="4"/>
      <c r="BK1270" s="4"/>
      <c r="BL1270" s="4"/>
      <c r="BM1270" s="4"/>
      <c r="BN1270" s="4"/>
      <c r="BO1270" s="4"/>
      <c r="BP1270" s="4"/>
      <c r="BQ1270" s="4"/>
      <c r="BR1270" s="4"/>
      <c r="BS1270" s="4"/>
      <c r="BT1270" s="4"/>
      <c r="BU1270" s="4"/>
      <c r="BV1270" s="4"/>
      <c r="BW1270" s="4"/>
      <c r="BX1270" s="4"/>
      <c r="BY1270" s="4"/>
      <c r="BZ1270" s="4"/>
      <c r="CA1270" s="4"/>
      <c r="CB1270" s="4"/>
      <c r="CC1270" s="4"/>
      <c r="CD1270" s="4"/>
      <c r="CE1270" s="4"/>
      <c r="CF1270" s="4"/>
      <c r="CG1270" s="4"/>
      <c r="CH1270" s="4"/>
      <c r="CI1270" s="4"/>
      <c r="CJ1270" s="4"/>
      <c r="CK1270" s="4"/>
      <c r="CL1270" s="4"/>
      <c r="CM1270" s="4"/>
      <c r="CN1270" s="4"/>
      <c r="CO1270" s="4"/>
      <c r="CP1270" s="4"/>
      <c r="CQ1270" s="4"/>
      <c r="CR1270" s="4"/>
      <c r="CS1270" s="4"/>
      <c r="CT1270" s="4"/>
      <c r="CU1270" s="4"/>
      <c r="CV1270" s="4"/>
      <c r="CW1270" s="4"/>
      <c r="CX1270" s="4"/>
      <c r="CY1270" s="4"/>
      <c r="CZ1270" s="4"/>
      <c r="DA1270" s="4"/>
      <c r="DB1270" s="4"/>
      <c r="DC1270" s="4"/>
      <c r="DD1270" s="4"/>
      <c r="DE1270" s="4"/>
      <c r="DF1270" s="4"/>
      <c r="DG1270" s="4"/>
      <c r="DH1270" s="4"/>
      <c r="DI1270" s="4"/>
      <c r="DJ1270" s="4"/>
      <c r="DK1270" s="4"/>
      <c r="DL1270" s="4"/>
      <c r="DM1270" s="4"/>
      <c r="DN1270" s="4"/>
      <c r="DO1270" s="4"/>
      <c r="DP1270" s="4"/>
      <c r="DQ1270" s="4"/>
      <c r="DR1270" s="4"/>
      <c r="DS1270" s="4"/>
      <c r="DT1270" s="4"/>
      <c r="DU1270" s="4"/>
      <c r="DV1270" s="4"/>
      <c r="DW1270" s="4"/>
      <c r="DX1270" s="4"/>
      <c r="DY1270" s="4"/>
      <c r="DZ1270" s="4"/>
      <c r="EA1270" s="4"/>
      <c r="EB1270" s="4"/>
      <c r="EC1270" s="4"/>
      <c r="ED1270" s="4"/>
      <c r="EE1270" s="4"/>
      <c r="EF1270" s="4"/>
      <c r="EG1270" s="4"/>
      <c r="EH1270" s="4"/>
      <c r="EI1270" s="4"/>
    </row>
    <row r="1271" spans="1:139" hidden="1" x14ac:dyDescent="0.2">
      <c r="A1271" t="str">
        <f>VLOOKUP(B1271,Sheet1!$A$1:$B$18,2,FALSE)</f>
        <v>South Island</v>
      </c>
      <c r="B1271" t="str">
        <f>LEFT(D1271,3)</f>
        <v>OTG</v>
      </c>
      <c r="C1271" s="2">
        <v>1198</v>
      </c>
      <c r="D1271" s="3" t="str">
        <f>HYPERLINK("https://sitebase.nzcomms.co.nz/spm/spmnominalview/OTG-069-002/","OTG-069-002")</f>
        <v>OTG-069-002</v>
      </c>
      <c r="E1271" s="4"/>
      <c r="F1271" s="4"/>
      <c r="G1271" s="4"/>
      <c r="H1271" s="4" t="s">
        <v>3653</v>
      </c>
      <c r="I1271" s="4"/>
      <c r="J1271" s="4" t="s">
        <v>196</v>
      </c>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c r="AT1271" s="4"/>
      <c r="AU1271" s="4"/>
      <c r="AV1271" s="4"/>
      <c r="AW1271" s="4"/>
      <c r="AX1271" s="4"/>
      <c r="AY1271" s="4"/>
      <c r="AZ1271" s="4"/>
      <c r="BA1271" s="4"/>
      <c r="BB1271" s="4"/>
      <c r="BC1271" s="4"/>
      <c r="BD1271" s="4"/>
      <c r="BE1271" s="4"/>
      <c r="BF1271" s="4"/>
      <c r="BG1271" s="4"/>
      <c r="BH1271" s="4"/>
      <c r="BI1271" s="4"/>
      <c r="BJ1271" s="4"/>
      <c r="BK1271" s="4"/>
      <c r="BL1271" s="4"/>
      <c r="BM1271" s="4"/>
      <c r="BN1271" s="4"/>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4"/>
      <c r="CT1271" s="4"/>
      <c r="CU1271" s="4"/>
      <c r="CV1271" s="4"/>
      <c r="CW1271" s="4"/>
      <c r="CX1271" s="4"/>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c r="EG1271" s="4"/>
      <c r="EH1271" s="4"/>
      <c r="EI1271" s="4"/>
    </row>
    <row r="1272" spans="1:139" hidden="1" x14ac:dyDescent="0.2">
      <c r="A1272" t="str">
        <f>VLOOKUP(B1272,Sheet1!$A$1:$B$18,2,FALSE)</f>
        <v>South Island</v>
      </c>
      <c r="B1272" t="str">
        <f>LEFT(D1272,3)</f>
        <v>OTG</v>
      </c>
      <c r="C1272" s="2">
        <v>1201</v>
      </c>
      <c r="D1272" s="3" t="str">
        <f>HYPERLINK("https://sitebase.nzcomms.co.nz/spm/spmnominalview/OTG-069-005/","OTG-069-005")</f>
        <v>OTG-069-005</v>
      </c>
      <c r="E1272" s="4"/>
      <c r="F1272" s="4"/>
      <c r="G1272" s="4"/>
      <c r="H1272" s="4" t="s">
        <v>3653</v>
      </c>
      <c r="I1272" s="4"/>
      <c r="J1272" s="4" t="s">
        <v>196</v>
      </c>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c r="AT1272" s="4"/>
      <c r="AU1272" s="4"/>
      <c r="AV1272" s="4"/>
      <c r="AW1272" s="4"/>
      <c r="AX1272" s="4"/>
      <c r="AY1272" s="4"/>
      <c r="AZ1272" s="4"/>
      <c r="BA1272" s="4"/>
      <c r="BB1272" s="4"/>
      <c r="BC1272" s="4"/>
      <c r="BD1272" s="4"/>
      <c r="BE1272" s="4"/>
      <c r="BF1272" s="4"/>
      <c r="BG1272" s="4"/>
      <c r="BH1272" s="4"/>
      <c r="BI1272" s="4"/>
      <c r="BJ1272" s="4"/>
      <c r="BK1272" s="4"/>
      <c r="BL1272" s="4"/>
      <c r="BM1272" s="4"/>
      <c r="BN1272" s="4"/>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4"/>
      <c r="CM1272" s="4"/>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c r="DZ1272" s="4"/>
      <c r="EA1272" s="4"/>
      <c r="EB1272" s="4"/>
      <c r="EC1272" s="4"/>
      <c r="ED1272" s="4"/>
      <c r="EE1272" s="4"/>
      <c r="EF1272" s="4"/>
      <c r="EG1272" s="4"/>
      <c r="EH1272" s="4"/>
      <c r="EI1272" s="4"/>
    </row>
    <row r="1273" spans="1:139" hidden="1" x14ac:dyDescent="0.2">
      <c r="A1273" t="str">
        <f>VLOOKUP(B1273,Sheet1!$A$1:$B$18,2,FALSE)</f>
        <v>South Island</v>
      </c>
      <c r="B1273" t="str">
        <f>LEFT(D1273,3)</f>
        <v>OTG</v>
      </c>
      <c r="C1273" s="2">
        <v>1202</v>
      </c>
      <c r="D1273" s="3" t="str">
        <f>HYPERLINK("https://sitebase.nzcomms.co.nz/spm/spmnominalview/OTG-069-006/","OTG-069-006")</f>
        <v>OTG-069-006</v>
      </c>
      <c r="E1273" s="4" t="s">
        <v>3665</v>
      </c>
      <c r="F1273" s="3" t="str">
        <f>HYPERLINK("https://sitebase.nzcomms.co.nz/spm/spmcandidateview/OTG-069-006-C/","OTG-069-006-C")</f>
        <v>OTG-069-006-C</v>
      </c>
      <c r="G1273" s="4" t="s">
        <v>3666</v>
      </c>
      <c r="H1273" s="4" t="s">
        <v>3653</v>
      </c>
      <c r="I1273" s="4">
        <v>4</v>
      </c>
      <c r="J1273" s="4" t="s">
        <v>180</v>
      </c>
      <c r="K1273" s="4" t="s">
        <v>141</v>
      </c>
      <c r="L1273" s="4" t="s">
        <v>150</v>
      </c>
      <c r="M1273" s="4" t="s">
        <v>190</v>
      </c>
      <c r="N1273" s="4"/>
      <c r="O1273" s="4"/>
      <c r="P1273" s="4" t="s">
        <v>182</v>
      </c>
      <c r="Q1273" s="4" t="s">
        <v>170</v>
      </c>
      <c r="R1273" s="4">
        <v>15</v>
      </c>
      <c r="S1273" s="4">
        <v>15</v>
      </c>
      <c r="T1273" s="4"/>
      <c r="U1273" s="4">
        <v>-45.059694739999998</v>
      </c>
      <c r="V1273" s="4">
        <v>169.20496972000001</v>
      </c>
      <c r="W1273" s="4"/>
      <c r="X1273" s="4"/>
      <c r="Y1273" s="4"/>
      <c r="Z1273" s="4"/>
      <c r="AA1273" s="4"/>
      <c r="AB1273" s="4"/>
      <c r="AC1273" s="4" t="b">
        <v>0</v>
      </c>
      <c r="AD1273" s="4" t="b">
        <v>0</v>
      </c>
      <c r="AE1273" s="4"/>
      <c r="AF1273" s="4"/>
      <c r="AG1273" s="4" t="b">
        <v>0</v>
      </c>
      <c r="AH1273" s="4"/>
      <c r="AI1273" s="5">
        <v>41080</v>
      </c>
      <c r="AJ1273" s="5">
        <v>41080</v>
      </c>
      <c r="AK1273" s="5">
        <v>41089</v>
      </c>
      <c r="AL1273" s="5">
        <v>41089</v>
      </c>
      <c r="AM1273" s="5">
        <v>41129</v>
      </c>
      <c r="AN1273" s="5">
        <v>41145</v>
      </c>
      <c r="AO1273" s="4">
        <v>1</v>
      </c>
      <c r="AP1273" s="5">
        <v>41149</v>
      </c>
      <c r="AQ1273" s="5">
        <v>41145</v>
      </c>
      <c r="AR1273" s="5">
        <v>41122</v>
      </c>
      <c r="AS1273" s="5">
        <v>41096</v>
      </c>
      <c r="AT1273" s="5">
        <v>41243</v>
      </c>
      <c r="AU1273" s="5">
        <v>41240</v>
      </c>
      <c r="AV1273" s="4">
        <v>1</v>
      </c>
      <c r="AW1273" s="4"/>
      <c r="AX1273" s="5">
        <v>41240</v>
      </c>
      <c r="AY1273" s="4" t="s">
        <v>172</v>
      </c>
      <c r="AZ1273" s="5">
        <v>41201</v>
      </c>
      <c r="BA1273" s="5">
        <v>41242</v>
      </c>
      <c r="BB1273" s="5">
        <v>41272</v>
      </c>
      <c r="BC1273" s="5">
        <v>41253</v>
      </c>
      <c r="BD1273" s="4">
        <v>1</v>
      </c>
      <c r="BE1273" s="5">
        <v>41194</v>
      </c>
      <c r="BF1273" s="4"/>
      <c r="BG1273" s="4"/>
      <c r="BH1273" s="4"/>
      <c r="BI1273" s="4"/>
      <c r="BJ1273" s="4"/>
      <c r="BK1273" s="4"/>
      <c r="BL1273" s="4"/>
      <c r="BM1273" s="4"/>
      <c r="BN1273" s="4"/>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t="s">
        <v>3667</v>
      </c>
      <c r="CQ1273" s="4"/>
      <c r="CR1273" s="4"/>
      <c r="CS1273" s="4"/>
      <c r="CT1273" s="4"/>
      <c r="CU1273" s="4"/>
      <c r="CV1273" s="4"/>
      <c r="CW1273" s="4"/>
      <c r="CX1273" s="4"/>
      <c r="CY1273" s="4"/>
      <c r="CZ1273" s="4"/>
      <c r="DA1273" s="4"/>
      <c r="DB1273" s="4"/>
      <c r="DC1273" s="5">
        <v>41164</v>
      </c>
      <c r="DD1273" s="4" t="s">
        <v>586</v>
      </c>
      <c r="DE1273" s="4" t="s">
        <v>3657</v>
      </c>
      <c r="DF1273" s="4"/>
      <c r="DG1273" s="4"/>
      <c r="DH1273" s="4" t="s">
        <v>240</v>
      </c>
      <c r="DI1273" s="4"/>
      <c r="DJ1273" s="4" t="b">
        <v>1</v>
      </c>
      <c r="DK1273" s="4"/>
      <c r="DL1273" s="4">
        <v>2211146</v>
      </c>
      <c r="DM1273" s="4">
        <v>5565153</v>
      </c>
      <c r="DN1273" s="4" t="s">
        <v>3668</v>
      </c>
      <c r="DO1273" s="4"/>
      <c r="DP1273" s="4"/>
      <c r="DQ1273" s="4" t="s">
        <v>148</v>
      </c>
      <c r="DR1273" s="4" t="s">
        <v>244</v>
      </c>
      <c r="DS1273" s="4"/>
      <c r="DT1273" s="4"/>
      <c r="DU1273" s="4"/>
      <c r="DV1273" s="4"/>
      <c r="DW1273" s="4"/>
      <c r="DX1273" s="4"/>
      <c r="DY1273" s="4"/>
      <c r="DZ1273" s="4"/>
      <c r="EA1273" s="4"/>
      <c r="EB1273" s="4"/>
      <c r="EC1273" s="4"/>
      <c r="ED1273" s="4"/>
      <c r="EE1273" s="4"/>
      <c r="EF1273" s="4"/>
      <c r="EG1273" s="4"/>
      <c r="EH1273" s="4"/>
      <c r="EI1273" s="4"/>
    </row>
    <row r="1274" spans="1:139" hidden="1" x14ac:dyDescent="0.2">
      <c r="A1274" t="str">
        <f>VLOOKUP(B1274,Sheet1!$A$1:$B$18,2,FALSE)</f>
        <v>South Island</v>
      </c>
      <c r="B1274" t="str">
        <f>LEFT(D1274,3)</f>
        <v>OTG</v>
      </c>
      <c r="C1274" s="2">
        <v>1203</v>
      </c>
      <c r="D1274" s="3" t="str">
        <f>HYPERLINK("https://sitebase.nzcomms.co.nz/spm/spmnominalview/OTG-069-007/","OTG-069-007")</f>
        <v>OTG-069-007</v>
      </c>
      <c r="E1274" s="4" t="s">
        <v>3669</v>
      </c>
      <c r="F1274" s="4"/>
      <c r="G1274" s="4"/>
      <c r="H1274" s="4" t="s">
        <v>3653</v>
      </c>
      <c r="I1274" s="4">
        <v>4</v>
      </c>
      <c r="J1274" s="4" t="s">
        <v>180</v>
      </c>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t="b">
        <v>0</v>
      </c>
      <c r="AH1274" s="4"/>
      <c r="AI1274" s="4"/>
      <c r="AJ1274" s="4"/>
      <c r="AK1274" s="4"/>
      <c r="AL1274" s="4"/>
      <c r="AM1274" s="4"/>
      <c r="AN1274" s="4"/>
      <c r="AO1274" s="4"/>
      <c r="AP1274" s="4"/>
      <c r="AQ1274" s="4"/>
      <c r="AR1274" s="4"/>
      <c r="AS1274" s="4"/>
      <c r="AT1274" s="4"/>
      <c r="AU1274" s="4"/>
      <c r="AV1274" s="4"/>
      <c r="AW1274" s="4"/>
      <c r="AX1274" s="4"/>
      <c r="AY1274" s="4"/>
      <c r="AZ1274" s="4"/>
      <c r="BA1274" s="4"/>
      <c r="BB1274" s="4"/>
      <c r="BC1274" s="4"/>
      <c r="BD1274" s="4"/>
      <c r="BE1274" s="4"/>
      <c r="BF1274" s="4"/>
      <c r="BG1274" s="4"/>
      <c r="BH1274" s="4"/>
      <c r="BI1274" s="4"/>
      <c r="BJ1274" s="4"/>
      <c r="BK1274" s="4"/>
      <c r="BL1274" s="4"/>
      <c r="BM1274" s="4"/>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4"/>
      <c r="CK1274" s="4"/>
      <c r="CL1274" s="4"/>
      <c r="CM1274" s="4"/>
      <c r="CN1274" s="4"/>
      <c r="CO1274" s="4"/>
      <c r="CP1274" s="4" t="s">
        <v>3670</v>
      </c>
      <c r="CQ1274" s="4"/>
      <c r="CR1274" s="4"/>
      <c r="CS1274" s="4"/>
      <c r="CT1274" s="4"/>
      <c r="CU1274" s="4"/>
      <c r="CV1274" s="4"/>
      <c r="CW1274" s="4"/>
      <c r="CX1274" s="4"/>
      <c r="CY1274" s="4"/>
      <c r="CZ1274" s="4"/>
      <c r="DA1274" s="4"/>
      <c r="DB1274" s="4"/>
      <c r="DC1274" s="4"/>
      <c r="DD1274" s="4"/>
      <c r="DE1274" s="4" t="s">
        <v>1982</v>
      </c>
      <c r="DF1274" s="4"/>
      <c r="DG1274" s="4"/>
      <c r="DH1274" s="4"/>
      <c r="DI1274" s="4"/>
      <c r="DJ1274" s="4"/>
      <c r="DK1274" s="4"/>
      <c r="DL1274" s="4"/>
      <c r="DM1274" s="4"/>
      <c r="DN1274" s="4"/>
      <c r="DO1274" s="4"/>
      <c r="DP1274" s="4"/>
      <c r="DQ1274" s="4"/>
      <c r="DR1274" s="4"/>
      <c r="DS1274" s="4"/>
      <c r="DT1274" s="4"/>
      <c r="DU1274" s="4"/>
      <c r="DV1274" s="4"/>
      <c r="DW1274" s="4"/>
      <c r="DX1274" s="4"/>
      <c r="DY1274" s="4"/>
      <c r="DZ1274" s="4"/>
      <c r="EA1274" s="4"/>
      <c r="EB1274" s="4"/>
      <c r="EC1274" s="4"/>
      <c r="ED1274" s="4"/>
      <c r="EE1274" s="4"/>
      <c r="EF1274" s="4"/>
      <c r="EG1274" s="4"/>
      <c r="EH1274" s="4"/>
      <c r="EI1274" s="4"/>
    </row>
    <row r="1275" spans="1:139" hidden="1" x14ac:dyDescent="0.2">
      <c r="A1275" t="str">
        <f>VLOOKUP(B1275,Sheet1!$A$1:$B$18,2,FALSE)</f>
        <v>South Island</v>
      </c>
      <c r="B1275" t="str">
        <f>LEFT(D1275,3)</f>
        <v>OTG</v>
      </c>
      <c r="C1275" s="2">
        <v>1205</v>
      </c>
      <c r="D1275" s="3" t="str">
        <f>HYPERLINK("https://sitebase.nzcomms.co.nz/spm/spmnominalview/OTG-069-009/","OTG-069-009")</f>
        <v>OTG-069-009</v>
      </c>
      <c r="E1275" s="4" t="s">
        <v>3675</v>
      </c>
      <c r="F1275" s="4"/>
      <c r="G1275" s="4"/>
      <c r="H1275" s="4" t="s">
        <v>3653</v>
      </c>
      <c r="I1275" s="4"/>
      <c r="J1275" s="4" t="s">
        <v>196</v>
      </c>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t="b">
        <v>0</v>
      </c>
      <c r="AH1275" s="4"/>
      <c r="AI1275" s="4"/>
      <c r="AJ1275" s="4"/>
      <c r="AK1275" s="4"/>
      <c r="AL1275" s="4"/>
      <c r="AM1275" s="4"/>
      <c r="AN1275" s="4"/>
      <c r="AO1275" s="4"/>
      <c r="AP1275" s="4"/>
      <c r="AQ1275" s="4"/>
      <c r="AR1275" s="4"/>
      <c r="AS1275" s="4"/>
      <c r="AT1275" s="4"/>
      <c r="AU1275" s="4"/>
      <c r="AV1275" s="4"/>
      <c r="AW1275" s="4"/>
      <c r="AX1275" s="4"/>
      <c r="AY1275" s="4"/>
      <c r="AZ1275" s="4"/>
      <c r="BA1275" s="4"/>
      <c r="BB1275" s="4"/>
      <c r="BC1275" s="4"/>
      <c r="BD1275" s="4"/>
      <c r="BE1275" s="4"/>
      <c r="BF1275" s="4"/>
      <c r="BG1275" s="4"/>
      <c r="BH1275" s="4"/>
      <c r="BI1275" s="4"/>
      <c r="BJ1275" s="4"/>
      <c r="BK1275" s="4"/>
      <c r="BL1275" s="4"/>
      <c r="BM1275" s="4"/>
      <c r="BN1275" s="4"/>
      <c r="BO1275" s="4"/>
      <c r="BP1275" s="4"/>
      <c r="BQ1275" s="4"/>
      <c r="BR1275" s="4"/>
      <c r="BS1275" s="4"/>
      <c r="BT1275" s="4"/>
      <c r="BU1275" s="4"/>
      <c r="BV1275" s="4"/>
      <c r="BW1275" s="4"/>
      <c r="BX1275" s="4"/>
      <c r="BY1275" s="4"/>
      <c r="BZ1275" s="4"/>
      <c r="CA1275" s="4"/>
      <c r="CB1275" s="4"/>
      <c r="CC1275" s="4"/>
      <c r="CD1275" s="4"/>
      <c r="CE1275" s="4"/>
      <c r="CF1275" s="4"/>
      <c r="CG1275" s="4"/>
      <c r="CH1275" s="4"/>
      <c r="CI1275" s="4"/>
      <c r="CJ1275" s="4"/>
      <c r="CK1275" s="4"/>
      <c r="CL1275" s="4"/>
      <c r="CM1275" s="4"/>
      <c r="CN1275" s="4"/>
      <c r="CO1275" s="4"/>
      <c r="CP1275" s="4"/>
      <c r="CQ1275" s="4"/>
      <c r="CR1275" s="4"/>
      <c r="CS1275" s="4"/>
      <c r="CT1275" s="4"/>
      <c r="CU1275" s="4"/>
      <c r="CV1275" s="4"/>
      <c r="CW1275" s="4"/>
      <c r="CX1275" s="4"/>
      <c r="CY1275" s="4"/>
      <c r="CZ1275" s="4"/>
      <c r="DA1275" s="4"/>
      <c r="DB1275" s="4"/>
      <c r="DC1275" s="4"/>
      <c r="DD1275" s="4"/>
      <c r="DE1275" s="4"/>
      <c r="DF1275" s="4"/>
      <c r="DG1275" s="4"/>
      <c r="DH1275" s="4"/>
      <c r="DI1275" s="4"/>
      <c r="DJ1275" s="4"/>
      <c r="DK1275" s="4"/>
      <c r="DL1275" s="4"/>
      <c r="DM1275" s="4"/>
      <c r="DN1275" s="4"/>
      <c r="DO1275" s="4"/>
      <c r="DP1275" s="4"/>
      <c r="DQ1275" s="4"/>
      <c r="DR1275" s="4"/>
      <c r="DS1275" s="4"/>
      <c r="DT1275" s="4"/>
      <c r="DU1275" s="4"/>
      <c r="DV1275" s="4"/>
      <c r="DW1275" s="4"/>
      <c r="DX1275" s="4"/>
      <c r="DY1275" s="4"/>
      <c r="DZ1275" s="4"/>
      <c r="EA1275" s="4"/>
      <c r="EB1275" s="4"/>
      <c r="EC1275" s="4"/>
      <c r="ED1275" s="4"/>
      <c r="EE1275" s="4"/>
      <c r="EF1275" s="4"/>
      <c r="EG1275" s="4"/>
      <c r="EH1275" s="4"/>
      <c r="EI1275" s="4"/>
    </row>
    <row r="1276" spans="1:139" hidden="1" x14ac:dyDescent="0.2">
      <c r="A1276" t="str">
        <f>VLOOKUP(B1276,Sheet1!$A$1:$B$18,2,FALSE)</f>
        <v>South Island</v>
      </c>
      <c r="B1276" t="str">
        <f>LEFT(D1276,3)</f>
        <v>OTG</v>
      </c>
      <c r="C1276" s="2">
        <v>1206</v>
      </c>
      <c r="D1276" s="3" t="str">
        <f>HYPERLINK("https://sitebase.nzcomms.co.nz/spm/spmnominalview/OTG-069-010/","OTG-069-010")</f>
        <v>OTG-069-010</v>
      </c>
      <c r="E1276" s="4" t="s">
        <v>3676</v>
      </c>
      <c r="F1276" s="4"/>
      <c r="G1276" s="4"/>
      <c r="H1276" s="4" t="s">
        <v>3653</v>
      </c>
      <c r="I1276" s="4"/>
      <c r="J1276" s="4" t="s">
        <v>722</v>
      </c>
      <c r="K1276" s="4"/>
      <c r="L1276" s="4"/>
      <c r="M1276" s="4"/>
      <c r="N1276" s="4"/>
      <c r="O1276" s="4"/>
      <c r="P1276" s="4"/>
      <c r="Q1276" s="4"/>
      <c r="R1276" s="4"/>
      <c r="S1276" s="4"/>
      <c r="T1276" s="4"/>
      <c r="U1276" s="4"/>
      <c r="V1276" s="4"/>
      <c r="W1276" s="4"/>
      <c r="X1276" s="4"/>
      <c r="Y1276" s="4"/>
      <c r="Z1276" s="4"/>
      <c r="AA1276" s="4"/>
      <c r="AB1276" s="4"/>
      <c r="AC1276" s="4"/>
      <c r="AD1276" s="4"/>
      <c r="AE1276" s="4"/>
      <c r="AF1276" s="4"/>
      <c r="AG1276" s="4" t="b">
        <v>0</v>
      </c>
      <c r="AH1276" s="4"/>
      <c r="AI1276" s="4"/>
      <c r="AJ1276" s="4"/>
      <c r="AK1276" s="4"/>
      <c r="AL1276" s="4"/>
      <c r="AM1276" s="4"/>
      <c r="AN1276" s="4"/>
      <c r="AO1276" s="4"/>
      <c r="AP1276" s="4"/>
      <c r="AQ1276" s="4"/>
      <c r="AR1276" s="4"/>
      <c r="AS1276" s="4"/>
      <c r="AT1276" s="4"/>
      <c r="AU1276" s="4"/>
      <c r="AV1276" s="4"/>
      <c r="AW1276" s="4"/>
      <c r="AX1276" s="4"/>
      <c r="AY1276" s="4"/>
      <c r="AZ1276" s="4"/>
      <c r="BA1276" s="4"/>
      <c r="BB1276" s="4"/>
      <c r="BC1276" s="4"/>
      <c r="BD1276" s="4"/>
      <c r="BE1276" s="4"/>
      <c r="BF1276" s="4"/>
      <c r="BG1276" s="4"/>
      <c r="BH1276" s="4"/>
      <c r="BI1276" s="4"/>
      <c r="BJ1276" s="4"/>
      <c r="BK1276" s="4"/>
      <c r="BL1276" s="4"/>
      <c r="BM1276" s="4"/>
      <c r="BN1276" s="4"/>
      <c r="BO1276" s="4"/>
      <c r="BP1276" s="4"/>
      <c r="BQ1276" s="4"/>
      <c r="BR1276" s="4"/>
      <c r="BS1276" s="4"/>
      <c r="BT1276" s="4"/>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4"/>
      <c r="CW1276" s="4"/>
      <c r="CX1276" s="4"/>
      <c r="CY1276" s="4"/>
      <c r="CZ1276" s="4"/>
      <c r="DA1276" s="4"/>
      <c r="DB1276" s="4"/>
      <c r="DC1276" s="4"/>
      <c r="DD1276" s="4"/>
      <c r="DE1276" s="4"/>
      <c r="DF1276" s="4"/>
      <c r="DG1276" s="4"/>
      <c r="DH1276" s="4"/>
      <c r="DI1276" s="4"/>
      <c r="DJ1276" s="4"/>
      <c r="DK1276" s="4"/>
      <c r="DL1276" s="4"/>
      <c r="DM1276" s="4"/>
      <c r="DN1276" s="4"/>
      <c r="DO1276" s="4"/>
      <c r="DP1276" s="4"/>
      <c r="DQ1276" s="4"/>
      <c r="DR1276" s="4"/>
      <c r="DS1276" s="4"/>
      <c r="DT1276" s="4"/>
      <c r="DU1276" s="4"/>
      <c r="DV1276" s="4"/>
      <c r="DW1276" s="4"/>
      <c r="DX1276" s="4"/>
      <c r="DY1276" s="4"/>
      <c r="DZ1276" s="4"/>
      <c r="EA1276" s="4"/>
      <c r="EB1276" s="4"/>
      <c r="EC1276" s="4"/>
      <c r="ED1276" s="4"/>
      <c r="EE1276" s="4"/>
      <c r="EF1276" s="4"/>
      <c r="EG1276" s="4"/>
      <c r="EH1276" s="4"/>
      <c r="EI1276" s="4"/>
    </row>
    <row r="1277" spans="1:139" hidden="1" x14ac:dyDescent="0.2">
      <c r="A1277" t="str">
        <f>VLOOKUP(B1277,Sheet1!$A$1:$B$18,2,FALSE)</f>
        <v>South Island</v>
      </c>
      <c r="B1277" t="str">
        <f>LEFT(D1277,3)</f>
        <v>OTG</v>
      </c>
      <c r="C1277" s="2">
        <v>1213</v>
      </c>
      <c r="D1277" s="3" t="str">
        <f>HYPERLINK("https://sitebase.nzcomms.co.nz/spm/spmnominalview/OTG-070-006/","OTG-070-006")</f>
        <v>OTG-070-006</v>
      </c>
      <c r="E1277" s="4" t="s">
        <v>3698</v>
      </c>
      <c r="F1277" s="4"/>
      <c r="G1277" s="4"/>
      <c r="H1277" s="4" t="s">
        <v>3682</v>
      </c>
      <c r="I1277" s="4"/>
      <c r="J1277" s="4" t="s">
        <v>196</v>
      </c>
      <c r="K1277" s="4"/>
      <c r="L1277" s="4"/>
      <c r="M1277" s="4"/>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c r="AT1277" s="4"/>
      <c r="AU1277" s="4"/>
      <c r="AV1277" s="4"/>
      <c r="AW1277" s="4"/>
      <c r="AX1277" s="4"/>
      <c r="AY1277" s="4"/>
      <c r="AZ1277" s="4"/>
      <c r="BA1277" s="4"/>
      <c r="BB1277" s="4"/>
      <c r="BC1277" s="4"/>
      <c r="BD1277" s="4"/>
      <c r="BE1277" s="4"/>
      <c r="BF1277" s="4"/>
      <c r="BG1277" s="4"/>
      <c r="BH1277" s="4"/>
      <c r="BI1277" s="4"/>
      <c r="BJ1277" s="4"/>
      <c r="BK1277" s="4"/>
      <c r="BL1277" s="4"/>
      <c r="BM1277" s="4"/>
      <c r="BN1277" s="4"/>
      <c r="BO1277" s="4"/>
      <c r="BP1277" s="4"/>
      <c r="BQ1277" s="4"/>
      <c r="BR1277" s="4"/>
      <c r="BS1277" s="4"/>
      <c r="BT1277" s="4"/>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4"/>
      <c r="CW1277" s="4"/>
      <c r="CX1277" s="4"/>
      <c r="CY1277" s="4"/>
      <c r="CZ1277" s="4"/>
      <c r="DA1277" s="4"/>
      <c r="DB1277" s="4"/>
      <c r="DC1277" s="4"/>
      <c r="DD1277" s="4"/>
      <c r="DE1277" s="4"/>
      <c r="DF1277" s="4"/>
      <c r="DG1277" s="4"/>
      <c r="DH1277" s="4"/>
      <c r="DI1277" s="4"/>
      <c r="DJ1277" s="4"/>
      <c r="DK1277" s="4"/>
      <c r="DL1277" s="4"/>
      <c r="DM1277" s="4"/>
      <c r="DN1277" s="4"/>
      <c r="DO1277" s="4"/>
      <c r="DP1277" s="4"/>
      <c r="DQ1277" s="4"/>
      <c r="DR1277" s="4"/>
      <c r="DS1277" s="4"/>
      <c r="DT1277" s="4"/>
      <c r="DU1277" s="4"/>
      <c r="DV1277" s="4"/>
      <c r="DW1277" s="4"/>
      <c r="DX1277" s="4"/>
      <c r="DY1277" s="4"/>
      <c r="DZ1277" s="4"/>
      <c r="EA1277" s="4"/>
      <c r="EB1277" s="4"/>
      <c r="EC1277" s="4"/>
      <c r="ED1277" s="4"/>
      <c r="EE1277" s="4"/>
      <c r="EF1277" s="4"/>
      <c r="EG1277" s="4"/>
      <c r="EH1277" s="4"/>
      <c r="EI1277" s="4"/>
    </row>
    <row r="1278" spans="1:139" hidden="1" x14ac:dyDescent="0.2">
      <c r="A1278" t="str">
        <f>VLOOKUP(B1278,Sheet1!$A$1:$B$18,2,FALSE)</f>
        <v>South Island</v>
      </c>
      <c r="B1278" t="str">
        <f>LEFT(D1278,3)</f>
        <v>OTG</v>
      </c>
      <c r="C1278" s="2">
        <v>1214</v>
      </c>
      <c r="D1278" s="3" t="str">
        <f>HYPERLINK("https://sitebase.nzcomms.co.nz/spm/spmnominalview/OTG-070-007/","OTG-070-007")</f>
        <v>OTG-070-007</v>
      </c>
      <c r="E1278" s="4" t="s">
        <v>3699</v>
      </c>
      <c r="F1278" s="4"/>
      <c r="G1278" s="4"/>
      <c r="H1278" s="4" t="s">
        <v>3682</v>
      </c>
      <c r="I1278" s="4"/>
      <c r="J1278" s="4" t="s">
        <v>196</v>
      </c>
      <c r="K1278" s="4"/>
      <c r="L1278" s="4"/>
      <c r="M1278" s="4"/>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4"/>
      <c r="BF1278" s="4"/>
      <c r="BG1278" s="4"/>
      <c r="BH1278" s="4"/>
      <c r="BI1278" s="4"/>
      <c r="BJ1278" s="4"/>
      <c r="BK1278" s="4"/>
      <c r="BL1278" s="4"/>
      <c r="BM1278" s="4"/>
      <c r="BN1278" s="4"/>
      <c r="BO1278" s="4"/>
      <c r="BP1278" s="4"/>
      <c r="BQ1278" s="4"/>
      <c r="BR1278" s="4"/>
      <c r="BS1278" s="4"/>
      <c r="BT1278" s="4"/>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t="s">
        <v>3700</v>
      </c>
      <c r="CQ1278" s="4"/>
      <c r="CR1278" s="4"/>
      <c r="CS1278" s="4"/>
      <c r="CT1278" s="4"/>
      <c r="CU1278" s="4"/>
      <c r="CV1278" s="4"/>
      <c r="CW1278" s="4"/>
      <c r="CX1278" s="4"/>
      <c r="CY1278" s="4"/>
      <c r="CZ1278" s="4"/>
      <c r="DA1278" s="4"/>
      <c r="DB1278" s="4"/>
      <c r="DC1278" s="4"/>
      <c r="DD1278" s="4"/>
      <c r="DE1278" s="4"/>
      <c r="DF1278" s="4"/>
      <c r="DG1278" s="4"/>
      <c r="DH1278" s="4"/>
      <c r="DI1278" s="4"/>
      <c r="DJ1278" s="4"/>
      <c r="DK1278" s="4"/>
      <c r="DL1278" s="4"/>
      <c r="DM1278" s="4"/>
      <c r="DN1278" s="4"/>
      <c r="DO1278" s="4"/>
      <c r="DP1278" s="4"/>
      <c r="DQ1278" s="4"/>
      <c r="DR1278" s="4"/>
      <c r="DS1278" s="4"/>
      <c r="DT1278" s="4"/>
      <c r="DU1278" s="4"/>
      <c r="DV1278" s="4"/>
      <c r="DW1278" s="4"/>
      <c r="DX1278" s="4"/>
      <c r="DY1278" s="4"/>
      <c r="DZ1278" s="4"/>
      <c r="EA1278" s="4"/>
      <c r="EB1278" s="4"/>
      <c r="EC1278" s="4"/>
      <c r="ED1278" s="4"/>
      <c r="EE1278" s="4"/>
      <c r="EF1278" s="4"/>
      <c r="EG1278" s="4"/>
      <c r="EH1278" s="4"/>
      <c r="EI1278" s="4"/>
    </row>
    <row r="1279" spans="1:139" hidden="1" x14ac:dyDescent="0.2">
      <c r="A1279" t="str">
        <f>VLOOKUP(B1279,Sheet1!$A$1:$B$18,2,FALSE)</f>
        <v>South Island</v>
      </c>
      <c r="B1279" t="str">
        <f>LEFT(D1279,3)</f>
        <v>OTG</v>
      </c>
      <c r="C1279" s="2">
        <v>1215</v>
      </c>
      <c r="D1279" s="3" t="str">
        <f>HYPERLINK("https://sitebase.nzcomms.co.nz/spm/spmnominalview/OTG-070-008/","OTG-070-008")</f>
        <v>OTG-070-008</v>
      </c>
      <c r="E1279" s="4" t="s">
        <v>3701</v>
      </c>
      <c r="F1279" s="4"/>
      <c r="G1279" s="4"/>
      <c r="H1279" s="4" t="s">
        <v>3682</v>
      </c>
      <c r="I1279" s="4"/>
      <c r="J1279" s="4" t="s">
        <v>196</v>
      </c>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4"/>
      <c r="BF1279" s="4"/>
      <c r="BG1279" s="4"/>
      <c r="BH1279" s="4"/>
      <c r="BI1279" s="4"/>
      <c r="BJ1279" s="4"/>
      <c r="BK1279" s="4"/>
      <c r="BL1279" s="4"/>
      <c r="BM1279" s="4"/>
      <c r="BN1279" s="4"/>
      <c r="BO1279" s="4"/>
      <c r="BP1279" s="4"/>
      <c r="BQ1279" s="4"/>
      <c r="BR1279" s="4"/>
      <c r="BS1279" s="4"/>
      <c r="BT1279" s="4"/>
      <c r="BU1279" s="4"/>
      <c r="BV1279" s="4"/>
      <c r="BW1279" s="4"/>
      <c r="BX1279" s="4"/>
      <c r="BY1279" s="4"/>
      <c r="BZ1279" s="4"/>
      <c r="CA1279" s="4"/>
      <c r="CB1279" s="4"/>
      <c r="CC1279" s="4"/>
      <c r="CD1279" s="4"/>
      <c r="CE1279" s="4"/>
      <c r="CF1279" s="4"/>
      <c r="CG1279" s="4"/>
      <c r="CH1279" s="4"/>
      <c r="CI1279" s="4"/>
      <c r="CJ1279" s="4"/>
      <c r="CK1279" s="4"/>
      <c r="CL1279" s="4"/>
      <c r="CM1279" s="4"/>
      <c r="CN1279" s="4"/>
      <c r="CO1279" s="4"/>
      <c r="CP1279" s="4"/>
      <c r="CQ1279" s="4"/>
      <c r="CR1279" s="4"/>
      <c r="CS1279" s="4"/>
      <c r="CT1279" s="4"/>
      <c r="CU1279" s="4"/>
      <c r="CV1279" s="4"/>
      <c r="CW1279" s="4"/>
      <c r="CX1279" s="4"/>
      <c r="CY1279" s="4"/>
      <c r="CZ1279" s="4"/>
      <c r="DA1279" s="4"/>
      <c r="DB1279" s="4"/>
      <c r="DC1279" s="4"/>
      <c r="DD1279" s="4"/>
      <c r="DE1279" s="4"/>
      <c r="DF1279" s="4"/>
      <c r="DG1279" s="4"/>
      <c r="DH1279" s="4"/>
      <c r="DI1279" s="4"/>
      <c r="DJ1279" s="4"/>
      <c r="DK1279" s="4"/>
      <c r="DL1279" s="4"/>
      <c r="DM1279" s="4"/>
      <c r="DN1279" s="4"/>
      <c r="DO1279" s="4"/>
      <c r="DP1279" s="4"/>
      <c r="DQ1279" s="4"/>
      <c r="DR1279" s="4"/>
      <c r="DS1279" s="4"/>
      <c r="DT1279" s="4"/>
      <c r="DU1279" s="4"/>
      <c r="DV1279" s="4"/>
      <c r="DW1279" s="4"/>
      <c r="DX1279" s="4"/>
      <c r="DY1279" s="4"/>
      <c r="DZ1279" s="4"/>
      <c r="EA1279" s="4"/>
      <c r="EB1279" s="4"/>
      <c r="EC1279" s="4"/>
      <c r="ED1279" s="4"/>
      <c r="EE1279" s="4"/>
      <c r="EF1279" s="4"/>
      <c r="EG1279" s="4"/>
      <c r="EH1279" s="4"/>
      <c r="EI1279" s="4"/>
    </row>
    <row r="1280" spans="1:139" hidden="1" x14ac:dyDescent="0.2">
      <c r="A1280" t="str">
        <f>VLOOKUP(B1280,Sheet1!$A$1:$B$18,2,FALSE)</f>
        <v>South Island</v>
      </c>
      <c r="B1280" t="str">
        <f>LEFT(D1280,3)</f>
        <v>OTG</v>
      </c>
      <c r="C1280" s="2">
        <v>1217</v>
      </c>
      <c r="D1280" s="3" t="str">
        <f>HYPERLINK("https://sitebase.nzcomms.co.nz/spm/spmnominalview/OTG-070-010/","OTG-070-010")</f>
        <v>OTG-070-010</v>
      </c>
      <c r="E1280" s="4" t="s">
        <v>3706</v>
      </c>
      <c r="F1280" s="4"/>
      <c r="G1280" s="4"/>
      <c r="H1280" s="4" t="s">
        <v>3682</v>
      </c>
      <c r="I1280" s="4">
        <v>4</v>
      </c>
      <c r="J1280" s="4" t="s">
        <v>180</v>
      </c>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t="b">
        <v>0</v>
      </c>
      <c r="AH1280" s="4"/>
      <c r="AI1280" s="4"/>
      <c r="AJ1280" s="4"/>
      <c r="AK1280" s="4"/>
      <c r="AL1280" s="4"/>
      <c r="AM1280" s="4"/>
      <c r="AN1280" s="4"/>
      <c r="AO1280" s="4"/>
      <c r="AP1280" s="4"/>
      <c r="AQ1280" s="4"/>
      <c r="AR1280" s="4"/>
      <c r="AS1280" s="4"/>
      <c r="AT1280" s="4"/>
      <c r="AU1280" s="4"/>
      <c r="AV1280" s="4"/>
      <c r="AW1280" s="4"/>
      <c r="AX1280" s="4"/>
      <c r="AY1280" s="4"/>
      <c r="AZ1280" s="4"/>
      <c r="BA1280" s="4"/>
      <c r="BB1280" s="4"/>
      <c r="BC1280" s="4"/>
      <c r="BD1280" s="4"/>
      <c r="BE1280" s="4"/>
      <c r="BF1280" s="4"/>
      <c r="BG1280" s="4"/>
      <c r="BH1280" s="4"/>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t="s">
        <v>3707</v>
      </c>
      <c r="CQ1280" s="4"/>
      <c r="CR1280" s="4"/>
      <c r="CS1280" s="4"/>
      <c r="CT1280" s="4"/>
      <c r="CU1280" s="4"/>
      <c r="CV1280" s="4"/>
      <c r="CW1280" s="4"/>
      <c r="CX1280" s="4"/>
      <c r="CY1280" s="4"/>
      <c r="CZ1280" s="4"/>
      <c r="DA1280" s="4"/>
      <c r="DB1280" s="4"/>
      <c r="DC1280" s="4"/>
      <c r="DD1280" s="4"/>
      <c r="DE1280" s="4" t="s">
        <v>3657</v>
      </c>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row>
    <row r="1281" spans="1:139" hidden="1" x14ac:dyDescent="0.2">
      <c r="A1281" t="str">
        <f>VLOOKUP(B1281,Sheet1!$A$1:$B$18,2,FALSE)</f>
        <v>South Island</v>
      </c>
      <c r="B1281" t="str">
        <f>LEFT(D1281,3)</f>
        <v>OTG</v>
      </c>
      <c r="C1281" s="2">
        <v>1219</v>
      </c>
      <c r="D1281" s="3" t="str">
        <f>HYPERLINK("https://sitebase.nzcomms.co.nz/spm/spmnominalview/OTG-070-012/","OTG-070-012")</f>
        <v>OTG-070-012</v>
      </c>
      <c r="E1281" s="4" t="s">
        <v>3713</v>
      </c>
      <c r="F1281" s="3" t="str">
        <f>HYPERLINK("https://sitebase.nzcomms.co.nz/spm/spmcandidateview/OTG-070-012-A/","OTG-070-012-A")</f>
        <v>OTG-070-012-A</v>
      </c>
      <c r="G1281" s="4" t="s">
        <v>3714</v>
      </c>
      <c r="H1281" s="4" t="s">
        <v>3682</v>
      </c>
      <c r="I1281" s="4">
        <v>4</v>
      </c>
      <c r="J1281" s="4" t="s">
        <v>180</v>
      </c>
      <c r="K1281" s="4" t="s">
        <v>141</v>
      </c>
      <c r="L1281" s="4" t="s">
        <v>150</v>
      </c>
      <c r="M1281" s="4" t="s">
        <v>190</v>
      </c>
      <c r="N1281" s="4" t="s">
        <v>291</v>
      </c>
      <c r="O1281" s="4"/>
      <c r="P1281" s="4" t="s">
        <v>182</v>
      </c>
      <c r="Q1281" s="4" t="s">
        <v>170</v>
      </c>
      <c r="R1281" s="4">
        <v>13</v>
      </c>
      <c r="S1281" s="4">
        <v>13.5</v>
      </c>
      <c r="T1281" s="4"/>
      <c r="U1281" s="4">
        <v>-44.695003219999997</v>
      </c>
      <c r="V1281" s="4">
        <v>169.13830197999999</v>
      </c>
      <c r="W1281" s="4"/>
      <c r="X1281" s="4"/>
      <c r="Y1281" s="4"/>
      <c r="Z1281" s="4"/>
      <c r="AA1281" s="4"/>
      <c r="AB1281" s="4"/>
      <c r="AC1281" s="4" t="b">
        <v>0</v>
      </c>
      <c r="AD1281" s="4" t="b">
        <v>0</v>
      </c>
      <c r="AE1281" s="4"/>
      <c r="AF1281" s="4"/>
      <c r="AG1281" s="4" t="b">
        <v>0</v>
      </c>
      <c r="AH1281" s="4"/>
      <c r="AI1281" s="5">
        <v>41011</v>
      </c>
      <c r="AJ1281" s="5">
        <v>41011</v>
      </c>
      <c r="AK1281" s="5">
        <v>41040</v>
      </c>
      <c r="AL1281" s="5">
        <v>41038</v>
      </c>
      <c r="AM1281" s="5">
        <v>41059</v>
      </c>
      <c r="AN1281" s="5">
        <v>41047</v>
      </c>
      <c r="AO1281" s="4">
        <v>4</v>
      </c>
      <c r="AP1281" s="5">
        <v>41059</v>
      </c>
      <c r="AQ1281" s="5">
        <v>41246</v>
      </c>
      <c r="AR1281" s="4"/>
      <c r="AS1281" s="5">
        <v>41015</v>
      </c>
      <c r="AT1281" s="5">
        <v>41219</v>
      </c>
      <c r="AU1281" s="5">
        <v>41220</v>
      </c>
      <c r="AV1281" s="4"/>
      <c r="AW1281" s="4"/>
      <c r="AX1281" s="5">
        <v>41220</v>
      </c>
      <c r="AY1281" s="4" t="s">
        <v>183</v>
      </c>
      <c r="AZ1281" s="5">
        <v>41204</v>
      </c>
      <c r="BA1281" s="5">
        <v>41208</v>
      </c>
      <c r="BB1281" s="5">
        <v>41270</v>
      </c>
      <c r="BC1281" s="5">
        <v>41264</v>
      </c>
      <c r="BD1281" s="4">
        <v>4</v>
      </c>
      <c r="BE1281" s="4"/>
      <c r="BF1281" s="4"/>
      <c r="BG1281" s="4"/>
      <c r="BH1281" s="4"/>
      <c r="BI1281" s="4"/>
      <c r="BJ1281" s="4"/>
      <c r="BK1281" s="4"/>
      <c r="BL1281" s="4"/>
      <c r="BM1281" s="4"/>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t="s">
        <v>3715</v>
      </c>
      <c r="CQ1281" s="4"/>
      <c r="CR1281" s="4"/>
      <c r="CS1281" s="4"/>
      <c r="CT1281" s="4"/>
      <c r="CU1281" s="4"/>
      <c r="CV1281" s="4"/>
      <c r="CW1281" s="4"/>
      <c r="CX1281" s="4"/>
      <c r="CY1281" s="4"/>
      <c r="CZ1281" s="4"/>
      <c r="DA1281" s="4"/>
      <c r="DB1281" s="4"/>
      <c r="DC1281" s="4"/>
      <c r="DD1281" s="4" t="s">
        <v>206</v>
      </c>
      <c r="DE1281" s="4" t="s">
        <v>3657</v>
      </c>
      <c r="DF1281" s="4"/>
      <c r="DG1281" s="4"/>
      <c r="DH1281" s="4" t="s">
        <v>240</v>
      </c>
      <c r="DI1281" s="4"/>
      <c r="DJ1281" s="4" t="b">
        <v>1</v>
      </c>
      <c r="DK1281" s="4"/>
      <c r="DL1281" s="4">
        <v>2204006</v>
      </c>
      <c r="DM1281" s="4">
        <v>5605389</v>
      </c>
      <c r="DN1281" s="4" t="s">
        <v>3716</v>
      </c>
      <c r="DO1281" s="4"/>
      <c r="DP1281" s="4"/>
      <c r="DQ1281" s="4"/>
      <c r="DR1281" s="4"/>
      <c r="DS1281" s="4"/>
      <c r="DT1281" s="4"/>
      <c r="DU1281" s="4"/>
      <c r="DV1281" s="4"/>
      <c r="DW1281" s="4"/>
      <c r="DX1281" s="4"/>
      <c r="DY1281" s="4"/>
      <c r="DZ1281" s="4"/>
      <c r="EA1281" s="4"/>
      <c r="EB1281" s="4"/>
      <c r="EC1281" s="4"/>
      <c r="ED1281" s="4"/>
      <c r="EE1281" s="4"/>
      <c r="EF1281" s="4"/>
      <c r="EG1281" s="4"/>
      <c r="EH1281" s="4"/>
      <c r="EI1281" s="4"/>
    </row>
    <row r="1282" spans="1:139" hidden="1" x14ac:dyDescent="0.2">
      <c r="A1282" t="str">
        <f>VLOOKUP(B1282,Sheet1!$A$1:$B$18,2,FALSE)</f>
        <v>South Island</v>
      </c>
      <c r="B1282" t="str">
        <f>LEFT(D1282,3)</f>
        <v>OTG</v>
      </c>
      <c r="C1282" s="2">
        <v>1220</v>
      </c>
      <c r="D1282" s="3" t="str">
        <f>HYPERLINK("https://sitebase.nzcomms.co.nz/spm/spmnominalview/OTG-070-013/","OTG-070-013")</f>
        <v>OTG-070-013</v>
      </c>
      <c r="E1282" s="4" t="s">
        <v>3717</v>
      </c>
      <c r="F1282" s="4"/>
      <c r="G1282" s="4"/>
      <c r="H1282" s="4" t="s">
        <v>3682</v>
      </c>
      <c r="I1282" s="4"/>
      <c r="J1282" s="4" t="s">
        <v>196</v>
      </c>
      <c r="K1282" s="4"/>
      <c r="L1282" s="4"/>
      <c r="M1282" s="4"/>
      <c r="N1282" s="4"/>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c r="AT1282" s="4"/>
      <c r="AU1282" s="4"/>
      <c r="AV1282" s="4"/>
      <c r="AW1282" s="4"/>
      <c r="AX1282" s="4"/>
      <c r="AY1282" s="4"/>
      <c r="AZ1282" s="4"/>
      <c r="BA1282" s="4"/>
      <c r="BB1282" s="4"/>
      <c r="BC1282" s="4"/>
      <c r="BD1282" s="4"/>
      <c r="BE1282" s="4"/>
      <c r="BF1282" s="4"/>
      <c r="BG1282" s="4"/>
      <c r="BH1282" s="4"/>
      <c r="BI1282" s="4"/>
      <c r="BJ1282" s="4"/>
      <c r="BK1282" s="4"/>
      <c r="BL1282" s="4"/>
      <c r="BM1282" s="4"/>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4"/>
      <c r="DG1282" s="4"/>
      <c r="DH1282" s="4"/>
      <c r="DI1282" s="4"/>
      <c r="DJ1282" s="4"/>
      <c r="DK1282" s="4"/>
      <c r="DL1282" s="4"/>
      <c r="DM1282" s="4"/>
      <c r="DN1282" s="4"/>
      <c r="DO1282" s="4"/>
      <c r="DP1282" s="4"/>
      <c r="DQ1282" s="4"/>
      <c r="DR1282" s="4"/>
      <c r="DS1282" s="4"/>
      <c r="DT1282" s="4"/>
      <c r="DU1282" s="4"/>
      <c r="DV1282" s="4"/>
      <c r="DW1282" s="4"/>
      <c r="DX1282" s="4"/>
      <c r="DY1282" s="4"/>
      <c r="DZ1282" s="4"/>
      <c r="EA1282" s="4"/>
      <c r="EB1282" s="4"/>
      <c r="EC1282" s="4"/>
      <c r="ED1282" s="4"/>
      <c r="EE1282" s="4"/>
      <c r="EF1282" s="4"/>
      <c r="EG1282" s="4"/>
      <c r="EH1282" s="4"/>
      <c r="EI1282" s="4"/>
    </row>
    <row r="1283" spans="1:139" hidden="1" x14ac:dyDescent="0.2">
      <c r="A1283" t="str">
        <f>VLOOKUP(B1283,Sheet1!$A$1:$B$18,2,FALSE)</f>
        <v>South Island</v>
      </c>
      <c r="B1283" t="str">
        <f>LEFT(D1283,3)</f>
        <v>OTG</v>
      </c>
      <c r="C1283" s="2">
        <v>1225</v>
      </c>
      <c r="D1283" s="3" t="str">
        <f>HYPERLINK("https://sitebase.nzcomms.co.nz/spm/spmnominalview/OTG-071-003/","OTG-071-003")</f>
        <v>OTG-071-003</v>
      </c>
      <c r="E1283" s="4" t="s">
        <v>3736</v>
      </c>
      <c r="F1283" s="4"/>
      <c r="G1283" s="4"/>
      <c r="H1283" s="4" t="s">
        <v>3727</v>
      </c>
      <c r="I1283" s="4">
        <v>11</v>
      </c>
      <c r="J1283" s="4" t="s">
        <v>180</v>
      </c>
      <c r="K1283" s="4"/>
      <c r="L1283" s="4"/>
      <c r="M1283" s="4"/>
      <c r="N1283" s="4"/>
      <c r="O1283" s="4"/>
      <c r="P1283" s="4"/>
      <c r="Q1283" s="4"/>
      <c r="R1283" s="4"/>
      <c r="S1283" s="4"/>
      <c r="T1283" s="4"/>
      <c r="U1283" s="4"/>
      <c r="V1283" s="4"/>
      <c r="W1283" s="4"/>
      <c r="X1283" s="4"/>
      <c r="Y1283" s="4"/>
      <c r="Z1283" s="4"/>
      <c r="AA1283" s="4"/>
      <c r="AB1283" s="4"/>
      <c r="AC1283" s="4"/>
      <c r="AD1283" s="4"/>
      <c r="AE1283" s="4"/>
      <c r="AF1283" s="4"/>
      <c r="AG1283" s="4" t="b">
        <v>0</v>
      </c>
      <c r="AH1283" s="4"/>
      <c r="AI1283" s="4"/>
      <c r="AJ1283" s="4"/>
      <c r="AK1283" s="4"/>
      <c r="AL1283" s="4"/>
      <c r="AM1283" s="4"/>
      <c r="AN1283" s="4"/>
      <c r="AO1283" s="4"/>
      <c r="AP1283" s="4"/>
      <c r="AQ1283" s="4"/>
      <c r="AR1283" s="4"/>
      <c r="AS1283" s="4"/>
      <c r="AT1283" s="4"/>
      <c r="AU1283" s="4"/>
      <c r="AV1283" s="4"/>
      <c r="AW1283" s="4"/>
      <c r="AX1283" s="4"/>
      <c r="AY1283" s="4"/>
      <c r="AZ1283" s="4"/>
      <c r="BA1283" s="4"/>
      <c r="BB1283" s="4"/>
      <c r="BC1283" s="4"/>
      <c r="BD1283" s="4"/>
      <c r="BE1283" s="4"/>
      <c r="BF1283" s="4"/>
      <c r="BG1283" s="4"/>
      <c r="BH1283" s="4"/>
      <c r="BI1283" s="4"/>
      <c r="BJ1283" s="4"/>
      <c r="BK1283" s="4"/>
      <c r="BL1283" s="4"/>
      <c r="BM1283" s="4"/>
      <c r="BN1283" s="4"/>
      <c r="BO1283" s="4"/>
      <c r="BP1283" s="4"/>
      <c r="BQ1283" s="4"/>
      <c r="BR1283" s="4"/>
      <c r="BS1283" s="4"/>
      <c r="BT1283" s="4"/>
      <c r="BU1283" s="4"/>
      <c r="BV1283" s="4"/>
      <c r="BW1283" s="4"/>
      <c r="BX1283" s="4"/>
      <c r="BY1283" s="4"/>
      <c r="BZ1283" s="4"/>
      <c r="CA1283" s="4"/>
      <c r="CB1283" s="4"/>
      <c r="CC1283" s="4"/>
      <c r="CD1283" s="4"/>
      <c r="CE1283" s="4"/>
      <c r="CF1283" s="4"/>
      <c r="CG1283" s="4"/>
      <c r="CH1283" s="4"/>
      <c r="CI1283" s="4"/>
      <c r="CJ1283" s="4"/>
      <c r="CK1283" s="4"/>
      <c r="CL1283" s="4"/>
      <c r="CM1283" s="4"/>
      <c r="CN1283" s="4"/>
      <c r="CO1283" s="4"/>
      <c r="CP1283" s="4" t="s">
        <v>3737</v>
      </c>
      <c r="CQ1283" s="4"/>
      <c r="CR1283" s="4"/>
      <c r="CS1283" s="4"/>
      <c r="CT1283" s="4"/>
      <c r="CU1283" s="4"/>
      <c r="CV1283" s="4"/>
      <c r="CW1283" s="4"/>
      <c r="CX1283" s="4"/>
      <c r="CY1283" s="4"/>
      <c r="CZ1283" s="4"/>
      <c r="DA1283" s="4"/>
      <c r="DB1283" s="4"/>
      <c r="DC1283" s="4"/>
      <c r="DD1283" s="4"/>
      <c r="DE1283" s="4" t="s">
        <v>194</v>
      </c>
      <c r="DF1283" s="4"/>
      <c r="DG1283" s="4"/>
      <c r="DH1283" s="4"/>
      <c r="DI1283" s="4"/>
      <c r="DJ1283" s="4"/>
      <c r="DK1283" s="4"/>
      <c r="DL1283" s="4"/>
      <c r="DM1283" s="4"/>
      <c r="DN1283" s="4"/>
      <c r="DO1283" s="4"/>
      <c r="DP1283" s="4"/>
      <c r="DQ1283" s="4"/>
      <c r="DR1283" s="4"/>
      <c r="DS1283" s="4"/>
      <c r="DT1283" s="4"/>
      <c r="DU1283" s="4"/>
      <c r="DV1283" s="4"/>
      <c r="DW1283" s="4"/>
      <c r="DX1283" s="4"/>
      <c r="DY1283" s="4"/>
      <c r="DZ1283" s="4"/>
      <c r="EA1283" s="4"/>
      <c r="EB1283" s="4"/>
      <c r="EC1283" s="4"/>
      <c r="ED1283" s="4"/>
      <c r="EE1283" s="4"/>
      <c r="EF1283" s="4"/>
      <c r="EG1283" s="4"/>
      <c r="EH1283" s="4"/>
      <c r="EI1283" s="4"/>
    </row>
    <row r="1284" spans="1:139" hidden="1" x14ac:dyDescent="0.2">
      <c r="A1284" t="str">
        <f>VLOOKUP(B1284,Sheet1!$A$1:$B$18,2,FALSE)</f>
        <v>South Island</v>
      </c>
      <c r="B1284" t="str">
        <f>LEFT(D1284,3)</f>
        <v>OTG</v>
      </c>
      <c r="C1284" s="2">
        <v>1234</v>
      </c>
      <c r="D1284" s="3" t="str">
        <f>HYPERLINK("https://sitebase.nzcomms.co.nz/spm/spmnominalview/OTG-071-012/","OTG-071-012")</f>
        <v>OTG-071-012</v>
      </c>
      <c r="E1284" s="4" t="s">
        <v>3778</v>
      </c>
      <c r="F1284" s="4"/>
      <c r="G1284" s="4"/>
      <c r="H1284" s="4" t="s">
        <v>3727</v>
      </c>
      <c r="I1284" s="4"/>
      <c r="J1284" s="4" t="s">
        <v>196</v>
      </c>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t="b">
        <v>0</v>
      </c>
      <c r="AH1284" s="4"/>
      <c r="AI1284" s="4"/>
      <c r="AJ1284" s="4"/>
      <c r="AK1284" s="4"/>
      <c r="AL1284" s="4"/>
      <c r="AM1284" s="4"/>
      <c r="AN1284" s="4"/>
      <c r="AO1284" s="4"/>
      <c r="AP1284" s="4"/>
      <c r="AQ1284" s="4"/>
      <c r="AR1284" s="4"/>
      <c r="AS1284" s="4"/>
      <c r="AT1284" s="4"/>
      <c r="AU1284" s="4"/>
      <c r="AV1284" s="4"/>
      <c r="AW1284" s="4"/>
      <c r="AX1284" s="4"/>
      <c r="AY1284" s="4"/>
      <c r="AZ1284" s="4"/>
      <c r="BA1284" s="4"/>
      <c r="BB1284" s="4"/>
      <c r="BC1284" s="4"/>
      <c r="BD1284" s="4"/>
      <c r="BE1284" s="4"/>
      <c r="BF1284" s="4"/>
      <c r="BG1284" s="4"/>
      <c r="BH1284" s="4"/>
      <c r="BI1284" s="4"/>
      <c r="BJ1284" s="4"/>
      <c r="BK1284" s="4"/>
      <c r="BL1284" s="4"/>
      <c r="BM1284" s="4"/>
      <c r="BN1284" s="4"/>
      <c r="BO1284" s="4"/>
      <c r="BP1284" s="4"/>
      <c r="BQ1284" s="4"/>
      <c r="BR1284" s="4"/>
      <c r="BS1284" s="4"/>
      <c r="BT1284" s="4"/>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t="s">
        <v>3779</v>
      </c>
      <c r="CQ1284" s="4"/>
      <c r="CR1284" s="4"/>
      <c r="CS1284" s="4"/>
      <c r="CT1284" s="4"/>
      <c r="CU1284" s="4"/>
      <c r="CV1284" s="4"/>
      <c r="CW1284" s="4"/>
      <c r="CX1284" s="4"/>
      <c r="CY1284" s="4"/>
      <c r="CZ1284" s="4"/>
      <c r="DA1284" s="4"/>
      <c r="DB1284" s="4"/>
      <c r="DC1284" s="4"/>
      <c r="DD1284" s="4"/>
      <c r="DE1284" s="4"/>
      <c r="DF1284" s="4"/>
      <c r="DG1284" s="4"/>
      <c r="DH1284" s="4"/>
      <c r="DI1284" s="4"/>
      <c r="DJ1284" s="4"/>
      <c r="DK1284" s="4"/>
      <c r="DL1284" s="4"/>
      <c r="DM1284" s="4"/>
      <c r="DN1284" s="4"/>
      <c r="DO1284" s="4"/>
      <c r="DP1284" s="4"/>
      <c r="DQ1284" s="4"/>
      <c r="DR1284" s="4"/>
      <c r="DS1284" s="4"/>
      <c r="DT1284" s="4"/>
      <c r="DU1284" s="4"/>
      <c r="DV1284" s="4"/>
      <c r="DW1284" s="4"/>
      <c r="DX1284" s="4"/>
      <c r="DY1284" s="4"/>
      <c r="DZ1284" s="4"/>
      <c r="EA1284" s="4"/>
      <c r="EB1284" s="4"/>
      <c r="EC1284" s="4"/>
      <c r="ED1284" s="4"/>
      <c r="EE1284" s="4"/>
      <c r="EF1284" s="4"/>
      <c r="EG1284" s="4"/>
      <c r="EH1284" s="4"/>
      <c r="EI1284" s="4"/>
    </row>
    <row r="1285" spans="1:139" hidden="1" x14ac:dyDescent="0.2">
      <c r="A1285" t="str">
        <f>VLOOKUP(B1285,Sheet1!$A$1:$B$18,2,FALSE)</f>
        <v>South Island</v>
      </c>
      <c r="B1285" t="str">
        <f>LEFT(D1285,3)</f>
        <v>OTG</v>
      </c>
      <c r="C1285" s="2">
        <v>1238</v>
      </c>
      <c r="D1285" s="3" t="str">
        <f>HYPERLINK("https://sitebase.nzcomms.co.nz/spm/spmnominalview/OTG-071-016/","OTG-071-016")</f>
        <v>OTG-071-016</v>
      </c>
      <c r="E1285" s="4" t="s">
        <v>3789</v>
      </c>
      <c r="F1285" s="4"/>
      <c r="G1285" s="4"/>
      <c r="H1285" s="4" t="s">
        <v>3727</v>
      </c>
      <c r="I1285" s="4"/>
      <c r="J1285" s="4" t="s">
        <v>196</v>
      </c>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t="b">
        <v>0</v>
      </c>
      <c r="AH1285" s="4"/>
      <c r="AI1285" s="4"/>
      <c r="AJ1285" s="4"/>
      <c r="AK1285" s="4"/>
      <c r="AL1285" s="4"/>
      <c r="AM1285" s="4"/>
      <c r="AN1285" s="4"/>
      <c r="AO1285" s="4"/>
      <c r="AP1285" s="4"/>
      <c r="AQ1285" s="4"/>
      <c r="AR1285" s="4"/>
      <c r="AS1285" s="4"/>
      <c r="AT1285" s="4"/>
      <c r="AU1285" s="4"/>
      <c r="AV1285" s="4"/>
      <c r="AW1285" s="4"/>
      <c r="AX1285" s="4"/>
      <c r="AY1285" s="4"/>
      <c r="AZ1285" s="4"/>
      <c r="BA1285" s="4"/>
      <c r="BB1285" s="4"/>
      <c r="BC1285" s="4"/>
      <c r="BD1285" s="4"/>
      <c r="BE1285" s="4"/>
      <c r="BF1285" s="4"/>
      <c r="BG1285" s="4"/>
      <c r="BH1285" s="4"/>
      <c r="BI1285" s="4"/>
      <c r="BJ1285" s="4"/>
      <c r="BK1285" s="4"/>
      <c r="BL1285" s="4"/>
      <c r="BM1285" s="4"/>
      <c r="BN1285" s="4"/>
      <c r="BO1285" s="4"/>
      <c r="BP1285" s="4"/>
      <c r="BQ1285" s="4"/>
      <c r="BR1285" s="4"/>
      <c r="BS1285" s="4"/>
      <c r="BT1285" s="4"/>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t="s">
        <v>3790</v>
      </c>
      <c r="CQ1285" s="4"/>
      <c r="CR1285" s="4"/>
      <c r="CS1285" s="4"/>
      <c r="CT1285" s="4"/>
      <c r="CU1285" s="4"/>
      <c r="CV1285" s="4"/>
      <c r="CW1285" s="4"/>
      <c r="CX1285" s="4"/>
      <c r="CY1285" s="4"/>
      <c r="CZ1285" s="4"/>
      <c r="DA1285" s="4"/>
      <c r="DB1285" s="4"/>
      <c r="DC1285" s="4"/>
      <c r="DD1285" s="4"/>
      <c r="DE1285" s="4"/>
      <c r="DF1285" s="4"/>
      <c r="DG1285" s="4"/>
      <c r="DH1285" s="4"/>
      <c r="DI1285" s="4"/>
      <c r="DJ1285" s="4"/>
      <c r="DK1285" s="4"/>
      <c r="DL1285" s="4"/>
      <c r="DM1285" s="4"/>
      <c r="DN1285" s="4"/>
      <c r="DO1285" s="4"/>
      <c r="DP1285" s="4"/>
      <c r="DQ1285" s="4"/>
      <c r="DR1285" s="4"/>
      <c r="DS1285" s="4"/>
      <c r="DT1285" s="4"/>
      <c r="DU1285" s="4"/>
      <c r="DV1285" s="4"/>
      <c r="DW1285" s="4"/>
      <c r="DX1285" s="4"/>
      <c r="DY1285" s="4"/>
      <c r="DZ1285" s="4"/>
      <c r="EA1285" s="4"/>
      <c r="EB1285" s="4"/>
      <c r="EC1285" s="4"/>
      <c r="ED1285" s="4"/>
      <c r="EE1285" s="4"/>
      <c r="EF1285" s="4"/>
      <c r="EG1285" s="4"/>
      <c r="EH1285" s="4"/>
      <c r="EI1285" s="4"/>
    </row>
    <row r="1286" spans="1:139" hidden="1" x14ac:dyDescent="0.2">
      <c r="A1286" t="str">
        <f>VLOOKUP(B1286,Sheet1!$A$1:$B$18,2,FALSE)</f>
        <v>South Island</v>
      </c>
      <c r="B1286" t="str">
        <f>LEFT(D1286,3)</f>
        <v>OTG</v>
      </c>
      <c r="C1286" s="2">
        <v>1240</v>
      </c>
      <c r="D1286" s="3" t="str">
        <f>HYPERLINK("https://sitebase.nzcomms.co.nz/spm/spmnominalview/OTG-071-018/","OTG-071-018")</f>
        <v>OTG-071-018</v>
      </c>
      <c r="E1286" s="4" t="s">
        <v>3795</v>
      </c>
      <c r="F1286" s="4"/>
      <c r="G1286" s="4"/>
      <c r="H1286" s="4" t="s">
        <v>3727</v>
      </c>
      <c r="I1286" s="4"/>
      <c r="J1286" s="4" t="s">
        <v>196</v>
      </c>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t="b">
        <v>0</v>
      </c>
      <c r="AH1286" s="4"/>
      <c r="AI1286" s="4"/>
      <c r="AJ1286" s="4"/>
      <c r="AK1286" s="4"/>
      <c r="AL1286" s="4"/>
      <c r="AM1286" s="4"/>
      <c r="AN1286" s="4"/>
      <c r="AO1286" s="4"/>
      <c r="AP1286" s="4"/>
      <c r="AQ1286" s="4"/>
      <c r="AR1286" s="4"/>
      <c r="AS1286" s="4"/>
      <c r="AT1286" s="4"/>
      <c r="AU1286" s="4"/>
      <c r="AV1286" s="4"/>
      <c r="AW1286" s="4"/>
      <c r="AX1286" s="4"/>
      <c r="AY1286" s="4"/>
      <c r="AZ1286" s="4"/>
      <c r="BA1286" s="4"/>
      <c r="BB1286" s="4"/>
      <c r="BC1286" s="4"/>
      <c r="BD1286" s="4"/>
      <c r="BE1286" s="4"/>
      <c r="BF1286" s="4"/>
      <c r="BG1286" s="4"/>
      <c r="BH1286" s="4"/>
      <c r="BI1286" s="4"/>
      <c r="BJ1286" s="4"/>
      <c r="BK1286" s="4"/>
      <c r="BL1286" s="4"/>
      <c r="BM1286" s="4"/>
      <c r="BN1286" s="4"/>
      <c r="BO1286" s="4"/>
      <c r="BP1286" s="4"/>
      <c r="BQ1286" s="4"/>
      <c r="BR1286" s="4"/>
      <c r="BS1286" s="4"/>
      <c r="BT1286" s="4"/>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t="s">
        <v>3796</v>
      </c>
      <c r="CQ1286" s="4"/>
      <c r="CR1286" s="4"/>
      <c r="CS1286" s="4"/>
      <c r="CT1286" s="4"/>
      <c r="CU1286" s="4"/>
      <c r="CV1286" s="4"/>
      <c r="CW1286" s="4"/>
      <c r="CX1286" s="4"/>
      <c r="CY1286" s="4"/>
      <c r="CZ1286" s="4"/>
      <c r="DA1286" s="4"/>
      <c r="DB1286" s="4"/>
      <c r="DC1286" s="4"/>
      <c r="DD1286" s="4"/>
      <c r="DE1286" s="4"/>
      <c r="DF1286" s="4"/>
      <c r="DG1286" s="4"/>
      <c r="DH1286" s="4"/>
      <c r="DI1286" s="4"/>
      <c r="DJ1286" s="4"/>
      <c r="DK1286" s="4"/>
      <c r="DL1286" s="4"/>
      <c r="DM1286" s="4"/>
      <c r="DN1286" s="4"/>
      <c r="DO1286" s="4"/>
      <c r="DP1286" s="4"/>
      <c r="DQ1286" s="4"/>
      <c r="DR1286" s="4"/>
      <c r="DS1286" s="4"/>
      <c r="DT1286" s="4"/>
      <c r="DU1286" s="4"/>
      <c r="DV1286" s="4"/>
      <c r="DW1286" s="4"/>
      <c r="DX1286" s="4"/>
      <c r="DY1286" s="4"/>
      <c r="DZ1286" s="4"/>
      <c r="EA1286" s="4"/>
      <c r="EB1286" s="4"/>
      <c r="EC1286" s="4"/>
      <c r="ED1286" s="4"/>
      <c r="EE1286" s="4"/>
      <c r="EF1286" s="4"/>
      <c r="EG1286" s="4"/>
      <c r="EH1286" s="4"/>
      <c r="EI1286" s="4"/>
    </row>
    <row r="1287" spans="1:139" hidden="1" x14ac:dyDescent="0.2">
      <c r="A1287" t="str">
        <f>VLOOKUP(B1287,Sheet1!$A$1:$B$18,2,FALSE)</f>
        <v>South Island</v>
      </c>
      <c r="B1287" t="str">
        <f>LEFT(D1287,3)</f>
        <v>OTG</v>
      </c>
      <c r="C1287" s="2">
        <v>1249</v>
      </c>
      <c r="D1287" s="3" t="str">
        <f>HYPERLINK("https://sitebase.nzcomms.co.nz/spm/spmnominalview/OTG-071-027/","OTG-071-027")</f>
        <v>OTG-071-027</v>
      </c>
      <c r="E1287" s="4"/>
      <c r="F1287" s="4"/>
      <c r="G1287" s="4"/>
      <c r="H1287" s="4" t="s">
        <v>3727</v>
      </c>
      <c r="I1287" s="4"/>
      <c r="J1287" s="4" t="s">
        <v>196</v>
      </c>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c r="AT1287" s="4"/>
      <c r="AU1287" s="4"/>
      <c r="AV1287" s="4"/>
      <c r="AW1287" s="4"/>
      <c r="AX1287" s="4"/>
      <c r="AY1287" s="4"/>
      <c r="AZ1287" s="4"/>
      <c r="BA1287" s="4"/>
      <c r="BB1287" s="4"/>
      <c r="BC1287" s="4"/>
      <c r="BD1287" s="4"/>
      <c r="BE1287" s="4"/>
      <c r="BF1287" s="4"/>
      <c r="BG1287" s="4"/>
      <c r="BH1287" s="4"/>
      <c r="BI1287" s="4"/>
      <c r="BJ1287" s="4"/>
      <c r="BK1287" s="4"/>
      <c r="BL1287" s="4"/>
      <c r="BM1287" s="4"/>
      <c r="BN1287" s="4"/>
      <c r="BO1287" s="4"/>
      <c r="BP1287" s="4"/>
      <c r="BQ1287" s="4"/>
      <c r="BR1287" s="4"/>
      <c r="BS1287" s="4"/>
      <c r="BT1287" s="4"/>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4"/>
      <c r="CW1287" s="4"/>
      <c r="CX1287" s="4"/>
      <c r="CY1287" s="4"/>
      <c r="CZ1287" s="4"/>
      <c r="DA1287" s="4"/>
      <c r="DB1287" s="4"/>
      <c r="DC1287" s="4"/>
      <c r="DD1287" s="4"/>
      <c r="DE1287" s="4"/>
      <c r="DF1287" s="4"/>
      <c r="DG1287" s="4"/>
      <c r="DH1287" s="4"/>
      <c r="DI1287" s="4"/>
      <c r="DJ1287" s="4"/>
      <c r="DK1287" s="4"/>
      <c r="DL1287" s="4"/>
      <c r="DM1287" s="4"/>
      <c r="DN1287" s="4"/>
      <c r="DO1287" s="4"/>
      <c r="DP1287" s="4"/>
      <c r="DQ1287" s="4"/>
      <c r="DR1287" s="4"/>
      <c r="DS1287" s="4"/>
      <c r="DT1287" s="4"/>
      <c r="DU1287" s="4"/>
      <c r="DV1287" s="4"/>
      <c r="DW1287" s="4"/>
      <c r="DX1287" s="4"/>
      <c r="DY1287" s="4"/>
      <c r="DZ1287" s="4"/>
      <c r="EA1287" s="4"/>
      <c r="EB1287" s="4"/>
      <c r="EC1287" s="4"/>
      <c r="ED1287" s="4"/>
      <c r="EE1287" s="4"/>
      <c r="EF1287" s="4"/>
      <c r="EG1287" s="4"/>
      <c r="EH1287" s="4"/>
      <c r="EI1287" s="4"/>
    </row>
    <row r="1288" spans="1:139" hidden="1" x14ac:dyDescent="0.2">
      <c r="A1288" t="str">
        <f>VLOOKUP(B1288,Sheet1!$A$1:$B$18,2,FALSE)</f>
        <v>South Island</v>
      </c>
      <c r="B1288" t="str">
        <f>LEFT(D1288,3)</f>
        <v>OTG</v>
      </c>
      <c r="C1288" s="2">
        <v>1250</v>
      </c>
      <c r="D1288" s="3" t="str">
        <f>HYPERLINK("https://sitebase.nzcomms.co.nz/spm/spmnominalview/OTG-071-028/","OTG-071-028")</f>
        <v>OTG-071-028</v>
      </c>
      <c r="E1288" s="4"/>
      <c r="F1288" s="4"/>
      <c r="G1288" s="4"/>
      <c r="H1288" s="4" t="s">
        <v>3727</v>
      </c>
      <c r="I1288" s="4"/>
      <c r="J1288" s="4" t="s">
        <v>196</v>
      </c>
      <c r="K1288" s="4"/>
      <c r="L1288" s="4"/>
      <c r="M1288" s="4"/>
      <c r="N1288" s="4"/>
      <c r="O1288" s="4"/>
      <c r="P1288" s="4"/>
      <c r="Q1288" s="4"/>
      <c r="R1288" s="4"/>
      <c r="S1288" s="4"/>
      <c r="T1288" s="4"/>
      <c r="U1288" s="4"/>
      <c r="V1288" s="4"/>
      <c r="W1288" s="4"/>
      <c r="X1288" s="4"/>
      <c r="Y1288" s="4"/>
      <c r="Z1288" s="4"/>
      <c r="AA1288" s="4"/>
      <c r="AB1288" s="4"/>
      <c r="AC1288" s="4"/>
      <c r="AD1288" s="4"/>
      <c r="AE1288" s="4"/>
      <c r="AF1288" s="4"/>
      <c r="AG1288" s="4" t="b">
        <v>0</v>
      </c>
      <c r="AH1288" s="4"/>
      <c r="AI1288" s="4"/>
      <c r="AJ1288" s="4"/>
      <c r="AK1288" s="4"/>
      <c r="AL1288" s="4"/>
      <c r="AM1288" s="4"/>
      <c r="AN1288" s="4"/>
      <c r="AO1288" s="4"/>
      <c r="AP1288" s="4"/>
      <c r="AQ1288" s="4"/>
      <c r="AR1288" s="4"/>
      <c r="AS1288" s="4"/>
      <c r="AT1288" s="4"/>
      <c r="AU1288" s="4"/>
      <c r="AV1288" s="4"/>
      <c r="AW1288" s="4"/>
      <c r="AX1288" s="4"/>
      <c r="AY1288" s="4"/>
      <c r="AZ1288" s="4"/>
      <c r="BA1288" s="4"/>
      <c r="BB1288" s="4"/>
      <c r="BC1288" s="4"/>
      <c r="BD1288" s="4"/>
      <c r="BE1288" s="4"/>
      <c r="BF1288" s="4"/>
      <c r="BG1288" s="4"/>
      <c r="BH1288" s="4"/>
      <c r="BI1288" s="4"/>
      <c r="BJ1288" s="4"/>
      <c r="BK1288" s="4"/>
      <c r="BL1288" s="4"/>
      <c r="BM1288" s="4"/>
      <c r="BN1288" s="4"/>
      <c r="BO1288" s="4"/>
      <c r="BP1288" s="4"/>
      <c r="BQ1288" s="4"/>
      <c r="BR1288" s="4"/>
      <c r="BS1288" s="4"/>
      <c r="BT1288" s="4"/>
      <c r="BU1288" s="4"/>
      <c r="BV1288" s="4"/>
      <c r="BW1288" s="4"/>
      <c r="BX1288" s="4"/>
      <c r="BY1288" s="4"/>
      <c r="BZ1288" s="4"/>
      <c r="CA1288" s="4"/>
      <c r="CB1288" s="4"/>
      <c r="CC1288" s="4"/>
      <c r="CD1288" s="4"/>
      <c r="CE1288" s="4"/>
      <c r="CF1288" s="4"/>
      <c r="CG1288" s="4"/>
      <c r="CH1288" s="4"/>
      <c r="CI1288" s="4"/>
      <c r="CJ1288" s="4"/>
      <c r="CK1288" s="4"/>
      <c r="CL1288" s="4"/>
      <c r="CM1288" s="4"/>
      <c r="CN1288" s="4"/>
      <c r="CO1288" s="4"/>
      <c r="CP1288" s="4"/>
      <c r="CQ1288" s="4"/>
      <c r="CR1288" s="4"/>
      <c r="CS1288" s="4"/>
      <c r="CT1288" s="4"/>
      <c r="CU1288" s="4"/>
      <c r="CV1288" s="4"/>
      <c r="CW1288" s="4"/>
      <c r="CX1288" s="4"/>
      <c r="CY1288" s="4"/>
      <c r="CZ1288" s="4"/>
      <c r="DA1288" s="4"/>
      <c r="DB1288" s="4"/>
      <c r="DC1288" s="4"/>
      <c r="DD1288" s="4"/>
      <c r="DE1288" s="4"/>
      <c r="DF1288" s="4"/>
      <c r="DG1288" s="4"/>
      <c r="DH1288" s="4"/>
      <c r="DI1288" s="4"/>
      <c r="DJ1288" s="4"/>
      <c r="DK1288" s="4"/>
      <c r="DL1288" s="4"/>
      <c r="DM1288" s="4"/>
      <c r="DN1288" s="4"/>
      <c r="DO1288" s="4"/>
      <c r="DP1288" s="4"/>
      <c r="DQ1288" s="4"/>
      <c r="DR1288" s="4"/>
      <c r="DS1288" s="4"/>
      <c r="DT1288" s="4"/>
      <c r="DU1288" s="4"/>
      <c r="DV1288" s="4"/>
      <c r="DW1288" s="4"/>
      <c r="DX1288" s="4"/>
      <c r="DY1288" s="4"/>
      <c r="DZ1288" s="4"/>
      <c r="EA1288" s="4"/>
      <c r="EB1288" s="4"/>
      <c r="EC1288" s="4"/>
      <c r="ED1288" s="4"/>
      <c r="EE1288" s="4"/>
      <c r="EF1288" s="4"/>
      <c r="EG1288" s="4"/>
      <c r="EH1288" s="4"/>
      <c r="EI1288" s="4"/>
    </row>
    <row r="1289" spans="1:139" hidden="1" x14ac:dyDescent="0.2">
      <c r="A1289" t="str">
        <f>VLOOKUP(B1289,Sheet1!$A$1:$B$18,2,FALSE)</f>
        <v>South Island</v>
      </c>
      <c r="B1289" t="str">
        <f>LEFT(D1289,3)</f>
        <v>OTG</v>
      </c>
      <c r="C1289" s="2">
        <v>1252</v>
      </c>
      <c r="D1289" s="3" t="str">
        <f>HYPERLINK("https://sitebase.nzcomms.co.nz/spm/spmnominalview/OTG-071-030/","OTG-071-030")</f>
        <v>OTG-071-030</v>
      </c>
      <c r="E1289" s="4"/>
      <c r="F1289" s="4"/>
      <c r="G1289" s="4"/>
      <c r="H1289" s="4" t="s">
        <v>3727</v>
      </c>
      <c r="I1289" s="4"/>
      <c r="J1289" s="4" t="s">
        <v>196</v>
      </c>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c r="AT1289" s="4"/>
      <c r="AU1289" s="4"/>
      <c r="AV1289" s="4"/>
      <c r="AW1289" s="4"/>
      <c r="AX1289" s="4"/>
      <c r="AY1289" s="4"/>
      <c r="AZ1289" s="4"/>
      <c r="BA1289" s="4"/>
      <c r="BB1289" s="4"/>
      <c r="BC1289" s="4"/>
      <c r="BD1289" s="4"/>
      <c r="BE1289" s="4"/>
      <c r="BF1289" s="4"/>
      <c r="BG1289" s="4"/>
      <c r="BH1289" s="4"/>
      <c r="BI1289" s="4"/>
      <c r="BJ1289" s="4"/>
      <c r="BK1289" s="4"/>
      <c r="BL1289" s="4"/>
      <c r="BM1289" s="4"/>
      <c r="BN1289" s="4"/>
      <c r="BO1289" s="4"/>
      <c r="BP1289" s="4"/>
      <c r="BQ1289" s="4"/>
      <c r="BR1289" s="4"/>
      <c r="BS1289" s="4"/>
      <c r="BT1289" s="4"/>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4"/>
      <c r="CW1289" s="4"/>
      <c r="CX1289" s="4"/>
      <c r="CY1289" s="4"/>
      <c r="CZ1289" s="4"/>
      <c r="DA1289" s="4"/>
      <c r="DB1289" s="4"/>
      <c r="DC1289" s="4"/>
      <c r="DD1289" s="4"/>
      <c r="DE1289" s="4"/>
      <c r="DF1289" s="4"/>
      <c r="DG1289" s="4"/>
      <c r="DH1289" s="4"/>
      <c r="DI1289" s="4"/>
      <c r="DJ1289" s="4"/>
      <c r="DK1289" s="4"/>
      <c r="DL1289" s="4"/>
      <c r="DM1289" s="4"/>
      <c r="DN1289" s="4"/>
      <c r="DO1289" s="4"/>
      <c r="DP1289" s="4"/>
      <c r="DQ1289" s="4"/>
      <c r="DR1289" s="4"/>
      <c r="DS1289" s="4"/>
      <c r="DT1289" s="4"/>
      <c r="DU1289" s="4"/>
      <c r="DV1289" s="4"/>
      <c r="DW1289" s="4"/>
      <c r="DX1289" s="4"/>
      <c r="DY1289" s="4"/>
      <c r="DZ1289" s="4"/>
      <c r="EA1289" s="4"/>
      <c r="EB1289" s="4"/>
      <c r="EC1289" s="4"/>
      <c r="ED1289" s="4"/>
      <c r="EE1289" s="4"/>
      <c r="EF1289" s="4"/>
      <c r="EG1289" s="4"/>
      <c r="EH1289" s="4"/>
      <c r="EI1289" s="4"/>
    </row>
    <row r="1290" spans="1:139" hidden="1" x14ac:dyDescent="0.2">
      <c r="A1290" t="str">
        <f>VLOOKUP(B1290,Sheet1!$A$1:$B$18,2,FALSE)</f>
        <v>South Island</v>
      </c>
      <c r="B1290" t="str">
        <f>LEFT(D1290,3)</f>
        <v>OTG</v>
      </c>
      <c r="C1290" s="2">
        <v>1253</v>
      </c>
      <c r="D1290" s="3" t="str">
        <f>HYPERLINK("https://sitebase.nzcomms.co.nz/spm/spmnominalview/OTG-071-031/","OTG-071-031")</f>
        <v>OTG-071-031</v>
      </c>
      <c r="E1290" s="4"/>
      <c r="F1290" s="4"/>
      <c r="G1290" s="4"/>
      <c r="H1290" s="4" t="s">
        <v>3727</v>
      </c>
      <c r="I1290" s="4"/>
      <c r="J1290" s="4" t="s">
        <v>196</v>
      </c>
      <c r="K1290" s="4"/>
      <c r="L1290" s="4"/>
      <c r="M1290" s="4"/>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c r="AT1290" s="4"/>
      <c r="AU1290" s="4"/>
      <c r="AV1290" s="4"/>
      <c r="AW1290" s="4"/>
      <c r="AX1290" s="4"/>
      <c r="AY1290" s="4"/>
      <c r="AZ1290" s="4"/>
      <c r="BA1290" s="4"/>
      <c r="BB1290" s="4"/>
      <c r="BC1290" s="4"/>
      <c r="BD1290" s="4"/>
      <c r="BE1290" s="4"/>
      <c r="BF1290" s="4"/>
      <c r="BG1290" s="4"/>
      <c r="BH1290" s="4"/>
      <c r="BI1290" s="4"/>
      <c r="BJ1290" s="4"/>
      <c r="BK1290" s="4"/>
      <c r="BL1290" s="4"/>
      <c r="BM1290" s="4"/>
      <c r="BN1290" s="4"/>
      <c r="BO1290" s="4"/>
      <c r="BP1290" s="4"/>
      <c r="BQ1290" s="4"/>
      <c r="BR1290" s="4"/>
      <c r="BS1290" s="4"/>
      <c r="BT1290" s="4"/>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4"/>
      <c r="CU1290" s="4"/>
      <c r="CV1290" s="4"/>
      <c r="CW1290" s="4"/>
      <c r="CX1290" s="4"/>
      <c r="CY1290" s="4"/>
      <c r="CZ1290" s="4"/>
      <c r="DA1290" s="4"/>
      <c r="DB1290" s="4"/>
      <c r="DC1290" s="4"/>
      <c r="DD1290" s="4"/>
      <c r="DE1290" s="4"/>
      <c r="DF1290" s="4"/>
      <c r="DG1290" s="4"/>
      <c r="DH1290" s="4"/>
      <c r="DI1290" s="4"/>
      <c r="DJ1290" s="4"/>
      <c r="DK1290" s="4"/>
      <c r="DL1290" s="4"/>
      <c r="DM1290" s="4"/>
      <c r="DN1290" s="4"/>
      <c r="DO1290" s="4"/>
      <c r="DP1290" s="4"/>
      <c r="DQ1290" s="4"/>
      <c r="DR1290" s="4"/>
      <c r="DS1290" s="4"/>
      <c r="DT1290" s="4"/>
      <c r="DU1290" s="4"/>
      <c r="DV1290" s="4"/>
      <c r="DW1290" s="4"/>
      <c r="DX1290" s="4"/>
      <c r="DY1290" s="4"/>
      <c r="DZ1290" s="4"/>
      <c r="EA1290" s="4"/>
      <c r="EB1290" s="4"/>
      <c r="EC1290" s="4"/>
      <c r="ED1290" s="4"/>
      <c r="EE1290" s="4"/>
      <c r="EF1290" s="4"/>
      <c r="EG1290" s="4"/>
      <c r="EH1290" s="4"/>
      <c r="EI1290" s="4"/>
    </row>
    <row r="1291" spans="1:139" hidden="1" x14ac:dyDescent="0.2">
      <c r="A1291" t="str">
        <f>VLOOKUP(B1291,Sheet1!$A$1:$B$18,2,FALSE)</f>
        <v>South Island</v>
      </c>
      <c r="B1291" t="str">
        <f>LEFT(D1291,3)</f>
        <v>OTG</v>
      </c>
      <c r="C1291" s="2">
        <v>1254</v>
      </c>
      <c r="D1291" s="3" t="str">
        <f>HYPERLINK("https://sitebase.nzcomms.co.nz/spm/spmnominalview/OTG-071-032/","OTG-071-032")</f>
        <v>OTG-071-032</v>
      </c>
      <c r="E1291" s="4"/>
      <c r="F1291" s="4"/>
      <c r="G1291" s="4"/>
      <c r="H1291" s="4" t="s">
        <v>3727</v>
      </c>
      <c r="I1291" s="4"/>
      <c r="J1291" s="4" t="s">
        <v>196</v>
      </c>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t="b">
        <v>0</v>
      </c>
      <c r="AH1291" s="4"/>
      <c r="AI1291" s="4"/>
      <c r="AJ1291" s="4"/>
      <c r="AK1291" s="4"/>
      <c r="AL1291" s="4"/>
      <c r="AM1291" s="4"/>
      <c r="AN1291" s="4"/>
      <c r="AO1291" s="4"/>
      <c r="AP1291" s="4"/>
      <c r="AQ1291" s="4"/>
      <c r="AR1291" s="4"/>
      <c r="AS1291" s="4"/>
      <c r="AT1291" s="4"/>
      <c r="AU1291" s="4"/>
      <c r="AV1291" s="4"/>
      <c r="AW1291" s="4"/>
      <c r="AX1291" s="4"/>
      <c r="AY1291" s="4"/>
      <c r="AZ1291" s="4"/>
      <c r="BA1291" s="4"/>
      <c r="BB1291" s="4"/>
      <c r="BC1291" s="4"/>
      <c r="BD1291" s="4"/>
      <c r="BE1291" s="4"/>
      <c r="BF1291" s="4"/>
      <c r="BG1291" s="4"/>
      <c r="BH1291" s="4"/>
      <c r="BI1291" s="4"/>
      <c r="BJ1291" s="4"/>
      <c r="BK1291" s="4"/>
      <c r="BL1291" s="4"/>
      <c r="BM1291" s="4"/>
      <c r="BN1291" s="4"/>
      <c r="BO1291" s="4"/>
      <c r="BP1291" s="4"/>
      <c r="BQ1291" s="4"/>
      <c r="BR1291" s="4"/>
      <c r="BS1291" s="4"/>
      <c r="BT1291" s="4"/>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4"/>
      <c r="CW1291" s="4"/>
      <c r="CX1291" s="4"/>
      <c r="CY1291" s="4"/>
      <c r="CZ1291" s="4"/>
      <c r="DA1291" s="4"/>
      <c r="DB1291" s="4"/>
      <c r="DC1291" s="4"/>
      <c r="DD1291" s="4"/>
      <c r="DE1291" s="4"/>
      <c r="DF1291" s="4"/>
      <c r="DG1291" s="4"/>
      <c r="DH1291" s="4"/>
      <c r="DI1291" s="4"/>
      <c r="DJ1291" s="4"/>
      <c r="DK1291" s="4"/>
      <c r="DL1291" s="4"/>
      <c r="DM1291" s="4"/>
      <c r="DN1291" s="4"/>
      <c r="DO1291" s="4"/>
      <c r="DP1291" s="4"/>
      <c r="DQ1291" s="4"/>
      <c r="DR1291" s="4"/>
      <c r="DS1291" s="4"/>
      <c r="DT1291" s="4"/>
      <c r="DU1291" s="4"/>
      <c r="DV1291" s="4"/>
      <c r="DW1291" s="4"/>
      <c r="DX1291" s="4"/>
      <c r="DY1291" s="4"/>
      <c r="DZ1291" s="4"/>
      <c r="EA1291" s="4"/>
      <c r="EB1291" s="4"/>
      <c r="EC1291" s="4"/>
      <c r="ED1291" s="4"/>
      <c r="EE1291" s="4"/>
      <c r="EF1291" s="4"/>
      <c r="EG1291" s="4"/>
      <c r="EH1291" s="4"/>
      <c r="EI1291" s="4"/>
    </row>
    <row r="1292" spans="1:139" hidden="1" x14ac:dyDescent="0.2">
      <c r="A1292" t="str">
        <f>VLOOKUP(B1292,Sheet1!$A$1:$B$18,2,FALSE)</f>
        <v>South Island</v>
      </c>
      <c r="B1292" t="str">
        <f>LEFT(D1292,3)</f>
        <v>OTG</v>
      </c>
      <c r="C1292" s="2">
        <v>1255</v>
      </c>
      <c r="D1292" s="3" t="str">
        <f>HYPERLINK("https://sitebase.nzcomms.co.nz/spm/spmnominalview/OTG-071-033/","OTG-071-033")</f>
        <v>OTG-071-033</v>
      </c>
      <c r="E1292" s="4"/>
      <c r="F1292" s="4"/>
      <c r="G1292" s="4"/>
      <c r="H1292" s="4" t="s">
        <v>3727</v>
      </c>
      <c r="I1292" s="4"/>
      <c r="J1292" s="4" t="s">
        <v>196</v>
      </c>
      <c r="K1292" s="4"/>
      <c r="L1292" s="4"/>
      <c r="M1292" s="4"/>
      <c r="N1292" s="4"/>
      <c r="O1292" s="4"/>
      <c r="P1292" s="4"/>
      <c r="Q1292" s="4"/>
      <c r="R1292" s="4"/>
      <c r="S1292" s="4"/>
      <c r="T1292" s="4"/>
      <c r="U1292" s="4"/>
      <c r="V1292" s="4"/>
      <c r="W1292" s="4"/>
      <c r="X1292" s="4"/>
      <c r="Y1292" s="4"/>
      <c r="Z1292" s="4"/>
      <c r="AA1292" s="4"/>
      <c r="AB1292" s="4"/>
      <c r="AC1292" s="4"/>
      <c r="AD1292" s="4"/>
      <c r="AE1292" s="4"/>
      <c r="AF1292" s="4"/>
      <c r="AG1292" s="4" t="b">
        <v>0</v>
      </c>
      <c r="AH1292" s="4"/>
      <c r="AI1292" s="4"/>
      <c r="AJ1292" s="4"/>
      <c r="AK1292" s="4"/>
      <c r="AL1292" s="4"/>
      <c r="AM1292" s="4"/>
      <c r="AN1292" s="4"/>
      <c r="AO1292" s="4"/>
      <c r="AP1292" s="4"/>
      <c r="AQ1292" s="4"/>
      <c r="AR1292" s="4"/>
      <c r="AS1292" s="4"/>
      <c r="AT1292" s="4"/>
      <c r="AU1292" s="4"/>
      <c r="AV1292" s="4"/>
      <c r="AW1292" s="4"/>
      <c r="AX1292" s="4"/>
      <c r="AY1292" s="4"/>
      <c r="AZ1292" s="4"/>
      <c r="BA1292" s="4"/>
      <c r="BB1292" s="4"/>
      <c r="BC1292" s="4"/>
      <c r="BD1292" s="4"/>
      <c r="BE1292" s="4"/>
      <c r="BF1292" s="4"/>
      <c r="BG1292" s="4"/>
      <c r="BH1292" s="4"/>
      <c r="BI1292" s="4"/>
      <c r="BJ1292" s="4"/>
      <c r="BK1292" s="4"/>
      <c r="BL1292" s="4"/>
      <c r="BM1292" s="4"/>
      <c r="BN1292" s="4"/>
      <c r="BO1292" s="4"/>
      <c r="BP1292" s="4"/>
      <c r="BQ1292" s="4"/>
      <c r="BR1292" s="4"/>
      <c r="BS1292" s="4"/>
      <c r="BT1292" s="4"/>
      <c r="BU1292" s="4"/>
      <c r="BV1292" s="4"/>
      <c r="BW1292" s="4"/>
      <c r="BX1292" s="4"/>
      <c r="BY1292" s="4"/>
      <c r="BZ1292" s="4"/>
      <c r="CA1292" s="4"/>
      <c r="CB1292" s="4"/>
      <c r="CC1292" s="4"/>
      <c r="CD1292" s="4"/>
      <c r="CE1292" s="4"/>
      <c r="CF1292" s="4"/>
      <c r="CG1292" s="4"/>
      <c r="CH1292" s="4"/>
      <c r="CI1292" s="4"/>
      <c r="CJ1292" s="4"/>
      <c r="CK1292" s="4"/>
      <c r="CL1292" s="4"/>
      <c r="CM1292" s="4"/>
      <c r="CN1292" s="4"/>
      <c r="CO1292" s="4"/>
      <c r="CP1292" s="4"/>
      <c r="CQ1292" s="4"/>
      <c r="CR1292" s="4"/>
      <c r="CS1292" s="4"/>
      <c r="CT1292" s="4"/>
      <c r="CU1292" s="4"/>
      <c r="CV1292" s="4"/>
      <c r="CW1292" s="4"/>
      <c r="CX1292" s="4"/>
      <c r="CY1292" s="4"/>
      <c r="CZ1292" s="4"/>
      <c r="DA1292" s="4"/>
      <c r="DB1292" s="4"/>
      <c r="DC1292" s="4"/>
      <c r="DD1292" s="4"/>
      <c r="DE1292" s="4"/>
      <c r="DF1292" s="4"/>
      <c r="DG1292" s="4"/>
      <c r="DH1292" s="4"/>
      <c r="DI1292" s="4"/>
      <c r="DJ1292" s="4"/>
      <c r="DK1292" s="4"/>
      <c r="DL1292" s="4"/>
      <c r="DM1292" s="4"/>
      <c r="DN1292" s="4"/>
      <c r="DO1292" s="4"/>
      <c r="DP1292" s="4"/>
      <c r="DQ1292" s="4"/>
      <c r="DR1292" s="4"/>
      <c r="DS1292" s="4"/>
      <c r="DT1292" s="4"/>
      <c r="DU1292" s="4"/>
      <c r="DV1292" s="4"/>
      <c r="DW1292" s="4"/>
      <c r="DX1292" s="4"/>
      <c r="DY1292" s="4"/>
      <c r="DZ1292" s="4"/>
      <c r="EA1292" s="4"/>
      <c r="EB1292" s="4"/>
      <c r="EC1292" s="4"/>
      <c r="ED1292" s="4"/>
      <c r="EE1292" s="4"/>
      <c r="EF1292" s="4"/>
      <c r="EG1292" s="4"/>
      <c r="EH1292" s="4"/>
      <c r="EI1292" s="4"/>
    </row>
    <row r="1293" spans="1:139" hidden="1" x14ac:dyDescent="0.2">
      <c r="A1293" t="str">
        <f>VLOOKUP(B1293,Sheet1!$A$1:$B$18,2,FALSE)</f>
        <v>South Island</v>
      </c>
      <c r="B1293" t="str">
        <f>LEFT(D1293,3)</f>
        <v>OTG</v>
      </c>
      <c r="C1293" s="2">
        <v>1256</v>
      </c>
      <c r="D1293" s="3" t="str">
        <f>HYPERLINK("https://sitebase.nzcomms.co.nz/spm/spmnominalview/OTG-071-034/","OTG-071-034")</f>
        <v>OTG-071-034</v>
      </c>
      <c r="E1293" s="4" t="s">
        <v>3836</v>
      </c>
      <c r="F1293" s="4"/>
      <c r="G1293" s="4"/>
      <c r="H1293" s="4" t="s">
        <v>3727</v>
      </c>
      <c r="I1293" s="4"/>
      <c r="J1293" s="4" t="s">
        <v>196</v>
      </c>
      <c r="K1293" s="4"/>
      <c r="L1293" s="4"/>
      <c r="M1293" s="4"/>
      <c r="N1293" s="4"/>
      <c r="O1293" s="4"/>
      <c r="P1293" s="4"/>
      <c r="Q1293" s="4"/>
      <c r="R1293" s="4"/>
      <c r="S1293" s="4"/>
      <c r="T1293" s="4"/>
      <c r="U1293" s="4"/>
      <c r="V1293" s="4"/>
      <c r="W1293" s="4"/>
      <c r="X1293" s="4"/>
      <c r="Y1293" s="4"/>
      <c r="Z1293" s="4"/>
      <c r="AA1293" s="4"/>
      <c r="AB1293" s="4"/>
      <c r="AC1293" s="4"/>
      <c r="AD1293" s="4"/>
      <c r="AE1293" s="4"/>
      <c r="AF1293" s="4"/>
      <c r="AG1293" s="4" t="b">
        <v>0</v>
      </c>
      <c r="AH1293" s="4"/>
      <c r="AI1293" s="4"/>
      <c r="AJ1293" s="4"/>
      <c r="AK1293" s="4"/>
      <c r="AL1293" s="4"/>
      <c r="AM1293" s="4"/>
      <c r="AN1293" s="4"/>
      <c r="AO1293" s="4"/>
      <c r="AP1293" s="4"/>
      <c r="AQ1293" s="4"/>
      <c r="AR1293" s="4"/>
      <c r="AS1293" s="4"/>
      <c r="AT1293" s="4"/>
      <c r="AU1293" s="4"/>
      <c r="AV1293" s="4"/>
      <c r="AW1293" s="4"/>
      <c r="AX1293" s="4"/>
      <c r="AY1293" s="4"/>
      <c r="AZ1293" s="4"/>
      <c r="BA1293" s="4"/>
      <c r="BB1293" s="4"/>
      <c r="BC1293" s="4"/>
      <c r="BD1293" s="4"/>
      <c r="BE1293" s="4"/>
      <c r="BF1293" s="4"/>
      <c r="BG1293" s="4"/>
      <c r="BH1293" s="4"/>
      <c r="BI1293" s="4"/>
      <c r="BJ1293" s="4"/>
      <c r="BK1293" s="4"/>
      <c r="BL1293" s="4"/>
      <c r="BM1293" s="4"/>
      <c r="BN1293" s="4"/>
      <c r="BO1293" s="4"/>
      <c r="BP1293" s="4"/>
      <c r="BQ1293" s="4"/>
      <c r="BR1293" s="4"/>
      <c r="BS1293" s="4"/>
      <c r="BT1293" s="4"/>
      <c r="BU1293" s="4"/>
      <c r="BV1293" s="4"/>
      <c r="BW1293" s="4"/>
      <c r="BX1293" s="4"/>
      <c r="BY1293" s="4"/>
      <c r="BZ1293" s="4"/>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4"/>
      <c r="CW1293" s="4"/>
      <c r="CX1293" s="4"/>
      <c r="CY1293" s="4"/>
      <c r="CZ1293" s="4"/>
      <c r="DA1293" s="4"/>
      <c r="DB1293" s="4"/>
      <c r="DC1293" s="4"/>
      <c r="DD1293" s="4"/>
      <c r="DE1293" s="4"/>
      <c r="DF1293" s="4"/>
      <c r="DG1293" s="4"/>
      <c r="DH1293" s="4"/>
      <c r="DI1293" s="4"/>
      <c r="DJ1293" s="4"/>
      <c r="DK1293" s="4"/>
      <c r="DL1293" s="4"/>
      <c r="DM1293" s="4"/>
      <c r="DN1293" s="4"/>
      <c r="DO1293" s="4"/>
      <c r="DP1293" s="4"/>
      <c r="DQ1293" s="4"/>
      <c r="DR1293" s="4"/>
      <c r="DS1293" s="4"/>
      <c r="DT1293" s="4"/>
      <c r="DU1293" s="4"/>
      <c r="DV1293" s="4"/>
      <c r="DW1293" s="4"/>
      <c r="DX1293" s="4"/>
      <c r="DY1293" s="4"/>
      <c r="DZ1293" s="4"/>
      <c r="EA1293" s="4"/>
      <c r="EB1293" s="4"/>
      <c r="EC1293" s="4"/>
      <c r="ED1293" s="4"/>
      <c r="EE1293" s="4"/>
      <c r="EF1293" s="4"/>
      <c r="EG1293" s="4"/>
      <c r="EH1293" s="4"/>
      <c r="EI1293" s="4"/>
    </row>
    <row r="1294" spans="1:139" hidden="1" x14ac:dyDescent="0.2">
      <c r="A1294" t="str">
        <f>VLOOKUP(B1294,Sheet1!$A$1:$B$18,2,FALSE)</f>
        <v>South Island</v>
      </c>
      <c r="B1294" t="str">
        <f>LEFT(D1294,3)</f>
        <v>OTG</v>
      </c>
      <c r="C1294" s="2">
        <v>1257</v>
      </c>
      <c r="D1294" s="3" t="str">
        <f>HYPERLINK("https://sitebase.nzcomms.co.nz/spm/spmnominalview/OTG-071-035/","OTG-071-035")</f>
        <v>OTG-071-035</v>
      </c>
      <c r="E1294" s="4"/>
      <c r="F1294" s="4"/>
      <c r="G1294" s="4"/>
      <c r="H1294" s="4" t="s">
        <v>3727</v>
      </c>
      <c r="I1294" s="4"/>
      <c r="J1294" s="4" t="s">
        <v>196</v>
      </c>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t="b">
        <v>0</v>
      </c>
      <c r="AH1294" s="4"/>
      <c r="AI1294" s="4"/>
      <c r="AJ1294" s="4"/>
      <c r="AK1294" s="4"/>
      <c r="AL1294" s="4"/>
      <c r="AM1294" s="4"/>
      <c r="AN1294" s="4"/>
      <c r="AO1294" s="4"/>
      <c r="AP1294" s="4"/>
      <c r="AQ1294" s="4"/>
      <c r="AR1294" s="4"/>
      <c r="AS1294" s="4"/>
      <c r="AT1294" s="4"/>
      <c r="AU1294" s="4"/>
      <c r="AV1294" s="4"/>
      <c r="AW1294" s="4"/>
      <c r="AX1294" s="4"/>
      <c r="AY1294" s="4"/>
      <c r="AZ1294" s="4"/>
      <c r="BA1294" s="4"/>
      <c r="BB1294" s="4"/>
      <c r="BC1294" s="4"/>
      <c r="BD1294" s="4"/>
      <c r="BE1294" s="4"/>
      <c r="BF1294" s="4"/>
      <c r="BG1294" s="4"/>
      <c r="BH1294" s="4"/>
      <c r="BI1294" s="4"/>
      <c r="BJ1294" s="4"/>
      <c r="BK1294" s="4"/>
      <c r="BL1294" s="4"/>
      <c r="BM1294" s="4"/>
      <c r="BN1294" s="4"/>
      <c r="BO1294" s="4"/>
      <c r="BP1294" s="4"/>
      <c r="BQ1294" s="4"/>
      <c r="BR1294" s="4"/>
      <c r="BS1294" s="4"/>
      <c r="BT1294" s="4"/>
      <c r="BU1294" s="4"/>
      <c r="BV1294" s="4"/>
      <c r="BW1294" s="4"/>
      <c r="BX1294" s="4"/>
      <c r="BY1294" s="4"/>
      <c r="BZ1294" s="4"/>
      <c r="CA1294" s="4"/>
      <c r="CB1294" s="4"/>
      <c r="CC1294" s="4"/>
      <c r="CD1294" s="4"/>
      <c r="CE1294" s="4"/>
      <c r="CF1294" s="4"/>
      <c r="CG1294" s="4"/>
      <c r="CH1294" s="4"/>
      <c r="CI1294" s="4"/>
      <c r="CJ1294" s="4"/>
      <c r="CK1294" s="4"/>
      <c r="CL1294" s="4"/>
      <c r="CM1294" s="4"/>
      <c r="CN1294" s="4"/>
      <c r="CO1294" s="4"/>
      <c r="CP1294" s="4"/>
      <c r="CQ1294" s="4"/>
      <c r="CR1294" s="4"/>
      <c r="CS1294" s="4"/>
      <c r="CT1294" s="4"/>
      <c r="CU1294" s="4"/>
      <c r="CV1294" s="4"/>
      <c r="CW1294" s="4"/>
      <c r="CX1294" s="4"/>
      <c r="CY1294" s="4"/>
      <c r="CZ1294" s="4"/>
      <c r="DA1294" s="4"/>
      <c r="DB1294" s="4"/>
      <c r="DC1294" s="4"/>
      <c r="DD1294" s="4"/>
      <c r="DE1294" s="4"/>
      <c r="DF1294" s="4"/>
      <c r="DG1294" s="4"/>
      <c r="DH1294" s="4"/>
      <c r="DI1294" s="4"/>
      <c r="DJ1294" s="4"/>
      <c r="DK1294" s="4"/>
      <c r="DL1294" s="4"/>
      <c r="DM1294" s="4"/>
      <c r="DN1294" s="4"/>
      <c r="DO1294" s="4"/>
      <c r="DP1294" s="4"/>
      <c r="DQ1294" s="4"/>
      <c r="DR1294" s="4"/>
      <c r="DS1294" s="4"/>
      <c r="DT1294" s="4"/>
      <c r="DU1294" s="4"/>
      <c r="DV1294" s="4"/>
      <c r="DW1294" s="4"/>
      <c r="DX1294" s="4"/>
      <c r="DY1294" s="4"/>
      <c r="DZ1294" s="4"/>
      <c r="EA1294" s="4"/>
      <c r="EB1294" s="4"/>
      <c r="EC1294" s="4"/>
      <c r="ED1294" s="4"/>
      <c r="EE1294" s="4"/>
      <c r="EF1294" s="4"/>
      <c r="EG1294" s="4"/>
      <c r="EH1294" s="4"/>
      <c r="EI1294" s="4"/>
    </row>
    <row r="1295" spans="1:139" hidden="1" x14ac:dyDescent="0.2">
      <c r="A1295" t="str">
        <f>VLOOKUP(B1295,Sheet1!$A$1:$B$18,2,FALSE)</f>
        <v>South Island</v>
      </c>
      <c r="B1295" t="str">
        <f>LEFT(D1295,3)</f>
        <v>OTG</v>
      </c>
      <c r="C1295" s="2">
        <v>1258</v>
      </c>
      <c r="D1295" s="3" t="str">
        <f>HYPERLINK("https://sitebase.nzcomms.co.nz/spm/spmnominalview/OTG-071-036/","OTG-071-036")</f>
        <v>OTG-071-036</v>
      </c>
      <c r="E1295" s="4"/>
      <c r="F1295" s="4"/>
      <c r="G1295" s="4"/>
      <c r="H1295" s="4" t="s">
        <v>3727</v>
      </c>
      <c r="I1295" s="4"/>
      <c r="J1295" s="4" t="s">
        <v>196</v>
      </c>
      <c r="K1295" s="4"/>
      <c r="L1295" s="4"/>
      <c r="M1295" s="4"/>
      <c r="N1295" s="4"/>
      <c r="O1295" s="4"/>
      <c r="P1295" s="4"/>
      <c r="Q1295" s="4"/>
      <c r="R1295" s="4"/>
      <c r="S1295" s="4"/>
      <c r="T1295" s="4"/>
      <c r="U1295" s="4"/>
      <c r="V1295" s="4"/>
      <c r="W1295" s="4"/>
      <c r="X1295" s="4"/>
      <c r="Y1295" s="4"/>
      <c r="Z1295" s="4"/>
      <c r="AA1295" s="4"/>
      <c r="AB1295" s="4"/>
      <c r="AC1295" s="4"/>
      <c r="AD1295" s="4"/>
      <c r="AE1295" s="4"/>
      <c r="AF1295" s="4"/>
      <c r="AG1295" s="4" t="b">
        <v>0</v>
      </c>
      <c r="AH1295" s="4"/>
      <c r="AI1295" s="4"/>
      <c r="AJ1295" s="4"/>
      <c r="AK1295" s="4"/>
      <c r="AL1295" s="4"/>
      <c r="AM1295" s="4"/>
      <c r="AN1295" s="4"/>
      <c r="AO1295" s="4"/>
      <c r="AP1295" s="4"/>
      <c r="AQ1295" s="4"/>
      <c r="AR1295" s="4"/>
      <c r="AS1295" s="4"/>
      <c r="AT1295" s="4"/>
      <c r="AU1295" s="4"/>
      <c r="AV1295" s="4"/>
      <c r="AW1295" s="4"/>
      <c r="AX1295" s="4"/>
      <c r="AY1295" s="4"/>
      <c r="AZ1295" s="4"/>
      <c r="BA1295" s="4"/>
      <c r="BB1295" s="4"/>
      <c r="BC1295" s="4"/>
      <c r="BD1295" s="4"/>
      <c r="BE1295" s="4"/>
      <c r="BF1295" s="4"/>
      <c r="BG1295" s="4"/>
      <c r="BH1295" s="4"/>
      <c r="BI1295" s="4"/>
      <c r="BJ1295" s="4"/>
      <c r="BK1295" s="4"/>
      <c r="BL1295" s="4"/>
      <c r="BM1295" s="4"/>
      <c r="BN1295" s="4"/>
      <c r="BO1295" s="4"/>
      <c r="BP1295" s="4"/>
      <c r="BQ1295" s="4"/>
      <c r="BR1295" s="4"/>
      <c r="BS1295" s="4"/>
      <c r="BT1295" s="4"/>
      <c r="BU1295" s="4"/>
      <c r="BV1295" s="4"/>
      <c r="BW1295" s="4"/>
      <c r="BX1295" s="4"/>
      <c r="BY1295" s="4"/>
      <c r="BZ1295" s="4"/>
      <c r="CA1295" s="4"/>
      <c r="CB1295" s="4"/>
      <c r="CC1295" s="4"/>
      <c r="CD1295" s="4"/>
      <c r="CE1295" s="4"/>
      <c r="CF1295" s="4"/>
      <c r="CG1295" s="4"/>
      <c r="CH1295" s="4"/>
      <c r="CI1295" s="4"/>
      <c r="CJ1295" s="4"/>
      <c r="CK1295" s="4"/>
      <c r="CL1295" s="4"/>
      <c r="CM1295" s="4"/>
      <c r="CN1295" s="4"/>
      <c r="CO1295" s="4"/>
      <c r="CP1295" s="4"/>
      <c r="CQ1295" s="4"/>
      <c r="CR1295" s="4"/>
      <c r="CS1295" s="4"/>
      <c r="CT1295" s="4"/>
      <c r="CU1295" s="4"/>
      <c r="CV1295" s="4"/>
      <c r="CW1295" s="4"/>
      <c r="CX1295" s="4"/>
      <c r="CY1295" s="4"/>
      <c r="CZ1295" s="4"/>
      <c r="DA1295" s="4"/>
      <c r="DB1295" s="4"/>
      <c r="DC1295" s="4"/>
      <c r="DD1295" s="4"/>
      <c r="DE1295" s="4"/>
      <c r="DF1295" s="4"/>
      <c r="DG1295" s="4"/>
      <c r="DH1295" s="4"/>
      <c r="DI1295" s="4"/>
      <c r="DJ1295" s="4"/>
      <c r="DK1295" s="4"/>
      <c r="DL1295" s="4"/>
      <c r="DM1295" s="4"/>
      <c r="DN1295" s="4"/>
      <c r="DO1295" s="4"/>
      <c r="DP1295" s="4"/>
      <c r="DQ1295" s="4"/>
      <c r="DR1295" s="4"/>
      <c r="DS1295" s="4"/>
      <c r="DT1295" s="4"/>
      <c r="DU1295" s="4"/>
      <c r="DV1295" s="4"/>
      <c r="DW1295" s="4"/>
      <c r="DX1295" s="4"/>
      <c r="DY1295" s="4"/>
      <c r="DZ1295" s="4"/>
      <c r="EA1295" s="4"/>
      <c r="EB1295" s="4"/>
      <c r="EC1295" s="4"/>
      <c r="ED1295" s="4"/>
      <c r="EE1295" s="4"/>
      <c r="EF1295" s="4"/>
      <c r="EG1295" s="4"/>
      <c r="EH1295" s="4"/>
      <c r="EI1295" s="4"/>
    </row>
    <row r="1296" spans="1:139" hidden="1" x14ac:dyDescent="0.2">
      <c r="A1296" t="str">
        <f>VLOOKUP(B1296,Sheet1!$A$1:$B$18,2,FALSE)</f>
        <v>South Island</v>
      </c>
      <c r="B1296" t="str">
        <f>LEFT(D1296,3)</f>
        <v>OTG</v>
      </c>
      <c r="C1296" s="2">
        <v>1259</v>
      </c>
      <c r="D1296" s="3" t="str">
        <f>HYPERLINK("https://sitebase.nzcomms.co.nz/spm/spmnominalview/OTG-071-037/","OTG-071-037")</f>
        <v>OTG-071-037</v>
      </c>
      <c r="E1296" s="4"/>
      <c r="F1296" s="4"/>
      <c r="G1296" s="4"/>
      <c r="H1296" s="4" t="s">
        <v>3727</v>
      </c>
      <c r="I1296" s="4"/>
      <c r="J1296" s="4" t="s">
        <v>196</v>
      </c>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t="b">
        <v>0</v>
      </c>
      <c r="AH1296" s="4"/>
      <c r="AI1296" s="4"/>
      <c r="AJ1296" s="4"/>
      <c r="AK1296" s="4"/>
      <c r="AL1296" s="4"/>
      <c r="AM1296" s="4"/>
      <c r="AN1296" s="4"/>
      <c r="AO1296" s="4"/>
      <c r="AP1296" s="4"/>
      <c r="AQ1296" s="4"/>
      <c r="AR1296" s="4"/>
      <c r="AS1296" s="4"/>
      <c r="AT1296" s="4"/>
      <c r="AU1296" s="4"/>
      <c r="AV1296" s="4"/>
      <c r="AW1296" s="4"/>
      <c r="AX1296" s="4"/>
      <c r="AY1296" s="4"/>
      <c r="AZ1296" s="4"/>
      <c r="BA1296" s="4"/>
      <c r="BB1296" s="4"/>
      <c r="BC1296" s="4"/>
      <c r="BD1296" s="4"/>
      <c r="BE1296" s="4"/>
      <c r="BF1296" s="4"/>
      <c r="BG1296" s="4"/>
      <c r="BH1296" s="4"/>
      <c r="BI1296" s="4"/>
      <c r="BJ1296" s="4"/>
      <c r="BK1296" s="4"/>
      <c r="BL1296" s="4"/>
      <c r="BM1296" s="4"/>
      <c r="BN1296" s="4"/>
      <c r="BO1296" s="4"/>
      <c r="BP1296" s="4"/>
      <c r="BQ1296" s="4"/>
      <c r="BR1296" s="4"/>
      <c r="BS1296" s="4"/>
      <c r="BT1296" s="4"/>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4"/>
      <c r="CW1296" s="4"/>
      <c r="CX1296" s="4"/>
      <c r="CY1296" s="4"/>
      <c r="CZ1296" s="4"/>
      <c r="DA1296" s="4"/>
      <c r="DB1296" s="4"/>
      <c r="DC1296" s="4"/>
      <c r="DD1296" s="4"/>
      <c r="DE1296" s="4"/>
      <c r="DF1296" s="4"/>
      <c r="DG1296" s="4"/>
      <c r="DH1296" s="4"/>
      <c r="DI1296" s="4"/>
      <c r="DJ1296" s="4"/>
      <c r="DK1296" s="4"/>
      <c r="DL1296" s="4"/>
      <c r="DM1296" s="4"/>
      <c r="DN1296" s="4"/>
      <c r="DO1296" s="4"/>
      <c r="DP1296" s="4"/>
      <c r="DQ1296" s="4"/>
      <c r="DR1296" s="4"/>
      <c r="DS1296" s="4"/>
      <c r="DT1296" s="4"/>
      <c r="DU1296" s="4"/>
      <c r="DV1296" s="4"/>
      <c r="DW1296" s="4"/>
      <c r="DX1296" s="4"/>
      <c r="DY1296" s="4"/>
      <c r="DZ1296" s="4"/>
      <c r="EA1296" s="4"/>
      <c r="EB1296" s="4"/>
      <c r="EC1296" s="4"/>
      <c r="ED1296" s="4"/>
      <c r="EE1296" s="4"/>
      <c r="EF1296" s="4"/>
      <c r="EG1296" s="4"/>
      <c r="EH1296" s="4"/>
      <c r="EI1296" s="4"/>
    </row>
    <row r="1297" spans="1:139" hidden="1" x14ac:dyDescent="0.2">
      <c r="A1297" t="str">
        <f>VLOOKUP(B1297,Sheet1!$A$1:$B$18,2,FALSE)</f>
        <v>South Island</v>
      </c>
      <c r="B1297" t="str">
        <f>LEFT(D1297,3)</f>
        <v>OTG</v>
      </c>
      <c r="C1297" s="2">
        <v>1260</v>
      </c>
      <c r="D1297" s="3" t="str">
        <f>HYPERLINK("https://sitebase.nzcomms.co.nz/spm/spmnominalview/OTG-071-038/","OTG-071-038")</f>
        <v>OTG-071-038</v>
      </c>
      <c r="E1297" s="4"/>
      <c r="F1297" s="4"/>
      <c r="G1297" s="4"/>
      <c r="H1297" s="4" t="s">
        <v>3727</v>
      </c>
      <c r="I1297" s="4"/>
      <c r="J1297" s="4" t="s">
        <v>196</v>
      </c>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t="b">
        <v>0</v>
      </c>
      <c r="AH1297" s="4"/>
      <c r="AI1297" s="4"/>
      <c r="AJ1297" s="4"/>
      <c r="AK1297" s="4"/>
      <c r="AL1297" s="4"/>
      <c r="AM1297" s="4"/>
      <c r="AN1297" s="4"/>
      <c r="AO1297" s="4"/>
      <c r="AP1297" s="4"/>
      <c r="AQ1297" s="4"/>
      <c r="AR1297" s="4"/>
      <c r="AS1297" s="4"/>
      <c r="AT1297" s="4"/>
      <c r="AU1297" s="4"/>
      <c r="AV1297" s="4"/>
      <c r="AW1297" s="4"/>
      <c r="AX1297" s="4"/>
      <c r="AY1297" s="4"/>
      <c r="AZ1297" s="4"/>
      <c r="BA1297" s="4"/>
      <c r="BB1297" s="4"/>
      <c r="BC1297" s="4"/>
      <c r="BD1297" s="4"/>
      <c r="BE1297" s="4"/>
      <c r="BF1297" s="4"/>
      <c r="BG1297" s="4"/>
      <c r="BH1297" s="4"/>
      <c r="BI1297" s="4"/>
      <c r="BJ1297" s="4"/>
      <c r="BK1297" s="4"/>
      <c r="BL1297" s="4"/>
      <c r="BM1297" s="4"/>
      <c r="BN1297" s="4"/>
      <c r="BO1297" s="4"/>
      <c r="BP1297" s="4"/>
      <c r="BQ1297" s="4"/>
      <c r="BR1297" s="4"/>
      <c r="BS1297" s="4"/>
      <c r="BT1297" s="4"/>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4"/>
      <c r="CW1297" s="4"/>
      <c r="CX1297" s="4"/>
      <c r="CY1297" s="4"/>
      <c r="CZ1297" s="4"/>
      <c r="DA1297" s="4"/>
      <c r="DB1297" s="4"/>
      <c r="DC1297" s="4"/>
      <c r="DD1297" s="4"/>
      <c r="DE1297" s="4"/>
      <c r="DF1297" s="4"/>
      <c r="DG1297" s="4"/>
      <c r="DH1297" s="4"/>
      <c r="DI1297" s="4"/>
      <c r="DJ1297" s="4"/>
      <c r="DK1297" s="4"/>
      <c r="DL1297" s="4"/>
      <c r="DM1297" s="4"/>
      <c r="DN1297" s="4"/>
      <c r="DO1297" s="4"/>
      <c r="DP1297" s="4"/>
      <c r="DQ1297" s="4"/>
      <c r="DR1297" s="4"/>
      <c r="DS1297" s="4"/>
      <c r="DT1297" s="4"/>
      <c r="DU1297" s="4"/>
      <c r="DV1297" s="4"/>
      <c r="DW1297" s="4"/>
      <c r="DX1297" s="4"/>
      <c r="DY1297" s="4"/>
      <c r="DZ1297" s="4"/>
      <c r="EA1297" s="4"/>
      <c r="EB1297" s="4"/>
      <c r="EC1297" s="4"/>
      <c r="ED1297" s="4"/>
      <c r="EE1297" s="4"/>
      <c r="EF1297" s="4"/>
      <c r="EG1297" s="4"/>
      <c r="EH1297" s="4"/>
      <c r="EI1297" s="4"/>
    </row>
    <row r="1298" spans="1:139" hidden="1" x14ac:dyDescent="0.2">
      <c r="A1298" t="str">
        <f>VLOOKUP(B1298,Sheet1!$A$1:$B$18,2,FALSE)</f>
        <v>South Island</v>
      </c>
      <c r="B1298" t="str">
        <f>LEFT(D1298,3)</f>
        <v>OTG</v>
      </c>
      <c r="C1298" s="2">
        <v>1261</v>
      </c>
      <c r="D1298" s="3" t="str">
        <f>HYPERLINK("https://sitebase.nzcomms.co.nz/spm/spmnominalview/OTG-071-039/","OTG-071-039")</f>
        <v>OTG-071-039</v>
      </c>
      <c r="E1298" s="4"/>
      <c r="F1298" s="4"/>
      <c r="G1298" s="4"/>
      <c r="H1298" s="4" t="s">
        <v>3727</v>
      </c>
      <c r="I1298" s="4"/>
      <c r="J1298" s="4" t="s">
        <v>196</v>
      </c>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t="b">
        <v>0</v>
      </c>
      <c r="AH1298" s="4"/>
      <c r="AI1298" s="4"/>
      <c r="AJ1298" s="4"/>
      <c r="AK1298" s="4"/>
      <c r="AL1298" s="4"/>
      <c r="AM1298" s="4"/>
      <c r="AN1298" s="4"/>
      <c r="AO1298" s="4"/>
      <c r="AP1298" s="4"/>
      <c r="AQ1298" s="4"/>
      <c r="AR1298" s="4"/>
      <c r="AS1298" s="4"/>
      <c r="AT1298" s="4"/>
      <c r="AU1298" s="4"/>
      <c r="AV1298" s="4"/>
      <c r="AW1298" s="4"/>
      <c r="AX1298" s="4"/>
      <c r="AY1298" s="4"/>
      <c r="AZ1298" s="4"/>
      <c r="BA1298" s="4"/>
      <c r="BB1298" s="4"/>
      <c r="BC1298" s="4"/>
      <c r="BD1298" s="4"/>
      <c r="BE1298" s="4"/>
      <c r="BF1298" s="4"/>
      <c r="BG1298" s="4"/>
      <c r="BH1298" s="4"/>
      <c r="BI1298" s="4"/>
      <c r="BJ1298" s="4"/>
      <c r="BK1298" s="4"/>
      <c r="BL1298" s="4"/>
      <c r="BM1298" s="4"/>
      <c r="BN1298" s="4"/>
      <c r="BO1298" s="4"/>
      <c r="BP1298" s="4"/>
      <c r="BQ1298" s="4"/>
      <c r="BR1298" s="4"/>
      <c r="BS1298" s="4"/>
      <c r="BT1298" s="4"/>
      <c r="BU1298" s="4"/>
      <c r="BV1298" s="4"/>
      <c r="BW1298" s="4"/>
      <c r="BX1298" s="4"/>
      <c r="BY1298" s="4"/>
      <c r="BZ1298" s="4"/>
      <c r="CA1298" s="4"/>
      <c r="CB1298" s="4"/>
      <c r="CC1298" s="4"/>
      <c r="CD1298" s="4"/>
      <c r="CE1298" s="4"/>
      <c r="CF1298" s="4"/>
      <c r="CG1298" s="4"/>
      <c r="CH1298" s="4"/>
      <c r="CI1298" s="4"/>
      <c r="CJ1298" s="4"/>
      <c r="CK1298" s="4"/>
      <c r="CL1298" s="4"/>
      <c r="CM1298" s="4"/>
      <c r="CN1298" s="4"/>
      <c r="CO1298" s="4"/>
      <c r="CP1298" s="4"/>
      <c r="CQ1298" s="4"/>
      <c r="CR1298" s="4"/>
      <c r="CS1298" s="4"/>
      <c r="CT1298" s="4"/>
      <c r="CU1298" s="4"/>
      <c r="CV1298" s="4"/>
      <c r="CW1298" s="4"/>
      <c r="CX1298" s="4"/>
      <c r="CY1298" s="4"/>
      <c r="CZ1298" s="4"/>
      <c r="DA1298" s="4"/>
      <c r="DB1298" s="4"/>
      <c r="DC1298" s="4"/>
      <c r="DD1298" s="4"/>
      <c r="DE1298" s="4"/>
      <c r="DF1298" s="4"/>
      <c r="DG1298" s="4"/>
      <c r="DH1298" s="4"/>
      <c r="DI1298" s="4"/>
      <c r="DJ1298" s="4"/>
      <c r="DK1298" s="4"/>
      <c r="DL1298" s="4"/>
      <c r="DM1298" s="4"/>
      <c r="DN1298" s="4"/>
      <c r="DO1298" s="4"/>
      <c r="DP1298" s="4"/>
      <c r="DQ1298" s="4"/>
      <c r="DR1298" s="4"/>
      <c r="DS1298" s="4"/>
      <c r="DT1298" s="4"/>
      <c r="DU1298" s="4"/>
      <c r="DV1298" s="4"/>
      <c r="DW1298" s="4"/>
      <c r="DX1298" s="4"/>
      <c r="DY1298" s="4"/>
      <c r="DZ1298" s="4"/>
      <c r="EA1298" s="4"/>
      <c r="EB1298" s="4"/>
      <c r="EC1298" s="4"/>
      <c r="ED1298" s="4"/>
      <c r="EE1298" s="4"/>
      <c r="EF1298" s="4"/>
      <c r="EG1298" s="4"/>
      <c r="EH1298" s="4"/>
      <c r="EI1298" s="4"/>
    </row>
    <row r="1299" spans="1:139" hidden="1" x14ac:dyDescent="0.2">
      <c r="A1299" t="str">
        <f>VLOOKUP(B1299,Sheet1!$A$1:$B$18,2,FALSE)</f>
        <v>South Island</v>
      </c>
      <c r="B1299" t="str">
        <f>LEFT(D1299,3)</f>
        <v>OTG</v>
      </c>
      <c r="C1299" s="2">
        <v>1262</v>
      </c>
      <c r="D1299" s="3" t="str">
        <f>HYPERLINK("https://sitebase.nzcomms.co.nz/spm/spmnominalview/OTG-071-040/","OTG-071-040")</f>
        <v>OTG-071-040</v>
      </c>
      <c r="E1299" s="4"/>
      <c r="F1299" s="4"/>
      <c r="G1299" s="4"/>
      <c r="H1299" s="4" t="s">
        <v>3727</v>
      </c>
      <c r="I1299" s="4"/>
      <c r="J1299" s="4" t="s">
        <v>196</v>
      </c>
      <c r="K1299" s="4"/>
      <c r="L1299" s="4"/>
      <c r="M1299" s="4"/>
      <c r="N1299" s="4"/>
      <c r="O1299" s="4"/>
      <c r="P1299" s="4"/>
      <c r="Q1299" s="4"/>
      <c r="R1299" s="4"/>
      <c r="S1299" s="4"/>
      <c r="T1299" s="4"/>
      <c r="U1299" s="4"/>
      <c r="V1299" s="4"/>
      <c r="W1299" s="4"/>
      <c r="X1299" s="4"/>
      <c r="Y1299" s="4"/>
      <c r="Z1299" s="4"/>
      <c r="AA1299" s="4"/>
      <c r="AB1299" s="4"/>
      <c r="AC1299" s="4"/>
      <c r="AD1299" s="4"/>
      <c r="AE1299" s="4"/>
      <c r="AF1299" s="4"/>
      <c r="AG1299" s="4" t="b">
        <v>0</v>
      </c>
      <c r="AH1299" s="4"/>
      <c r="AI1299" s="4"/>
      <c r="AJ1299" s="4"/>
      <c r="AK1299" s="4"/>
      <c r="AL1299" s="4"/>
      <c r="AM1299" s="4"/>
      <c r="AN1299" s="4"/>
      <c r="AO1299" s="4"/>
      <c r="AP1299" s="4"/>
      <c r="AQ1299" s="4"/>
      <c r="AR1299" s="4"/>
      <c r="AS1299" s="4"/>
      <c r="AT1299" s="4"/>
      <c r="AU1299" s="4"/>
      <c r="AV1299" s="4"/>
      <c r="AW1299" s="4"/>
      <c r="AX1299" s="4"/>
      <c r="AY1299" s="4"/>
      <c r="AZ1299" s="4"/>
      <c r="BA1299" s="4"/>
      <c r="BB1299" s="4"/>
      <c r="BC1299" s="4"/>
      <c r="BD1299" s="4"/>
      <c r="BE1299" s="4"/>
      <c r="BF1299" s="4"/>
      <c r="BG1299" s="4"/>
      <c r="BH1299" s="4"/>
      <c r="BI1299" s="4"/>
      <c r="BJ1299" s="4"/>
      <c r="BK1299" s="4"/>
      <c r="BL1299" s="4"/>
      <c r="BM1299" s="4"/>
      <c r="BN1299" s="4"/>
      <c r="BO1299" s="4"/>
      <c r="BP1299" s="4"/>
      <c r="BQ1299" s="4"/>
      <c r="BR1299" s="4"/>
      <c r="BS1299" s="4"/>
      <c r="BT1299" s="4"/>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4"/>
      <c r="CW1299" s="4"/>
      <c r="CX1299" s="4"/>
      <c r="CY1299" s="4"/>
      <c r="CZ1299" s="4"/>
      <c r="DA1299" s="4"/>
      <c r="DB1299" s="4"/>
      <c r="DC1299" s="4"/>
      <c r="DD1299" s="4"/>
      <c r="DE1299" s="4"/>
      <c r="DF1299" s="4"/>
      <c r="DG1299" s="4"/>
      <c r="DH1299" s="4"/>
      <c r="DI1299" s="4"/>
      <c r="DJ1299" s="4"/>
      <c r="DK1299" s="4"/>
      <c r="DL1299" s="4"/>
      <c r="DM1299" s="4"/>
      <c r="DN1299" s="4"/>
      <c r="DO1299" s="4"/>
      <c r="DP1299" s="4"/>
      <c r="DQ1299" s="4"/>
      <c r="DR1299" s="4"/>
      <c r="DS1299" s="4"/>
      <c r="DT1299" s="4"/>
      <c r="DU1299" s="4"/>
      <c r="DV1299" s="4"/>
      <c r="DW1299" s="4"/>
      <c r="DX1299" s="4"/>
      <c r="DY1299" s="4"/>
      <c r="DZ1299" s="4"/>
      <c r="EA1299" s="4"/>
      <c r="EB1299" s="4"/>
      <c r="EC1299" s="4"/>
      <c r="ED1299" s="4"/>
      <c r="EE1299" s="4"/>
      <c r="EF1299" s="4"/>
      <c r="EG1299" s="4"/>
      <c r="EH1299" s="4"/>
      <c r="EI1299" s="4"/>
    </row>
    <row r="1300" spans="1:139" hidden="1" x14ac:dyDescent="0.2">
      <c r="A1300" t="str">
        <f>VLOOKUP(B1300,Sheet1!$A$1:$B$18,2,FALSE)</f>
        <v>South Island</v>
      </c>
      <c r="B1300" t="str">
        <f>LEFT(D1300,3)</f>
        <v>OTG</v>
      </c>
      <c r="C1300" s="2">
        <v>1263</v>
      </c>
      <c r="D1300" s="3" t="str">
        <f>HYPERLINK("https://sitebase.nzcomms.co.nz/spm/spmnominalview/OTG-071-041/","OTG-071-041")</f>
        <v>OTG-071-041</v>
      </c>
      <c r="E1300" s="4"/>
      <c r="F1300" s="4"/>
      <c r="G1300" s="4"/>
      <c r="H1300" s="4" t="s">
        <v>3727</v>
      </c>
      <c r="I1300" s="4"/>
      <c r="J1300" s="4" t="s">
        <v>196</v>
      </c>
      <c r="K1300" s="4"/>
      <c r="L1300" s="4"/>
      <c r="M1300" s="4"/>
      <c r="N1300" s="4"/>
      <c r="O1300" s="4"/>
      <c r="P1300" s="4"/>
      <c r="Q1300" s="4"/>
      <c r="R1300" s="4"/>
      <c r="S1300" s="4"/>
      <c r="T1300" s="4"/>
      <c r="U1300" s="4"/>
      <c r="V1300" s="4"/>
      <c r="W1300" s="4"/>
      <c r="X1300" s="4"/>
      <c r="Y1300" s="4"/>
      <c r="Z1300" s="4"/>
      <c r="AA1300" s="4"/>
      <c r="AB1300" s="4"/>
      <c r="AC1300" s="4"/>
      <c r="AD1300" s="4"/>
      <c r="AE1300" s="4"/>
      <c r="AF1300" s="4"/>
      <c r="AG1300" s="4" t="b">
        <v>0</v>
      </c>
      <c r="AH1300" s="4"/>
      <c r="AI1300" s="4"/>
      <c r="AJ1300" s="4"/>
      <c r="AK1300" s="4"/>
      <c r="AL1300" s="4"/>
      <c r="AM1300" s="4"/>
      <c r="AN1300" s="4"/>
      <c r="AO1300" s="4"/>
      <c r="AP1300" s="4"/>
      <c r="AQ1300" s="4"/>
      <c r="AR1300" s="4"/>
      <c r="AS1300" s="4"/>
      <c r="AT1300" s="4"/>
      <c r="AU1300" s="4"/>
      <c r="AV1300" s="4"/>
      <c r="AW1300" s="4"/>
      <c r="AX1300" s="4"/>
      <c r="AY1300" s="4"/>
      <c r="AZ1300" s="4"/>
      <c r="BA1300" s="4"/>
      <c r="BB1300" s="4"/>
      <c r="BC1300" s="4"/>
      <c r="BD1300" s="4"/>
      <c r="BE1300" s="4"/>
      <c r="BF1300" s="4"/>
      <c r="BG1300" s="4"/>
      <c r="BH1300" s="4"/>
      <c r="BI1300" s="4"/>
      <c r="BJ1300" s="4"/>
      <c r="BK1300" s="4"/>
      <c r="BL1300" s="4"/>
      <c r="BM1300" s="4"/>
      <c r="BN1300" s="4"/>
      <c r="BO1300" s="4"/>
      <c r="BP1300" s="4"/>
      <c r="BQ1300" s="4"/>
      <c r="BR1300" s="4"/>
      <c r="BS1300" s="4"/>
      <c r="BT1300" s="4"/>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4"/>
      <c r="CW1300" s="4"/>
      <c r="CX1300" s="4"/>
      <c r="CY1300" s="4"/>
      <c r="CZ1300" s="4"/>
      <c r="DA1300" s="4"/>
      <c r="DB1300" s="4"/>
      <c r="DC1300" s="4"/>
      <c r="DD1300" s="4"/>
      <c r="DE1300" s="4"/>
      <c r="DF1300" s="4"/>
      <c r="DG1300" s="4"/>
      <c r="DH1300" s="4"/>
      <c r="DI1300" s="4"/>
      <c r="DJ1300" s="4"/>
      <c r="DK1300" s="4"/>
      <c r="DL1300" s="4"/>
      <c r="DM1300" s="4"/>
      <c r="DN1300" s="4"/>
      <c r="DO1300" s="4"/>
      <c r="DP1300" s="4"/>
      <c r="DQ1300" s="4"/>
      <c r="DR1300" s="4"/>
      <c r="DS1300" s="4"/>
      <c r="DT1300" s="4"/>
      <c r="DU1300" s="4"/>
      <c r="DV1300" s="4"/>
      <c r="DW1300" s="4"/>
      <c r="DX1300" s="4"/>
      <c r="DY1300" s="4"/>
      <c r="DZ1300" s="4"/>
      <c r="EA1300" s="4"/>
      <c r="EB1300" s="4"/>
      <c r="EC1300" s="4"/>
      <c r="ED1300" s="4"/>
      <c r="EE1300" s="4"/>
      <c r="EF1300" s="4"/>
      <c r="EG1300" s="4"/>
      <c r="EH1300" s="4"/>
      <c r="EI1300" s="4"/>
    </row>
    <row r="1301" spans="1:139" hidden="1" x14ac:dyDescent="0.2">
      <c r="A1301" t="str">
        <f>VLOOKUP(B1301,Sheet1!$A$1:$B$18,2,FALSE)</f>
        <v>South Island</v>
      </c>
      <c r="B1301" t="str">
        <f>LEFT(D1301,3)</f>
        <v>OTG</v>
      </c>
      <c r="C1301" s="2">
        <v>1267</v>
      </c>
      <c r="D1301" s="3" t="str">
        <f>HYPERLINK("https://sitebase.nzcomms.co.nz/spm/spmnominalview/OTG-071-046/","OTG-071-046")</f>
        <v>OTG-071-046</v>
      </c>
      <c r="E1301" s="4" t="s">
        <v>3847</v>
      </c>
      <c r="F1301" s="3" t="str">
        <f>HYPERLINK("https://sitebase.nzcomms.co.nz/spm/spmcandidateview/OTG-071-046-B/","OTG-071-046-B")</f>
        <v>OTG-071-046-B</v>
      </c>
      <c r="G1301" s="4" t="s">
        <v>3848</v>
      </c>
      <c r="H1301" s="4" t="s">
        <v>3727</v>
      </c>
      <c r="I1301" s="4">
        <v>4</v>
      </c>
      <c r="J1301" s="4" t="s">
        <v>180</v>
      </c>
      <c r="K1301" s="4" t="s">
        <v>141</v>
      </c>
      <c r="L1301" s="4" t="s">
        <v>189</v>
      </c>
      <c r="M1301" s="4" t="s">
        <v>190</v>
      </c>
      <c r="N1301" s="4" t="s">
        <v>612</v>
      </c>
      <c r="O1301" s="4"/>
      <c r="P1301" s="4" t="s">
        <v>182</v>
      </c>
      <c r="Q1301" s="4" t="s">
        <v>192</v>
      </c>
      <c r="R1301" s="4">
        <v>9</v>
      </c>
      <c r="S1301" s="4">
        <v>9</v>
      </c>
      <c r="T1301" s="4">
        <v>1</v>
      </c>
      <c r="U1301" s="4">
        <v>-45.868177979999999</v>
      </c>
      <c r="V1301" s="4">
        <v>170.52412153</v>
      </c>
      <c r="W1301" s="4"/>
      <c r="X1301" s="4"/>
      <c r="Y1301" s="4"/>
      <c r="Z1301" s="4"/>
      <c r="AA1301" s="4"/>
      <c r="AB1301" s="4"/>
      <c r="AC1301" s="4" t="b">
        <v>0</v>
      </c>
      <c r="AD1301" s="4" t="b">
        <v>0</v>
      </c>
      <c r="AE1301" s="4"/>
      <c r="AF1301" s="4"/>
      <c r="AG1301" s="4" t="b">
        <v>0</v>
      </c>
      <c r="AH1301" s="4"/>
      <c r="AI1301" s="5">
        <v>41079</v>
      </c>
      <c r="AJ1301" s="5">
        <v>41079</v>
      </c>
      <c r="AK1301" s="5">
        <v>41088</v>
      </c>
      <c r="AL1301" s="5">
        <v>41088</v>
      </c>
      <c r="AM1301" s="5">
        <v>41102</v>
      </c>
      <c r="AN1301" s="5">
        <v>41130</v>
      </c>
      <c r="AO1301" s="4">
        <v>1</v>
      </c>
      <c r="AP1301" s="5">
        <v>41128</v>
      </c>
      <c r="AQ1301" s="5">
        <v>41130</v>
      </c>
      <c r="AR1301" s="5">
        <v>41136</v>
      </c>
      <c r="AS1301" s="5">
        <v>41129</v>
      </c>
      <c r="AT1301" s="5">
        <v>41180</v>
      </c>
      <c r="AU1301" s="5">
        <v>41177</v>
      </c>
      <c r="AV1301" s="4"/>
      <c r="AW1301" s="5">
        <v>41424</v>
      </c>
      <c r="AX1301" s="4"/>
      <c r="AY1301" s="4" t="s">
        <v>172</v>
      </c>
      <c r="AZ1301" s="5">
        <v>41164</v>
      </c>
      <c r="BA1301" s="5">
        <v>41165</v>
      </c>
      <c r="BB1301" s="5">
        <v>41270</v>
      </c>
      <c r="BC1301" s="5">
        <v>41264</v>
      </c>
      <c r="BD1301" s="4">
        <v>1</v>
      </c>
      <c r="BE1301" s="4"/>
      <c r="BF1301" s="4"/>
      <c r="BG1301" s="4"/>
      <c r="BH1301" s="4"/>
      <c r="BI1301" s="4"/>
      <c r="BJ1301" s="4"/>
      <c r="BK1301" s="4"/>
      <c r="BL1301" s="4"/>
      <c r="BM1301" s="4"/>
      <c r="BN1301" s="4"/>
      <c r="BO1301" s="4"/>
      <c r="BP1301" s="4"/>
      <c r="BQ1301" s="4"/>
      <c r="BR1301" s="4"/>
      <c r="BS1301" s="4"/>
      <c r="BT1301" s="4"/>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t="s">
        <v>3849</v>
      </c>
      <c r="CQ1301" s="4"/>
      <c r="CR1301" s="5">
        <v>41262</v>
      </c>
      <c r="CS1301" s="5">
        <v>41156</v>
      </c>
      <c r="CT1301" s="5">
        <v>41156</v>
      </c>
      <c r="CU1301" s="5">
        <v>41215</v>
      </c>
      <c r="CV1301" s="4"/>
      <c r="CW1301" s="5">
        <v>41215</v>
      </c>
      <c r="CX1301" s="4"/>
      <c r="CY1301" s="5">
        <v>41261</v>
      </c>
      <c r="CZ1301" s="4"/>
      <c r="DA1301" s="4"/>
      <c r="DB1301" s="4"/>
      <c r="DC1301" s="4"/>
      <c r="DD1301" s="4"/>
      <c r="DE1301" s="4" t="s">
        <v>194</v>
      </c>
      <c r="DF1301" s="4"/>
      <c r="DG1301" s="4"/>
      <c r="DH1301" s="4" t="s">
        <v>240</v>
      </c>
      <c r="DI1301" s="4"/>
      <c r="DJ1301" s="4" t="b">
        <v>1</v>
      </c>
      <c r="DK1301" s="4"/>
      <c r="DL1301" s="4">
        <v>2317626</v>
      </c>
      <c r="DM1301" s="4">
        <v>5479264</v>
      </c>
      <c r="DN1301" s="4" t="s">
        <v>3850</v>
      </c>
      <c r="DO1301" s="4"/>
      <c r="DP1301" s="4" t="s">
        <v>3851</v>
      </c>
      <c r="DQ1301" s="4"/>
      <c r="DR1301" s="4"/>
      <c r="DS1301" s="4"/>
      <c r="DT1301" s="4"/>
      <c r="DU1301" s="4"/>
      <c r="DV1301" s="4"/>
      <c r="DW1301" s="4"/>
      <c r="DX1301" s="4"/>
      <c r="DY1301" s="4"/>
      <c r="DZ1301" s="4"/>
      <c r="EA1301" s="4"/>
      <c r="EB1301" s="4"/>
      <c r="EC1301" s="4"/>
      <c r="ED1301" s="4"/>
      <c r="EE1301" s="4"/>
      <c r="EF1301" s="4"/>
      <c r="EG1301" s="5">
        <v>41263</v>
      </c>
      <c r="EH1301" s="4"/>
      <c r="EI1301" s="4"/>
    </row>
    <row r="1302" spans="1:139" hidden="1" x14ac:dyDescent="0.2">
      <c r="A1302" t="str">
        <f>VLOOKUP(B1302,Sheet1!$A$1:$B$18,2,FALSE)</f>
        <v>South Island</v>
      </c>
      <c r="B1302" t="str">
        <f>LEFT(D1302,3)</f>
        <v>OTG</v>
      </c>
      <c r="C1302" s="2">
        <v>1269</v>
      </c>
      <c r="D1302" s="3" t="str">
        <f>HYPERLINK("https://sitebase.nzcomms.co.nz/spm/spmnominalview/OTG-071-048/","OTG-071-048")</f>
        <v>OTG-071-048</v>
      </c>
      <c r="E1302" s="4" t="s">
        <v>3857</v>
      </c>
      <c r="F1302" s="3" t="str">
        <f>HYPERLINK("https://sitebase.nzcomms.co.nz/spm/spmcandidateview/OTG-071-048-B/","OTG-071-048-B")</f>
        <v>OTG-071-048-B</v>
      </c>
      <c r="G1302" s="4" t="s">
        <v>3858</v>
      </c>
      <c r="H1302" s="4" t="s">
        <v>3727</v>
      </c>
      <c r="I1302" s="4">
        <v>4</v>
      </c>
      <c r="J1302" s="4" t="s">
        <v>180</v>
      </c>
      <c r="K1302" s="4" t="s">
        <v>141</v>
      </c>
      <c r="L1302" s="4" t="s">
        <v>181</v>
      </c>
      <c r="M1302" s="4" t="s">
        <v>166</v>
      </c>
      <c r="N1302" s="4"/>
      <c r="O1302" s="4"/>
      <c r="P1302" s="4"/>
      <c r="Q1302" s="4" t="s">
        <v>170</v>
      </c>
      <c r="R1302" s="4">
        <v>45</v>
      </c>
      <c r="S1302" s="4">
        <v>45</v>
      </c>
      <c r="T1302" s="4">
        <v>1</v>
      </c>
      <c r="U1302" s="4">
        <v>-45.866391</v>
      </c>
      <c r="V1302" s="4">
        <v>170.51821944</v>
      </c>
      <c r="W1302" s="4"/>
      <c r="X1302" s="4"/>
      <c r="Y1302" s="4"/>
      <c r="Z1302" s="4"/>
      <c r="AA1302" s="4" t="s">
        <v>171</v>
      </c>
      <c r="AB1302" s="3" t="str">
        <f>HYPERLINK("https://sitebase.nzcomms.co.nz/spm/spmcandidateview/OTG-071-010-A/","OTG-071-010-A")</f>
        <v>OTG-071-010-A</v>
      </c>
      <c r="AC1302" s="4" t="b">
        <v>0</v>
      </c>
      <c r="AD1302" s="4" t="b">
        <v>0</v>
      </c>
      <c r="AE1302" s="4"/>
      <c r="AF1302" s="4"/>
      <c r="AG1302" s="4" t="b">
        <v>0</v>
      </c>
      <c r="AH1302" s="4"/>
      <c r="AI1302" s="5">
        <v>41151</v>
      </c>
      <c r="AJ1302" s="5">
        <v>41151</v>
      </c>
      <c r="AK1302" s="5">
        <v>41201</v>
      </c>
      <c r="AL1302" s="5">
        <v>41222</v>
      </c>
      <c r="AM1302" s="5">
        <v>41332</v>
      </c>
      <c r="AN1302" s="5">
        <v>41344</v>
      </c>
      <c r="AO1302" s="4">
        <v>2</v>
      </c>
      <c r="AP1302" s="5">
        <v>41344</v>
      </c>
      <c r="AQ1302" s="5">
        <v>41414</v>
      </c>
      <c r="AR1302" s="5">
        <v>41262</v>
      </c>
      <c r="AS1302" s="5">
        <v>41235</v>
      </c>
      <c r="AT1302" s="5">
        <v>41439</v>
      </c>
      <c r="AU1302" s="5">
        <v>41488</v>
      </c>
      <c r="AV1302" s="4">
        <v>2</v>
      </c>
      <c r="AW1302" s="5">
        <v>41439</v>
      </c>
      <c r="AX1302" s="5">
        <v>41488</v>
      </c>
      <c r="AY1302" s="4" t="s">
        <v>183</v>
      </c>
      <c r="AZ1302" s="5">
        <v>41404</v>
      </c>
      <c r="BA1302" s="5">
        <v>41407</v>
      </c>
      <c r="BB1302" s="5">
        <v>41466</v>
      </c>
      <c r="BC1302" s="5">
        <v>41445</v>
      </c>
      <c r="BD1302" s="4">
        <v>1</v>
      </c>
      <c r="BE1302" s="5">
        <v>41466</v>
      </c>
      <c r="BF1302" s="5">
        <v>41445</v>
      </c>
      <c r="BG1302" s="4"/>
      <c r="BH1302" s="4"/>
      <c r="BI1302" s="4"/>
      <c r="BJ1302" s="4"/>
      <c r="BK1302" s="4"/>
      <c r="BL1302" s="4"/>
      <c r="BM1302" s="4"/>
      <c r="BN1302" s="4"/>
      <c r="BO1302" s="4"/>
      <c r="BP1302" s="4"/>
      <c r="BQ1302" s="4"/>
      <c r="BR1302" s="4"/>
      <c r="BS1302" s="4"/>
      <c r="BT1302" s="4"/>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t="s">
        <v>3859</v>
      </c>
      <c r="CQ1302" s="4"/>
      <c r="CR1302" s="4"/>
      <c r="CS1302" s="4"/>
      <c r="CT1302" s="4"/>
      <c r="CU1302" s="4"/>
      <c r="CV1302" s="4"/>
      <c r="CW1302" s="4"/>
      <c r="CX1302" s="4"/>
      <c r="CY1302" s="4"/>
      <c r="CZ1302" s="4"/>
      <c r="DA1302" s="4"/>
      <c r="DB1302" s="4"/>
      <c r="DC1302" s="5">
        <v>41407</v>
      </c>
      <c r="DD1302" s="4" t="s">
        <v>586</v>
      </c>
      <c r="DE1302" s="4" t="s">
        <v>194</v>
      </c>
      <c r="DF1302" s="4"/>
      <c r="DG1302" s="4"/>
      <c r="DH1302" s="4" t="s">
        <v>240</v>
      </c>
      <c r="DI1302" s="4"/>
      <c r="DJ1302" s="4" t="b">
        <v>1</v>
      </c>
      <c r="DK1302" s="4"/>
      <c r="DL1302" s="4">
        <v>2317162</v>
      </c>
      <c r="DM1302" s="4">
        <v>5479449</v>
      </c>
      <c r="DN1302" s="4" t="s">
        <v>3860</v>
      </c>
      <c r="DO1302" s="4"/>
      <c r="DP1302" s="4"/>
      <c r="DQ1302" s="4" t="s">
        <v>148</v>
      </c>
      <c r="DR1302" s="4" t="s">
        <v>244</v>
      </c>
      <c r="DS1302" s="4"/>
      <c r="DT1302" s="4"/>
      <c r="DU1302" s="4"/>
      <c r="DV1302" s="4"/>
      <c r="DW1302" s="4"/>
      <c r="DX1302" s="4"/>
      <c r="DY1302" s="4"/>
      <c r="DZ1302" s="4"/>
      <c r="EA1302" s="4"/>
      <c r="EB1302" s="4"/>
      <c r="EC1302" s="4"/>
      <c r="ED1302" s="4"/>
      <c r="EE1302" s="4"/>
      <c r="EF1302" s="4"/>
      <c r="EG1302" s="4"/>
      <c r="EH1302" s="4"/>
      <c r="EI1302" s="4"/>
    </row>
    <row r="1303" spans="1:139" hidden="1" x14ac:dyDescent="0.2">
      <c r="A1303" t="str">
        <f>VLOOKUP(B1303,Sheet1!$A$1:$B$18,2,FALSE)</f>
        <v>South Island</v>
      </c>
      <c r="B1303" t="str">
        <f>LEFT(D1303,3)</f>
        <v>OTG</v>
      </c>
      <c r="C1303" s="2">
        <v>1271</v>
      </c>
      <c r="D1303" s="3" t="str">
        <f>HYPERLINK("https://sitebase.nzcomms.co.nz/spm/spmnominalview/OTG-072-001/","OTG-072-001")</f>
        <v>OTG-072-001</v>
      </c>
      <c r="E1303" s="4"/>
      <c r="F1303" s="4"/>
      <c r="G1303" s="4"/>
      <c r="H1303" s="4" t="s">
        <v>3865</v>
      </c>
      <c r="I1303" s="4"/>
      <c r="J1303" s="4" t="s">
        <v>196</v>
      </c>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c r="AT1303" s="4"/>
      <c r="AU1303" s="4"/>
      <c r="AV1303" s="4"/>
      <c r="AW1303" s="4"/>
      <c r="AX1303" s="4"/>
      <c r="AY1303" s="4"/>
      <c r="AZ1303" s="4"/>
      <c r="BA1303" s="4"/>
      <c r="BB1303" s="4"/>
      <c r="BC1303" s="4"/>
      <c r="BD1303" s="4"/>
      <c r="BE1303" s="4"/>
      <c r="BF1303" s="4"/>
      <c r="BG1303" s="4"/>
      <c r="BH1303" s="4"/>
      <c r="BI1303" s="4"/>
      <c r="BJ1303" s="4"/>
      <c r="BK1303" s="4"/>
      <c r="BL1303" s="4"/>
      <c r="BM1303" s="4"/>
      <c r="BN1303" s="4"/>
      <c r="BO1303" s="4"/>
      <c r="BP1303" s="4"/>
      <c r="BQ1303" s="4"/>
      <c r="BR1303" s="4"/>
      <c r="BS1303" s="4"/>
      <c r="BT1303" s="4"/>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4"/>
      <c r="CW1303" s="4"/>
      <c r="CX1303" s="4"/>
      <c r="CY1303" s="4"/>
      <c r="CZ1303" s="4"/>
      <c r="DA1303" s="4"/>
      <c r="DB1303" s="4"/>
      <c r="DC1303" s="4"/>
      <c r="DD1303" s="4"/>
      <c r="DE1303" s="4"/>
      <c r="DF1303" s="4"/>
      <c r="DG1303" s="4"/>
      <c r="DH1303" s="4"/>
      <c r="DI1303" s="4"/>
      <c r="DJ1303" s="4"/>
      <c r="DK1303" s="4"/>
      <c r="DL1303" s="4"/>
      <c r="DM1303" s="4"/>
      <c r="DN1303" s="4"/>
      <c r="DO1303" s="4"/>
      <c r="DP1303" s="4"/>
      <c r="DQ1303" s="4"/>
      <c r="DR1303" s="4"/>
      <c r="DS1303" s="4"/>
      <c r="DT1303" s="4"/>
      <c r="DU1303" s="4"/>
      <c r="DV1303" s="4"/>
      <c r="DW1303" s="4"/>
      <c r="DX1303" s="4"/>
      <c r="DY1303" s="4"/>
      <c r="DZ1303" s="4"/>
      <c r="EA1303" s="4"/>
      <c r="EB1303" s="4"/>
      <c r="EC1303" s="4"/>
      <c r="ED1303" s="4"/>
      <c r="EE1303" s="4"/>
      <c r="EF1303" s="4"/>
      <c r="EG1303" s="4"/>
      <c r="EH1303" s="4"/>
      <c r="EI1303" s="4"/>
    </row>
    <row r="1304" spans="1:139" hidden="1" x14ac:dyDescent="0.2">
      <c r="A1304" t="str">
        <f>VLOOKUP(B1304,Sheet1!$A$1:$B$18,2,FALSE)</f>
        <v>South Island</v>
      </c>
      <c r="B1304" t="str">
        <f>LEFT(D1304,3)</f>
        <v>OTG</v>
      </c>
      <c r="C1304" s="2">
        <v>1274</v>
      </c>
      <c r="D1304" s="3" t="str">
        <f>HYPERLINK("https://sitebase.nzcomms.co.nz/spm/spmnominalview/OTG-072-004/","OTG-072-004")</f>
        <v>OTG-072-004</v>
      </c>
      <c r="E1304" s="4"/>
      <c r="F1304" s="4"/>
      <c r="G1304" s="4"/>
      <c r="H1304" s="4" t="s">
        <v>3865</v>
      </c>
      <c r="I1304" s="4"/>
      <c r="J1304" s="4" t="s">
        <v>196</v>
      </c>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c r="AT1304" s="4"/>
      <c r="AU1304" s="4"/>
      <c r="AV1304" s="4"/>
      <c r="AW1304" s="4"/>
      <c r="AX1304" s="4"/>
      <c r="AY1304" s="4"/>
      <c r="AZ1304" s="4"/>
      <c r="BA1304" s="4"/>
      <c r="BB1304" s="4"/>
      <c r="BC1304" s="4"/>
      <c r="BD1304" s="4"/>
      <c r="BE1304" s="4"/>
      <c r="BF1304" s="4"/>
      <c r="BG1304" s="4"/>
      <c r="BH1304" s="4"/>
      <c r="BI1304" s="4"/>
      <c r="BJ1304" s="4"/>
      <c r="BK1304" s="4"/>
      <c r="BL1304" s="4"/>
      <c r="BM1304" s="4"/>
      <c r="BN1304" s="4"/>
      <c r="BO1304" s="4"/>
      <c r="BP1304" s="4"/>
      <c r="BQ1304" s="4"/>
      <c r="BR1304" s="4"/>
      <c r="BS1304" s="4"/>
      <c r="BT1304" s="4"/>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4"/>
      <c r="CR1304" s="4"/>
      <c r="CS1304" s="4"/>
      <c r="CT1304" s="4"/>
      <c r="CU1304" s="4"/>
      <c r="CV1304" s="4"/>
      <c r="CW1304" s="4"/>
      <c r="CX1304" s="4"/>
      <c r="CY1304" s="4"/>
      <c r="CZ1304" s="4"/>
      <c r="DA1304" s="4"/>
      <c r="DB1304" s="4"/>
      <c r="DC1304" s="4"/>
      <c r="DD1304" s="4"/>
      <c r="DE1304" s="4"/>
      <c r="DF1304" s="4"/>
      <c r="DG1304" s="4"/>
      <c r="DH1304" s="4"/>
      <c r="DI1304" s="4"/>
      <c r="DJ1304" s="4"/>
      <c r="DK1304" s="4"/>
      <c r="DL1304" s="4"/>
      <c r="DM1304" s="4"/>
      <c r="DN1304" s="4"/>
      <c r="DO1304" s="4"/>
      <c r="DP1304" s="4"/>
      <c r="DQ1304" s="4"/>
      <c r="DR1304" s="4"/>
      <c r="DS1304" s="4"/>
      <c r="DT1304" s="4"/>
      <c r="DU1304" s="4"/>
      <c r="DV1304" s="4"/>
      <c r="DW1304" s="4"/>
      <c r="DX1304" s="4"/>
      <c r="DY1304" s="4"/>
      <c r="DZ1304" s="4"/>
      <c r="EA1304" s="4"/>
      <c r="EB1304" s="4"/>
      <c r="EC1304" s="4"/>
      <c r="ED1304" s="4"/>
      <c r="EE1304" s="4"/>
      <c r="EF1304" s="4"/>
      <c r="EG1304" s="4"/>
      <c r="EH1304" s="4"/>
      <c r="EI1304" s="4"/>
    </row>
    <row r="1305" spans="1:139" hidden="1" x14ac:dyDescent="0.2">
      <c r="A1305" t="str">
        <f>VLOOKUP(B1305,Sheet1!$A$1:$B$18,2,FALSE)</f>
        <v>South Island</v>
      </c>
      <c r="B1305" t="str">
        <f>LEFT(D1305,3)</f>
        <v>OTG</v>
      </c>
      <c r="C1305" s="2">
        <v>1275</v>
      </c>
      <c r="D1305" s="3" t="str">
        <f>HYPERLINK("https://sitebase.nzcomms.co.nz/spm/spmnominalview/OTG-072-005/","OTG-072-005")</f>
        <v>OTG-072-005</v>
      </c>
      <c r="E1305" s="4"/>
      <c r="F1305" s="4"/>
      <c r="G1305" s="4"/>
      <c r="H1305" s="4" t="s">
        <v>3865</v>
      </c>
      <c r="I1305" s="4"/>
      <c r="J1305" s="4" t="s">
        <v>196</v>
      </c>
      <c r="K1305" s="4"/>
      <c r="L1305" s="4"/>
      <c r="M1305" s="4"/>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c r="AT1305" s="4"/>
      <c r="AU1305" s="4"/>
      <c r="AV1305" s="4"/>
      <c r="AW1305" s="4"/>
      <c r="AX1305" s="4"/>
      <c r="AY1305" s="4"/>
      <c r="AZ1305" s="4"/>
      <c r="BA1305" s="4"/>
      <c r="BB1305" s="4"/>
      <c r="BC1305" s="4"/>
      <c r="BD1305" s="4"/>
      <c r="BE1305" s="4"/>
      <c r="BF1305" s="4"/>
      <c r="BG1305" s="4"/>
      <c r="BH1305" s="4"/>
      <c r="BI1305" s="4"/>
      <c r="BJ1305" s="4"/>
      <c r="BK1305" s="4"/>
      <c r="BL1305" s="4"/>
      <c r="BM1305" s="4"/>
      <c r="BN1305" s="4"/>
      <c r="BO1305" s="4"/>
      <c r="BP1305" s="4"/>
      <c r="BQ1305" s="4"/>
      <c r="BR1305" s="4"/>
      <c r="BS1305" s="4"/>
      <c r="BT1305" s="4"/>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4"/>
      <c r="CW1305" s="4"/>
      <c r="CX1305" s="4"/>
      <c r="CY1305" s="4"/>
      <c r="CZ1305" s="4"/>
      <c r="DA1305" s="4"/>
      <c r="DB1305" s="4"/>
      <c r="DC1305" s="4"/>
      <c r="DD1305" s="4"/>
      <c r="DE1305" s="4"/>
      <c r="DF1305" s="4"/>
      <c r="DG1305" s="4"/>
      <c r="DH1305" s="4"/>
      <c r="DI1305" s="4"/>
      <c r="DJ1305" s="4"/>
      <c r="DK1305" s="4"/>
      <c r="DL1305" s="4"/>
      <c r="DM1305" s="4"/>
      <c r="DN1305" s="4"/>
      <c r="DO1305" s="4"/>
      <c r="DP1305" s="4"/>
      <c r="DQ1305" s="4"/>
      <c r="DR1305" s="4"/>
      <c r="DS1305" s="4"/>
      <c r="DT1305" s="4"/>
      <c r="DU1305" s="4"/>
      <c r="DV1305" s="4"/>
      <c r="DW1305" s="4"/>
      <c r="DX1305" s="4"/>
      <c r="DY1305" s="4"/>
      <c r="DZ1305" s="4"/>
      <c r="EA1305" s="4"/>
      <c r="EB1305" s="4"/>
      <c r="EC1305" s="4"/>
      <c r="ED1305" s="4"/>
      <c r="EE1305" s="4"/>
      <c r="EF1305" s="4"/>
      <c r="EG1305" s="4"/>
      <c r="EH1305" s="4"/>
      <c r="EI1305" s="4"/>
    </row>
    <row r="1306" spans="1:139" hidden="1" x14ac:dyDescent="0.2">
      <c r="A1306" t="str">
        <f>VLOOKUP(B1306,Sheet1!$A$1:$B$18,2,FALSE)</f>
        <v>South Island</v>
      </c>
      <c r="B1306" t="str">
        <f>LEFT(D1306,3)</f>
        <v>OTG</v>
      </c>
      <c r="C1306" s="2">
        <v>1276</v>
      </c>
      <c r="D1306" s="3" t="str">
        <f>HYPERLINK("https://sitebase.nzcomms.co.nz/spm/spmnominalview/OTG-072-006/","OTG-072-006")</f>
        <v>OTG-072-006</v>
      </c>
      <c r="E1306" s="4" t="s">
        <v>3874</v>
      </c>
      <c r="F1306" s="4"/>
      <c r="G1306" s="4"/>
      <c r="H1306" s="4" t="s">
        <v>3865</v>
      </c>
      <c r="I1306" s="4"/>
      <c r="J1306" s="4" t="s">
        <v>722</v>
      </c>
      <c r="K1306" s="4"/>
      <c r="L1306" s="4"/>
      <c r="M1306" s="4"/>
      <c r="N1306" s="4"/>
      <c r="O1306" s="4"/>
      <c r="P1306" s="4"/>
      <c r="Q1306" s="4"/>
      <c r="R1306" s="4"/>
      <c r="S1306" s="4"/>
      <c r="T1306" s="4"/>
      <c r="U1306" s="4"/>
      <c r="V1306" s="4"/>
      <c r="W1306" s="4"/>
      <c r="X1306" s="4"/>
      <c r="Y1306" s="4"/>
      <c r="Z1306" s="4"/>
      <c r="AA1306" s="4"/>
      <c r="AB1306" s="4"/>
      <c r="AC1306" s="4"/>
      <c r="AD1306" s="4"/>
      <c r="AE1306" s="4"/>
      <c r="AF1306" s="4"/>
      <c r="AG1306" s="4" t="b">
        <v>0</v>
      </c>
      <c r="AH1306" s="4"/>
      <c r="AI1306" s="4"/>
      <c r="AJ1306" s="4"/>
      <c r="AK1306" s="4"/>
      <c r="AL1306" s="4"/>
      <c r="AM1306" s="4"/>
      <c r="AN1306" s="4"/>
      <c r="AO1306" s="4"/>
      <c r="AP1306" s="4"/>
      <c r="AQ1306" s="4"/>
      <c r="AR1306" s="4"/>
      <c r="AS1306" s="4"/>
      <c r="AT1306" s="4"/>
      <c r="AU1306" s="4"/>
      <c r="AV1306" s="4"/>
      <c r="AW1306" s="4"/>
      <c r="AX1306" s="4"/>
      <c r="AY1306" s="4"/>
      <c r="AZ1306" s="4"/>
      <c r="BA1306" s="4"/>
      <c r="BB1306" s="4"/>
      <c r="BC1306" s="4"/>
      <c r="BD1306" s="4"/>
      <c r="BE1306" s="4"/>
      <c r="BF1306" s="4"/>
      <c r="BG1306" s="4"/>
      <c r="BH1306" s="4"/>
      <c r="BI1306" s="4"/>
      <c r="BJ1306" s="4"/>
      <c r="BK1306" s="4"/>
      <c r="BL1306" s="4"/>
      <c r="BM1306" s="4"/>
      <c r="BN1306" s="4"/>
      <c r="BO1306" s="4"/>
      <c r="BP1306" s="4"/>
      <c r="BQ1306" s="4"/>
      <c r="BR1306" s="4"/>
      <c r="BS1306" s="4"/>
      <c r="BT1306" s="4"/>
      <c r="BU1306" s="4"/>
      <c r="BV1306" s="4"/>
      <c r="BW1306" s="4"/>
      <c r="BX1306" s="4"/>
      <c r="BY1306" s="4"/>
      <c r="BZ1306" s="4"/>
      <c r="CA1306" s="4"/>
      <c r="CB1306" s="4"/>
      <c r="CC1306" s="4"/>
      <c r="CD1306" s="4"/>
      <c r="CE1306" s="4"/>
      <c r="CF1306" s="4"/>
      <c r="CG1306" s="4"/>
      <c r="CH1306" s="4"/>
      <c r="CI1306" s="4"/>
      <c r="CJ1306" s="4"/>
      <c r="CK1306" s="4"/>
      <c r="CL1306" s="4"/>
      <c r="CM1306" s="4"/>
      <c r="CN1306" s="4"/>
      <c r="CO1306" s="4"/>
      <c r="CP1306" s="4"/>
      <c r="CQ1306" s="4"/>
      <c r="CR1306" s="4"/>
      <c r="CS1306" s="4"/>
      <c r="CT1306" s="4"/>
      <c r="CU1306" s="4"/>
      <c r="CV1306" s="4"/>
      <c r="CW1306" s="4"/>
      <c r="CX1306" s="4"/>
      <c r="CY1306" s="4"/>
      <c r="CZ1306" s="4"/>
      <c r="DA1306" s="4"/>
      <c r="DB1306" s="4"/>
      <c r="DC1306" s="4"/>
      <c r="DD1306" s="4"/>
      <c r="DE1306" s="4"/>
      <c r="DF1306" s="4"/>
      <c r="DG1306" s="4"/>
      <c r="DH1306" s="4"/>
      <c r="DI1306" s="4"/>
      <c r="DJ1306" s="4"/>
      <c r="DK1306" s="4"/>
      <c r="DL1306" s="4"/>
      <c r="DM1306" s="4"/>
      <c r="DN1306" s="4"/>
      <c r="DO1306" s="4"/>
      <c r="DP1306" s="4"/>
      <c r="DQ1306" s="4"/>
      <c r="DR1306" s="4"/>
      <c r="DS1306" s="4"/>
      <c r="DT1306" s="4"/>
      <c r="DU1306" s="4"/>
      <c r="DV1306" s="4"/>
      <c r="DW1306" s="4"/>
      <c r="DX1306" s="4"/>
      <c r="DY1306" s="4"/>
      <c r="DZ1306" s="4"/>
      <c r="EA1306" s="4"/>
      <c r="EB1306" s="4"/>
      <c r="EC1306" s="4"/>
      <c r="ED1306" s="4"/>
      <c r="EE1306" s="4"/>
      <c r="EF1306" s="4"/>
      <c r="EG1306" s="4"/>
      <c r="EH1306" s="4"/>
      <c r="EI1306" s="4"/>
    </row>
    <row r="1307" spans="1:139" hidden="1" x14ac:dyDescent="0.2">
      <c r="A1307" t="str">
        <f>VLOOKUP(B1307,Sheet1!$A$1:$B$18,2,FALSE)</f>
        <v>South Island</v>
      </c>
      <c r="B1307" t="str">
        <f>LEFT(D1307,3)</f>
        <v>OTG</v>
      </c>
      <c r="C1307" s="2">
        <v>1277</v>
      </c>
      <c r="D1307" s="3" t="str">
        <f>HYPERLINK("https://sitebase.nzcomms.co.nz/spm/spmnominalview/OTG-072-007/","OTG-072-007")</f>
        <v>OTG-072-007</v>
      </c>
      <c r="E1307" s="4" t="s">
        <v>3875</v>
      </c>
      <c r="F1307" s="4"/>
      <c r="G1307" s="4"/>
      <c r="H1307" s="4" t="s">
        <v>3865</v>
      </c>
      <c r="I1307" s="4"/>
      <c r="J1307" s="4" t="s">
        <v>722</v>
      </c>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c r="AT1307" s="4"/>
      <c r="AU1307" s="4"/>
      <c r="AV1307" s="4"/>
      <c r="AW1307" s="4"/>
      <c r="AX1307" s="4"/>
      <c r="AY1307" s="4"/>
      <c r="AZ1307" s="4"/>
      <c r="BA1307" s="4"/>
      <c r="BB1307" s="4"/>
      <c r="BC1307" s="4"/>
      <c r="BD1307" s="4"/>
      <c r="BE1307" s="4"/>
      <c r="BF1307" s="4"/>
      <c r="BG1307" s="4"/>
      <c r="BH1307" s="4"/>
      <c r="BI1307" s="4"/>
      <c r="BJ1307" s="4"/>
      <c r="BK1307" s="4"/>
      <c r="BL1307" s="4"/>
      <c r="BM1307" s="4"/>
      <c r="BN1307" s="4"/>
      <c r="BO1307" s="4"/>
      <c r="BP1307" s="4"/>
      <c r="BQ1307" s="4"/>
      <c r="BR1307" s="4"/>
      <c r="BS1307" s="4"/>
      <c r="BT1307" s="4"/>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t="s">
        <v>3876</v>
      </c>
      <c r="CQ1307" s="4"/>
      <c r="CR1307" s="4"/>
      <c r="CS1307" s="4"/>
      <c r="CT1307" s="4"/>
      <c r="CU1307" s="4"/>
      <c r="CV1307" s="4"/>
      <c r="CW1307" s="4"/>
      <c r="CX1307" s="4"/>
      <c r="CY1307" s="4"/>
      <c r="CZ1307" s="4"/>
      <c r="DA1307" s="4"/>
      <c r="DB1307" s="4"/>
      <c r="DC1307" s="4"/>
      <c r="DD1307" s="4"/>
      <c r="DE1307" s="4"/>
      <c r="DF1307" s="4"/>
      <c r="DG1307" s="4"/>
      <c r="DH1307" s="4"/>
      <c r="DI1307" s="4"/>
      <c r="DJ1307" s="4"/>
      <c r="DK1307" s="4"/>
      <c r="DL1307" s="4"/>
      <c r="DM1307" s="4"/>
      <c r="DN1307" s="4"/>
      <c r="DO1307" s="4"/>
      <c r="DP1307" s="4"/>
      <c r="DQ1307" s="4"/>
      <c r="DR1307" s="4"/>
      <c r="DS1307" s="4"/>
      <c r="DT1307" s="4"/>
      <c r="DU1307" s="4"/>
      <c r="DV1307" s="4"/>
      <c r="DW1307" s="4"/>
      <c r="DX1307" s="4"/>
      <c r="DY1307" s="4"/>
      <c r="DZ1307" s="4"/>
      <c r="EA1307" s="4"/>
      <c r="EB1307" s="4"/>
      <c r="EC1307" s="4"/>
      <c r="ED1307" s="4"/>
      <c r="EE1307" s="4"/>
      <c r="EF1307" s="4"/>
      <c r="EG1307" s="4"/>
      <c r="EH1307" s="4"/>
      <c r="EI1307" s="4"/>
    </row>
    <row r="1308" spans="1:139" hidden="1" x14ac:dyDescent="0.2">
      <c r="A1308" t="str">
        <f>VLOOKUP(B1308,Sheet1!$A$1:$B$18,2,FALSE)</f>
        <v>South Island</v>
      </c>
      <c r="B1308" t="str">
        <f>LEFT(D1308,3)</f>
        <v>STH</v>
      </c>
      <c r="C1308" s="2">
        <v>1279</v>
      </c>
      <c r="D1308" s="3" t="str">
        <f>HYPERLINK("https://sitebase.nzcomms.co.nz/spm/spmnominalview/STH-073-002/","STH-073-002")</f>
        <v>STH-073-002</v>
      </c>
      <c r="E1308" s="4"/>
      <c r="F1308" s="4"/>
      <c r="G1308" s="4"/>
      <c r="H1308" s="4" t="s">
        <v>3879</v>
      </c>
      <c r="I1308" s="4"/>
      <c r="J1308" s="4" t="s">
        <v>196</v>
      </c>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c r="AT1308" s="4"/>
      <c r="AU1308" s="4"/>
      <c r="AV1308" s="4"/>
      <c r="AW1308" s="4"/>
      <c r="AX1308" s="4"/>
      <c r="AY1308" s="4"/>
      <c r="AZ1308" s="4"/>
      <c r="BA1308" s="4"/>
      <c r="BB1308" s="4"/>
      <c r="BC1308" s="4"/>
      <c r="BD1308" s="4"/>
      <c r="BE1308" s="4"/>
      <c r="BF1308" s="4"/>
      <c r="BG1308" s="4"/>
      <c r="BH1308" s="4"/>
      <c r="BI1308" s="4"/>
      <c r="BJ1308" s="4"/>
      <c r="BK1308" s="4"/>
      <c r="BL1308" s="4"/>
      <c r="BM1308" s="4"/>
      <c r="BN1308" s="4"/>
      <c r="BO1308" s="4"/>
      <c r="BP1308" s="4"/>
      <c r="BQ1308" s="4"/>
      <c r="BR1308" s="4"/>
      <c r="BS1308" s="4"/>
      <c r="BT1308" s="4"/>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4"/>
      <c r="CR1308" s="4"/>
      <c r="CS1308" s="4"/>
      <c r="CT1308" s="4"/>
      <c r="CU1308" s="4"/>
      <c r="CV1308" s="4"/>
      <c r="CW1308" s="4"/>
      <c r="CX1308" s="4"/>
      <c r="CY1308" s="4"/>
      <c r="CZ1308" s="4"/>
      <c r="DA1308" s="4"/>
      <c r="DB1308" s="4"/>
      <c r="DC1308" s="4"/>
      <c r="DD1308" s="4"/>
      <c r="DE1308" s="4"/>
      <c r="DF1308" s="4"/>
      <c r="DG1308" s="4"/>
      <c r="DH1308" s="4"/>
      <c r="DI1308" s="4"/>
      <c r="DJ1308" s="4"/>
      <c r="DK1308" s="4"/>
      <c r="DL1308" s="4"/>
      <c r="DM1308" s="4"/>
      <c r="DN1308" s="4"/>
      <c r="DO1308" s="4"/>
      <c r="DP1308" s="4"/>
      <c r="DQ1308" s="4"/>
      <c r="DR1308" s="4"/>
      <c r="DS1308" s="4"/>
      <c r="DT1308" s="4"/>
      <c r="DU1308" s="4"/>
      <c r="DV1308" s="4"/>
      <c r="DW1308" s="4"/>
      <c r="DX1308" s="4"/>
      <c r="DY1308" s="4"/>
      <c r="DZ1308" s="4"/>
      <c r="EA1308" s="4"/>
      <c r="EB1308" s="4"/>
      <c r="EC1308" s="4"/>
      <c r="ED1308" s="4"/>
      <c r="EE1308" s="4"/>
      <c r="EF1308" s="4"/>
      <c r="EG1308" s="4"/>
      <c r="EH1308" s="4"/>
      <c r="EI1308" s="4"/>
    </row>
    <row r="1309" spans="1:139" hidden="1" x14ac:dyDescent="0.2">
      <c r="A1309" t="str">
        <f>VLOOKUP(B1309,Sheet1!$A$1:$B$18,2,FALSE)</f>
        <v>South Island</v>
      </c>
      <c r="B1309" t="str">
        <f>LEFT(D1309,3)</f>
        <v>STH</v>
      </c>
      <c r="C1309" s="2">
        <v>1280</v>
      </c>
      <c r="D1309" s="3" t="str">
        <f>HYPERLINK("https://sitebase.nzcomms.co.nz/spm/spmnominalview/STH-073-003/","STH-073-003")</f>
        <v>STH-073-003</v>
      </c>
      <c r="E1309" s="4"/>
      <c r="F1309" s="4"/>
      <c r="G1309" s="4"/>
      <c r="H1309" s="4" t="s">
        <v>3879</v>
      </c>
      <c r="I1309" s="4"/>
      <c r="J1309" s="4" t="s">
        <v>196</v>
      </c>
      <c r="K1309" s="4"/>
      <c r="L1309" s="4"/>
      <c r="M1309" s="4"/>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c r="AT1309" s="4"/>
      <c r="AU1309" s="4"/>
      <c r="AV1309" s="4"/>
      <c r="AW1309" s="4"/>
      <c r="AX1309" s="4"/>
      <c r="AY1309" s="4"/>
      <c r="AZ1309" s="4"/>
      <c r="BA1309" s="4"/>
      <c r="BB1309" s="4"/>
      <c r="BC1309" s="4"/>
      <c r="BD1309" s="4"/>
      <c r="BE1309" s="4"/>
      <c r="BF1309" s="4"/>
      <c r="BG1309" s="4"/>
      <c r="BH1309" s="4"/>
      <c r="BI1309" s="4"/>
      <c r="BJ1309" s="4"/>
      <c r="BK1309" s="4"/>
      <c r="BL1309" s="4"/>
      <c r="BM1309" s="4"/>
      <c r="BN1309" s="4"/>
      <c r="BO1309" s="4"/>
      <c r="BP1309" s="4"/>
      <c r="BQ1309" s="4"/>
      <c r="BR1309" s="4"/>
      <c r="BS1309" s="4"/>
      <c r="BT1309" s="4"/>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4"/>
      <c r="CW1309" s="4"/>
      <c r="CX1309" s="4"/>
      <c r="CY1309" s="4"/>
      <c r="CZ1309" s="4"/>
      <c r="DA1309" s="4"/>
      <c r="DB1309" s="4"/>
      <c r="DC1309" s="4"/>
      <c r="DD1309" s="4"/>
      <c r="DE1309" s="4"/>
      <c r="DF1309" s="4"/>
      <c r="DG1309" s="4"/>
      <c r="DH1309" s="4"/>
      <c r="DI1309" s="4"/>
      <c r="DJ1309" s="4"/>
      <c r="DK1309" s="4"/>
      <c r="DL1309" s="4"/>
      <c r="DM1309" s="4"/>
      <c r="DN1309" s="4"/>
      <c r="DO1309" s="4"/>
      <c r="DP1309" s="4"/>
      <c r="DQ1309" s="4"/>
      <c r="DR1309" s="4"/>
      <c r="DS1309" s="4"/>
      <c r="DT1309" s="4"/>
      <c r="DU1309" s="4"/>
      <c r="DV1309" s="4"/>
      <c r="DW1309" s="4"/>
      <c r="DX1309" s="4"/>
      <c r="DY1309" s="4"/>
      <c r="DZ1309" s="4"/>
      <c r="EA1309" s="4"/>
      <c r="EB1309" s="4"/>
      <c r="EC1309" s="4"/>
      <c r="ED1309" s="4"/>
      <c r="EE1309" s="4"/>
      <c r="EF1309" s="4"/>
      <c r="EG1309" s="4"/>
      <c r="EH1309" s="4"/>
      <c r="EI1309" s="4"/>
    </row>
    <row r="1310" spans="1:139" hidden="1" x14ac:dyDescent="0.2">
      <c r="A1310" t="str">
        <f>VLOOKUP(B1310,Sheet1!$A$1:$B$18,2,FALSE)</f>
        <v>South Island</v>
      </c>
      <c r="B1310" t="str">
        <f>LEFT(D1310,3)</f>
        <v>STH</v>
      </c>
      <c r="C1310" s="2">
        <v>1281</v>
      </c>
      <c r="D1310" s="3" t="str">
        <f>HYPERLINK("https://sitebase.nzcomms.co.nz/spm/spmnominalview/STH-073-004/","STH-073-004")</f>
        <v>STH-073-004</v>
      </c>
      <c r="E1310" s="4"/>
      <c r="F1310" s="4"/>
      <c r="G1310" s="4"/>
      <c r="H1310" s="4" t="s">
        <v>3879</v>
      </c>
      <c r="I1310" s="4"/>
      <c r="J1310" s="4" t="s">
        <v>196</v>
      </c>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c r="AT1310" s="4"/>
      <c r="AU1310" s="4"/>
      <c r="AV1310" s="4"/>
      <c r="AW1310" s="4"/>
      <c r="AX1310" s="4"/>
      <c r="AY1310" s="4"/>
      <c r="AZ1310" s="4"/>
      <c r="BA1310" s="4"/>
      <c r="BB1310" s="4"/>
      <c r="BC1310" s="4"/>
      <c r="BD1310" s="4"/>
      <c r="BE1310" s="4"/>
      <c r="BF1310" s="4"/>
      <c r="BG1310" s="4"/>
      <c r="BH1310" s="4"/>
      <c r="BI1310" s="4"/>
      <c r="BJ1310" s="4"/>
      <c r="BK1310" s="4"/>
      <c r="BL1310" s="4"/>
      <c r="BM1310" s="4"/>
      <c r="BN1310" s="4"/>
      <c r="BO1310" s="4"/>
      <c r="BP1310" s="4"/>
      <c r="BQ1310" s="4"/>
      <c r="BR1310" s="4"/>
      <c r="BS1310" s="4"/>
      <c r="BT1310" s="4"/>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4"/>
      <c r="CW1310" s="4"/>
      <c r="CX1310" s="4"/>
      <c r="CY1310" s="4"/>
      <c r="CZ1310" s="4"/>
      <c r="DA1310" s="4"/>
      <c r="DB1310" s="4"/>
      <c r="DC1310" s="4"/>
      <c r="DD1310" s="4"/>
      <c r="DE1310" s="4"/>
      <c r="DF1310" s="4"/>
      <c r="DG1310" s="4"/>
      <c r="DH1310" s="4"/>
      <c r="DI1310" s="4"/>
      <c r="DJ1310" s="4"/>
      <c r="DK1310" s="4"/>
      <c r="DL1310" s="4"/>
      <c r="DM1310" s="4"/>
      <c r="DN1310" s="4"/>
      <c r="DO1310" s="4"/>
      <c r="DP1310" s="4"/>
      <c r="DQ1310" s="4"/>
      <c r="DR1310" s="4"/>
      <c r="DS1310" s="4"/>
      <c r="DT1310" s="4"/>
      <c r="DU1310" s="4"/>
      <c r="DV1310" s="4"/>
      <c r="DW1310" s="4"/>
      <c r="DX1310" s="4"/>
      <c r="DY1310" s="4"/>
      <c r="DZ1310" s="4"/>
      <c r="EA1310" s="4"/>
      <c r="EB1310" s="4"/>
      <c r="EC1310" s="4"/>
      <c r="ED1310" s="4"/>
      <c r="EE1310" s="4"/>
      <c r="EF1310" s="4"/>
      <c r="EG1310" s="4"/>
      <c r="EH1310" s="4"/>
      <c r="EI1310" s="4"/>
    </row>
    <row r="1311" spans="1:139" hidden="1" x14ac:dyDescent="0.2">
      <c r="A1311" t="str">
        <f>VLOOKUP(B1311,Sheet1!$A$1:$B$18,2,FALSE)</f>
        <v>South Island</v>
      </c>
      <c r="B1311" t="str">
        <f>LEFT(D1311,3)</f>
        <v>STH</v>
      </c>
      <c r="C1311" s="2">
        <v>1282</v>
      </c>
      <c r="D1311" s="3" t="str">
        <f>HYPERLINK("https://sitebase.nzcomms.co.nz/spm/spmnominalview/STH-073-005/","STH-073-005")</f>
        <v>STH-073-005</v>
      </c>
      <c r="E1311" s="4"/>
      <c r="F1311" s="4"/>
      <c r="G1311" s="4"/>
      <c r="H1311" s="4" t="s">
        <v>3879</v>
      </c>
      <c r="I1311" s="4"/>
      <c r="J1311" s="4" t="s">
        <v>196</v>
      </c>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c r="AT1311" s="4"/>
      <c r="AU1311" s="4"/>
      <c r="AV1311" s="4"/>
      <c r="AW1311" s="4"/>
      <c r="AX1311" s="4"/>
      <c r="AY1311" s="4"/>
      <c r="AZ1311" s="4"/>
      <c r="BA1311" s="4"/>
      <c r="BB1311" s="4"/>
      <c r="BC1311" s="4"/>
      <c r="BD1311" s="4"/>
      <c r="BE1311" s="4"/>
      <c r="BF1311" s="4"/>
      <c r="BG1311" s="4"/>
      <c r="BH1311" s="4"/>
      <c r="BI1311" s="4"/>
      <c r="BJ1311" s="4"/>
      <c r="BK1311" s="4"/>
      <c r="BL1311" s="4"/>
      <c r="BM1311" s="4"/>
      <c r="BN1311" s="4"/>
      <c r="BO1311" s="4"/>
      <c r="BP1311" s="4"/>
      <c r="BQ1311" s="4"/>
      <c r="BR1311" s="4"/>
      <c r="BS1311" s="4"/>
      <c r="BT1311" s="4"/>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4"/>
      <c r="CW1311" s="4"/>
      <c r="CX1311" s="4"/>
      <c r="CY1311" s="4"/>
      <c r="CZ1311" s="4"/>
      <c r="DA1311" s="4"/>
      <c r="DB1311" s="4"/>
      <c r="DC1311" s="4"/>
      <c r="DD1311" s="4"/>
      <c r="DE1311" s="4"/>
      <c r="DF1311" s="4"/>
      <c r="DG1311" s="4"/>
      <c r="DH1311" s="4"/>
      <c r="DI1311" s="4"/>
      <c r="DJ1311" s="4"/>
      <c r="DK1311" s="4"/>
      <c r="DL1311" s="4"/>
      <c r="DM1311" s="4"/>
      <c r="DN1311" s="4"/>
      <c r="DO1311" s="4"/>
      <c r="DP1311" s="4"/>
      <c r="DQ1311" s="4"/>
      <c r="DR1311" s="4"/>
      <c r="DS1311" s="4"/>
      <c r="DT1311" s="4"/>
      <c r="DU1311" s="4"/>
      <c r="DV1311" s="4"/>
      <c r="DW1311" s="4"/>
      <c r="DX1311" s="4"/>
      <c r="DY1311" s="4"/>
      <c r="DZ1311" s="4"/>
      <c r="EA1311" s="4"/>
      <c r="EB1311" s="4"/>
      <c r="EC1311" s="4"/>
      <c r="ED1311" s="4"/>
      <c r="EE1311" s="4"/>
      <c r="EF1311" s="4"/>
      <c r="EG1311" s="4"/>
      <c r="EH1311" s="4"/>
      <c r="EI1311" s="4"/>
    </row>
    <row r="1312" spans="1:139" hidden="1" x14ac:dyDescent="0.2">
      <c r="A1312" t="str">
        <f>VLOOKUP(B1312,Sheet1!$A$1:$B$18,2,FALSE)</f>
        <v>South Island</v>
      </c>
      <c r="B1312" t="str">
        <f>LEFT(D1312,3)</f>
        <v>STH</v>
      </c>
      <c r="C1312" s="2">
        <v>1283</v>
      </c>
      <c r="D1312" s="3" t="str">
        <f>HYPERLINK("https://sitebase.nzcomms.co.nz/spm/spmnominalview/STH-073-006/","STH-073-006")</f>
        <v>STH-073-006</v>
      </c>
      <c r="E1312" s="4"/>
      <c r="F1312" s="4"/>
      <c r="G1312" s="4"/>
      <c r="H1312" s="4" t="s">
        <v>3879</v>
      </c>
      <c r="I1312" s="4"/>
      <c r="J1312" s="4" t="s">
        <v>196</v>
      </c>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c r="AT1312" s="4"/>
      <c r="AU1312" s="4"/>
      <c r="AV1312" s="4"/>
      <c r="AW1312" s="4"/>
      <c r="AX1312" s="4"/>
      <c r="AY1312" s="4"/>
      <c r="AZ1312" s="4"/>
      <c r="BA1312" s="4"/>
      <c r="BB1312" s="4"/>
      <c r="BC1312" s="4"/>
      <c r="BD1312" s="4"/>
      <c r="BE1312" s="4"/>
      <c r="BF1312" s="4"/>
      <c r="BG1312" s="4"/>
      <c r="BH1312" s="4"/>
      <c r="BI1312" s="4"/>
      <c r="BJ1312" s="4"/>
      <c r="BK1312" s="4"/>
      <c r="BL1312" s="4"/>
      <c r="BM1312" s="4"/>
      <c r="BN1312" s="4"/>
      <c r="BO1312" s="4"/>
      <c r="BP1312" s="4"/>
      <c r="BQ1312" s="4"/>
      <c r="BR1312" s="4"/>
      <c r="BS1312" s="4"/>
      <c r="BT1312" s="4"/>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4"/>
      <c r="CU1312" s="4"/>
      <c r="CV1312" s="4"/>
      <c r="CW1312" s="4"/>
      <c r="CX1312" s="4"/>
      <c r="CY1312" s="4"/>
      <c r="CZ1312" s="4"/>
      <c r="DA1312" s="4"/>
      <c r="DB1312" s="4"/>
      <c r="DC1312" s="4"/>
      <c r="DD1312" s="4"/>
      <c r="DE1312" s="4"/>
      <c r="DF1312" s="4"/>
      <c r="DG1312" s="4"/>
      <c r="DH1312" s="4"/>
      <c r="DI1312" s="4"/>
      <c r="DJ1312" s="4"/>
      <c r="DK1312" s="4"/>
      <c r="DL1312" s="4"/>
      <c r="DM1312" s="4"/>
      <c r="DN1312" s="4"/>
      <c r="DO1312" s="4"/>
      <c r="DP1312" s="4"/>
      <c r="DQ1312" s="4"/>
      <c r="DR1312" s="4"/>
      <c r="DS1312" s="4"/>
      <c r="DT1312" s="4"/>
      <c r="DU1312" s="4"/>
      <c r="DV1312" s="4"/>
      <c r="DW1312" s="4"/>
      <c r="DX1312" s="4"/>
      <c r="DY1312" s="4"/>
      <c r="DZ1312" s="4"/>
      <c r="EA1312" s="4"/>
      <c r="EB1312" s="4"/>
      <c r="EC1312" s="4"/>
      <c r="ED1312" s="4"/>
      <c r="EE1312" s="4"/>
      <c r="EF1312" s="4"/>
      <c r="EG1312" s="4"/>
      <c r="EH1312" s="4"/>
      <c r="EI1312" s="4"/>
    </row>
    <row r="1313" spans="1:139" hidden="1" x14ac:dyDescent="0.2">
      <c r="A1313" t="str">
        <f>VLOOKUP(B1313,Sheet1!$A$1:$B$18,2,FALSE)</f>
        <v>South Island</v>
      </c>
      <c r="B1313" t="str">
        <f>LEFT(D1313,3)</f>
        <v>STH</v>
      </c>
      <c r="C1313" s="2">
        <v>1284</v>
      </c>
      <c r="D1313" s="3" t="str">
        <f>HYPERLINK("https://sitebase.nzcomms.co.nz/spm/spmnominalview/STH-073-007/","STH-073-007")</f>
        <v>STH-073-007</v>
      </c>
      <c r="E1313" s="4"/>
      <c r="F1313" s="4"/>
      <c r="G1313" s="4"/>
      <c r="H1313" s="4" t="s">
        <v>3879</v>
      </c>
      <c r="I1313" s="4"/>
      <c r="J1313" s="4" t="s">
        <v>196</v>
      </c>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c r="AT1313" s="4"/>
      <c r="AU1313" s="4"/>
      <c r="AV1313" s="4"/>
      <c r="AW1313" s="4"/>
      <c r="AX1313" s="4"/>
      <c r="AY1313" s="4"/>
      <c r="AZ1313" s="4"/>
      <c r="BA1313" s="4"/>
      <c r="BB1313" s="4"/>
      <c r="BC1313" s="4"/>
      <c r="BD1313" s="4"/>
      <c r="BE1313" s="4"/>
      <c r="BF1313" s="4"/>
      <c r="BG1313" s="4"/>
      <c r="BH1313" s="4"/>
      <c r="BI1313" s="4"/>
      <c r="BJ1313" s="4"/>
      <c r="BK1313" s="4"/>
      <c r="BL1313" s="4"/>
      <c r="BM1313" s="4"/>
      <c r="BN1313" s="4"/>
      <c r="BO1313" s="4"/>
      <c r="BP1313" s="4"/>
      <c r="BQ1313" s="4"/>
      <c r="BR1313" s="4"/>
      <c r="BS1313" s="4"/>
      <c r="BT1313" s="4"/>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4"/>
      <c r="CW1313" s="4"/>
      <c r="CX1313" s="4"/>
      <c r="CY1313" s="4"/>
      <c r="CZ1313" s="4"/>
      <c r="DA1313" s="4"/>
      <c r="DB1313" s="4"/>
      <c r="DC1313" s="4"/>
      <c r="DD1313" s="4"/>
      <c r="DE1313" s="4"/>
      <c r="DF1313" s="4"/>
      <c r="DG1313" s="4"/>
      <c r="DH1313" s="4"/>
      <c r="DI1313" s="4"/>
      <c r="DJ1313" s="4"/>
      <c r="DK1313" s="4"/>
      <c r="DL1313" s="4"/>
      <c r="DM1313" s="4"/>
      <c r="DN1313" s="4"/>
      <c r="DO1313" s="4"/>
      <c r="DP1313" s="4"/>
      <c r="DQ1313" s="4"/>
      <c r="DR1313" s="4"/>
      <c r="DS1313" s="4"/>
      <c r="DT1313" s="4"/>
      <c r="DU1313" s="4"/>
      <c r="DV1313" s="4"/>
      <c r="DW1313" s="4"/>
      <c r="DX1313" s="4"/>
      <c r="DY1313" s="4"/>
      <c r="DZ1313" s="4"/>
      <c r="EA1313" s="4"/>
      <c r="EB1313" s="4"/>
      <c r="EC1313" s="4"/>
      <c r="ED1313" s="4"/>
      <c r="EE1313" s="4"/>
      <c r="EF1313" s="4"/>
      <c r="EG1313" s="4"/>
      <c r="EH1313" s="4"/>
      <c r="EI1313" s="4"/>
    </row>
    <row r="1314" spans="1:139" hidden="1" x14ac:dyDescent="0.2">
      <c r="A1314" t="str">
        <f>VLOOKUP(B1314,Sheet1!$A$1:$B$18,2,FALSE)</f>
        <v>South Island</v>
      </c>
      <c r="B1314" t="str">
        <f>LEFT(D1314,3)</f>
        <v>STH</v>
      </c>
      <c r="C1314" s="2">
        <v>1285</v>
      </c>
      <c r="D1314" s="3" t="str">
        <f>HYPERLINK("https://sitebase.nzcomms.co.nz/spm/spmnominalview/STH-073-008/","STH-073-008")</f>
        <v>STH-073-008</v>
      </c>
      <c r="E1314" s="4"/>
      <c r="F1314" s="4"/>
      <c r="G1314" s="4"/>
      <c r="H1314" s="4" t="s">
        <v>3879</v>
      </c>
      <c r="I1314" s="4"/>
      <c r="J1314" s="4" t="s">
        <v>196</v>
      </c>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c r="AT1314" s="4"/>
      <c r="AU1314" s="4"/>
      <c r="AV1314" s="4"/>
      <c r="AW1314" s="4"/>
      <c r="AX1314" s="4"/>
      <c r="AY1314" s="4"/>
      <c r="AZ1314" s="4"/>
      <c r="BA1314" s="4"/>
      <c r="BB1314" s="4"/>
      <c r="BC1314" s="4"/>
      <c r="BD1314" s="4"/>
      <c r="BE1314" s="4"/>
      <c r="BF1314" s="4"/>
      <c r="BG1314" s="4"/>
      <c r="BH1314" s="4"/>
      <c r="BI1314" s="4"/>
      <c r="BJ1314" s="4"/>
      <c r="BK1314" s="4"/>
      <c r="BL1314" s="4"/>
      <c r="BM1314" s="4"/>
      <c r="BN1314" s="4"/>
      <c r="BO1314" s="4"/>
      <c r="BP1314" s="4"/>
      <c r="BQ1314" s="4"/>
      <c r="BR1314" s="4"/>
      <c r="BS1314" s="4"/>
      <c r="BT1314" s="4"/>
      <c r="BU1314" s="4"/>
      <c r="BV1314" s="4"/>
      <c r="BW1314" s="4"/>
      <c r="BX1314" s="4"/>
      <c r="BY1314" s="4"/>
      <c r="BZ1314" s="4"/>
      <c r="CA1314" s="4"/>
      <c r="CB1314" s="4"/>
      <c r="CC1314" s="4"/>
      <c r="CD1314" s="4"/>
      <c r="CE1314" s="4"/>
      <c r="CF1314" s="4"/>
      <c r="CG1314" s="4"/>
      <c r="CH1314" s="4"/>
      <c r="CI1314" s="4"/>
      <c r="CJ1314" s="4"/>
      <c r="CK1314" s="4"/>
      <c r="CL1314" s="4"/>
      <c r="CM1314" s="4"/>
      <c r="CN1314" s="4"/>
      <c r="CO1314" s="4"/>
      <c r="CP1314" s="4"/>
      <c r="CQ1314" s="4"/>
      <c r="CR1314" s="4"/>
      <c r="CS1314" s="4"/>
      <c r="CT1314" s="4"/>
      <c r="CU1314" s="4"/>
      <c r="CV1314" s="4"/>
      <c r="CW1314" s="4"/>
      <c r="CX1314" s="4"/>
      <c r="CY1314" s="4"/>
      <c r="CZ1314" s="4"/>
      <c r="DA1314" s="4"/>
      <c r="DB1314" s="4"/>
      <c r="DC1314" s="4"/>
      <c r="DD1314" s="4"/>
      <c r="DE1314" s="4"/>
      <c r="DF1314" s="4"/>
      <c r="DG1314" s="4"/>
      <c r="DH1314" s="4"/>
      <c r="DI1314" s="4"/>
      <c r="DJ1314" s="4"/>
      <c r="DK1314" s="4"/>
      <c r="DL1314" s="4"/>
      <c r="DM1314" s="4"/>
      <c r="DN1314" s="4"/>
      <c r="DO1314" s="4"/>
      <c r="DP1314" s="4"/>
      <c r="DQ1314" s="4"/>
      <c r="DR1314" s="4"/>
      <c r="DS1314" s="4"/>
      <c r="DT1314" s="4"/>
      <c r="DU1314" s="4"/>
      <c r="DV1314" s="4"/>
      <c r="DW1314" s="4"/>
      <c r="DX1314" s="4"/>
      <c r="DY1314" s="4"/>
      <c r="DZ1314" s="4"/>
      <c r="EA1314" s="4"/>
      <c r="EB1314" s="4"/>
      <c r="EC1314" s="4"/>
      <c r="ED1314" s="4"/>
      <c r="EE1314" s="4"/>
      <c r="EF1314" s="4"/>
      <c r="EG1314" s="4"/>
      <c r="EH1314" s="4"/>
      <c r="EI1314" s="4"/>
    </row>
    <row r="1315" spans="1:139" hidden="1" x14ac:dyDescent="0.2">
      <c r="A1315" t="str">
        <f>VLOOKUP(B1315,Sheet1!$A$1:$B$18,2,FALSE)</f>
        <v>South Island</v>
      </c>
      <c r="B1315" t="str">
        <f>LEFT(D1315,3)</f>
        <v>STH</v>
      </c>
      <c r="C1315" s="2">
        <v>1286</v>
      </c>
      <c r="D1315" s="3" t="str">
        <f>HYPERLINK("https://sitebase.nzcomms.co.nz/spm/spmnominalview/STH-073-009/","STH-073-009")</f>
        <v>STH-073-009</v>
      </c>
      <c r="E1315" s="4"/>
      <c r="F1315" s="4"/>
      <c r="G1315" s="4"/>
      <c r="H1315" s="4" t="s">
        <v>3879</v>
      </c>
      <c r="I1315" s="4"/>
      <c r="J1315" s="4" t="s">
        <v>196</v>
      </c>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c r="AT1315" s="4"/>
      <c r="AU1315" s="4"/>
      <c r="AV1315" s="4"/>
      <c r="AW1315" s="4"/>
      <c r="AX1315" s="4"/>
      <c r="AY1315" s="4"/>
      <c r="AZ1315" s="4"/>
      <c r="BA1315" s="4"/>
      <c r="BB1315" s="4"/>
      <c r="BC1315" s="4"/>
      <c r="BD1315" s="4"/>
      <c r="BE1315" s="4"/>
      <c r="BF1315" s="4"/>
      <c r="BG1315" s="4"/>
      <c r="BH1315" s="4"/>
      <c r="BI1315" s="4"/>
      <c r="BJ1315" s="4"/>
      <c r="BK1315" s="4"/>
      <c r="BL1315" s="4"/>
      <c r="BM1315" s="4"/>
      <c r="BN1315" s="4"/>
      <c r="BO1315" s="4"/>
      <c r="BP1315" s="4"/>
      <c r="BQ1315" s="4"/>
      <c r="BR1315" s="4"/>
      <c r="BS1315" s="4"/>
      <c r="BT1315" s="4"/>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4"/>
      <c r="CW1315" s="4"/>
      <c r="CX1315" s="4"/>
      <c r="CY1315" s="4"/>
      <c r="CZ1315" s="4"/>
      <c r="DA1315" s="4"/>
      <c r="DB1315" s="4"/>
      <c r="DC1315" s="4"/>
      <c r="DD1315" s="4"/>
      <c r="DE1315" s="4"/>
      <c r="DF1315" s="4"/>
      <c r="DG1315" s="4"/>
      <c r="DH1315" s="4"/>
      <c r="DI1315" s="4"/>
      <c r="DJ1315" s="4"/>
      <c r="DK1315" s="4"/>
      <c r="DL1315" s="4"/>
      <c r="DM1315" s="4"/>
      <c r="DN1315" s="4"/>
      <c r="DO1315" s="4"/>
      <c r="DP1315" s="4"/>
      <c r="DQ1315" s="4"/>
      <c r="DR1315" s="4"/>
      <c r="DS1315" s="4"/>
      <c r="DT1315" s="4"/>
      <c r="DU1315" s="4"/>
      <c r="DV1315" s="4"/>
      <c r="DW1315" s="4"/>
      <c r="DX1315" s="4"/>
      <c r="DY1315" s="4"/>
      <c r="DZ1315" s="4"/>
      <c r="EA1315" s="4"/>
      <c r="EB1315" s="4"/>
      <c r="EC1315" s="4"/>
      <c r="ED1315" s="4"/>
      <c r="EE1315" s="4"/>
      <c r="EF1315" s="4"/>
      <c r="EG1315" s="4"/>
      <c r="EH1315" s="4"/>
      <c r="EI1315" s="4"/>
    </row>
    <row r="1316" spans="1:139" hidden="1" x14ac:dyDescent="0.2">
      <c r="A1316" t="str">
        <f>VLOOKUP(B1316,Sheet1!$A$1:$B$18,2,FALSE)</f>
        <v>South Island</v>
      </c>
      <c r="B1316" t="str">
        <f>LEFT(D1316,3)</f>
        <v>STH</v>
      </c>
      <c r="C1316" s="2">
        <v>1288</v>
      </c>
      <c r="D1316" s="3" t="str">
        <f>HYPERLINK("https://sitebase.nzcomms.co.nz/spm/spmnominalview/STH-073-011/","STH-073-011")</f>
        <v>STH-073-011</v>
      </c>
      <c r="E1316" s="4"/>
      <c r="F1316" s="4"/>
      <c r="G1316" s="4"/>
      <c r="H1316" s="4" t="s">
        <v>3879</v>
      </c>
      <c r="I1316" s="4"/>
      <c r="J1316" s="4" t="s">
        <v>196</v>
      </c>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c r="AT1316" s="4"/>
      <c r="AU1316" s="4"/>
      <c r="AV1316" s="4"/>
      <c r="AW1316" s="4"/>
      <c r="AX1316" s="4"/>
      <c r="AY1316" s="4"/>
      <c r="AZ1316" s="4"/>
      <c r="BA1316" s="4"/>
      <c r="BB1316" s="4"/>
      <c r="BC1316" s="4"/>
      <c r="BD1316" s="4"/>
      <c r="BE1316" s="4"/>
      <c r="BF1316" s="4"/>
      <c r="BG1316" s="4"/>
      <c r="BH1316" s="4"/>
      <c r="BI1316" s="4"/>
      <c r="BJ1316" s="4"/>
      <c r="BK1316" s="4"/>
      <c r="BL1316" s="4"/>
      <c r="BM1316" s="4"/>
      <c r="BN1316" s="4"/>
      <c r="BO1316" s="4"/>
      <c r="BP1316" s="4"/>
      <c r="BQ1316" s="4"/>
      <c r="BR1316" s="4"/>
      <c r="BS1316" s="4"/>
      <c r="BT1316" s="4"/>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4"/>
      <c r="CV1316" s="4"/>
      <c r="CW1316" s="4"/>
      <c r="CX1316" s="4"/>
      <c r="CY1316" s="4"/>
      <c r="CZ1316" s="4"/>
      <c r="DA1316" s="4"/>
      <c r="DB1316" s="4"/>
      <c r="DC1316" s="4"/>
      <c r="DD1316" s="4"/>
      <c r="DE1316" s="4"/>
      <c r="DF1316" s="4"/>
      <c r="DG1316" s="4"/>
      <c r="DH1316" s="4"/>
      <c r="DI1316" s="4"/>
      <c r="DJ1316" s="4"/>
      <c r="DK1316" s="4"/>
      <c r="DL1316" s="4"/>
      <c r="DM1316" s="4"/>
      <c r="DN1316" s="4"/>
      <c r="DO1316" s="4"/>
      <c r="DP1316" s="4"/>
      <c r="DQ1316" s="4"/>
      <c r="DR1316" s="4"/>
      <c r="DS1316" s="4"/>
      <c r="DT1316" s="4"/>
      <c r="DU1316" s="4"/>
      <c r="DV1316" s="4"/>
      <c r="DW1316" s="4"/>
      <c r="DX1316" s="4"/>
      <c r="DY1316" s="4"/>
      <c r="DZ1316" s="4"/>
      <c r="EA1316" s="4"/>
      <c r="EB1316" s="4"/>
      <c r="EC1316" s="4"/>
      <c r="ED1316" s="4"/>
      <c r="EE1316" s="4"/>
      <c r="EF1316" s="4"/>
      <c r="EG1316" s="4"/>
      <c r="EH1316" s="4"/>
      <c r="EI1316" s="4"/>
    </row>
    <row r="1317" spans="1:139" hidden="1" x14ac:dyDescent="0.2">
      <c r="A1317" t="str">
        <f>VLOOKUP(B1317,Sheet1!$A$1:$B$18,2,FALSE)</f>
        <v>South Island</v>
      </c>
      <c r="B1317" t="str">
        <f>LEFT(D1317,3)</f>
        <v>STH</v>
      </c>
      <c r="C1317" s="2">
        <v>1289</v>
      </c>
      <c r="D1317" s="3" t="str">
        <f>HYPERLINK("https://sitebase.nzcomms.co.nz/spm/spmnominalview/STH-073-012/","STH-073-012")</f>
        <v>STH-073-012</v>
      </c>
      <c r="E1317" s="4"/>
      <c r="F1317" s="4"/>
      <c r="G1317" s="4"/>
      <c r="H1317" s="4" t="s">
        <v>3879</v>
      </c>
      <c r="I1317" s="4"/>
      <c r="J1317" s="4" t="s">
        <v>196</v>
      </c>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4"/>
      <c r="BB1317" s="4"/>
      <c r="BC1317" s="4"/>
      <c r="BD1317" s="4"/>
      <c r="BE1317" s="4"/>
      <c r="BF1317" s="4"/>
      <c r="BG1317" s="4"/>
      <c r="BH1317" s="4"/>
      <c r="BI1317" s="4"/>
      <c r="BJ1317" s="4"/>
      <c r="BK1317" s="4"/>
      <c r="BL1317" s="4"/>
      <c r="BM1317" s="4"/>
      <c r="BN1317" s="4"/>
      <c r="BO1317" s="4"/>
      <c r="BP1317" s="4"/>
      <c r="BQ1317" s="4"/>
      <c r="BR1317" s="4"/>
      <c r="BS1317" s="4"/>
      <c r="BT1317" s="4"/>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4"/>
      <c r="CW1317" s="4"/>
      <c r="CX1317" s="4"/>
      <c r="CY1317" s="4"/>
      <c r="CZ1317" s="4"/>
      <c r="DA1317" s="4"/>
      <c r="DB1317" s="4"/>
      <c r="DC1317" s="4"/>
      <c r="DD1317" s="4"/>
      <c r="DE1317" s="4"/>
      <c r="DF1317" s="4"/>
      <c r="DG1317" s="4"/>
      <c r="DH1317" s="4"/>
      <c r="DI1317" s="4"/>
      <c r="DJ1317" s="4"/>
      <c r="DK1317" s="4"/>
      <c r="DL1317" s="4"/>
      <c r="DM1317" s="4"/>
      <c r="DN1317" s="4"/>
      <c r="DO1317" s="4"/>
      <c r="DP1317" s="4"/>
      <c r="DQ1317" s="4"/>
      <c r="DR1317" s="4"/>
      <c r="DS1317" s="4"/>
      <c r="DT1317" s="4"/>
      <c r="DU1317" s="4"/>
      <c r="DV1317" s="4"/>
      <c r="DW1317" s="4"/>
      <c r="DX1317" s="4"/>
      <c r="DY1317" s="4"/>
      <c r="DZ1317" s="4"/>
      <c r="EA1317" s="4"/>
      <c r="EB1317" s="4"/>
      <c r="EC1317" s="4"/>
      <c r="ED1317" s="4"/>
      <c r="EE1317" s="4"/>
      <c r="EF1317" s="4"/>
      <c r="EG1317" s="4"/>
      <c r="EH1317" s="4"/>
      <c r="EI1317" s="4"/>
    </row>
    <row r="1318" spans="1:139" hidden="1" x14ac:dyDescent="0.2">
      <c r="A1318" t="str">
        <f>VLOOKUP(B1318,Sheet1!$A$1:$B$18,2,FALSE)</f>
        <v>South Island</v>
      </c>
      <c r="B1318" t="str">
        <f>LEFT(D1318,3)</f>
        <v>STH</v>
      </c>
      <c r="C1318" s="2">
        <v>1290</v>
      </c>
      <c r="D1318" s="3" t="str">
        <f>HYPERLINK("https://sitebase.nzcomms.co.nz/spm/spmnominalview/STH-073-013/","STH-073-013")</f>
        <v>STH-073-013</v>
      </c>
      <c r="E1318" s="4"/>
      <c r="F1318" s="4"/>
      <c r="G1318" s="4"/>
      <c r="H1318" s="4" t="s">
        <v>3879</v>
      </c>
      <c r="I1318" s="4"/>
      <c r="J1318" s="4" t="s">
        <v>196</v>
      </c>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c r="AT1318" s="4"/>
      <c r="AU1318" s="4"/>
      <c r="AV1318" s="4"/>
      <c r="AW1318" s="4"/>
      <c r="AX1318" s="4"/>
      <c r="AY1318" s="4"/>
      <c r="AZ1318" s="4"/>
      <c r="BA1318" s="4"/>
      <c r="BB1318" s="4"/>
      <c r="BC1318" s="4"/>
      <c r="BD1318" s="4"/>
      <c r="BE1318" s="4"/>
      <c r="BF1318" s="4"/>
      <c r="BG1318" s="4"/>
      <c r="BH1318" s="4"/>
      <c r="BI1318" s="4"/>
      <c r="BJ1318" s="4"/>
      <c r="BK1318" s="4"/>
      <c r="BL1318" s="4"/>
      <c r="BM1318" s="4"/>
      <c r="BN1318" s="4"/>
      <c r="BO1318" s="4"/>
      <c r="BP1318" s="4"/>
      <c r="BQ1318" s="4"/>
      <c r="BR1318" s="4"/>
      <c r="BS1318" s="4"/>
      <c r="BT1318" s="4"/>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4"/>
      <c r="CW1318" s="4"/>
      <c r="CX1318" s="4"/>
      <c r="CY1318" s="4"/>
      <c r="CZ1318" s="4"/>
      <c r="DA1318" s="4"/>
      <c r="DB1318" s="4"/>
      <c r="DC1318" s="4"/>
      <c r="DD1318" s="4"/>
      <c r="DE1318" s="4"/>
      <c r="DF1318" s="4"/>
      <c r="DG1318" s="4"/>
      <c r="DH1318" s="4"/>
      <c r="DI1318" s="4"/>
      <c r="DJ1318" s="4"/>
      <c r="DK1318" s="4"/>
      <c r="DL1318" s="4"/>
      <c r="DM1318" s="4"/>
      <c r="DN1318" s="4"/>
      <c r="DO1318" s="4"/>
      <c r="DP1318" s="4"/>
      <c r="DQ1318" s="4"/>
      <c r="DR1318" s="4"/>
      <c r="DS1318" s="4"/>
      <c r="DT1318" s="4"/>
      <c r="DU1318" s="4"/>
      <c r="DV1318" s="4"/>
      <c r="DW1318" s="4"/>
      <c r="DX1318" s="4"/>
      <c r="DY1318" s="4"/>
      <c r="DZ1318" s="4"/>
      <c r="EA1318" s="4"/>
      <c r="EB1318" s="4"/>
      <c r="EC1318" s="4"/>
      <c r="ED1318" s="4"/>
      <c r="EE1318" s="4"/>
      <c r="EF1318" s="4"/>
      <c r="EG1318" s="4"/>
      <c r="EH1318" s="4"/>
      <c r="EI1318" s="4"/>
    </row>
    <row r="1319" spans="1:139" hidden="1" x14ac:dyDescent="0.2">
      <c r="A1319" t="str">
        <f>VLOOKUP(B1319,Sheet1!$A$1:$B$18,2,FALSE)</f>
        <v>South Island</v>
      </c>
      <c r="B1319" t="str">
        <f>LEFT(D1319,3)</f>
        <v>STH</v>
      </c>
      <c r="C1319" s="2">
        <v>1291</v>
      </c>
      <c r="D1319" s="3" t="str">
        <f>HYPERLINK("https://sitebase.nzcomms.co.nz/spm/spmnominalview/STH-073-014/","STH-073-014")</f>
        <v>STH-073-014</v>
      </c>
      <c r="E1319" s="4"/>
      <c r="F1319" s="4"/>
      <c r="G1319" s="4"/>
      <c r="H1319" s="4" t="s">
        <v>3879</v>
      </c>
      <c r="I1319" s="4"/>
      <c r="J1319" s="4" t="s">
        <v>196</v>
      </c>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c r="BH1319" s="4"/>
      <c r="BI1319" s="4"/>
      <c r="BJ1319" s="4"/>
      <c r="BK1319" s="4"/>
      <c r="BL1319" s="4"/>
      <c r="BM1319" s="4"/>
      <c r="BN1319" s="4"/>
      <c r="BO1319" s="4"/>
      <c r="BP1319" s="4"/>
      <c r="BQ1319" s="4"/>
      <c r="BR1319" s="4"/>
      <c r="BS1319" s="4"/>
      <c r="BT1319" s="4"/>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4"/>
      <c r="CW1319" s="4"/>
      <c r="CX1319" s="4"/>
      <c r="CY1319" s="4"/>
      <c r="CZ1319" s="4"/>
      <c r="DA1319" s="4"/>
      <c r="DB1319" s="4"/>
      <c r="DC1319" s="4"/>
      <c r="DD1319" s="4"/>
      <c r="DE1319" s="4"/>
      <c r="DF1319" s="4"/>
      <c r="DG1319" s="4"/>
      <c r="DH1319" s="4"/>
      <c r="DI1319" s="4"/>
      <c r="DJ1319" s="4"/>
      <c r="DK1319" s="4"/>
      <c r="DL1319" s="4"/>
      <c r="DM1319" s="4"/>
      <c r="DN1319" s="4"/>
      <c r="DO1319" s="4"/>
      <c r="DP1319" s="4"/>
      <c r="DQ1319" s="4"/>
      <c r="DR1319" s="4"/>
      <c r="DS1319" s="4"/>
      <c r="DT1319" s="4"/>
      <c r="DU1319" s="4"/>
      <c r="DV1319" s="4"/>
      <c r="DW1319" s="4"/>
      <c r="DX1319" s="4"/>
      <c r="DY1319" s="4"/>
      <c r="DZ1319" s="4"/>
      <c r="EA1319" s="4"/>
      <c r="EB1319" s="4"/>
      <c r="EC1319" s="4"/>
      <c r="ED1319" s="4"/>
      <c r="EE1319" s="4"/>
      <c r="EF1319" s="4"/>
      <c r="EG1319" s="4"/>
      <c r="EH1319" s="4"/>
      <c r="EI1319" s="4"/>
    </row>
    <row r="1320" spans="1:139" hidden="1" x14ac:dyDescent="0.2">
      <c r="A1320" t="str">
        <f>VLOOKUP(B1320,Sheet1!$A$1:$B$18,2,FALSE)</f>
        <v>South Island</v>
      </c>
      <c r="B1320" t="str">
        <f>LEFT(D1320,3)</f>
        <v>STH</v>
      </c>
      <c r="C1320" s="2">
        <v>1292</v>
      </c>
      <c r="D1320" s="3" t="str">
        <f>HYPERLINK("https://sitebase.nzcomms.co.nz/spm/spmnominalview/STH-073-015/","STH-073-015")</f>
        <v>STH-073-015</v>
      </c>
      <c r="E1320" s="4" t="s">
        <v>3888</v>
      </c>
      <c r="F1320" s="4"/>
      <c r="G1320" s="4"/>
      <c r="H1320" s="4" t="s">
        <v>3879</v>
      </c>
      <c r="I1320" s="4"/>
      <c r="J1320" s="4" t="s">
        <v>722</v>
      </c>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t="b">
        <v>0</v>
      </c>
      <c r="AH1320" s="4"/>
      <c r="AI1320" s="4"/>
      <c r="AJ1320" s="4"/>
      <c r="AK1320" s="4"/>
      <c r="AL1320" s="4"/>
      <c r="AM1320" s="4"/>
      <c r="AN1320" s="4"/>
      <c r="AO1320" s="4"/>
      <c r="AP1320" s="4"/>
      <c r="AQ1320" s="4"/>
      <c r="AR1320" s="4"/>
      <c r="AS1320" s="4"/>
      <c r="AT1320" s="4"/>
      <c r="AU1320" s="4"/>
      <c r="AV1320" s="4"/>
      <c r="AW1320" s="4"/>
      <c r="AX1320" s="4"/>
      <c r="AY1320" s="4"/>
      <c r="AZ1320" s="4"/>
      <c r="BA1320" s="4"/>
      <c r="BB1320" s="4"/>
      <c r="BC1320" s="4"/>
      <c r="BD1320" s="4"/>
      <c r="BE1320" s="4"/>
      <c r="BF1320" s="4"/>
      <c r="BG1320" s="4"/>
      <c r="BH1320" s="4"/>
      <c r="BI1320" s="4"/>
      <c r="BJ1320" s="4"/>
      <c r="BK1320" s="4"/>
      <c r="BL1320" s="4"/>
      <c r="BM1320" s="4"/>
      <c r="BN1320" s="4"/>
      <c r="BO1320" s="4"/>
      <c r="BP1320" s="4"/>
      <c r="BQ1320" s="4"/>
      <c r="BR1320" s="4"/>
      <c r="BS1320" s="4"/>
      <c r="BT1320" s="4"/>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4"/>
      <c r="CW1320" s="4"/>
      <c r="CX1320" s="4"/>
      <c r="CY1320" s="4"/>
      <c r="CZ1320" s="4"/>
      <c r="DA1320" s="4"/>
      <c r="DB1320" s="4"/>
      <c r="DC1320" s="4"/>
      <c r="DD1320" s="4"/>
      <c r="DE1320" s="4"/>
      <c r="DF1320" s="4"/>
      <c r="DG1320" s="4"/>
      <c r="DH1320" s="4"/>
      <c r="DI1320" s="4"/>
      <c r="DJ1320" s="4"/>
      <c r="DK1320" s="4"/>
      <c r="DL1320" s="4"/>
      <c r="DM1320" s="4"/>
      <c r="DN1320" s="4"/>
      <c r="DO1320" s="4"/>
      <c r="DP1320" s="4"/>
      <c r="DQ1320" s="4"/>
      <c r="DR1320" s="4"/>
      <c r="DS1320" s="4"/>
      <c r="DT1320" s="4"/>
      <c r="DU1320" s="4"/>
      <c r="DV1320" s="4"/>
      <c r="DW1320" s="4"/>
      <c r="DX1320" s="4"/>
      <c r="DY1320" s="4"/>
      <c r="DZ1320" s="4"/>
      <c r="EA1320" s="4"/>
      <c r="EB1320" s="4"/>
      <c r="EC1320" s="4"/>
      <c r="ED1320" s="4"/>
      <c r="EE1320" s="4"/>
      <c r="EF1320" s="4"/>
      <c r="EG1320" s="4"/>
      <c r="EH1320" s="4"/>
      <c r="EI1320" s="4"/>
    </row>
    <row r="1321" spans="1:139" hidden="1" x14ac:dyDescent="0.2">
      <c r="A1321" t="str">
        <f>VLOOKUP(B1321,Sheet1!$A$1:$B$18,2,FALSE)</f>
        <v>South Island</v>
      </c>
      <c r="B1321" t="str">
        <f>LEFT(D1321,3)</f>
        <v>STH</v>
      </c>
      <c r="C1321" s="2">
        <v>1293</v>
      </c>
      <c r="D1321" s="3" t="str">
        <f>HYPERLINK("https://sitebase.nzcomms.co.nz/spm/spmnominalview/STH-073-016/","STH-073-016")</f>
        <v>STH-073-016</v>
      </c>
      <c r="E1321" s="4" t="s">
        <v>3889</v>
      </c>
      <c r="F1321" s="4"/>
      <c r="G1321" s="4"/>
      <c r="H1321" s="4" t="s">
        <v>3879</v>
      </c>
      <c r="I1321" s="4"/>
      <c r="J1321" s="4" t="s">
        <v>722</v>
      </c>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t="b">
        <v>0</v>
      </c>
      <c r="AH1321" s="4"/>
      <c r="AI1321" s="4"/>
      <c r="AJ1321" s="4"/>
      <c r="AK1321" s="4"/>
      <c r="AL1321" s="4"/>
      <c r="AM1321" s="4"/>
      <c r="AN1321" s="4"/>
      <c r="AO1321" s="4"/>
      <c r="AP1321" s="4"/>
      <c r="AQ1321" s="4"/>
      <c r="AR1321" s="4"/>
      <c r="AS1321" s="4"/>
      <c r="AT1321" s="4"/>
      <c r="AU1321" s="4"/>
      <c r="AV1321" s="4"/>
      <c r="AW1321" s="4"/>
      <c r="AX1321" s="4"/>
      <c r="AY1321" s="4"/>
      <c r="AZ1321" s="4"/>
      <c r="BA1321" s="4"/>
      <c r="BB1321" s="4"/>
      <c r="BC1321" s="4"/>
      <c r="BD1321" s="4"/>
      <c r="BE1321" s="4"/>
      <c r="BF1321" s="4"/>
      <c r="BG1321" s="4"/>
      <c r="BH1321" s="4"/>
      <c r="BI1321" s="4"/>
      <c r="BJ1321" s="4"/>
      <c r="BK1321" s="4"/>
      <c r="BL1321" s="4"/>
      <c r="BM1321" s="4"/>
      <c r="BN1321" s="4"/>
      <c r="BO1321" s="4"/>
      <c r="BP1321" s="4"/>
      <c r="BQ1321" s="4"/>
      <c r="BR1321" s="4"/>
      <c r="BS1321" s="4"/>
      <c r="BT1321" s="4"/>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4"/>
      <c r="CR1321" s="4"/>
      <c r="CS1321" s="4"/>
      <c r="CT1321" s="4"/>
      <c r="CU1321" s="4"/>
      <c r="CV1321" s="4"/>
      <c r="CW1321" s="4"/>
      <c r="CX1321" s="4"/>
      <c r="CY1321" s="4"/>
      <c r="CZ1321" s="4"/>
      <c r="DA1321" s="4"/>
      <c r="DB1321" s="4"/>
      <c r="DC1321" s="4"/>
      <c r="DD1321" s="4"/>
      <c r="DE1321" s="4"/>
      <c r="DF1321" s="4"/>
      <c r="DG1321" s="4"/>
      <c r="DH1321" s="4"/>
      <c r="DI1321" s="4"/>
      <c r="DJ1321" s="4"/>
      <c r="DK1321" s="4"/>
      <c r="DL1321" s="4"/>
      <c r="DM1321" s="4"/>
      <c r="DN1321" s="4"/>
      <c r="DO1321" s="4"/>
      <c r="DP1321" s="4"/>
      <c r="DQ1321" s="4"/>
      <c r="DR1321" s="4"/>
      <c r="DS1321" s="4"/>
      <c r="DT1321" s="4"/>
      <c r="DU1321" s="4"/>
      <c r="DV1321" s="4"/>
      <c r="DW1321" s="4"/>
      <c r="DX1321" s="4"/>
      <c r="DY1321" s="4"/>
      <c r="DZ1321" s="4"/>
      <c r="EA1321" s="4"/>
      <c r="EB1321" s="4"/>
      <c r="EC1321" s="4"/>
      <c r="ED1321" s="4"/>
      <c r="EE1321" s="4"/>
      <c r="EF1321" s="4"/>
      <c r="EG1321" s="4"/>
      <c r="EH1321" s="4"/>
      <c r="EI1321" s="4"/>
    </row>
    <row r="1322" spans="1:139" hidden="1" x14ac:dyDescent="0.2">
      <c r="A1322">
        <f>VLOOKUP(B1322,Sheet1!$A$1:$B$18,2,FALSE)</f>
        <v>0</v>
      </c>
      <c r="B1322" t="str">
        <f>LEFT(D1322,3)</f>
        <v>SYD</v>
      </c>
      <c r="C1322" s="2">
        <v>1321</v>
      </c>
      <c r="D1322" s="3" t="str">
        <f>HYPERLINK("https://sitebase.nzcomms.co.nz/spm/spmnominalview/SYD-202-001/","SYD-202-001")</f>
        <v>SYD-202-001</v>
      </c>
      <c r="E1322" s="4" t="s">
        <v>3974</v>
      </c>
      <c r="F1322" s="4"/>
      <c r="G1322" s="4"/>
      <c r="H1322" s="4" t="s">
        <v>3975</v>
      </c>
      <c r="I1322" s="4"/>
      <c r="J1322" s="4" t="s">
        <v>180</v>
      </c>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4"/>
      <c r="BB1322" s="4"/>
      <c r="BC1322" s="4"/>
      <c r="BD1322" s="4"/>
      <c r="BE1322" s="4"/>
      <c r="BF1322" s="4"/>
      <c r="BG1322" s="4"/>
      <c r="BH1322" s="4"/>
      <c r="BI1322" s="4"/>
      <c r="BJ1322" s="4"/>
      <c r="BK1322" s="4"/>
      <c r="BL1322" s="4"/>
      <c r="BM1322" s="4"/>
      <c r="BN1322" s="4"/>
      <c r="BO1322" s="4"/>
      <c r="BP1322" s="4"/>
      <c r="BQ1322" s="4"/>
      <c r="BR1322" s="4"/>
      <c r="BS1322" s="4"/>
      <c r="BT1322" s="4"/>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4"/>
      <c r="CW1322" s="4"/>
      <c r="CX1322" s="4"/>
      <c r="CY1322" s="4"/>
      <c r="CZ1322" s="4"/>
      <c r="DA1322" s="4"/>
      <c r="DB1322" s="4"/>
      <c r="DC1322" s="4"/>
      <c r="DD1322" s="4"/>
      <c r="DE1322" s="4"/>
      <c r="DF1322" s="4"/>
      <c r="DG1322" s="4"/>
      <c r="DH1322" s="4"/>
      <c r="DI1322" s="4"/>
      <c r="DJ1322" s="4"/>
      <c r="DK1322" s="4"/>
      <c r="DL1322" s="4"/>
      <c r="DM1322" s="4"/>
      <c r="DN1322" s="4"/>
      <c r="DO1322" s="4"/>
      <c r="DP1322" s="4"/>
      <c r="DQ1322" s="4"/>
      <c r="DR1322" s="4"/>
      <c r="DS1322" s="4"/>
      <c r="DT1322" s="4"/>
      <c r="DU1322" s="4"/>
      <c r="DV1322" s="4"/>
      <c r="DW1322" s="4"/>
      <c r="DX1322" s="4"/>
      <c r="DY1322" s="4"/>
      <c r="DZ1322" s="4"/>
      <c r="EA1322" s="4"/>
      <c r="EB1322" s="4"/>
      <c r="EC1322" s="4"/>
      <c r="ED1322" s="4"/>
      <c r="EE1322" s="4"/>
      <c r="EF1322" s="4"/>
      <c r="EG1322" s="4"/>
      <c r="EH1322" s="4"/>
      <c r="EI1322" s="4"/>
    </row>
    <row r="1323" spans="1:139" hidden="1" x14ac:dyDescent="0.2">
      <c r="A1323">
        <f>VLOOKUP(B1323,Sheet1!$A$1:$B$18,2,FALSE)</f>
        <v>0</v>
      </c>
      <c r="B1323" t="str">
        <f>LEFT(D1323,3)</f>
        <v>TNK</v>
      </c>
      <c r="C1323" s="2">
        <v>1322</v>
      </c>
      <c r="D1323" s="3" t="str">
        <f>HYPERLINK("https://sitebase.nzcomms.co.nz/spm/spmnominalview/TNK-033-001/","TNK-033-001")</f>
        <v>TNK-033-001</v>
      </c>
      <c r="E1323" s="4" t="s">
        <v>3976</v>
      </c>
      <c r="F1323" s="3" t="str">
        <f>HYPERLINK("https://sitebase.nzcomms.co.nz/spm/spmcandidateview/TNK-033-001-B/","TNK-033-001-B")</f>
        <v>TNK-033-001-B</v>
      </c>
      <c r="G1323" s="4" t="s">
        <v>3977</v>
      </c>
      <c r="H1323" s="4" t="s">
        <v>3978</v>
      </c>
      <c r="I1323" s="4">
        <v>6</v>
      </c>
      <c r="J1323" s="4" t="s">
        <v>180</v>
      </c>
      <c r="K1323" s="4" t="s">
        <v>141</v>
      </c>
      <c r="L1323" s="4" t="s">
        <v>150</v>
      </c>
      <c r="M1323" s="4" t="s">
        <v>190</v>
      </c>
      <c r="N1323" s="4" t="s">
        <v>269</v>
      </c>
      <c r="O1323" s="4"/>
      <c r="P1323" s="4" t="s">
        <v>169</v>
      </c>
      <c r="Q1323" s="4" t="s">
        <v>192</v>
      </c>
      <c r="R1323" s="4"/>
      <c r="S1323" s="4"/>
      <c r="T1323" s="4">
        <v>2</v>
      </c>
      <c r="U1323" s="4">
        <v>-39.054992249999998</v>
      </c>
      <c r="V1323" s="4">
        <v>174.08494032999999</v>
      </c>
      <c r="W1323" s="4"/>
      <c r="X1323" s="5">
        <v>40897</v>
      </c>
      <c r="Y1323" s="4"/>
      <c r="Z1323" s="5">
        <v>40221</v>
      </c>
      <c r="AA1323" s="4" t="s">
        <v>152</v>
      </c>
      <c r="AB1323" s="3" t="str">
        <f>HYPERLINK("https://sitebase.nzcomms.co.nz/spm/spmcandidateview/TNK-033-004-A/","TNK-033-004-A")</f>
        <v>TNK-033-004-A</v>
      </c>
      <c r="AC1323" s="4" t="b">
        <v>1</v>
      </c>
      <c r="AD1323" s="4" t="b">
        <v>1</v>
      </c>
      <c r="AE1323" s="4"/>
      <c r="AF1323" s="4"/>
      <c r="AG1323" s="4" t="b">
        <v>1</v>
      </c>
      <c r="AH1323" s="4"/>
      <c r="AI1323" s="5">
        <v>41030</v>
      </c>
      <c r="AJ1323" s="5">
        <v>41030</v>
      </c>
      <c r="AK1323" s="5">
        <v>41037</v>
      </c>
      <c r="AL1323" s="5">
        <v>41044</v>
      </c>
      <c r="AM1323" s="5">
        <v>41075</v>
      </c>
      <c r="AN1323" s="5">
        <v>41082</v>
      </c>
      <c r="AO1323" s="4">
        <v>1</v>
      </c>
      <c r="AP1323" s="5">
        <v>41075</v>
      </c>
      <c r="AQ1323" s="5">
        <v>41082</v>
      </c>
      <c r="AR1323" s="5">
        <v>41093</v>
      </c>
      <c r="AS1323" s="5">
        <v>41092</v>
      </c>
      <c r="AT1323" s="5">
        <v>41110</v>
      </c>
      <c r="AU1323" s="5">
        <v>41092</v>
      </c>
      <c r="AV1323" s="4">
        <v>1</v>
      </c>
      <c r="AW1323" s="5">
        <v>41110</v>
      </c>
      <c r="AX1323" s="5">
        <v>41117</v>
      </c>
      <c r="AY1323" s="4" t="s">
        <v>172</v>
      </c>
      <c r="AZ1323" s="5">
        <v>41080</v>
      </c>
      <c r="BA1323" s="5">
        <v>41085</v>
      </c>
      <c r="BB1323" s="5">
        <v>41110</v>
      </c>
      <c r="BC1323" s="5">
        <v>41102</v>
      </c>
      <c r="BD1323" s="4">
        <v>1</v>
      </c>
      <c r="BE1323" s="5">
        <v>41115</v>
      </c>
      <c r="BF1323" s="5">
        <v>41102</v>
      </c>
      <c r="BG1323" s="4"/>
      <c r="BH1323" s="4"/>
      <c r="BI1323" s="5">
        <v>41159</v>
      </c>
      <c r="BJ1323" s="5">
        <v>41177</v>
      </c>
      <c r="BK1323" s="4">
        <v>1</v>
      </c>
      <c r="BL1323" s="4"/>
      <c r="BM1323" s="5">
        <v>41159</v>
      </c>
      <c r="BN1323" s="5">
        <v>41177</v>
      </c>
      <c r="BO1323" s="5">
        <v>41152</v>
      </c>
      <c r="BP1323" s="4"/>
      <c r="BQ1323" s="4"/>
      <c r="BR1323" s="4"/>
      <c r="BS1323" s="4"/>
      <c r="BT1323" s="5">
        <v>41138</v>
      </c>
      <c r="BU1323" s="5">
        <v>41136</v>
      </c>
      <c r="BV1323" s="5">
        <v>41159</v>
      </c>
      <c r="BW1323" s="5">
        <v>41166</v>
      </c>
      <c r="BX1323" s="5">
        <v>41156</v>
      </c>
      <c r="BY1323" s="5">
        <v>41167</v>
      </c>
      <c r="BZ1323" s="5">
        <v>41169</v>
      </c>
      <c r="CA1323" s="4"/>
      <c r="CB1323" s="4"/>
      <c r="CC1323" s="4"/>
      <c r="CD1323" s="4"/>
      <c r="CE1323" s="4"/>
      <c r="CF1323" s="4"/>
      <c r="CG1323" s="4"/>
      <c r="CH1323" s="4"/>
      <c r="CI1323" s="5">
        <v>41194</v>
      </c>
      <c r="CJ1323" s="5">
        <v>41228</v>
      </c>
      <c r="CK1323" s="5">
        <v>41227</v>
      </c>
      <c r="CL1323" s="5">
        <v>41241</v>
      </c>
      <c r="CM1323" s="5">
        <v>41222</v>
      </c>
      <c r="CN1323" s="5">
        <v>41420</v>
      </c>
      <c r="CO1323" s="5">
        <v>41399</v>
      </c>
      <c r="CP1323" s="4"/>
      <c r="CQ1323" s="4"/>
      <c r="CR1323" s="5">
        <v>41191</v>
      </c>
      <c r="CS1323" s="5">
        <v>41135</v>
      </c>
      <c r="CT1323" s="5">
        <v>41135</v>
      </c>
      <c r="CU1323" s="5">
        <v>41148</v>
      </c>
      <c r="CV1323" s="5">
        <v>41152</v>
      </c>
      <c r="CW1323" s="5">
        <v>41152</v>
      </c>
      <c r="CX1323" s="5">
        <v>41152</v>
      </c>
      <c r="CY1323" s="5">
        <v>41166</v>
      </c>
      <c r="CZ1323" s="5">
        <v>41193</v>
      </c>
      <c r="DA1323" s="5">
        <v>41200</v>
      </c>
      <c r="DB1323" s="5">
        <v>41197</v>
      </c>
      <c r="DC1323" s="5">
        <v>41018</v>
      </c>
      <c r="DD1323" s="4" t="s">
        <v>206</v>
      </c>
      <c r="DE1323" s="4" t="s">
        <v>3979</v>
      </c>
      <c r="DF1323" s="5">
        <v>41194</v>
      </c>
      <c r="DG1323" s="5">
        <v>41194</v>
      </c>
      <c r="DH1323" s="4" t="s">
        <v>174</v>
      </c>
      <c r="DI1323" s="5">
        <v>41156</v>
      </c>
      <c r="DJ1323" s="4" t="b">
        <v>0</v>
      </c>
      <c r="DK1323" s="4"/>
      <c r="DL1323" s="4">
        <v>2603962</v>
      </c>
      <c r="DM1323" s="4">
        <v>6238314</v>
      </c>
      <c r="DN1323" s="4" t="s">
        <v>3977</v>
      </c>
      <c r="DO1323" s="4"/>
      <c r="DP1323" s="4"/>
      <c r="DQ1323" s="4" t="s">
        <v>148</v>
      </c>
      <c r="DR1323" s="4"/>
      <c r="DS1323" s="4"/>
      <c r="DT1323" s="4"/>
      <c r="DU1323" s="4"/>
      <c r="DV1323" s="4"/>
      <c r="DW1323" s="4"/>
      <c r="DX1323" s="4"/>
      <c r="DY1323" s="4"/>
      <c r="DZ1323" s="4"/>
      <c r="EA1323" s="4"/>
      <c r="EB1323" s="4"/>
      <c r="EC1323" s="4"/>
      <c r="ED1323" s="4"/>
      <c r="EE1323" s="4"/>
      <c r="EF1323" s="4"/>
      <c r="EG1323" s="5">
        <v>41206</v>
      </c>
      <c r="EH1323" s="5">
        <v>41208</v>
      </c>
      <c r="EI1323" s="5">
        <v>41044</v>
      </c>
    </row>
    <row r="1324" spans="1:139" hidden="1" x14ac:dyDescent="0.2">
      <c r="A1324">
        <f>VLOOKUP(B1324,Sheet1!$A$1:$B$18,2,FALSE)</f>
        <v>0</v>
      </c>
      <c r="B1324" t="str">
        <f>LEFT(D1324,3)</f>
        <v>TNK</v>
      </c>
      <c r="C1324" s="2">
        <v>1323</v>
      </c>
      <c r="D1324" s="3" t="str">
        <f>HYPERLINK("https://sitebase.nzcomms.co.nz/spm/spmnominalview/TNK-033-002/","TNK-033-002")</f>
        <v>TNK-033-002</v>
      </c>
      <c r="E1324" s="4" t="s">
        <v>3978</v>
      </c>
      <c r="F1324" s="3" t="str">
        <f>HYPERLINK("https://sitebase.nzcomms.co.nz/spm/spmcandidateview/TNK-033-002-C/","TNK-033-002-C")</f>
        <v>TNK-033-002-C</v>
      </c>
      <c r="G1324" s="4" t="s">
        <v>3980</v>
      </c>
      <c r="H1324" s="4" t="s">
        <v>3978</v>
      </c>
      <c r="I1324" s="4">
        <v>6</v>
      </c>
      <c r="J1324" s="4" t="s">
        <v>180</v>
      </c>
      <c r="K1324" s="4" t="s">
        <v>141</v>
      </c>
      <c r="L1324" s="4" t="s">
        <v>181</v>
      </c>
      <c r="M1324" s="4" t="s">
        <v>190</v>
      </c>
      <c r="N1324" s="4" t="s">
        <v>181</v>
      </c>
      <c r="O1324" s="4"/>
      <c r="P1324" s="4" t="s">
        <v>169</v>
      </c>
      <c r="Q1324" s="4" t="s">
        <v>170</v>
      </c>
      <c r="R1324" s="4"/>
      <c r="S1324" s="4"/>
      <c r="T1324" s="4">
        <v>4</v>
      </c>
      <c r="U1324" s="4">
        <v>-39.05611536</v>
      </c>
      <c r="V1324" s="4">
        <v>174.07520642</v>
      </c>
      <c r="W1324" s="4"/>
      <c r="X1324" s="5">
        <v>40897</v>
      </c>
      <c r="Y1324" s="4"/>
      <c r="Z1324" s="5">
        <v>40221</v>
      </c>
      <c r="AA1324" s="4" t="s">
        <v>152</v>
      </c>
      <c r="AB1324" s="3" t="str">
        <f>HYPERLINK("https://sitebase.nzcomms.co.nz/spm/spmcandidateview/TNK-033-004-A/","TNK-033-004-A")</f>
        <v>TNK-033-004-A</v>
      </c>
      <c r="AC1324" s="4" t="b">
        <v>1</v>
      </c>
      <c r="AD1324" s="4" t="b">
        <v>1</v>
      </c>
      <c r="AE1324" s="4"/>
      <c r="AF1324" s="4"/>
      <c r="AG1324" s="4" t="b">
        <v>0</v>
      </c>
      <c r="AH1324" s="4"/>
      <c r="AI1324" s="5">
        <v>41030</v>
      </c>
      <c r="AJ1324" s="5">
        <v>41030</v>
      </c>
      <c r="AK1324" s="5">
        <v>41037</v>
      </c>
      <c r="AL1324" s="5">
        <v>41044</v>
      </c>
      <c r="AM1324" s="5">
        <v>41075</v>
      </c>
      <c r="AN1324" s="5">
        <v>41073</v>
      </c>
      <c r="AO1324" s="4">
        <v>2</v>
      </c>
      <c r="AP1324" s="5">
        <v>41075</v>
      </c>
      <c r="AQ1324" s="5">
        <v>41450</v>
      </c>
      <c r="AR1324" s="5">
        <v>41093</v>
      </c>
      <c r="AS1324" s="5">
        <v>41089</v>
      </c>
      <c r="AT1324" s="5">
        <v>41124</v>
      </c>
      <c r="AU1324" s="5">
        <v>41120</v>
      </c>
      <c r="AV1324" s="4"/>
      <c r="AW1324" s="5">
        <v>41210</v>
      </c>
      <c r="AX1324" s="5">
        <v>41225</v>
      </c>
      <c r="AY1324" s="4" t="s">
        <v>183</v>
      </c>
      <c r="AZ1324" s="5">
        <v>41080</v>
      </c>
      <c r="BA1324" s="5">
        <v>41085</v>
      </c>
      <c r="BB1324" s="5">
        <v>41110</v>
      </c>
      <c r="BC1324" s="5">
        <v>41137</v>
      </c>
      <c r="BD1324" s="4">
        <v>1</v>
      </c>
      <c r="BE1324" s="5">
        <v>41115</v>
      </c>
      <c r="BF1324" s="5">
        <v>41137</v>
      </c>
      <c r="BG1324" s="4"/>
      <c r="BH1324" s="4"/>
      <c r="BI1324" s="5">
        <v>41199</v>
      </c>
      <c r="BJ1324" s="5">
        <v>41206</v>
      </c>
      <c r="BK1324" s="4">
        <v>1</v>
      </c>
      <c r="BL1324" s="4"/>
      <c r="BM1324" s="5">
        <v>41199</v>
      </c>
      <c r="BN1324" s="5">
        <v>41206</v>
      </c>
      <c r="BO1324" s="5">
        <v>41176</v>
      </c>
      <c r="BP1324" s="4"/>
      <c r="BQ1324" s="4"/>
      <c r="BR1324" s="4"/>
      <c r="BS1324" s="4"/>
      <c r="BT1324" s="5">
        <v>41162</v>
      </c>
      <c r="BU1324" s="5">
        <v>41162</v>
      </c>
      <c r="BV1324" s="5">
        <v>41206</v>
      </c>
      <c r="BW1324" s="5">
        <v>41206</v>
      </c>
      <c r="BX1324" s="5">
        <v>41180</v>
      </c>
      <c r="BY1324" s="5">
        <v>41202</v>
      </c>
      <c r="BZ1324" s="5">
        <v>41205</v>
      </c>
      <c r="CA1324" s="4"/>
      <c r="CB1324" s="4"/>
      <c r="CC1324" s="4"/>
      <c r="CD1324" s="4"/>
      <c r="CE1324" s="4"/>
      <c r="CF1324" s="4"/>
      <c r="CG1324" s="4"/>
      <c r="CH1324" s="4"/>
      <c r="CI1324" s="5">
        <v>41205</v>
      </c>
      <c r="CJ1324" s="5">
        <v>41228</v>
      </c>
      <c r="CK1324" s="5">
        <v>41227</v>
      </c>
      <c r="CL1324" s="5">
        <v>41226</v>
      </c>
      <c r="CM1324" s="5">
        <v>41226</v>
      </c>
      <c r="CN1324" s="5">
        <v>41470</v>
      </c>
      <c r="CO1324" s="5">
        <v>41444</v>
      </c>
      <c r="CP1324" s="4"/>
      <c r="CQ1324" s="4"/>
      <c r="CR1324" s="5">
        <v>41198</v>
      </c>
      <c r="CS1324" s="4"/>
      <c r="CT1324" s="4"/>
      <c r="CU1324" s="5">
        <v>41173</v>
      </c>
      <c r="CV1324" s="5">
        <v>41173</v>
      </c>
      <c r="CW1324" s="5">
        <v>41176</v>
      </c>
      <c r="CX1324" s="5">
        <v>41176</v>
      </c>
      <c r="CY1324" s="5">
        <v>41194</v>
      </c>
      <c r="CZ1324" s="4"/>
      <c r="DA1324" s="5">
        <v>41206</v>
      </c>
      <c r="DB1324" s="5">
        <v>41206</v>
      </c>
      <c r="DC1324" s="5">
        <v>41019</v>
      </c>
      <c r="DD1324" s="4" t="s">
        <v>586</v>
      </c>
      <c r="DE1324" s="4" t="s">
        <v>3979</v>
      </c>
      <c r="DF1324" s="5">
        <v>41200</v>
      </c>
      <c r="DG1324" s="5">
        <v>41206</v>
      </c>
      <c r="DH1324" s="4" t="s">
        <v>174</v>
      </c>
      <c r="DI1324" s="5">
        <v>41185</v>
      </c>
      <c r="DJ1324" s="4" t="b">
        <v>0</v>
      </c>
      <c r="DK1324" s="4"/>
      <c r="DL1324" s="4">
        <v>2603118</v>
      </c>
      <c r="DM1324" s="4">
        <v>6238200</v>
      </c>
      <c r="DN1324" s="4" t="s">
        <v>3981</v>
      </c>
      <c r="DO1324" s="4"/>
      <c r="DP1324" s="4"/>
      <c r="DQ1324" s="4" t="s">
        <v>148</v>
      </c>
      <c r="DR1324" s="4"/>
      <c r="DS1324" s="4"/>
      <c r="DT1324" s="4"/>
      <c r="DU1324" s="4"/>
      <c r="DV1324" s="4"/>
      <c r="DW1324" s="4"/>
      <c r="DX1324" s="4"/>
      <c r="DY1324" s="4"/>
      <c r="DZ1324" s="4"/>
      <c r="EA1324" s="4"/>
      <c r="EB1324" s="4"/>
      <c r="EC1324" s="4"/>
      <c r="ED1324" s="4"/>
      <c r="EE1324" s="4"/>
      <c r="EF1324" s="4"/>
      <c r="EG1324" s="5">
        <v>41211</v>
      </c>
      <c r="EH1324" s="5">
        <v>41218</v>
      </c>
      <c r="EI1324" s="5">
        <v>41044</v>
      </c>
    </row>
    <row r="1325" spans="1:139" hidden="1" x14ac:dyDescent="0.2">
      <c r="A1325">
        <f>VLOOKUP(B1325,Sheet1!$A$1:$B$18,2,FALSE)</f>
        <v>0</v>
      </c>
      <c r="B1325" t="str">
        <f>LEFT(D1325,3)</f>
        <v>TNK</v>
      </c>
      <c r="C1325" s="2">
        <v>1324</v>
      </c>
      <c r="D1325" s="3" t="str">
        <f>HYPERLINK("https://sitebase.nzcomms.co.nz/spm/spmnominalview/TNK-033-003/","TNK-033-003")</f>
        <v>TNK-033-003</v>
      </c>
      <c r="E1325" s="4" t="s">
        <v>3982</v>
      </c>
      <c r="F1325" s="3" t="str">
        <f>HYPERLINK("https://sitebase.nzcomms.co.nz/spm/spmcandidateview/TNK-033-003-A/","TNK-033-003-A")</f>
        <v>TNK-033-003-A</v>
      </c>
      <c r="G1325" s="4" t="s">
        <v>3983</v>
      </c>
      <c r="H1325" s="4" t="s">
        <v>3978</v>
      </c>
      <c r="I1325" s="4">
        <v>6</v>
      </c>
      <c r="J1325" s="4" t="s">
        <v>180</v>
      </c>
      <c r="K1325" s="4" t="s">
        <v>141</v>
      </c>
      <c r="L1325" s="4" t="s">
        <v>150</v>
      </c>
      <c r="M1325" s="4" t="s">
        <v>190</v>
      </c>
      <c r="N1325" s="4" t="s">
        <v>291</v>
      </c>
      <c r="O1325" s="4"/>
      <c r="P1325" s="4" t="s">
        <v>169</v>
      </c>
      <c r="Q1325" s="4" t="s">
        <v>192</v>
      </c>
      <c r="R1325" s="4"/>
      <c r="S1325" s="4"/>
      <c r="T1325" s="4">
        <v>1</v>
      </c>
      <c r="U1325" s="4">
        <v>-39.049980089999998</v>
      </c>
      <c r="V1325" s="4">
        <v>174.09700165000001</v>
      </c>
      <c r="W1325" s="4"/>
      <c r="X1325" s="5">
        <v>40897</v>
      </c>
      <c r="Y1325" s="4"/>
      <c r="Z1325" s="5">
        <v>40221</v>
      </c>
      <c r="AA1325" s="4" t="s">
        <v>152</v>
      </c>
      <c r="AB1325" s="3" t="str">
        <f>HYPERLINK("https://sitebase.nzcomms.co.nz/spm/spmcandidateview/TNK-033-004-A/","TNK-033-004-A")</f>
        <v>TNK-033-004-A</v>
      </c>
      <c r="AC1325" s="4" t="b">
        <v>0</v>
      </c>
      <c r="AD1325" s="4" t="b">
        <v>0</v>
      </c>
      <c r="AE1325" s="4"/>
      <c r="AF1325" s="4"/>
      <c r="AG1325" s="4" t="b">
        <v>0</v>
      </c>
      <c r="AH1325" s="4"/>
      <c r="AI1325" s="5">
        <v>40960</v>
      </c>
      <c r="AJ1325" s="5">
        <v>40946</v>
      </c>
      <c r="AK1325" s="5">
        <v>40965</v>
      </c>
      <c r="AL1325" s="5">
        <v>40960</v>
      </c>
      <c r="AM1325" s="5">
        <v>40991</v>
      </c>
      <c r="AN1325" s="5">
        <v>41002</v>
      </c>
      <c r="AO1325" s="4">
        <v>1</v>
      </c>
      <c r="AP1325" s="5">
        <v>40991</v>
      </c>
      <c r="AQ1325" s="5">
        <v>41002</v>
      </c>
      <c r="AR1325" s="5">
        <v>41007</v>
      </c>
      <c r="AS1325" s="5">
        <v>41016</v>
      </c>
      <c r="AT1325" s="5">
        <v>41083</v>
      </c>
      <c r="AU1325" s="5">
        <v>41075</v>
      </c>
      <c r="AV1325" s="4">
        <v>1</v>
      </c>
      <c r="AW1325" s="5">
        <v>41083</v>
      </c>
      <c r="AX1325" s="5">
        <v>41075</v>
      </c>
      <c r="AY1325" s="4" t="s">
        <v>172</v>
      </c>
      <c r="AZ1325" s="5">
        <v>40998</v>
      </c>
      <c r="BA1325" s="5">
        <v>41015</v>
      </c>
      <c r="BB1325" s="5">
        <v>41047</v>
      </c>
      <c r="BC1325" s="5">
        <v>41036</v>
      </c>
      <c r="BD1325" s="4">
        <v>1</v>
      </c>
      <c r="BE1325" s="5">
        <v>41047</v>
      </c>
      <c r="BF1325" s="5">
        <v>41036</v>
      </c>
      <c r="BG1325" s="4"/>
      <c r="BH1325" s="4"/>
      <c r="BI1325" s="5">
        <v>41088</v>
      </c>
      <c r="BJ1325" s="5">
        <v>41122</v>
      </c>
      <c r="BK1325" s="4">
        <v>1</v>
      </c>
      <c r="BL1325" s="4"/>
      <c r="BM1325" s="5">
        <v>41122</v>
      </c>
      <c r="BN1325" s="5">
        <v>41122</v>
      </c>
      <c r="BO1325" s="5">
        <v>41145</v>
      </c>
      <c r="BP1325" s="4"/>
      <c r="BQ1325" s="4"/>
      <c r="BR1325" s="4"/>
      <c r="BS1325" s="4"/>
      <c r="BT1325" s="5">
        <v>41136</v>
      </c>
      <c r="BU1325" s="5">
        <v>41135</v>
      </c>
      <c r="BV1325" s="5">
        <v>41158</v>
      </c>
      <c r="BW1325" s="5">
        <v>41156</v>
      </c>
      <c r="BX1325" s="5">
        <v>41156</v>
      </c>
      <c r="BY1325" s="5">
        <v>41166</v>
      </c>
      <c r="BZ1325" s="5">
        <v>41166</v>
      </c>
      <c r="CA1325" s="4"/>
      <c r="CB1325" s="4"/>
      <c r="CC1325" s="4"/>
      <c r="CD1325" s="4"/>
      <c r="CE1325" s="4"/>
      <c r="CF1325" s="4"/>
      <c r="CG1325" s="4"/>
      <c r="CH1325" s="4"/>
      <c r="CI1325" s="5">
        <v>41194</v>
      </c>
      <c r="CJ1325" s="5">
        <v>41228</v>
      </c>
      <c r="CK1325" s="5">
        <v>41227</v>
      </c>
      <c r="CL1325" s="5">
        <v>41241</v>
      </c>
      <c r="CM1325" s="5">
        <v>41211</v>
      </c>
      <c r="CN1325" s="5">
        <v>41391</v>
      </c>
      <c r="CO1325" s="5">
        <v>41375</v>
      </c>
      <c r="CP1325" s="4"/>
      <c r="CQ1325" s="4"/>
      <c r="CR1325" s="5">
        <v>41192</v>
      </c>
      <c r="CS1325" s="5">
        <v>41142</v>
      </c>
      <c r="CT1325" s="5">
        <v>41145</v>
      </c>
      <c r="CU1325" s="5">
        <v>41146</v>
      </c>
      <c r="CV1325" s="5">
        <v>41152</v>
      </c>
      <c r="CW1325" s="5">
        <v>41132</v>
      </c>
      <c r="CX1325" s="5">
        <v>41145</v>
      </c>
      <c r="CY1325" s="5">
        <v>41166</v>
      </c>
      <c r="CZ1325" s="5">
        <v>41166</v>
      </c>
      <c r="DA1325" s="5">
        <v>41195</v>
      </c>
      <c r="DB1325" s="5">
        <v>41197</v>
      </c>
      <c r="DC1325" s="5">
        <v>40949</v>
      </c>
      <c r="DD1325" s="4" t="s">
        <v>206</v>
      </c>
      <c r="DE1325" s="4" t="s">
        <v>3979</v>
      </c>
      <c r="DF1325" s="5">
        <v>41168</v>
      </c>
      <c r="DG1325" s="5">
        <v>41166</v>
      </c>
      <c r="DH1325" s="4" t="s">
        <v>174</v>
      </c>
      <c r="DI1325" s="5">
        <v>41157</v>
      </c>
      <c r="DJ1325" s="4" t="b">
        <v>0</v>
      </c>
      <c r="DK1325" s="4"/>
      <c r="DL1325" s="4">
        <v>2605013</v>
      </c>
      <c r="DM1325" s="4">
        <v>6238857</v>
      </c>
      <c r="DN1325" s="4" t="s">
        <v>3984</v>
      </c>
      <c r="DO1325" s="4"/>
      <c r="DP1325" s="4" t="s">
        <v>3985</v>
      </c>
      <c r="DQ1325" s="4" t="s">
        <v>148</v>
      </c>
      <c r="DR1325" s="4"/>
      <c r="DS1325" s="4"/>
      <c r="DT1325" s="4"/>
      <c r="DU1325" s="4"/>
      <c r="DV1325" s="4"/>
      <c r="DW1325" s="4"/>
      <c r="DX1325" s="4"/>
      <c r="DY1325" s="4"/>
      <c r="DZ1325" s="4"/>
      <c r="EA1325" s="4"/>
      <c r="EB1325" s="4"/>
      <c r="EC1325" s="4"/>
      <c r="ED1325" s="4"/>
      <c r="EE1325" s="4"/>
      <c r="EF1325" s="4"/>
      <c r="EG1325" s="5">
        <v>41210</v>
      </c>
      <c r="EH1325" s="5">
        <v>41197</v>
      </c>
      <c r="EI1325" s="4"/>
    </row>
    <row r="1326" spans="1:139" hidden="1" x14ac:dyDescent="0.2">
      <c r="A1326">
        <f>VLOOKUP(B1326,Sheet1!$A$1:$B$18,2,FALSE)</f>
        <v>0</v>
      </c>
      <c r="B1326" t="str">
        <f>LEFT(D1326,3)</f>
        <v>TNK</v>
      </c>
      <c r="C1326" s="2">
        <v>1325</v>
      </c>
      <c r="D1326" s="3" t="str">
        <f>HYPERLINK("https://sitebase.nzcomms.co.nz/spm/spmnominalview/TNK-033-004/","TNK-033-004")</f>
        <v>TNK-033-004</v>
      </c>
      <c r="E1326" s="4" t="s">
        <v>3986</v>
      </c>
      <c r="F1326" s="3" t="str">
        <f>HYPERLINK("https://sitebase.nzcomms.co.nz/spm/spmcandidateview/TNK-033-004-A/","TNK-033-004-A")</f>
        <v>TNK-033-004-A</v>
      </c>
      <c r="G1326" s="4" t="s">
        <v>3987</v>
      </c>
      <c r="H1326" s="4" t="s">
        <v>3978</v>
      </c>
      <c r="I1326" s="4">
        <v>6</v>
      </c>
      <c r="J1326" s="4" t="s">
        <v>180</v>
      </c>
      <c r="K1326" s="4" t="s">
        <v>141</v>
      </c>
      <c r="L1326" s="4" t="s">
        <v>142</v>
      </c>
      <c r="M1326" s="4" t="s">
        <v>324</v>
      </c>
      <c r="N1326" s="4" t="s">
        <v>364</v>
      </c>
      <c r="O1326" s="4"/>
      <c r="P1326" s="4"/>
      <c r="Q1326" s="4" t="s">
        <v>142</v>
      </c>
      <c r="R1326" s="4"/>
      <c r="S1326" s="4"/>
      <c r="T1326" s="4"/>
      <c r="U1326" s="4">
        <v>-39.059988959999998</v>
      </c>
      <c r="V1326" s="4">
        <v>174.07707167999999</v>
      </c>
      <c r="W1326" s="4"/>
      <c r="X1326" s="4"/>
      <c r="Y1326" s="4"/>
      <c r="Z1326" s="5">
        <v>40221</v>
      </c>
      <c r="AA1326" s="4" t="s">
        <v>145</v>
      </c>
      <c r="AB1326" s="3" t="str">
        <f>HYPERLINK("https://sitebase.nzcomms.co.nz/spm/spmcandidateview/AKL-007-106-A/","AKL-007-106-A")</f>
        <v>AKL-007-106-A</v>
      </c>
      <c r="AC1326" s="4" t="b">
        <v>0</v>
      </c>
      <c r="AD1326" s="4" t="b">
        <v>0</v>
      </c>
      <c r="AE1326" s="4"/>
      <c r="AF1326" s="4"/>
      <c r="AG1326" s="4" t="b">
        <v>0</v>
      </c>
      <c r="AH1326" s="4"/>
      <c r="AI1326" s="4"/>
      <c r="AJ1326" s="5">
        <v>41044</v>
      </c>
      <c r="AK1326" s="4"/>
      <c r="AL1326" s="5">
        <v>41044</v>
      </c>
      <c r="AM1326" s="4"/>
      <c r="AN1326" s="5">
        <v>41214</v>
      </c>
      <c r="AO1326" s="4">
        <v>1</v>
      </c>
      <c r="AP1326" s="4"/>
      <c r="AQ1326" s="5">
        <v>41214</v>
      </c>
      <c r="AR1326" s="4"/>
      <c r="AS1326" s="5">
        <v>41136</v>
      </c>
      <c r="AT1326" s="4"/>
      <c r="AU1326" s="5">
        <v>41136</v>
      </c>
      <c r="AV1326" s="4"/>
      <c r="AW1326" s="4"/>
      <c r="AX1326" s="5">
        <v>41136</v>
      </c>
      <c r="AY1326" s="4"/>
      <c r="AZ1326" s="4"/>
      <c r="BA1326" s="5">
        <v>41214</v>
      </c>
      <c r="BB1326" s="4"/>
      <c r="BC1326" s="5">
        <v>41214</v>
      </c>
      <c r="BD1326" s="4">
        <v>1</v>
      </c>
      <c r="BE1326" s="4"/>
      <c r="BF1326" s="5">
        <v>41136</v>
      </c>
      <c r="BG1326" s="4"/>
      <c r="BH1326" s="4"/>
      <c r="BI1326" s="4"/>
      <c r="BJ1326" s="5">
        <v>41239</v>
      </c>
      <c r="BK1326" s="4">
        <v>1</v>
      </c>
      <c r="BL1326" s="4"/>
      <c r="BM1326" s="4"/>
      <c r="BN1326" s="5">
        <v>41239</v>
      </c>
      <c r="BO1326" s="4"/>
      <c r="BP1326" s="4"/>
      <c r="BQ1326" s="4"/>
      <c r="BR1326" s="4"/>
      <c r="BS1326" s="4"/>
      <c r="BT1326" s="5">
        <v>41157</v>
      </c>
      <c r="BU1326" s="5">
        <v>41156</v>
      </c>
      <c r="BV1326" s="4"/>
      <c r="BW1326" s="5">
        <v>41156</v>
      </c>
      <c r="BX1326" s="5">
        <v>41156</v>
      </c>
      <c r="BY1326" s="5">
        <v>41159</v>
      </c>
      <c r="BZ1326" s="5">
        <v>41159</v>
      </c>
      <c r="CA1326" s="4"/>
      <c r="CB1326" s="4"/>
      <c r="CC1326" s="4"/>
      <c r="CD1326" s="4"/>
      <c r="CE1326" s="4"/>
      <c r="CF1326" s="4"/>
      <c r="CG1326" s="4"/>
      <c r="CH1326" s="4"/>
      <c r="CI1326" s="5">
        <v>41190</v>
      </c>
      <c r="CJ1326" s="5">
        <v>41226</v>
      </c>
      <c r="CK1326" s="5">
        <v>41212</v>
      </c>
      <c r="CL1326" s="5">
        <v>41252</v>
      </c>
      <c r="CM1326" s="5">
        <v>41208</v>
      </c>
      <c r="CN1326" s="5">
        <v>41388</v>
      </c>
      <c r="CO1326" s="5">
        <v>41375</v>
      </c>
      <c r="CP1326" s="4"/>
      <c r="CQ1326" s="4" t="s">
        <v>205</v>
      </c>
      <c r="CR1326" s="5">
        <v>41190</v>
      </c>
      <c r="CS1326" s="4"/>
      <c r="CT1326" s="4"/>
      <c r="CU1326" s="5">
        <v>41152</v>
      </c>
      <c r="CV1326" s="4"/>
      <c r="CW1326" s="4"/>
      <c r="CX1326" s="4"/>
      <c r="CY1326" s="5">
        <v>41157</v>
      </c>
      <c r="CZ1326" s="5">
        <v>41162</v>
      </c>
      <c r="DA1326" s="5">
        <v>41200</v>
      </c>
      <c r="DB1326" s="5">
        <v>41194</v>
      </c>
      <c r="DC1326" s="4"/>
      <c r="DD1326" s="4"/>
      <c r="DE1326" s="4" t="s">
        <v>1982</v>
      </c>
      <c r="DF1326" s="5">
        <v>41167</v>
      </c>
      <c r="DG1326" s="5">
        <v>41159</v>
      </c>
      <c r="DH1326" s="4" t="s">
        <v>174</v>
      </c>
      <c r="DI1326" s="5">
        <v>41156</v>
      </c>
      <c r="DJ1326" s="4" t="b">
        <v>0</v>
      </c>
      <c r="DK1326" s="4"/>
      <c r="DL1326" s="4">
        <v>2603274</v>
      </c>
      <c r="DM1326" s="4">
        <v>6237768</v>
      </c>
      <c r="DN1326" s="4" t="s">
        <v>3988</v>
      </c>
      <c r="DO1326" s="4"/>
      <c r="DP1326" s="4"/>
      <c r="DQ1326" s="4" t="s">
        <v>328</v>
      </c>
      <c r="DR1326" s="4"/>
      <c r="DS1326" s="4"/>
      <c r="DT1326" s="4"/>
      <c r="DU1326" s="4"/>
      <c r="DV1326" s="4"/>
      <c r="DW1326" s="4"/>
      <c r="DX1326" s="4"/>
      <c r="DY1326" s="4"/>
      <c r="DZ1326" s="4"/>
      <c r="EA1326" s="4"/>
      <c r="EB1326" s="4"/>
      <c r="EC1326" s="4"/>
      <c r="ED1326" s="4"/>
      <c r="EE1326" s="4"/>
      <c r="EF1326" s="4"/>
      <c r="EG1326" s="5">
        <v>41210</v>
      </c>
      <c r="EH1326" s="5">
        <v>41194</v>
      </c>
      <c r="EI1326" s="4"/>
    </row>
    <row r="1327" spans="1:139" hidden="1" x14ac:dyDescent="0.2">
      <c r="A1327">
        <f>VLOOKUP(B1327,Sheet1!$A$1:$B$18,2,FALSE)</f>
        <v>0</v>
      </c>
      <c r="B1327" t="str">
        <f>LEFT(D1327,3)</f>
        <v>TNK</v>
      </c>
      <c r="C1327" s="2">
        <v>1326</v>
      </c>
      <c r="D1327" s="3" t="str">
        <f>HYPERLINK("https://sitebase.nzcomms.co.nz/spm/spmnominalview/TNK-033-005/","TNK-033-005")</f>
        <v>TNK-033-005</v>
      </c>
      <c r="E1327" s="4" t="s">
        <v>3989</v>
      </c>
      <c r="F1327" s="3" t="str">
        <f>HYPERLINK("https://sitebase.nzcomms.co.nz/spm/spmcandidateview/TNK-033-005-B/","TNK-033-005-B")</f>
        <v>TNK-033-005-B</v>
      </c>
      <c r="G1327" s="4" t="s">
        <v>3990</v>
      </c>
      <c r="H1327" s="4" t="s">
        <v>3978</v>
      </c>
      <c r="I1327" s="4">
        <v>6</v>
      </c>
      <c r="J1327" s="4" t="s">
        <v>180</v>
      </c>
      <c r="K1327" s="4" t="s">
        <v>141</v>
      </c>
      <c r="L1327" s="4" t="s">
        <v>189</v>
      </c>
      <c r="M1327" s="4" t="s">
        <v>190</v>
      </c>
      <c r="N1327" s="4" t="s">
        <v>274</v>
      </c>
      <c r="O1327" s="4"/>
      <c r="P1327" s="4" t="s">
        <v>182</v>
      </c>
      <c r="Q1327" s="4" t="s">
        <v>192</v>
      </c>
      <c r="R1327" s="4"/>
      <c r="S1327" s="4"/>
      <c r="T1327" s="4">
        <v>2</v>
      </c>
      <c r="U1327" s="4">
        <v>-39.068481990000002</v>
      </c>
      <c r="V1327" s="4">
        <v>174.08917048999999</v>
      </c>
      <c r="W1327" s="4"/>
      <c r="X1327" s="5">
        <v>40897</v>
      </c>
      <c r="Y1327" s="4"/>
      <c r="Z1327" s="5">
        <v>40221</v>
      </c>
      <c r="AA1327" s="4" t="s">
        <v>152</v>
      </c>
      <c r="AB1327" s="3" t="str">
        <f>HYPERLINK("https://sitebase.nzcomms.co.nz/spm/spmcandidateview/TNK-033-004-A/","TNK-033-004-A")</f>
        <v>TNK-033-004-A</v>
      </c>
      <c r="AC1327" s="4" t="b">
        <v>0</v>
      </c>
      <c r="AD1327" s="4" t="b">
        <v>0</v>
      </c>
      <c r="AE1327" s="4"/>
      <c r="AF1327" s="4"/>
      <c r="AG1327" s="4" t="b">
        <v>0</v>
      </c>
      <c r="AH1327" s="4"/>
      <c r="AI1327" s="4"/>
      <c r="AJ1327" s="5">
        <v>41144</v>
      </c>
      <c r="AK1327" s="5">
        <v>41185</v>
      </c>
      <c r="AL1327" s="5">
        <v>41185</v>
      </c>
      <c r="AM1327" s="5">
        <v>41248</v>
      </c>
      <c r="AN1327" s="5">
        <v>41228</v>
      </c>
      <c r="AO1327" s="4">
        <v>2</v>
      </c>
      <c r="AP1327" s="5">
        <v>41248</v>
      </c>
      <c r="AQ1327" s="5">
        <v>41310</v>
      </c>
      <c r="AR1327" s="5">
        <v>41333</v>
      </c>
      <c r="AS1327" s="5">
        <v>41319</v>
      </c>
      <c r="AT1327" s="5">
        <v>41333</v>
      </c>
      <c r="AU1327" s="5">
        <v>41319</v>
      </c>
      <c r="AV1327" s="4">
        <v>1</v>
      </c>
      <c r="AW1327" s="5">
        <v>41333</v>
      </c>
      <c r="AX1327" s="5">
        <v>41319</v>
      </c>
      <c r="AY1327" s="4" t="s">
        <v>172</v>
      </c>
      <c r="AZ1327" s="5">
        <v>41246</v>
      </c>
      <c r="BA1327" s="5">
        <v>41290</v>
      </c>
      <c r="BB1327" s="5">
        <v>41323</v>
      </c>
      <c r="BC1327" s="5">
        <v>41323</v>
      </c>
      <c r="BD1327" s="4">
        <v>2</v>
      </c>
      <c r="BE1327" s="5">
        <v>41323</v>
      </c>
      <c r="BF1327" s="5">
        <v>41323</v>
      </c>
      <c r="BG1327" s="4"/>
      <c r="BH1327" s="4"/>
      <c r="BI1327" s="5">
        <v>41306</v>
      </c>
      <c r="BJ1327" s="5">
        <v>41309</v>
      </c>
      <c r="BK1327" s="4">
        <v>1</v>
      </c>
      <c r="BL1327" s="4"/>
      <c r="BM1327" s="5">
        <v>41306</v>
      </c>
      <c r="BN1327" s="5">
        <v>41309</v>
      </c>
      <c r="BO1327" s="5">
        <v>41348</v>
      </c>
      <c r="BP1327" s="4"/>
      <c r="BQ1327" s="4"/>
      <c r="BR1327" s="5">
        <v>41254</v>
      </c>
      <c r="BS1327" s="4"/>
      <c r="BT1327" s="5">
        <v>41305</v>
      </c>
      <c r="BU1327" s="5">
        <v>41309</v>
      </c>
      <c r="BV1327" s="5">
        <v>41327</v>
      </c>
      <c r="BW1327" s="5">
        <v>41348</v>
      </c>
      <c r="BX1327" s="5">
        <v>41348</v>
      </c>
      <c r="BY1327" s="5">
        <v>41327</v>
      </c>
      <c r="BZ1327" s="5">
        <v>41344</v>
      </c>
      <c r="CA1327" s="4"/>
      <c r="CB1327" s="4"/>
      <c r="CC1327" s="4"/>
      <c r="CD1327" s="4"/>
      <c r="CE1327" s="4"/>
      <c r="CF1327" s="4"/>
      <c r="CG1327" s="4"/>
      <c r="CH1327" s="4"/>
      <c r="CI1327" s="5">
        <v>41341</v>
      </c>
      <c r="CJ1327" s="5">
        <v>41348</v>
      </c>
      <c r="CK1327" s="5">
        <v>41346</v>
      </c>
      <c r="CL1327" s="5">
        <v>41362</v>
      </c>
      <c r="CM1327" s="5">
        <v>41358</v>
      </c>
      <c r="CN1327" s="5">
        <v>41478</v>
      </c>
      <c r="CO1327" s="5">
        <v>41464</v>
      </c>
      <c r="CP1327" s="4"/>
      <c r="CQ1327" s="4"/>
      <c r="CR1327" s="5">
        <v>41327</v>
      </c>
      <c r="CS1327" s="4"/>
      <c r="CT1327" s="4"/>
      <c r="CU1327" s="4"/>
      <c r="CV1327" s="4"/>
      <c r="CW1327" s="5">
        <v>41306</v>
      </c>
      <c r="CX1327" s="5">
        <v>41348</v>
      </c>
      <c r="CY1327" s="5">
        <v>41326</v>
      </c>
      <c r="CZ1327" s="4"/>
      <c r="DA1327" s="5">
        <v>41343</v>
      </c>
      <c r="DB1327" s="5">
        <v>41341</v>
      </c>
      <c r="DC1327" s="5">
        <v>40949</v>
      </c>
      <c r="DD1327" s="4" t="s">
        <v>206</v>
      </c>
      <c r="DE1327" s="4" t="s">
        <v>3979</v>
      </c>
      <c r="DF1327" s="5">
        <v>41330</v>
      </c>
      <c r="DG1327" s="5">
        <v>41330</v>
      </c>
      <c r="DH1327" s="4" t="s">
        <v>174</v>
      </c>
      <c r="DI1327" s="5">
        <v>41325</v>
      </c>
      <c r="DJ1327" s="4" t="b">
        <v>1</v>
      </c>
      <c r="DK1327" s="5">
        <v>41232</v>
      </c>
      <c r="DL1327" s="4">
        <v>2604309</v>
      </c>
      <c r="DM1327" s="4">
        <v>6236812</v>
      </c>
      <c r="DN1327" s="4" t="s">
        <v>3991</v>
      </c>
      <c r="DO1327" s="4"/>
      <c r="DP1327" s="4"/>
      <c r="DQ1327" s="4" t="s">
        <v>148</v>
      </c>
      <c r="DR1327" s="4"/>
      <c r="DS1327" s="4"/>
      <c r="DT1327" s="4"/>
      <c r="DU1327" s="4"/>
      <c r="DV1327" s="4"/>
      <c r="DW1327" s="4"/>
      <c r="DX1327" s="4"/>
      <c r="DY1327" s="4"/>
      <c r="DZ1327" s="4"/>
      <c r="EA1327" s="4"/>
      <c r="EB1327" s="4"/>
      <c r="EC1327" s="4"/>
      <c r="ED1327" s="4"/>
      <c r="EE1327" s="4"/>
      <c r="EF1327" s="4"/>
      <c r="EG1327" s="5">
        <v>41334</v>
      </c>
      <c r="EH1327" s="5">
        <v>41345</v>
      </c>
      <c r="EI1327" s="4"/>
    </row>
    <row r="1328" spans="1:139" hidden="1" x14ac:dyDescent="0.2">
      <c r="A1328">
        <f>VLOOKUP(B1328,Sheet1!$A$1:$B$18,2,FALSE)</f>
        <v>0</v>
      </c>
      <c r="B1328" t="str">
        <f>LEFT(D1328,3)</f>
        <v>TNK</v>
      </c>
      <c r="C1328" s="2">
        <v>1327</v>
      </c>
      <c r="D1328" s="3" t="str">
        <f>HYPERLINK("https://sitebase.nzcomms.co.nz/spm/spmnominalview/TNK-033-006/","TNK-033-006")</f>
        <v>TNK-033-006</v>
      </c>
      <c r="E1328" s="4" t="s">
        <v>3992</v>
      </c>
      <c r="F1328" s="3" t="str">
        <f>HYPERLINK("https://sitebase.nzcomms.co.nz/spm/spmcandidateview/TNK-033-006-A/","TNK-033-006-A")</f>
        <v>TNK-033-006-A</v>
      </c>
      <c r="G1328" s="4" t="s">
        <v>3993</v>
      </c>
      <c r="H1328" s="4" t="s">
        <v>3978</v>
      </c>
      <c r="I1328" s="4">
        <v>6</v>
      </c>
      <c r="J1328" s="4" t="s">
        <v>180</v>
      </c>
      <c r="K1328" s="4" t="s">
        <v>141</v>
      </c>
      <c r="L1328" s="4" t="s">
        <v>150</v>
      </c>
      <c r="M1328" s="4" t="s">
        <v>190</v>
      </c>
      <c r="N1328" s="4" t="s">
        <v>291</v>
      </c>
      <c r="O1328" s="4"/>
      <c r="P1328" s="4" t="s">
        <v>169</v>
      </c>
      <c r="Q1328" s="4" t="s">
        <v>192</v>
      </c>
      <c r="R1328" s="4"/>
      <c r="S1328" s="4"/>
      <c r="T1328" s="4">
        <v>1</v>
      </c>
      <c r="U1328" s="4">
        <v>-39.081311720000002</v>
      </c>
      <c r="V1328" s="4">
        <v>174.08637512000001</v>
      </c>
      <c r="W1328" s="4"/>
      <c r="X1328" s="5">
        <v>40897</v>
      </c>
      <c r="Y1328" s="4"/>
      <c r="Z1328" s="5">
        <v>40221</v>
      </c>
      <c r="AA1328" s="4" t="s">
        <v>152</v>
      </c>
      <c r="AB1328" s="3" t="str">
        <f>HYPERLINK("https://sitebase.nzcomms.co.nz/spm/spmcandidateview/TNK-033-004-A/","TNK-033-004-A")</f>
        <v>TNK-033-004-A</v>
      </c>
      <c r="AC1328" s="4" t="b">
        <v>0</v>
      </c>
      <c r="AD1328" s="4" t="b">
        <v>0</v>
      </c>
      <c r="AE1328" s="4"/>
      <c r="AF1328" s="4"/>
      <c r="AG1328" s="4" t="b">
        <v>0</v>
      </c>
      <c r="AH1328" s="4"/>
      <c r="AI1328" s="5">
        <v>40966</v>
      </c>
      <c r="AJ1328" s="5">
        <v>40966</v>
      </c>
      <c r="AK1328" s="5">
        <v>40969</v>
      </c>
      <c r="AL1328" s="5">
        <v>40969</v>
      </c>
      <c r="AM1328" s="5">
        <v>41026</v>
      </c>
      <c r="AN1328" s="5">
        <v>41033</v>
      </c>
      <c r="AO1328" s="4">
        <v>2</v>
      </c>
      <c r="AP1328" s="5">
        <v>41029</v>
      </c>
      <c r="AQ1328" s="5">
        <v>41088</v>
      </c>
      <c r="AR1328" s="5">
        <v>41110</v>
      </c>
      <c r="AS1328" s="5">
        <v>41093</v>
      </c>
      <c r="AT1328" s="5">
        <v>41110</v>
      </c>
      <c r="AU1328" s="5">
        <v>41128</v>
      </c>
      <c r="AV1328" s="4">
        <v>2</v>
      </c>
      <c r="AW1328" s="5">
        <v>41110</v>
      </c>
      <c r="AX1328" s="5">
        <v>41128</v>
      </c>
      <c r="AY1328" s="4" t="s">
        <v>172</v>
      </c>
      <c r="AZ1328" s="5">
        <v>41036</v>
      </c>
      <c r="BA1328" s="5">
        <v>41036</v>
      </c>
      <c r="BB1328" s="5">
        <v>41110</v>
      </c>
      <c r="BC1328" s="5">
        <v>41101</v>
      </c>
      <c r="BD1328" s="4">
        <v>1</v>
      </c>
      <c r="BE1328" s="5">
        <v>41110</v>
      </c>
      <c r="BF1328" s="5">
        <v>41101</v>
      </c>
      <c r="BG1328" s="4"/>
      <c r="BH1328" s="4"/>
      <c r="BI1328" s="5">
        <v>41159</v>
      </c>
      <c r="BJ1328" s="5">
        <v>41162</v>
      </c>
      <c r="BK1328" s="4">
        <v>1</v>
      </c>
      <c r="BL1328" s="4"/>
      <c r="BM1328" s="5">
        <v>41159</v>
      </c>
      <c r="BN1328" s="5">
        <v>41162</v>
      </c>
      <c r="BO1328" s="5">
        <v>41166</v>
      </c>
      <c r="BP1328" s="4"/>
      <c r="BQ1328" s="4"/>
      <c r="BR1328" s="4"/>
      <c r="BS1328" s="4"/>
      <c r="BT1328" s="5">
        <v>41157</v>
      </c>
      <c r="BU1328" s="5">
        <v>41158</v>
      </c>
      <c r="BV1328" s="5">
        <v>41201</v>
      </c>
      <c r="BW1328" s="5">
        <v>41197</v>
      </c>
      <c r="BX1328" s="5">
        <v>41194</v>
      </c>
      <c r="BY1328" s="5">
        <v>41199</v>
      </c>
      <c r="BZ1328" s="5">
        <v>41197</v>
      </c>
      <c r="CA1328" s="4"/>
      <c r="CB1328" s="4"/>
      <c r="CC1328" s="4"/>
      <c r="CD1328" s="4"/>
      <c r="CE1328" s="4"/>
      <c r="CF1328" s="4"/>
      <c r="CG1328" s="4"/>
      <c r="CH1328" s="4"/>
      <c r="CI1328" s="5">
        <v>41198</v>
      </c>
      <c r="CJ1328" s="5">
        <v>41228</v>
      </c>
      <c r="CK1328" s="5">
        <v>41227</v>
      </c>
      <c r="CL1328" s="5">
        <v>41226</v>
      </c>
      <c r="CM1328" s="5">
        <v>41226</v>
      </c>
      <c r="CN1328" s="5">
        <v>41440</v>
      </c>
      <c r="CO1328" s="5">
        <v>41431</v>
      </c>
      <c r="CP1328" s="4"/>
      <c r="CQ1328" s="4"/>
      <c r="CR1328" s="5">
        <v>41200</v>
      </c>
      <c r="CS1328" s="5">
        <v>41132</v>
      </c>
      <c r="CT1328" s="5">
        <v>41132</v>
      </c>
      <c r="CU1328" s="5">
        <v>41166</v>
      </c>
      <c r="CV1328" s="5">
        <v>41166</v>
      </c>
      <c r="CW1328" s="5">
        <v>41185</v>
      </c>
      <c r="CX1328" s="5">
        <v>41166</v>
      </c>
      <c r="CY1328" s="5">
        <v>41198</v>
      </c>
      <c r="CZ1328" s="5">
        <v>41197</v>
      </c>
      <c r="DA1328" s="5">
        <v>41201</v>
      </c>
      <c r="DB1328" s="5">
        <v>41201</v>
      </c>
      <c r="DC1328" s="5">
        <v>40949</v>
      </c>
      <c r="DD1328" s="4" t="s">
        <v>586</v>
      </c>
      <c r="DE1328" s="4" t="s">
        <v>3979</v>
      </c>
      <c r="DF1328" s="5">
        <v>41197</v>
      </c>
      <c r="DG1328" s="5">
        <v>41198</v>
      </c>
      <c r="DH1328" s="4" t="s">
        <v>174</v>
      </c>
      <c r="DI1328" s="5">
        <v>41196</v>
      </c>
      <c r="DJ1328" s="4" t="b">
        <v>0</v>
      </c>
      <c r="DK1328" s="4"/>
      <c r="DL1328" s="4">
        <v>2604049</v>
      </c>
      <c r="DM1328" s="4">
        <v>6235391</v>
      </c>
      <c r="DN1328" s="4" t="s">
        <v>3978</v>
      </c>
      <c r="DO1328" s="4"/>
      <c r="DP1328" s="4" t="s">
        <v>3994</v>
      </c>
      <c r="DQ1328" s="4" t="s">
        <v>148</v>
      </c>
      <c r="DR1328" s="4"/>
      <c r="DS1328" s="4"/>
      <c r="DT1328" s="4"/>
      <c r="DU1328" s="4"/>
      <c r="DV1328" s="4"/>
      <c r="DW1328" s="4"/>
      <c r="DX1328" s="4"/>
      <c r="DY1328" s="4"/>
      <c r="DZ1328" s="4"/>
      <c r="EA1328" s="4"/>
      <c r="EB1328" s="4"/>
      <c r="EC1328" s="4"/>
      <c r="ED1328" s="4"/>
      <c r="EE1328" s="4"/>
      <c r="EF1328" s="4"/>
      <c r="EG1328" s="5">
        <v>41210</v>
      </c>
      <c r="EH1328" s="5">
        <v>41213</v>
      </c>
      <c r="EI1328" s="4"/>
    </row>
    <row r="1329" spans="1:139" hidden="1" x14ac:dyDescent="0.2">
      <c r="A1329">
        <f>VLOOKUP(B1329,Sheet1!$A$1:$B$18,2,FALSE)</f>
        <v>0</v>
      </c>
      <c r="B1329" t="str">
        <f>LEFT(D1329,3)</f>
        <v>TNK</v>
      </c>
      <c r="C1329" s="2">
        <v>1328</v>
      </c>
      <c r="D1329" s="3" t="str">
        <f>HYPERLINK("https://sitebase.nzcomms.co.nz/spm/spmnominalview/TNK-033-007/","TNK-033-007")</f>
        <v>TNK-033-007</v>
      </c>
      <c r="E1329" s="4" t="s">
        <v>3995</v>
      </c>
      <c r="F1329" s="3" t="str">
        <f>HYPERLINK("https://sitebase.nzcomms.co.nz/spm/spmcandidateview/TNK-033-007-A/","TNK-033-007-A")</f>
        <v>TNK-033-007-A</v>
      </c>
      <c r="G1329" s="4" t="s">
        <v>3996</v>
      </c>
      <c r="H1329" s="4" t="s">
        <v>3978</v>
      </c>
      <c r="I1329" s="4">
        <v>6</v>
      </c>
      <c r="J1329" s="4" t="s">
        <v>180</v>
      </c>
      <c r="K1329" s="4" t="s">
        <v>141</v>
      </c>
      <c r="L1329" s="4" t="s">
        <v>150</v>
      </c>
      <c r="M1329" s="4" t="s">
        <v>190</v>
      </c>
      <c r="N1329" s="4" t="s">
        <v>291</v>
      </c>
      <c r="O1329" s="4"/>
      <c r="P1329" s="4" t="s">
        <v>169</v>
      </c>
      <c r="Q1329" s="4" t="s">
        <v>192</v>
      </c>
      <c r="R1329" s="4"/>
      <c r="S1329" s="4"/>
      <c r="T1329" s="4">
        <v>1</v>
      </c>
      <c r="U1329" s="4">
        <v>-39.071252459999997</v>
      </c>
      <c r="V1329" s="4">
        <v>174.06488786</v>
      </c>
      <c r="W1329" s="4"/>
      <c r="X1329" s="5">
        <v>40897</v>
      </c>
      <c r="Y1329" s="4"/>
      <c r="Z1329" s="5">
        <v>40221</v>
      </c>
      <c r="AA1329" s="4" t="s">
        <v>171</v>
      </c>
      <c r="AB1329" s="3" t="str">
        <f>HYPERLINK("https://sitebase.nzcomms.co.nz/spm/spmcandidateview/TNK-033-001-A/","TNK-033-001-A")</f>
        <v>TNK-033-001-A</v>
      </c>
      <c r="AC1329" s="4" t="b">
        <v>0</v>
      </c>
      <c r="AD1329" s="4" t="b">
        <v>0</v>
      </c>
      <c r="AE1329" s="4"/>
      <c r="AF1329" s="4"/>
      <c r="AG1329" s="4" t="b">
        <v>0</v>
      </c>
      <c r="AH1329" s="4"/>
      <c r="AI1329" s="5">
        <v>40966</v>
      </c>
      <c r="AJ1329" s="5">
        <v>40966</v>
      </c>
      <c r="AK1329" s="5">
        <v>40969</v>
      </c>
      <c r="AL1329" s="5">
        <v>40969</v>
      </c>
      <c r="AM1329" s="5">
        <v>41026</v>
      </c>
      <c r="AN1329" s="5">
        <v>41044</v>
      </c>
      <c r="AO1329" s="4">
        <v>1</v>
      </c>
      <c r="AP1329" s="5">
        <v>41029</v>
      </c>
      <c r="AQ1329" s="5">
        <v>41044</v>
      </c>
      <c r="AR1329" s="5">
        <v>41110</v>
      </c>
      <c r="AS1329" s="5">
        <v>41101</v>
      </c>
      <c r="AT1329" s="5">
        <v>41141</v>
      </c>
      <c r="AU1329" s="5">
        <v>41137</v>
      </c>
      <c r="AV1329" s="4">
        <v>1</v>
      </c>
      <c r="AW1329" s="5">
        <v>41141</v>
      </c>
      <c r="AX1329" s="5">
        <v>41137</v>
      </c>
      <c r="AY1329" s="4" t="s">
        <v>172</v>
      </c>
      <c r="AZ1329" s="5">
        <v>41036</v>
      </c>
      <c r="BA1329" s="5">
        <v>41044</v>
      </c>
      <c r="BB1329" s="5">
        <v>41082</v>
      </c>
      <c r="BC1329" s="5">
        <v>41078</v>
      </c>
      <c r="BD1329" s="4">
        <v>1</v>
      </c>
      <c r="BE1329" s="5">
        <v>41082</v>
      </c>
      <c r="BF1329" s="5">
        <v>41078</v>
      </c>
      <c r="BG1329" s="4"/>
      <c r="BH1329" s="4"/>
      <c r="BI1329" s="5">
        <v>41163</v>
      </c>
      <c r="BJ1329" s="5">
        <v>41173</v>
      </c>
      <c r="BK1329" s="4">
        <v>1</v>
      </c>
      <c r="BL1329" s="4"/>
      <c r="BM1329" s="5">
        <v>41163</v>
      </c>
      <c r="BN1329" s="5">
        <v>41173</v>
      </c>
      <c r="BO1329" s="5">
        <v>41166</v>
      </c>
      <c r="BP1329" s="4"/>
      <c r="BQ1329" s="4"/>
      <c r="BR1329" s="4"/>
      <c r="BS1329" s="4"/>
      <c r="BT1329" s="5">
        <v>41157</v>
      </c>
      <c r="BU1329" s="5">
        <v>41158</v>
      </c>
      <c r="BV1329" s="5">
        <v>41187</v>
      </c>
      <c r="BW1329" s="5">
        <v>41184</v>
      </c>
      <c r="BX1329" s="5">
        <v>41179</v>
      </c>
      <c r="BY1329" s="5">
        <v>41215</v>
      </c>
      <c r="BZ1329" s="5">
        <v>41220</v>
      </c>
      <c r="CA1329" s="4"/>
      <c r="CB1329" s="4"/>
      <c r="CC1329" s="4"/>
      <c r="CD1329" s="5">
        <v>40952</v>
      </c>
      <c r="CE1329" s="4"/>
      <c r="CF1329" s="4"/>
      <c r="CG1329" s="4"/>
      <c r="CH1329" s="4"/>
      <c r="CI1329" s="5">
        <v>41220</v>
      </c>
      <c r="CJ1329" s="5">
        <v>41258</v>
      </c>
      <c r="CK1329" s="5">
        <v>41227</v>
      </c>
      <c r="CL1329" s="5">
        <v>41275</v>
      </c>
      <c r="CM1329" s="5">
        <v>41240</v>
      </c>
      <c r="CN1329" s="5">
        <v>41532</v>
      </c>
      <c r="CO1329" s="5">
        <v>41570</v>
      </c>
      <c r="CP1329" s="4"/>
      <c r="CQ1329" s="4"/>
      <c r="CR1329" s="5">
        <v>41219</v>
      </c>
      <c r="CS1329" s="5">
        <v>41132</v>
      </c>
      <c r="CT1329" s="5">
        <v>41132</v>
      </c>
      <c r="CU1329" s="5">
        <v>41166</v>
      </c>
      <c r="CV1329" s="4"/>
      <c r="CW1329" s="5">
        <v>41166</v>
      </c>
      <c r="CX1329" s="5">
        <v>41166</v>
      </c>
      <c r="CY1329" s="5">
        <v>41197</v>
      </c>
      <c r="CZ1329" s="5">
        <v>41197</v>
      </c>
      <c r="DA1329" s="5">
        <v>41223</v>
      </c>
      <c r="DB1329" s="5">
        <v>41221</v>
      </c>
      <c r="DC1329" s="5">
        <v>40949</v>
      </c>
      <c r="DD1329" s="4" t="s">
        <v>206</v>
      </c>
      <c r="DE1329" s="4" t="s">
        <v>3979</v>
      </c>
      <c r="DF1329" s="4"/>
      <c r="DG1329" s="4"/>
      <c r="DH1329" s="4" t="s">
        <v>174</v>
      </c>
      <c r="DI1329" s="5">
        <v>41178</v>
      </c>
      <c r="DJ1329" s="4" t="b">
        <v>0</v>
      </c>
      <c r="DK1329" s="4"/>
      <c r="DL1329" s="4">
        <v>2602204</v>
      </c>
      <c r="DM1329" s="4">
        <v>6236531</v>
      </c>
      <c r="DN1329" s="4" t="s">
        <v>3997</v>
      </c>
      <c r="DO1329" s="4"/>
      <c r="DP1329" s="4" t="s">
        <v>3998</v>
      </c>
      <c r="DQ1329" s="4" t="s">
        <v>148</v>
      </c>
      <c r="DR1329" s="4"/>
      <c r="DS1329" s="4"/>
      <c r="DT1329" s="4"/>
      <c r="DU1329" s="4"/>
      <c r="DV1329" s="4"/>
      <c r="DW1329" s="4"/>
      <c r="DX1329" s="4"/>
      <c r="DY1329" s="4"/>
      <c r="DZ1329" s="4"/>
      <c r="EA1329" s="4"/>
      <c r="EB1329" s="4"/>
      <c r="EC1329" s="4"/>
      <c r="ED1329" s="4"/>
      <c r="EE1329" s="4"/>
      <c r="EF1329" s="4"/>
      <c r="EG1329" s="5">
        <v>41227</v>
      </c>
      <c r="EH1329" s="5">
        <v>41226</v>
      </c>
      <c r="EI1329" s="4"/>
    </row>
    <row r="1330" spans="1:139" hidden="1" x14ac:dyDescent="0.2">
      <c r="A1330">
        <f>VLOOKUP(B1330,Sheet1!$A$1:$B$18,2,FALSE)</f>
        <v>0</v>
      </c>
      <c r="B1330" t="str">
        <f>LEFT(D1330,3)</f>
        <v>TNK</v>
      </c>
      <c r="C1330" s="2">
        <v>1329</v>
      </c>
      <c r="D1330" s="3" t="str">
        <f>HYPERLINK("https://sitebase.nzcomms.co.nz/spm/spmnominalview/TNK-033-008/","TNK-033-008")</f>
        <v>TNK-033-008</v>
      </c>
      <c r="E1330" s="4" t="s">
        <v>3999</v>
      </c>
      <c r="F1330" s="3" t="str">
        <f>HYPERLINK("https://sitebase.nzcomms.co.nz/spm/spmcandidateview/TNK-033-008-B/","TNK-033-008-B")</f>
        <v>TNK-033-008-B</v>
      </c>
      <c r="G1330" s="4" t="s">
        <v>4000</v>
      </c>
      <c r="H1330" s="4" t="s">
        <v>3978</v>
      </c>
      <c r="I1330" s="4">
        <v>6</v>
      </c>
      <c r="J1330" s="4" t="s">
        <v>180</v>
      </c>
      <c r="K1330" s="4" t="s">
        <v>141</v>
      </c>
      <c r="L1330" s="4" t="s">
        <v>142</v>
      </c>
      <c r="M1330" s="4" t="s">
        <v>190</v>
      </c>
      <c r="N1330" s="4" t="s">
        <v>1986</v>
      </c>
      <c r="O1330" s="4"/>
      <c r="P1330" s="4" t="s">
        <v>169</v>
      </c>
      <c r="Q1330" s="4" t="s">
        <v>142</v>
      </c>
      <c r="R1330" s="4"/>
      <c r="S1330" s="4"/>
      <c r="T1330" s="4">
        <v>1</v>
      </c>
      <c r="U1330" s="4">
        <v>-39.069570570000003</v>
      </c>
      <c r="V1330" s="4">
        <v>174.04026793</v>
      </c>
      <c r="W1330" s="4"/>
      <c r="X1330" s="5">
        <v>40897</v>
      </c>
      <c r="Y1330" s="4"/>
      <c r="Z1330" s="5">
        <v>40221</v>
      </c>
      <c r="AA1330" s="4" t="s">
        <v>152</v>
      </c>
      <c r="AB1330" s="3" t="str">
        <f>HYPERLINK("https://sitebase.nzcomms.co.nz/spm/spmcandidateview/TNK-033-004-A/","TNK-033-004-A")</f>
        <v>TNK-033-004-A</v>
      </c>
      <c r="AC1330" s="4" t="b">
        <v>0</v>
      </c>
      <c r="AD1330" s="4" t="b">
        <v>0</v>
      </c>
      <c r="AE1330" s="4"/>
      <c r="AF1330" s="4"/>
      <c r="AG1330" s="4" t="b">
        <v>0</v>
      </c>
      <c r="AH1330" s="4"/>
      <c r="AI1330" s="5">
        <v>40960</v>
      </c>
      <c r="AJ1330" s="5">
        <v>40946</v>
      </c>
      <c r="AK1330" s="5">
        <v>40965</v>
      </c>
      <c r="AL1330" s="5">
        <v>40960</v>
      </c>
      <c r="AM1330" s="5">
        <v>41033</v>
      </c>
      <c r="AN1330" s="5">
        <v>41080</v>
      </c>
      <c r="AO1330" s="4">
        <v>1</v>
      </c>
      <c r="AP1330" s="5">
        <v>41033</v>
      </c>
      <c r="AQ1330" s="5">
        <v>41080</v>
      </c>
      <c r="AR1330" s="5">
        <v>41151</v>
      </c>
      <c r="AS1330" s="5">
        <v>41149</v>
      </c>
      <c r="AT1330" s="5">
        <v>41156</v>
      </c>
      <c r="AU1330" s="5">
        <v>41157</v>
      </c>
      <c r="AV1330" s="4"/>
      <c r="AW1330" s="5">
        <v>41730</v>
      </c>
      <c r="AX1330" s="4"/>
      <c r="AY1330" s="4" t="s">
        <v>183</v>
      </c>
      <c r="AZ1330" s="5">
        <v>41036</v>
      </c>
      <c r="BA1330" s="5">
        <v>41036</v>
      </c>
      <c r="BB1330" s="5">
        <v>41164</v>
      </c>
      <c r="BC1330" s="5">
        <v>41161</v>
      </c>
      <c r="BD1330" s="4">
        <v>1</v>
      </c>
      <c r="BE1330" s="5">
        <v>41164</v>
      </c>
      <c r="BF1330" s="5">
        <v>41161</v>
      </c>
      <c r="BG1330" s="4"/>
      <c r="BH1330" s="4"/>
      <c r="BI1330" s="5">
        <v>41199</v>
      </c>
      <c r="BJ1330" s="5">
        <v>41205</v>
      </c>
      <c r="BK1330" s="4">
        <v>1</v>
      </c>
      <c r="BL1330" s="4"/>
      <c r="BM1330" s="5">
        <v>41199</v>
      </c>
      <c r="BN1330" s="5">
        <v>41205</v>
      </c>
      <c r="BO1330" s="5">
        <v>41193</v>
      </c>
      <c r="BP1330" s="4"/>
      <c r="BQ1330" s="4"/>
      <c r="BR1330" s="4"/>
      <c r="BS1330" s="4"/>
      <c r="BT1330" s="5">
        <v>41204</v>
      </c>
      <c r="BU1330" s="5">
        <v>41199</v>
      </c>
      <c r="BV1330" s="5">
        <v>41208</v>
      </c>
      <c r="BW1330" s="5">
        <v>41208</v>
      </c>
      <c r="BX1330" s="5">
        <v>41207</v>
      </c>
      <c r="BY1330" s="5">
        <v>41212</v>
      </c>
      <c r="BZ1330" s="5">
        <v>41215</v>
      </c>
      <c r="CA1330" s="4"/>
      <c r="CB1330" s="4"/>
      <c r="CC1330" s="4"/>
      <c r="CD1330" s="4"/>
      <c r="CE1330" s="4"/>
      <c r="CF1330" s="4"/>
      <c r="CG1330" s="4"/>
      <c r="CH1330" s="4"/>
      <c r="CI1330" s="5">
        <v>41218</v>
      </c>
      <c r="CJ1330" s="5">
        <v>41258</v>
      </c>
      <c r="CK1330" s="5">
        <v>41227</v>
      </c>
      <c r="CL1330" s="5">
        <v>41275</v>
      </c>
      <c r="CM1330" s="5">
        <v>41243</v>
      </c>
      <c r="CN1330" s="5">
        <v>41469</v>
      </c>
      <c r="CO1330" s="5">
        <v>41444</v>
      </c>
      <c r="CP1330" s="4"/>
      <c r="CQ1330" s="4" t="s">
        <v>205</v>
      </c>
      <c r="CR1330" s="5">
        <v>41215</v>
      </c>
      <c r="CS1330" s="5">
        <v>41166</v>
      </c>
      <c r="CT1330" s="5">
        <v>41152</v>
      </c>
      <c r="CU1330" s="5">
        <v>41173</v>
      </c>
      <c r="CV1330" s="4"/>
      <c r="CW1330" s="5">
        <v>41173</v>
      </c>
      <c r="CX1330" s="5">
        <v>41193</v>
      </c>
      <c r="CY1330" s="5">
        <v>41212</v>
      </c>
      <c r="CZ1330" s="5">
        <v>41212</v>
      </c>
      <c r="DA1330" s="5">
        <v>41223</v>
      </c>
      <c r="DB1330" s="5">
        <v>41219</v>
      </c>
      <c r="DC1330" s="5">
        <v>40949</v>
      </c>
      <c r="DD1330" s="4" t="s">
        <v>586</v>
      </c>
      <c r="DE1330" s="4" t="s">
        <v>3979</v>
      </c>
      <c r="DF1330" s="5">
        <v>41201</v>
      </c>
      <c r="DG1330" s="5">
        <v>41201</v>
      </c>
      <c r="DH1330" s="4" t="s">
        <v>174</v>
      </c>
      <c r="DI1330" s="5">
        <v>41211</v>
      </c>
      <c r="DJ1330" s="4" t="b">
        <v>0</v>
      </c>
      <c r="DK1330" s="4"/>
      <c r="DL1330" s="4">
        <v>2600076</v>
      </c>
      <c r="DM1330" s="4">
        <v>6236744</v>
      </c>
      <c r="DN1330" s="4" t="s">
        <v>4001</v>
      </c>
      <c r="DO1330" s="4"/>
      <c r="DP1330" s="4"/>
      <c r="DQ1330" s="4" t="s">
        <v>148</v>
      </c>
      <c r="DR1330" s="4"/>
      <c r="DS1330" s="4"/>
      <c r="DT1330" s="4"/>
      <c r="DU1330" s="4"/>
      <c r="DV1330" s="4"/>
      <c r="DW1330" s="4"/>
      <c r="DX1330" s="4"/>
      <c r="DY1330" s="4"/>
      <c r="DZ1330" s="4"/>
      <c r="EA1330" s="4"/>
      <c r="EB1330" s="4"/>
      <c r="EC1330" s="4"/>
      <c r="ED1330" s="4"/>
      <c r="EE1330" s="4"/>
      <c r="EF1330" s="4"/>
      <c r="EG1330" s="5">
        <v>41224</v>
      </c>
      <c r="EH1330" s="5">
        <v>41232</v>
      </c>
      <c r="EI1330" s="4"/>
    </row>
    <row r="1331" spans="1:139" hidden="1" x14ac:dyDescent="0.2">
      <c r="A1331">
        <f>VLOOKUP(B1331,Sheet1!$A$1:$B$18,2,FALSE)</f>
        <v>0</v>
      </c>
      <c r="B1331" t="str">
        <f>LEFT(D1331,3)</f>
        <v>TNK</v>
      </c>
      <c r="C1331" s="2">
        <v>1330</v>
      </c>
      <c r="D1331" s="3" t="str">
        <f>HYPERLINK("https://sitebase.nzcomms.co.nz/spm/spmnominalview/TNK-033-009/","TNK-033-009")</f>
        <v>TNK-033-009</v>
      </c>
      <c r="E1331" s="4"/>
      <c r="F1331" s="4"/>
      <c r="G1331" s="4"/>
      <c r="H1331" s="4" t="s">
        <v>3978</v>
      </c>
      <c r="I1331" s="4"/>
      <c r="J1331" s="4" t="s">
        <v>196</v>
      </c>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c r="AT1331" s="4"/>
      <c r="AU1331" s="4"/>
      <c r="AV1331" s="4"/>
      <c r="AW1331" s="4"/>
      <c r="AX1331" s="4"/>
      <c r="AY1331" s="4"/>
      <c r="AZ1331" s="4"/>
      <c r="BA1331" s="4"/>
      <c r="BB1331" s="4"/>
      <c r="BC1331" s="4"/>
      <c r="BD1331" s="4"/>
      <c r="BE1331" s="4"/>
      <c r="BF1331" s="4"/>
      <c r="BG1331" s="4"/>
      <c r="BH1331" s="4"/>
      <c r="BI1331" s="4"/>
      <c r="BJ1331" s="4"/>
      <c r="BK1331" s="4"/>
      <c r="BL1331" s="4"/>
      <c r="BM1331" s="4"/>
      <c r="BN1331" s="4"/>
      <c r="BO1331" s="4"/>
      <c r="BP1331" s="4"/>
      <c r="BQ1331" s="4"/>
      <c r="BR1331" s="4"/>
      <c r="BS1331" s="4"/>
      <c r="BT1331" s="4"/>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t="s">
        <v>4002</v>
      </c>
      <c r="CQ1331" s="4"/>
      <c r="CR1331" s="4"/>
      <c r="CS1331" s="4"/>
      <c r="CT1331" s="4"/>
      <c r="CU1331" s="4"/>
      <c r="CV1331" s="4"/>
      <c r="CW1331" s="4"/>
      <c r="CX1331" s="4"/>
      <c r="CY1331" s="4"/>
      <c r="CZ1331" s="4"/>
      <c r="DA1331" s="4"/>
      <c r="DB1331" s="4"/>
      <c r="DC1331" s="4"/>
      <c r="DD1331" s="4"/>
      <c r="DE1331" s="4"/>
      <c r="DF1331" s="4"/>
      <c r="DG1331" s="4"/>
      <c r="DH1331" s="4"/>
      <c r="DI1331" s="4"/>
      <c r="DJ1331" s="4"/>
      <c r="DK1331" s="4"/>
      <c r="DL1331" s="4"/>
      <c r="DM1331" s="4"/>
      <c r="DN1331" s="4"/>
      <c r="DO1331" s="4"/>
      <c r="DP1331" s="4"/>
      <c r="DQ1331" s="4"/>
      <c r="DR1331" s="4"/>
      <c r="DS1331" s="4"/>
      <c r="DT1331" s="4"/>
      <c r="DU1331" s="4"/>
      <c r="DV1331" s="4"/>
      <c r="DW1331" s="4"/>
      <c r="DX1331" s="4"/>
      <c r="DY1331" s="4"/>
      <c r="DZ1331" s="4"/>
      <c r="EA1331" s="4"/>
      <c r="EB1331" s="4"/>
      <c r="EC1331" s="4"/>
      <c r="ED1331" s="4"/>
      <c r="EE1331" s="4"/>
      <c r="EF1331" s="4"/>
      <c r="EG1331" s="4"/>
      <c r="EH1331" s="4"/>
      <c r="EI1331" s="4"/>
    </row>
    <row r="1332" spans="1:139" hidden="1" x14ac:dyDescent="0.2">
      <c r="A1332">
        <f>VLOOKUP(B1332,Sheet1!$A$1:$B$18,2,FALSE)</f>
        <v>0</v>
      </c>
      <c r="B1332" t="str">
        <f>LEFT(D1332,3)</f>
        <v>TNK</v>
      </c>
      <c r="C1332" s="2">
        <v>1331</v>
      </c>
      <c r="D1332" s="3" t="str">
        <f>HYPERLINK("https://sitebase.nzcomms.co.nz/spm/spmnominalview/TNK-033-010/","TNK-033-010")</f>
        <v>TNK-033-010</v>
      </c>
      <c r="E1332" s="4" t="s">
        <v>4003</v>
      </c>
      <c r="F1332" s="3" t="str">
        <f>HYPERLINK("https://sitebase.nzcomms.co.nz/spm/spmcandidateview/TNK-033-010-C/","TNK-033-010-C")</f>
        <v>TNK-033-010-C</v>
      </c>
      <c r="G1332" s="4" t="s">
        <v>4004</v>
      </c>
      <c r="H1332" s="4" t="s">
        <v>3978</v>
      </c>
      <c r="I1332" s="4">
        <v>6</v>
      </c>
      <c r="J1332" s="4" t="s">
        <v>180</v>
      </c>
      <c r="K1332" s="4" t="s">
        <v>141</v>
      </c>
      <c r="L1332" s="4" t="s">
        <v>189</v>
      </c>
      <c r="M1332" s="4" t="s">
        <v>190</v>
      </c>
      <c r="N1332" s="4" t="s">
        <v>274</v>
      </c>
      <c r="O1332" s="4"/>
      <c r="P1332" s="4" t="s">
        <v>182</v>
      </c>
      <c r="Q1332" s="4" t="s">
        <v>192</v>
      </c>
      <c r="R1332" s="4">
        <v>15</v>
      </c>
      <c r="S1332" s="4">
        <v>15</v>
      </c>
      <c r="T1332" s="4">
        <v>2</v>
      </c>
      <c r="U1332" s="4">
        <v>-39.082377270000002</v>
      </c>
      <c r="V1332" s="4">
        <v>174.05105659</v>
      </c>
      <c r="W1332" s="4"/>
      <c r="X1332" s="5">
        <v>40897</v>
      </c>
      <c r="Y1332" s="4"/>
      <c r="Z1332" s="5">
        <v>40221</v>
      </c>
      <c r="AA1332" s="4" t="s">
        <v>171</v>
      </c>
      <c r="AB1332" s="3" t="str">
        <f>HYPERLINK("https://sitebase.nzcomms.co.nz/spm/spmcandidateview/TNK-033-008-B/","TNK-033-008-B")</f>
        <v>TNK-033-008-B</v>
      </c>
      <c r="AC1332" s="4" t="b">
        <v>0</v>
      </c>
      <c r="AD1332" s="4" t="b">
        <v>0</v>
      </c>
      <c r="AE1332" s="4"/>
      <c r="AF1332" s="4"/>
      <c r="AG1332" s="4" t="b">
        <v>0</v>
      </c>
      <c r="AH1332" s="4"/>
      <c r="AI1332" s="5">
        <v>41030</v>
      </c>
      <c r="AJ1332" s="5">
        <v>41030</v>
      </c>
      <c r="AK1332" s="5">
        <v>41037</v>
      </c>
      <c r="AL1332" s="5">
        <v>41047</v>
      </c>
      <c r="AM1332" s="5">
        <v>41075</v>
      </c>
      <c r="AN1332" s="5">
        <v>41081</v>
      </c>
      <c r="AO1332" s="4">
        <v>2</v>
      </c>
      <c r="AP1332" s="5">
        <v>41075</v>
      </c>
      <c r="AQ1332" s="5">
        <v>41205</v>
      </c>
      <c r="AR1332" s="5">
        <v>41172</v>
      </c>
      <c r="AS1332" s="5">
        <v>41155</v>
      </c>
      <c r="AT1332" s="5">
        <v>41151</v>
      </c>
      <c r="AU1332" s="5">
        <v>41155</v>
      </c>
      <c r="AV1332" s="4">
        <v>1</v>
      </c>
      <c r="AW1332" s="5">
        <v>41151</v>
      </c>
      <c r="AX1332" s="5">
        <v>41155</v>
      </c>
      <c r="AY1332" s="4" t="s">
        <v>198</v>
      </c>
      <c r="AZ1332" s="5">
        <v>41101</v>
      </c>
      <c r="BA1332" s="5">
        <v>41099</v>
      </c>
      <c r="BB1332" s="5">
        <v>41132</v>
      </c>
      <c r="BC1332" s="5">
        <v>41137</v>
      </c>
      <c r="BD1332" s="4">
        <v>1</v>
      </c>
      <c r="BE1332" s="5">
        <v>41132</v>
      </c>
      <c r="BF1332" s="5">
        <v>41137</v>
      </c>
      <c r="BG1332" s="4"/>
      <c r="BH1332" s="4"/>
      <c r="BI1332" s="5">
        <v>41229</v>
      </c>
      <c r="BJ1332" s="5">
        <v>41239</v>
      </c>
      <c r="BK1332" s="4">
        <v>2</v>
      </c>
      <c r="BL1332" s="4"/>
      <c r="BM1332" s="5">
        <v>41229</v>
      </c>
      <c r="BN1332" s="5">
        <v>41317</v>
      </c>
      <c r="BO1332" s="5">
        <v>41141</v>
      </c>
      <c r="BP1332" s="4"/>
      <c r="BQ1332" s="4"/>
      <c r="BR1332" s="5">
        <v>41206</v>
      </c>
      <c r="BS1332" s="4"/>
      <c r="BT1332" s="5">
        <v>41236</v>
      </c>
      <c r="BU1332" s="5">
        <v>41239</v>
      </c>
      <c r="BV1332" s="5">
        <v>41309</v>
      </c>
      <c r="BW1332" s="5">
        <v>41309</v>
      </c>
      <c r="BX1332" s="5">
        <v>41295</v>
      </c>
      <c r="BY1332" s="5">
        <v>41309</v>
      </c>
      <c r="BZ1332" s="5">
        <v>41311</v>
      </c>
      <c r="CA1332" s="4"/>
      <c r="CB1332" s="4"/>
      <c r="CC1332" s="4"/>
      <c r="CD1332" s="4"/>
      <c r="CE1332" s="4"/>
      <c r="CF1332" s="4"/>
      <c r="CG1332" s="4"/>
      <c r="CH1332" s="4"/>
      <c r="CI1332" s="5">
        <v>41316</v>
      </c>
      <c r="CJ1332" s="5">
        <v>41326</v>
      </c>
      <c r="CK1332" s="5">
        <v>41320</v>
      </c>
      <c r="CL1332" s="5">
        <v>41327</v>
      </c>
      <c r="CM1332" s="5">
        <v>41327</v>
      </c>
      <c r="CN1332" s="5">
        <v>41430</v>
      </c>
      <c r="CO1332" s="5">
        <v>41424</v>
      </c>
      <c r="CP1332" s="4"/>
      <c r="CQ1332" s="4"/>
      <c r="CR1332" s="5">
        <v>41312</v>
      </c>
      <c r="CS1332" s="5">
        <v>41152</v>
      </c>
      <c r="CT1332" s="4"/>
      <c r="CU1332" s="4"/>
      <c r="CV1332" s="4"/>
      <c r="CW1332" s="5">
        <v>41141</v>
      </c>
      <c r="CX1332" s="5">
        <v>41141</v>
      </c>
      <c r="CY1332" s="5">
        <v>41303</v>
      </c>
      <c r="CZ1332" s="5">
        <v>41306</v>
      </c>
      <c r="DA1332" s="5">
        <v>41320</v>
      </c>
      <c r="DB1332" s="5">
        <v>41318</v>
      </c>
      <c r="DC1332" s="5">
        <v>41053</v>
      </c>
      <c r="DD1332" s="4" t="s">
        <v>573</v>
      </c>
      <c r="DE1332" s="4" t="s">
        <v>3979</v>
      </c>
      <c r="DF1332" s="4"/>
      <c r="DG1332" s="4"/>
      <c r="DH1332" s="4" t="s">
        <v>174</v>
      </c>
      <c r="DI1332" s="5">
        <v>41299</v>
      </c>
      <c r="DJ1332" s="4" t="b">
        <v>1</v>
      </c>
      <c r="DK1332" s="4"/>
      <c r="DL1332" s="4">
        <v>2600992</v>
      </c>
      <c r="DM1332" s="4">
        <v>6235311</v>
      </c>
      <c r="DN1332" s="4" t="s">
        <v>4005</v>
      </c>
      <c r="DO1332" s="4"/>
      <c r="DP1332" s="4"/>
      <c r="DQ1332" s="4" t="s">
        <v>148</v>
      </c>
      <c r="DR1332" s="4"/>
      <c r="DS1332" s="4"/>
      <c r="DT1332" s="4"/>
      <c r="DU1332" s="4"/>
      <c r="DV1332" s="4"/>
      <c r="DW1332" s="4"/>
      <c r="DX1332" s="4"/>
      <c r="DY1332" s="4"/>
      <c r="DZ1332" s="4"/>
      <c r="EA1332" s="4"/>
      <c r="EB1332" s="4"/>
      <c r="EC1332" s="4"/>
      <c r="ED1332" s="4"/>
      <c r="EE1332" s="4"/>
      <c r="EF1332" s="4"/>
      <c r="EG1332" s="5">
        <v>41316</v>
      </c>
      <c r="EH1332" s="5">
        <v>41318</v>
      </c>
      <c r="EI1332" s="5">
        <v>41047</v>
      </c>
    </row>
    <row r="1333" spans="1:139" hidden="1" x14ac:dyDescent="0.2">
      <c r="A1333">
        <f>VLOOKUP(B1333,Sheet1!$A$1:$B$18,2,FALSE)</f>
        <v>0</v>
      </c>
      <c r="B1333" t="str">
        <f>LEFT(D1333,3)</f>
        <v>TNK</v>
      </c>
      <c r="C1333" s="2">
        <v>1332</v>
      </c>
      <c r="D1333" s="3" t="str">
        <f>HYPERLINK("https://sitebase.nzcomms.co.nz/spm/spmnominalview/TNK-033-011/","TNK-033-011")</f>
        <v>TNK-033-011</v>
      </c>
      <c r="E1333" s="4" t="s">
        <v>4006</v>
      </c>
      <c r="F1333" s="4"/>
      <c r="G1333" s="4"/>
      <c r="H1333" s="4" t="s">
        <v>3978</v>
      </c>
      <c r="I1333" s="4"/>
      <c r="J1333" s="4" t="s">
        <v>196</v>
      </c>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c r="AT1333" s="4"/>
      <c r="AU1333" s="4"/>
      <c r="AV1333" s="4"/>
      <c r="AW1333" s="4"/>
      <c r="AX1333" s="4"/>
      <c r="AY1333" s="4"/>
      <c r="AZ1333" s="4"/>
      <c r="BA1333" s="4"/>
      <c r="BB1333" s="4"/>
      <c r="BC1333" s="4"/>
      <c r="BD1333" s="4"/>
      <c r="BE1333" s="4"/>
      <c r="BF1333" s="4"/>
      <c r="BG1333" s="4"/>
      <c r="BH1333" s="4"/>
      <c r="BI1333" s="4"/>
      <c r="BJ1333" s="4"/>
      <c r="BK1333" s="4"/>
      <c r="BL1333" s="4"/>
      <c r="BM1333" s="4"/>
      <c r="BN1333" s="4"/>
      <c r="BO1333" s="4"/>
      <c r="BP1333" s="4"/>
      <c r="BQ1333" s="4"/>
      <c r="BR1333" s="4"/>
      <c r="BS1333" s="4"/>
      <c r="BT1333" s="4"/>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t="s">
        <v>4007</v>
      </c>
      <c r="CQ1333" s="4"/>
      <c r="CR1333" s="4"/>
      <c r="CS1333" s="4"/>
      <c r="CT1333" s="4"/>
      <c r="CU1333" s="4"/>
      <c r="CV1333" s="4"/>
      <c r="CW1333" s="4"/>
      <c r="CX1333" s="4"/>
      <c r="CY1333" s="4"/>
      <c r="CZ1333" s="4"/>
      <c r="DA1333" s="4"/>
      <c r="DB1333" s="4"/>
      <c r="DC1333" s="4"/>
      <c r="DD1333" s="4"/>
      <c r="DE1333" s="4"/>
      <c r="DF1333" s="4"/>
      <c r="DG1333" s="4"/>
      <c r="DH1333" s="4"/>
      <c r="DI1333" s="4"/>
      <c r="DJ1333" s="4"/>
      <c r="DK1333" s="4"/>
      <c r="DL1333" s="4"/>
      <c r="DM1333" s="4"/>
      <c r="DN1333" s="4"/>
      <c r="DO1333" s="4"/>
      <c r="DP1333" s="4"/>
      <c r="DQ1333" s="4"/>
      <c r="DR1333" s="4"/>
      <c r="DS1333" s="4"/>
      <c r="DT1333" s="4"/>
      <c r="DU1333" s="4"/>
      <c r="DV1333" s="4"/>
      <c r="DW1333" s="4"/>
      <c r="DX1333" s="4"/>
      <c r="DY1333" s="4"/>
      <c r="DZ1333" s="4"/>
      <c r="EA1333" s="4"/>
      <c r="EB1333" s="4"/>
      <c r="EC1333" s="4"/>
      <c r="ED1333" s="4"/>
      <c r="EE1333" s="4"/>
      <c r="EF1333" s="4"/>
      <c r="EG1333" s="4"/>
      <c r="EH1333" s="4"/>
      <c r="EI1333" s="4"/>
    </row>
    <row r="1334" spans="1:139" hidden="1" x14ac:dyDescent="0.2">
      <c r="A1334">
        <f>VLOOKUP(B1334,Sheet1!$A$1:$B$18,2,FALSE)</f>
        <v>0</v>
      </c>
      <c r="B1334" t="str">
        <f>LEFT(D1334,3)</f>
        <v>TNK</v>
      </c>
      <c r="C1334" s="2">
        <v>1333</v>
      </c>
      <c r="D1334" s="3" t="str">
        <f>HYPERLINK("https://sitebase.nzcomms.co.nz/spm/spmnominalview/TNK-033-012/","TNK-033-012")</f>
        <v>TNK-033-012</v>
      </c>
      <c r="E1334" s="4"/>
      <c r="F1334" s="4"/>
      <c r="G1334" s="4"/>
      <c r="H1334" s="4" t="s">
        <v>3978</v>
      </c>
      <c r="I1334" s="4"/>
      <c r="J1334" s="4" t="s">
        <v>196</v>
      </c>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c r="AT1334" s="4"/>
      <c r="AU1334" s="4"/>
      <c r="AV1334" s="4"/>
      <c r="AW1334" s="4"/>
      <c r="AX1334" s="4"/>
      <c r="AY1334" s="4"/>
      <c r="AZ1334" s="4"/>
      <c r="BA1334" s="4"/>
      <c r="BB1334" s="4"/>
      <c r="BC1334" s="4"/>
      <c r="BD1334" s="4"/>
      <c r="BE1334" s="4"/>
      <c r="BF1334" s="4"/>
      <c r="BG1334" s="4"/>
      <c r="BH1334" s="4"/>
      <c r="BI1334" s="4"/>
      <c r="BJ1334" s="4"/>
      <c r="BK1334" s="4"/>
      <c r="BL1334" s="4"/>
      <c r="BM1334" s="4"/>
      <c r="BN1334" s="4"/>
      <c r="BO1334" s="4"/>
      <c r="BP1334" s="4"/>
      <c r="BQ1334" s="4"/>
      <c r="BR1334" s="4"/>
      <c r="BS1334" s="4"/>
      <c r="BT1334" s="4"/>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4"/>
      <c r="CW1334" s="4"/>
      <c r="CX1334" s="4"/>
      <c r="CY1334" s="4"/>
      <c r="CZ1334" s="4"/>
      <c r="DA1334" s="4"/>
      <c r="DB1334" s="4"/>
      <c r="DC1334" s="4"/>
      <c r="DD1334" s="4"/>
      <c r="DE1334" s="4"/>
      <c r="DF1334" s="4"/>
      <c r="DG1334" s="4"/>
      <c r="DH1334" s="4"/>
      <c r="DI1334" s="4"/>
      <c r="DJ1334" s="4"/>
      <c r="DK1334" s="4"/>
      <c r="DL1334" s="4"/>
      <c r="DM1334" s="4"/>
      <c r="DN1334" s="4"/>
      <c r="DO1334" s="4"/>
      <c r="DP1334" s="4"/>
      <c r="DQ1334" s="4"/>
      <c r="DR1334" s="4"/>
      <c r="DS1334" s="4"/>
      <c r="DT1334" s="4"/>
      <c r="DU1334" s="4"/>
      <c r="DV1334" s="4"/>
      <c r="DW1334" s="4"/>
      <c r="DX1334" s="4"/>
      <c r="DY1334" s="4"/>
      <c r="DZ1334" s="4"/>
      <c r="EA1334" s="4"/>
      <c r="EB1334" s="4"/>
      <c r="EC1334" s="4"/>
      <c r="ED1334" s="4"/>
      <c r="EE1334" s="4"/>
      <c r="EF1334" s="4"/>
      <c r="EG1334" s="4"/>
      <c r="EH1334" s="4"/>
      <c r="EI1334" s="4"/>
    </row>
    <row r="1335" spans="1:139" hidden="1" x14ac:dyDescent="0.2">
      <c r="A1335">
        <f>VLOOKUP(B1335,Sheet1!$A$1:$B$18,2,FALSE)</f>
        <v>0</v>
      </c>
      <c r="B1335" t="str">
        <f>LEFT(D1335,3)</f>
        <v>TNK</v>
      </c>
      <c r="C1335" s="2">
        <v>1334</v>
      </c>
      <c r="D1335" s="3" t="str">
        <f>HYPERLINK("https://sitebase.nzcomms.co.nz/spm/spmnominalview/TNK-033-013/","TNK-033-013")</f>
        <v>TNK-033-013</v>
      </c>
      <c r="E1335" s="4" t="s">
        <v>4008</v>
      </c>
      <c r="F1335" s="4"/>
      <c r="G1335" s="4"/>
      <c r="H1335" s="4" t="s">
        <v>3978</v>
      </c>
      <c r="I1335" s="4">
        <v>6</v>
      </c>
      <c r="J1335" s="4" t="s">
        <v>196</v>
      </c>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t="b">
        <v>0</v>
      </c>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4"/>
      <c r="BF1335" s="4"/>
      <c r="BG1335" s="4"/>
      <c r="BH1335" s="4"/>
      <c r="BI1335" s="4"/>
      <c r="BJ1335" s="4"/>
      <c r="BK1335" s="4"/>
      <c r="BL1335" s="4"/>
      <c r="BM1335" s="4"/>
      <c r="BN1335" s="4"/>
      <c r="BO1335" s="4"/>
      <c r="BP1335" s="4"/>
      <c r="BQ1335" s="4"/>
      <c r="BR1335" s="4"/>
      <c r="BS1335" s="4"/>
      <c r="BT1335" s="4"/>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t="s">
        <v>4009</v>
      </c>
      <c r="CQ1335" s="4"/>
      <c r="CR1335" s="4"/>
      <c r="CS1335" s="4"/>
      <c r="CT1335" s="4"/>
      <c r="CU1335" s="4"/>
      <c r="CV1335" s="4"/>
      <c r="CW1335" s="4"/>
      <c r="CX1335" s="4"/>
      <c r="CY1335" s="4"/>
      <c r="CZ1335" s="4"/>
      <c r="DA1335" s="4"/>
      <c r="DB1335" s="4"/>
      <c r="DC1335" s="4"/>
      <c r="DD1335" s="4"/>
      <c r="DE1335" s="4"/>
      <c r="DF1335" s="4"/>
      <c r="DG1335" s="4"/>
      <c r="DH1335" s="4"/>
      <c r="DI1335" s="4"/>
      <c r="DJ1335" s="4"/>
      <c r="DK1335" s="4"/>
      <c r="DL1335" s="4"/>
      <c r="DM1335" s="4"/>
      <c r="DN1335" s="4"/>
      <c r="DO1335" s="4"/>
      <c r="DP1335" s="4"/>
      <c r="DQ1335" s="4"/>
      <c r="DR1335" s="4"/>
      <c r="DS1335" s="4"/>
      <c r="DT1335" s="4"/>
      <c r="DU1335" s="4"/>
      <c r="DV1335" s="4"/>
      <c r="DW1335" s="4"/>
      <c r="DX1335" s="4"/>
      <c r="DY1335" s="4"/>
      <c r="DZ1335" s="4"/>
      <c r="EA1335" s="4"/>
      <c r="EB1335" s="4"/>
      <c r="EC1335" s="4"/>
      <c r="ED1335" s="4"/>
      <c r="EE1335" s="4"/>
      <c r="EF1335" s="4"/>
      <c r="EG1335" s="4"/>
      <c r="EH1335" s="4"/>
      <c r="EI1335" s="4"/>
    </row>
    <row r="1336" spans="1:139" hidden="1" x14ac:dyDescent="0.2">
      <c r="A1336">
        <f>VLOOKUP(B1336,Sheet1!$A$1:$B$18,2,FALSE)</f>
        <v>0</v>
      </c>
      <c r="B1336" t="str">
        <f>LEFT(D1336,3)</f>
        <v>TNK</v>
      </c>
      <c r="C1336" s="2">
        <v>1335</v>
      </c>
      <c r="D1336" s="3" t="str">
        <f>HYPERLINK("https://sitebase.nzcomms.co.nz/spm/spmnominalview/TNK-033-014/","TNK-033-014")</f>
        <v>TNK-033-014</v>
      </c>
      <c r="E1336" s="4" t="s">
        <v>4010</v>
      </c>
      <c r="F1336" s="4"/>
      <c r="G1336" s="4"/>
      <c r="H1336" s="4" t="s">
        <v>3978</v>
      </c>
      <c r="I1336" s="4"/>
      <c r="J1336" s="4" t="s">
        <v>196</v>
      </c>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t="b">
        <v>0</v>
      </c>
      <c r="AH1336" s="4"/>
      <c r="AI1336" s="4"/>
      <c r="AJ1336" s="4"/>
      <c r="AK1336" s="4"/>
      <c r="AL1336" s="4"/>
      <c r="AM1336" s="4"/>
      <c r="AN1336" s="4"/>
      <c r="AO1336" s="4"/>
      <c r="AP1336" s="4"/>
      <c r="AQ1336" s="4"/>
      <c r="AR1336" s="4"/>
      <c r="AS1336" s="4"/>
      <c r="AT1336" s="4"/>
      <c r="AU1336" s="4"/>
      <c r="AV1336" s="4"/>
      <c r="AW1336" s="4"/>
      <c r="AX1336" s="4"/>
      <c r="AY1336" s="4"/>
      <c r="AZ1336" s="4"/>
      <c r="BA1336" s="4"/>
      <c r="BB1336" s="4"/>
      <c r="BC1336" s="4"/>
      <c r="BD1336" s="4"/>
      <c r="BE1336" s="4"/>
      <c r="BF1336" s="4"/>
      <c r="BG1336" s="4"/>
      <c r="BH1336" s="4"/>
      <c r="BI1336" s="4"/>
      <c r="BJ1336" s="4"/>
      <c r="BK1336" s="4"/>
      <c r="BL1336" s="4"/>
      <c r="BM1336" s="4"/>
      <c r="BN1336" s="4"/>
      <c r="BO1336" s="4"/>
      <c r="BP1336" s="4"/>
      <c r="BQ1336" s="4"/>
      <c r="BR1336" s="4"/>
      <c r="BS1336" s="4"/>
      <c r="BT1336" s="4"/>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t="s">
        <v>4011</v>
      </c>
      <c r="CQ1336" s="4"/>
      <c r="CR1336" s="4"/>
      <c r="CS1336" s="4"/>
      <c r="CT1336" s="4"/>
      <c r="CU1336" s="4"/>
      <c r="CV1336" s="4"/>
      <c r="CW1336" s="4"/>
      <c r="CX1336" s="4"/>
      <c r="CY1336" s="4"/>
      <c r="CZ1336" s="4"/>
      <c r="DA1336" s="4"/>
      <c r="DB1336" s="4"/>
      <c r="DC1336" s="4"/>
      <c r="DD1336" s="4"/>
      <c r="DE1336" s="4"/>
      <c r="DF1336" s="4"/>
      <c r="DG1336" s="4"/>
      <c r="DH1336" s="4"/>
      <c r="DI1336" s="4"/>
      <c r="DJ1336" s="4"/>
      <c r="DK1336" s="4"/>
      <c r="DL1336" s="4"/>
      <c r="DM1336" s="4"/>
      <c r="DN1336" s="4"/>
      <c r="DO1336" s="4"/>
      <c r="DP1336" s="4"/>
      <c r="DQ1336" s="4"/>
      <c r="DR1336" s="4"/>
      <c r="DS1336" s="4"/>
      <c r="DT1336" s="4"/>
      <c r="DU1336" s="4"/>
      <c r="DV1336" s="4"/>
      <c r="DW1336" s="4"/>
      <c r="DX1336" s="4"/>
      <c r="DY1336" s="4"/>
      <c r="DZ1336" s="4"/>
      <c r="EA1336" s="4"/>
      <c r="EB1336" s="4"/>
      <c r="EC1336" s="4"/>
      <c r="ED1336" s="4"/>
      <c r="EE1336" s="4"/>
      <c r="EF1336" s="4"/>
      <c r="EG1336" s="4"/>
      <c r="EH1336" s="4"/>
      <c r="EI1336" s="4"/>
    </row>
    <row r="1337" spans="1:139" hidden="1" x14ac:dyDescent="0.2">
      <c r="A1337">
        <f>VLOOKUP(B1337,Sheet1!$A$1:$B$18,2,FALSE)</f>
        <v>0</v>
      </c>
      <c r="B1337" t="str">
        <f>LEFT(D1337,3)</f>
        <v>TNK</v>
      </c>
      <c r="C1337" s="2">
        <v>1336</v>
      </c>
      <c r="D1337" s="3" t="str">
        <f>HYPERLINK("https://sitebase.nzcomms.co.nz/spm/spmnominalview/TNK-033-015/","TNK-033-015")</f>
        <v>TNK-033-015</v>
      </c>
      <c r="E1337" s="4" t="s">
        <v>4012</v>
      </c>
      <c r="F1337" s="3" t="str">
        <f>HYPERLINK("https://sitebase.nzcomms.co.nz/spm/spmcandidateview/TNK-033-015-A/","TNK-033-015-A")</f>
        <v>TNK-033-015-A</v>
      </c>
      <c r="G1337" s="4" t="s">
        <v>4013</v>
      </c>
      <c r="H1337" s="4" t="s">
        <v>3978</v>
      </c>
      <c r="I1337" s="4">
        <v>6</v>
      </c>
      <c r="J1337" s="4" t="s">
        <v>180</v>
      </c>
      <c r="K1337" s="4" t="s">
        <v>141</v>
      </c>
      <c r="L1337" s="4" t="s">
        <v>150</v>
      </c>
      <c r="M1337" s="4" t="s">
        <v>190</v>
      </c>
      <c r="N1337" s="4" t="s">
        <v>1557</v>
      </c>
      <c r="O1337" s="4"/>
      <c r="P1337" s="4" t="s">
        <v>182</v>
      </c>
      <c r="Q1337" s="4" t="s">
        <v>192</v>
      </c>
      <c r="R1337" s="4"/>
      <c r="S1337" s="4"/>
      <c r="T1337" s="4">
        <v>1</v>
      </c>
      <c r="U1337" s="4">
        <v>-39.039024679999997</v>
      </c>
      <c r="V1337" s="4">
        <v>174.14460075</v>
      </c>
      <c r="W1337" s="4"/>
      <c r="X1337" s="5">
        <v>40897</v>
      </c>
      <c r="Y1337" s="4"/>
      <c r="Z1337" s="5">
        <v>40221</v>
      </c>
      <c r="AA1337" s="4" t="s">
        <v>152</v>
      </c>
      <c r="AB1337" s="3" t="str">
        <f>HYPERLINK("https://sitebase.nzcomms.co.nz/spm/spmcandidateview/TNK-033-004-A/","TNK-033-004-A")</f>
        <v>TNK-033-004-A</v>
      </c>
      <c r="AC1337" s="4" t="b">
        <v>0</v>
      </c>
      <c r="AD1337" s="4" t="b">
        <v>0</v>
      </c>
      <c r="AE1337" s="4"/>
      <c r="AF1337" s="4"/>
      <c r="AG1337" s="4" t="b">
        <v>0</v>
      </c>
      <c r="AH1337" s="4"/>
      <c r="AI1337" s="5">
        <v>40966</v>
      </c>
      <c r="AJ1337" s="5">
        <v>40966</v>
      </c>
      <c r="AK1337" s="5">
        <v>40969</v>
      </c>
      <c r="AL1337" s="5">
        <v>40969</v>
      </c>
      <c r="AM1337" s="5">
        <v>41075</v>
      </c>
      <c r="AN1337" s="5">
        <v>41081</v>
      </c>
      <c r="AO1337" s="4">
        <v>1</v>
      </c>
      <c r="AP1337" s="5">
        <v>41075</v>
      </c>
      <c r="AQ1337" s="5">
        <v>41081</v>
      </c>
      <c r="AR1337" s="5">
        <v>41084</v>
      </c>
      <c r="AS1337" s="5">
        <v>41085</v>
      </c>
      <c r="AT1337" s="5">
        <v>41145</v>
      </c>
      <c r="AU1337" s="5">
        <v>41131</v>
      </c>
      <c r="AV1337" s="4">
        <v>1</v>
      </c>
      <c r="AW1337" s="5">
        <v>41145</v>
      </c>
      <c r="AX1337" s="5">
        <v>41137</v>
      </c>
      <c r="AY1337" s="4" t="s">
        <v>172</v>
      </c>
      <c r="AZ1337" s="5">
        <v>41090</v>
      </c>
      <c r="BA1337" s="5">
        <v>41085</v>
      </c>
      <c r="BB1337" s="5">
        <v>41120</v>
      </c>
      <c r="BC1337" s="5">
        <v>41101</v>
      </c>
      <c r="BD1337" s="4">
        <v>1</v>
      </c>
      <c r="BE1337" s="5">
        <v>41125</v>
      </c>
      <c r="BF1337" s="5">
        <v>41101</v>
      </c>
      <c r="BG1337" s="4"/>
      <c r="BH1337" s="4"/>
      <c r="BI1337" s="5">
        <v>41166</v>
      </c>
      <c r="BJ1337" s="5">
        <v>41178</v>
      </c>
      <c r="BK1337" s="4">
        <v>1</v>
      </c>
      <c r="BL1337" s="4"/>
      <c r="BM1337" s="5">
        <v>41166</v>
      </c>
      <c r="BN1337" s="5">
        <v>41178</v>
      </c>
      <c r="BO1337" s="5">
        <v>41199</v>
      </c>
      <c r="BP1337" s="4"/>
      <c r="BQ1337" s="4"/>
      <c r="BR1337" s="4"/>
      <c r="BS1337" s="4"/>
      <c r="BT1337" s="5">
        <v>41145</v>
      </c>
      <c r="BU1337" s="5">
        <v>41150</v>
      </c>
      <c r="BV1337" s="5">
        <v>41205</v>
      </c>
      <c r="BW1337" s="5">
        <v>41205</v>
      </c>
      <c r="BX1337" s="5">
        <v>41200</v>
      </c>
      <c r="BY1337" s="5">
        <v>41206</v>
      </c>
      <c r="BZ1337" s="5">
        <v>41208</v>
      </c>
      <c r="CA1337" s="4"/>
      <c r="CB1337" s="4"/>
      <c r="CC1337" s="4"/>
      <c r="CD1337" s="4"/>
      <c r="CE1337" s="4"/>
      <c r="CF1337" s="4"/>
      <c r="CG1337" s="4"/>
      <c r="CH1337" s="4"/>
      <c r="CI1337" s="5">
        <v>41208</v>
      </c>
      <c r="CJ1337" s="5">
        <v>41228</v>
      </c>
      <c r="CK1337" s="5">
        <v>41227</v>
      </c>
      <c r="CL1337" s="5">
        <v>41226</v>
      </c>
      <c r="CM1337" s="5">
        <v>41226</v>
      </c>
      <c r="CN1337" s="5">
        <v>41532</v>
      </c>
      <c r="CO1337" s="5">
        <v>41605</v>
      </c>
      <c r="CP1337" s="4"/>
      <c r="CQ1337" s="4"/>
      <c r="CR1337" s="5">
        <v>41206</v>
      </c>
      <c r="CS1337" s="5">
        <v>41132</v>
      </c>
      <c r="CT1337" s="5">
        <v>41132</v>
      </c>
      <c r="CU1337" s="5">
        <v>41134</v>
      </c>
      <c r="CV1337" s="5">
        <v>41183</v>
      </c>
      <c r="CW1337" s="5">
        <v>41165</v>
      </c>
      <c r="CX1337" s="5">
        <v>41199</v>
      </c>
      <c r="CY1337" s="5">
        <v>41205</v>
      </c>
      <c r="CZ1337" s="5">
        <v>41206</v>
      </c>
      <c r="DA1337" s="5">
        <v>41205</v>
      </c>
      <c r="DB1337" s="5">
        <v>41211</v>
      </c>
      <c r="DC1337" s="4"/>
      <c r="DD1337" s="4"/>
      <c r="DE1337" s="4" t="s">
        <v>3979</v>
      </c>
      <c r="DF1337" s="5">
        <v>41200</v>
      </c>
      <c r="DG1337" s="5">
        <v>41206</v>
      </c>
      <c r="DH1337" s="4" t="s">
        <v>174</v>
      </c>
      <c r="DI1337" s="5">
        <v>41196</v>
      </c>
      <c r="DJ1337" s="4" t="b">
        <v>0</v>
      </c>
      <c r="DK1337" s="4"/>
      <c r="DL1337" s="4">
        <v>2609149</v>
      </c>
      <c r="DM1337" s="4">
        <v>6240019</v>
      </c>
      <c r="DN1337" s="4" t="s">
        <v>4014</v>
      </c>
      <c r="DO1337" s="4"/>
      <c r="DP1337" s="4"/>
      <c r="DQ1337" s="4" t="s">
        <v>148</v>
      </c>
      <c r="DR1337" s="4"/>
      <c r="DS1337" s="4"/>
      <c r="DT1337" s="4"/>
      <c r="DU1337" s="4"/>
      <c r="DV1337" s="4"/>
      <c r="DW1337" s="4"/>
      <c r="DX1337" s="4"/>
      <c r="DY1337" s="4"/>
      <c r="DZ1337" s="4"/>
      <c r="EA1337" s="4"/>
      <c r="EB1337" s="4"/>
      <c r="EC1337" s="4"/>
      <c r="ED1337" s="4"/>
      <c r="EE1337" s="4"/>
      <c r="EF1337" s="4"/>
      <c r="EG1337" s="5">
        <v>41212</v>
      </c>
      <c r="EH1337" s="5">
        <v>41215</v>
      </c>
      <c r="EI1337" s="4"/>
    </row>
    <row r="1338" spans="1:139" hidden="1" x14ac:dyDescent="0.2">
      <c r="A1338">
        <f>VLOOKUP(B1338,Sheet1!$A$1:$B$18,2,FALSE)</f>
        <v>0</v>
      </c>
      <c r="B1338" t="str">
        <f>LEFT(D1338,3)</f>
        <v>TNK</v>
      </c>
      <c r="C1338" s="2">
        <v>1337</v>
      </c>
      <c r="D1338" s="3" t="str">
        <f>HYPERLINK("https://sitebase.nzcomms.co.nz/spm/spmnominalview/TNK-033-016/","TNK-033-016")</f>
        <v>TNK-033-016</v>
      </c>
      <c r="E1338" s="4" t="s">
        <v>4015</v>
      </c>
      <c r="F1338" s="3" t="str">
        <f>HYPERLINK("https://sitebase.nzcomms.co.nz/spm/spmcandidateview/TNK-033-016-A/","TNK-033-016-A")</f>
        <v>TNK-033-016-A</v>
      </c>
      <c r="G1338" s="4" t="s">
        <v>4016</v>
      </c>
      <c r="H1338" s="4" t="s">
        <v>3978</v>
      </c>
      <c r="I1338" s="4">
        <v>6</v>
      </c>
      <c r="J1338" s="4" t="s">
        <v>180</v>
      </c>
      <c r="K1338" s="4" t="s">
        <v>141</v>
      </c>
      <c r="L1338" s="4" t="s">
        <v>142</v>
      </c>
      <c r="M1338" s="4" t="s">
        <v>190</v>
      </c>
      <c r="N1338" s="4" t="s">
        <v>142</v>
      </c>
      <c r="O1338" s="4"/>
      <c r="P1338" s="4" t="s">
        <v>169</v>
      </c>
      <c r="Q1338" s="4" t="s">
        <v>142</v>
      </c>
      <c r="R1338" s="4"/>
      <c r="S1338" s="4"/>
      <c r="T1338" s="4">
        <v>1</v>
      </c>
      <c r="U1338" s="4">
        <v>-39.00871755</v>
      </c>
      <c r="V1338" s="4">
        <v>174.22395456000001</v>
      </c>
      <c r="W1338" s="4"/>
      <c r="X1338" s="5">
        <v>40897</v>
      </c>
      <c r="Y1338" s="4"/>
      <c r="Z1338" s="5">
        <v>40221</v>
      </c>
      <c r="AA1338" s="4" t="s">
        <v>152</v>
      </c>
      <c r="AB1338" s="3" t="str">
        <f>HYPERLINK("https://sitebase.nzcomms.co.nz/spm/spmcandidateview/TNK-033-004-A/","TNK-033-004-A")</f>
        <v>TNK-033-004-A</v>
      </c>
      <c r="AC1338" s="4" t="b">
        <v>0</v>
      </c>
      <c r="AD1338" s="4" t="b">
        <v>0</v>
      </c>
      <c r="AE1338" s="4"/>
      <c r="AF1338" s="4"/>
      <c r="AG1338" s="4" t="b">
        <v>0</v>
      </c>
      <c r="AH1338" s="4"/>
      <c r="AI1338" s="5">
        <v>40960</v>
      </c>
      <c r="AJ1338" s="5">
        <v>40946</v>
      </c>
      <c r="AK1338" s="5">
        <v>40965</v>
      </c>
      <c r="AL1338" s="5">
        <v>40960</v>
      </c>
      <c r="AM1338" s="5">
        <v>41033</v>
      </c>
      <c r="AN1338" s="5">
        <v>41044</v>
      </c>
      <c r="AO1338" s="4">
        <v>1</v>
      </c>
      <c r="AP1338" s="5">
        <v>41033</v>
      </c>
      <c r="AQ1338" s="5">
        <v>41044</v>
      </c>
      <c r="AR1338" s="5">
        <v>41126</v>
      </c>
      <c r="AS1338" s="5">
        <v>41061</v>
      </c>
      <c r="AT1338" s="5">
        <v>41194</v>
      </c>
      <c r="AU1338" s="5">
        <v>41197</v>
      </c>
      <c r="AV1338" s="4"/>
      <c r="AW1338" s="5">
        <v>41194</v>
      </c>
      <c r="AX1338" s="5">
        <v>41198</v>
      </c>
      <c r="AY1338" s="4" t="s">
        <v>247</v>
      </c>
      <c r="AZ1338" s="5">
        <v>41038</v>
      </c>
      <c r="BA1338" s="5">
        <v>41043</v>
      </c>
      <c r="BB1338" s="5">
        <v>41069</v>
      </c>
      <c r="BC1338" s="5">
        <v>41070</v>
      </c>
      <c r="BD1338" s="4">
        <v>1</v>
      </c>
      <c r="BE1338" s="5">
        <v>41073</v>
      </c>
      <c r="BF1338" s="5">
        <v>41070</v>
      </c>
      <c r="BG1338" s="4"/>
      <c r="BH1338" s="4"/>
      <c r="BI1338" s="5">
        <v>41187</v>
      </c>
      <c r="BJ1338" s="5">
        <v>41184</v>
      </c>
      <c r="BK1338" s="4">
        <v>1</v>
      </c>
      <c r="BL1338" s="4"/>
      <c r="BM1338" s="5">
        <v>41187</v>
      </c>
      <c r="BN1338" s="5">
        <v>41184</v>
      </c>
      <c r="BO1338" s="5">
        <v>41194</v>
      </c>
      <c r="BP1338" s="4"/>
      <c r="BQ1338" s="4"/>
      <c r="BR1338" s="4"/>
      <c r="BS1338" s="4"/>
      <c r="BT1338" s="5">
        <v>41190</v>
      </c>
      <c r="BU1338" s="5">
        <v>41190</v>
      </c>
      <c r="BV1338" s="5">
        <v>41198</v>
      </c>
      <c r="BW1338" s="5">
        <v>41197</v>
      </c>
      <c r="BX1338" s="5">
        <v>41190</v>
      </c>
      <c r="BY1338" s="5">
        <v>41198</v>
      </c>
      <c r="BZ1338" s="5">
        <v>41200</v>
      </c>
      <c r="CA1338" s="4"/>
      <c r="CB1338" s="4"/>
      <c r="CC1338" s="4"/>
      <c r="CD1338" s="4"/>
      <c r="CE1338" s="4"/>
      <c r="CF1338" s="4"/>
      <c r="CG1338" s="4"/>
      <c r="CH1338" s="4"/>
      <c r="CI1338" s="5">
        <v>41201</v>
      </c>
      <c r="CJ1338" s="5">
        <v>41228</v>
      </c>
      <c r="CK1338" s="5">
        <v>41227</v>
      </c>
      <c r="CL1338" s="5">
        <v>41226</v>
      </c>
      <c r="CM1338" s="5">
        <v>41226</v>
      </c>
      <c r="CN1338" s="5">
        <v>41532</v>
      </c>
      <c r="CO1338" s="5">
        <v>41536</v>
      </c>
      <c r="CP1338" s="4"/>
      <c r="CQ1338" s="4" t="s">
        <v>230</v>
      </c>
      <c r="CR1338" s="5">
        <v>41198</v>
      </c>
      <c r="CS1338" s="5">
        <v>41132</v>
      </c>
      <c r="CT1338" s="5">
        <v>41132</v>
      </c>
      <c r="CU1338" s="5">
        <v>41146</v>
      </c>
      <c r="CV1338" s="5">
        <v>41164</v>
      </c>
      <c r="CW1338" s="5">
        <v>41163</v>
      </c>
      <c r="CX1338" s="5">
        <v>41194</v>
      </c>
      <c r="CY1338" s="5">
        <v>41194</v>
      </c>
      <c r="CZ1338" s="5">
        <v>41206</v>
      </c>
      <c r="DA1338" s="5">
        <v>41200</v>
      </c>
      <c r="DB1338" s="5">
        <v>41211</v>
      </c>
      <c r="DC1338" s="5">
        <v>40949</v>
      </c>
      <c r="DD1338" s="4" t="s">
        <v>586</v>
      </c>
      <c r="DE1338" s="4" t="s">
        <v>3979</v>
      </c>
      <c r="DF1338" s="5">
        <v>41197</v>
      </c>
      <c r="DG1338" s="5">
        <v>41206</v>
      </c>
      <c r="DH1338" s="4" t="s">
        <v>174</v>
      </c>
      <c r="DI1338" s="5">
        <v>41192</v>
      </c>
      <c r="DJ1338" s="4" t="b">
        <v>0</v>
      </c>
      <c r="DK1338" s="4"/>
      <c r="DL1338" s="4">
        <v>2616066</v>
      </c>
      <c r="DM1338" s="4">
        <v>6243288</v>
      </c>
      <c r="DN1338" s="4" t="s">
        <v>4017</v>
      </c>
      <c r="DO1338" s="4"/>
      <c r="DP1338" s="4" t="s">
        <v>4018</v>
      </c>
      <c r="DQ1338" s="4" t="s">
        <v>148</v>
      </c>
      <c r="DR1338" s="4"/>
      <c r="DS1338" s="4"/>
      <c r="DT1338" s="4"/>
      <c r="DU1338" s="4"/>
      <c r="DV1338" s="4"/>
      <c r="DW1338" s="4"/>
      <c r="DX1338" s="4"/>
      <c r="DY1338" s="4"/>
      <c r="DZ1338" s="4"/>
      <c r="EA1338" s="4"/>
      <c r="EB1338" s="4"/>
      <c r="EC1338" s="4"/>
      <c r="ED1338" s="4"/>
      <c r="EE1338" s="4"/>
      <c r="EF1338" s="4"/>
      <c r="EG1338" s="5">
        <v>41210</v>
      </c>
      <c r="EH1338" s="5">
        <v>41214</v>
      </c>
      <c r="EI1338" s="4"/>
    </row>
    <row r="1339" spans="1:139" hidden="1" x14ac:dyDescent="0.2">
      <c r="A1339">
        <f>VLOOKUP(B1339,Sheet1!$A$1:$B$18,2,FALSE)</f>
        <v>0</v>
      </c>
      <c r="B1339" t="str">
        <f>LEFT(D1339,3)</f>
        <v>TNK</v>
      </c>
      <c r="C1339" s="2">
        <v>1338</v>
      </c>
      <c r="D1339" s="3" t="str">
        <f>HYPERLINK("https://sitebase.nzcomms.co.nz/spm/spmnominalview/TNK-033-017/","TNK-033-017")</f>
        <v>TNK-033-017</v>
      </c>
      <c r="E1339" s="4" t="s">
        <v>4019</v>
      </c>
      <c r="F1339" s="4"/>
      <c r="G1339" s="4"/>
      <c r="H1339" s="4" t="s">
        <v>3978</v>
      </c>
      <c r="I1339" s="4"/>
      <c r="J1339" s="4" t="s">
        <v>196</v>
      </c>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t="b">
        <v>0</v>
      </c>
      <c r="AH1339" s="4"/>
      <c r="AI1339" s="4"/>
      <c r="AJ1339" s="4"/>
      <c r="AK1339" s="4"/>
      <c r="AL1339" s="4"/>
      <c r="AM1339" s="4"/>
      <c r="AN1339" s="4"/>
      <c r="AO1339" s="4"/>
      <c r="AP1339" s="4"/>
      <c r="AQ1339" s="4"/>
      <c r="AR1339" s="4"/>
      <c r="AS1339" s="4"/>
      <c r="AT1339" s="4"/>
      <c r="AU1339" s="4"/>
      <c r="AV1339" s="4"/>
      <c r="AW1339" s="4"/>
      <c r="AX1339" s="4"/>
      <c r="AY1339" s="4"/>
      <c r="AZ1339" s="4"/>
      <c r="BA1339" s="4"/>
      <c r="BB1339" s="4"/>
      <c r="BC1339" s="4"/>
      <c r="BD1339" s="4"/>
      <c r="BE1339" s="4"/>
      <c r="BF1339" s="4"/>
      <c r="BG1339" s="4"/>
      <c r="BH1339" s="4"/>
      <c r="BI1339" s="4"/>
      <c r="BJ1339" s="4"/>
      <c r="BK1339" s="4"/>
      <c r="BL1339" s="4"/>
      <c r="BM1339" s="4"/>
      <c r="BN1339" s="4"/>
      <c r="BO1339" s="4"/>
      <c r="BP1339" s="4"/>
      <c r="BQ1339" s="4"/>
      <c r="BR1339" s="4"/>
      <c r="BS1339" s="4"/>
      <c r="BT1339" s="4"/>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t="s">
        <v>4020</v>
      </c>
      <c r="CQ1339" s="4"/>
      <c r="CR1339" s="4"/>
      <c r="CS1339" s="4"/>
      <c r="CT1339" s="4"/>
      <c r="CU1339" s="4"/>
      <c r="CV1339" s="4"/>
      <c r="CW1339" s="4"/>
      <c r="CX1339" s="4"/>
      <c r="CY1339" s="4"/>
      <c r="CZ1339" s="4"/>
      <c r="DA1339" s="4"/>
      <c r="DB1339" s="4"/>
      <c r="DC1339" s="4"/>
      <c r="DD1339" s="4"/>
      <c r="DE1339" s="4"/>
      <c r="DF1339" s="4"/>
      <c r="DG1339" s="4"/>
      <c r="DH1339" s="4"/>
      <c r="DI1339" s="4"/>
      <c r="DJ1339" s="4"/>
      <c r="DK1339" s="4"/>
      <c r="DL1339" s="4"/>
      <c r="DM1339" s="4"/>
      <c r="DN1339" s="4"/>
      <c r="DO1339" s="4"/>
      <c r="DP1339" s="4"/>
      <c r="DQ1339" s="4"/>
      <c r="DR1339" s="4"/>
      <c r="DS1339" s="4"/>
      <c r="DT1339" s="4"/>
      <c r="DU1339" s="4"/>
      <c r="DV1339" s="4"/>
      <c r="DW1339" s="4"/>
      <c r="DX1339" s="4"/>
      <c r="DY1339" s="4"/>
      <c r="DZ1339" s="4"/>
      <c r="EA1339" s="4"/>
      <c r="EB1339" s="4"/>
      <c r="EC1339" s="4"/>
      <c r="ED1339" s="4"/>
      <c r="EE1339" s="4"/>
      <c r="EF1339" s="4"/>
      <c r="EG1339" s="4"/>
      <c r="EH1339" s="4"/>
      <c r="EI1339" s="4"/>
    </row>
    <row r="1340" spans="1:139" hidden="1" x14ac:dyDescent="0.2">
      <c r="A1340">
        <f>VLOOKUP(B1340,Sheet1!$A$1:$B$18,2,FALSE)</f>
        <v>0</v>
      </c>
      <c r="B1340" t="str">
        <f>LEFT(D1340,3)</f>
        <v>TNK</v>
      </c>
      <c r="C1340" s="2">
        <v>1339</v>
      </c>
      <c r="D1340" s="3" t="str">
        <f>HYPERLINK("https://sitebase.nzcomms.co.nz/spm/spmnominalview/TNK-033-018/","TNK-033-018")</f>
        <v>TNK-033-018</v>
      </c>
      <c r="E1340" s="4" t="s">
        <v>4021</v>
      </c>
      <c r="F1340" s="4"/>
      <c r="G1340" s="4"/>
      <c r="H1340" s="4" t="s">
        <v>3978</v>
      </c>
      <c r="I1340" s="4"/>
      <c r="J1340" s="4" t="s">
        <v>196</v>
      </c>
      <c r="K1340" s="4"/>
      <c r="L1340" s="4"/>
      <c r="M1340" s="4"/>
      <c r="N1340" s="4"/>
      <c r="O1340" s="4"/>
      <c r="P1340" s="4"/>
      <c r="Q1340" s="4"/>
      <c r="R1340" s="4"/>
      <c r="S1340" s="4"/>
      <c r="T1340" s="4"/>
      <c r="U1340" s="4"/>
      <c r="V1340" s="4"/>
      <c r="W1340" s="4"/>
      <c r="X1340" s="4"/>
      <c r="Y1340" s="4"/>
      <c r="Z1340" s="4"/>
      <c r="AA1340" s="4"/>
      <c r="AB1340" s="4"/>
      <c r="AC1340" s="4"/>
      <c r="AD1340" s="4"/>
      <c r="AE1340" s="4"/>
      <c r="AF1340" s="4"/>
      <c r="AG1340" s="4" t="b">
        <v>0</v>
      </c>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4"/>
      <c r="BF1340" s="4"/>
      <c r="BG1340" s="4"/>
      <c r="BH1340" s="4"/>
      <c r="BI1340" s="4"/>
      <c r="BJ1340" s="4"/>
      <c r="BK1340" s="4"/>
      <c r="BL1340" s="4"/>
      <c r="BM1340" s="4"/>
      <c r="BN1340" s="4"/>
      <c r="BO1340" s="4"/>
      <c r="BP1340" s="4"/>
      <c r="BQ1340" s="4"/>
      <c r="BR1340" s="4"/>
      <c r="BS1340" s="4"/>
      <c r="BT1340" s="4"/>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t="s">
        <v>4022</v>
      </c>
      <c r="CQ1340" s="4"/>
      <c r="CR1340" s="4"/>
      <c r="CS1340" s="4"/>
      <c r="CT1340" s="4"/>
      <c r="CU1340" s="4"/>
      <c r="CV1340" s="4"/>
      <c r="CW1340" s="4"/>
      <c r="CX1340" s="4"/>
      <c r="CY1340" s="4"/>
      <c r="CZ1340" s="4"/>
      <c r="DA1340" s="4"/>
      <c r="DB1340" s="4"/>
      <c r="DC1340" s="4"/>
      <c r="DD1340" s="4"/>
      <c r="DE1340" s="4"/>
      <c r="DF1340" s="4"/>
      <c r="DG1340" s="4"/>
      <c r="DH1340" s="4"/>
      <c r="DI1340" s="4"/>
      <c r="DJ1340" s="4"/>
      <c r="DK1340" s="4"/>
      <c r="DL1340" s="4"/>
      <c r="DM1340" s="4"/>
      <c r="DN1340" s="4"/>
      <c r="DO1340" s="4"/>
      <c r="DP1340" s="4"/>
      <c r="DQ1340" s="4"/>
      <c r="DR1340" s="4"/>
      <c r="DS1340" s="4"/>
      <c r="DT1340" s="4"/>
      <c r="DU1340" s="4"/>
      <c r="DV1340" s="4"/>
      <c r="DW1340" s="4"/>
      <c r="DX1340" s="4"/>
      <c r="DY1340" s="4"/>
      <c r="DZ1340" s="4"/>
      <c r="EA1340" s="4"/>
      <c r="EB1340" s="4"/>
      <c r="EC1340" s="4"/>
      <c r="ED1340" s="4"/>
      <c r="EE1340" s="4"/>
      <c r="EF1340" s="4"/>
      <c r="EG1340" s="4"/>
      <c r="EH1340" s="4"/>
      <c r="EI1340" s="4"/>
    </row>
    <row r="1341" spans="1:139" hidden="1" x14ac:dyDescent="0.2">
      <c r="A1341">
        <f>VLOOKUP(B1341,Sheet1!$A$1:$B$18,2,FALSE)</f>
        <v>0</v>
      </c>
      <c r="B1341" t="str">
        <f>LEFT(D1341,3)</f>
        <v>TNK</v>
      </c>
      <c r="C1341" s="2">
        <v>1340</v>
      </c>
      <c r="D1341" s="3" t="str">
        <f>HYPERLINK("https://sitebase.nzcomms.co.nz/spm/spmnominalview/TNK-033-019/","TNK-033-019")</f>
        <v>TNK-033-019</v>
      </c>
      <c r="E1341" s="4" t="s">
        <v>4023</v>
      </c>
      <c r="F1341" s="4"/>
      <c r="G1341" s="4"/>
      <c r="H1341" s="4" t="s">
        <v>3978</v>
      </c>
      <c r="I1341" s="4"/>
      <c r="J1341" s="4" t="s">
        <v>722</v>
      </c>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t="b">
        <v>0</v>
      </c>
      <c r="AH1341" s="4"/>
      <c r="AI1341" s="4"/>
      <c r="AJ1341" s="4"/>
      <c r="AK1341" s="4"/>
      <c r="AL1341" s="4"/>
      <c r="AM1341" s="4"/>
      <c r="AN1341" s="4"/>
      <c r="AO1341" s="4"/>
      <c r="AP1341" s="4"/>
      <c r="AQ1341" s="4"/>
      <c r="AR1341" s="4"/>
      <c r="AS1341" s="4"/>
      <c r="AT1341" s="4"/>
      <c r="AU1341" s="4"/>
      <c r="AV1341" s="4"/>
      <c r="AW1341" s="4"/>
      <c r="AX1341" s="4"/>
      <c r="AY1341" s="4"/>
      <c r="AZ1341" s="4"/>
      <c r="BA1341" s="4"/>
      <c r="BB1341" s="4"/>
      <c r="BC1341" s="4"/>
      <c r="BD1341" s="4"/>
      <c r="BE1341" s="4"/>
      <c r="BF1341" s="4"/>
      <c r="BG1341" s="4"/>
      <c r="BH1341" s="4"/>
      <c r="BI1341" s="4"/>
      <c r="BJ1341" s="4"/>
      <c r="BK1341" s="4"/>
      <c r="BL1341" s="4"/>
      <c r="BM1341" s="4"/>
      <c r="BN1341" s="4"/>
      <c r="BO1341" s="4"/>
      <c r="BP1341" s="4"/>
      <c r="BQ1341" s="4"/>
      <c r="BR1341" s="4"/>
      <c r="BS1341" s="4"/>
      <c r="BT1341" s="4"/>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4"/>
      <c r="CW1341" s="4"/>
      <c r="CX1341" s="4"/>
      <c r="CY1341" s="4"/>
      <c r="CZ1341" s="4"/>
      <c r="DA1341" s="4"/>
      <c r="DB1341" s="4"/>
      <c r="DC1341" s="4"/>
      <c r="DD1341" s="4"/>
      <c r="DE1341" s="4"/>
      <c r="DF1341" s="4"/>
      <c r="DG1341" s="4"/>
      <c r="DH1341" s="4"/>
      <c r="DI1341" s="4"/>
      <c r="DJ1341" s="4"/>
      <c r="DK1341" s="4"/>
      <c r="DL1341" s="4"/>
      <c r="DM1341" s="4"/>
      <c r="DN1341" s="4"/>
      <c r="DO1341" s="4"/>
      <c r="DP1341" s="4"/>
      <c r="DQ1341" s="4"/>
      <c r="DR1341" s="4"/>
      <c r="DS1341" s="4"/>
      <c r="DT1341" s="4"/>
      <c r="DU1341" s="4"/>
      <c r="DV1341" s="4"/>
      <c r="DW1341" s="4"/>
      <c r="DX1341" s="4"/>
      <c r="DY1341" s="4"/>
      <c r="DZ1341" s="4"/>
      <c r="EA1341" s="4"/>
      <c r="EB1341" s="4"/>
      <c r="EC1341" s="4"/>
      <c r="ED1341" s="4"/>
      <c r="EE1341" s="4"/>
      <c r="EF1341" s="4"/>
      <c r="EG1341" s="4"/>
      <c r="EH1341" s="4"/>
      <c r="EI1341" s="4"/>
    </row>
    <row r="1342" spans="1:139" hidden="1" x14ac:dyDescent="0.2">
      <c r="A1342">
        <f>VLOOKUP(B1342,Sheet1!$A$1:$B$18,2,FALSE)</f>
        <v>0</v>
      </c>
      <c r="B1342" t="str">
        <f>LEFT(D1342,3)</f>
        <v>TNK</v>
      </c>
      <c r="C1342" s="2">
        <v>1341</v>
      </c>
      <c r="D1342" s="3" t="str">
        <f>HYPERLINK("https://sitebase.nzcomms.co.nz/spm/spmnominalview/TNK-033-020/","TNK-033-020")</f>
        <v>TNK-033-020</v>
      </c>
      <c r="E1342" s="4" t="s">
        <v>4024</v>
      </c>
      <c r="F1342" s="4"/>
      <c r="G1342" s="4"/>
      <c r="H1342" s="4" t="s">
        <v>3978</v>
      </c>
      <c r="I1342" s="4"/>
      <c r="J1342" s="4" t="s">
        <v>722</v>
      </c>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t="b">
        <v>0</v>
      </c>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4"/>
      <c r="BF1342" s="4"/>
      <c r="BG1342" s="4"/>
      <c r="BH1342" s="4"/>
      <c r="BI1342" s="4"/>
      <c r="BJ1342" s="4"/>
      <c r="BK1342" s="4"/>
      <c r="BL1342" s="4"/>
      <c r="BM1342" s="4"/>
      <c r="BN1342" s="4"/>
      <c r="BO1342" s="4"/>
      <c r="BP1342" s="4"/>
      <c r="BQ1342" s="4"/>
      <c r="BR1342" s="4"/>
      <c r="BS1342" s="4"/>
      <c r="BT1342" s="4"/>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4"/>
      <c r="CW1342" s="4"/>
      <c r="CX1342" s="4"/>
      <c r="CY1342" s="4"/>
      <c r="CZ1342" s="4"/>
      <c r="DA1342" s="4"/>
      <c r="DB1342" s="4"/>
      <c r="DC1342" s="4"/>
      <c r="DD1342" s="4"/>
      <c r="DE1342" s="4"/>
      <c r="DF1342" s="4"/>
      <c r="DG1342" s="4"/>
      <c r="DH1342" s="4"/>
      <c r="DI1342" s="4"/>
      <c r="DJ1342" s="4"/>
      <c r="DK1342" s="4"/>
      <c r="DL1342" s="4"/>
      <c r="DM1342" s="4"/>
      <c r="DN1342" s="4"/>
      <c r="DO1342" s="4"/>
      <c r="DP1342" s="4"/>
      <c r="DQ1342" s="4"/>
      <c r="DR1342" s="4"/>
      <c r="DS1342" s="4"/>
      <c r="DT1342" s="4"/>
      <c r="DU1342" s="4"/>
      <c r="DV1342" s="4"/>
      <c r="DW1342" s="4"/>
      <c r="DX1342" s="4"/>
      <c r="DY1342" s="4"/>
      <c r="DZ1342" s="4"/>
      <c r="EA1342" s="4"/>
      <c r="EB1342" s="4"/>
      <c r="EC1342" s="4"/>
      <c r="ED1342" s="4"/>
      <c r="EE1342" s="4"/>
      <c r="EF1342" s="4"/>
      <c r="EG1342" s="4"/>
      <c r="EH1342" s="4"/>
      <c r="EI1342" s="4"/>
    </row>
    <row r="1343" spans="1:139" hidden="1" x14ac:dyDescent="0.2">
      <c r="A1343">
        <f>VLOOKUP(B1343,Sheet1!$A$1:$B$18,2,FALSE)</f>
        <v>0</v>
      </c>
      <c r="B1343" t="str">
        <f>LEFT(D1343,3)</f>
        <v>TNK</v>
      </c>
      <c r="C1343" s="2">
        <v>1342</v>
      </c>
      <c r="D1343" s="3" t="str">
        <f>HYPERLINK("https://sitebase.nzcomms.co.nz/spm/spmnominalview/TNK-033-021/","TNK-033-021")</f>
        <v>TNK-033-021</v>
      </c>
      <c r="E1343" s="4" t="s">
        <v>4025</v>
      </c>
      <c r="F1343" s="4"/>
      <c r="G1343" s="4"/>
      <c r="H1343" s="4" t="s">
        <v>3978</v>
      </c>
      <c r="I1343" s="4"/>
      <c r="J1343" s="4" t="s">
        <v>196</v>
      </c>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c r="AT1343" s="4"/>
      <c r="AU1343" s="4"/>
      <c r="AV1343" s="4"/>
      <c r="AW1343" s="4"/>
      <c r="AX1343" s="4"/>
      <c r="AY1343" s="4"/>
      <c r="AZ1343" s="4"/>
      <c r="BA1343" s="4"/>
      <c r="BB1343" s="4"/>
      <c r="BC1343" s="4"/>
      <c r="BD1343" s="4"/>
      <c r="BE1343" s="4"/>
      <c r="BF1343" s="4"/>
      <c r="BG1343" s="4"/>
      <c r="BH1343" s="4"/>
      <c r="BI1343" s="4"/>
      <c r="BJ1343" s="4"/>
      <c r="BK1343" s="4"/>
      <c r="BL1343" s="4"/>
      <c r="BM1343" s="4"/>
      <c r="BN1343" s="4"/>
      <c r="BO1343" s="4"/>
      <c r="BP1343" s="4"/>
      <c r="BQ1343" s="4"/>
      <c r="BR1343" s="4"/>
      <c r="BS1343" s="4"/>
      <c r="BT1343" s="4"/>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4"/>
      <c r="CW1343" s="4"/>
      <c r="CX1343" s="4"/>
      <c r="CY1343" s="4"/>
      <c r="CZ1343" s="4"/>
      <c r="DA1343" s="4"/>
      <c r="DB1343" s="4"/>
      <c r="DC1343" s="4"/>
      <c r="DD1343" s="4"/>
      <c r="DE1343" s="4"/>
      <c r="DF1343" s="4"/>
      <c r="DG1343" s="4"/>
      <c r="DH1343" s="4"/>
      <c r="DI1343" s="4"/>
      <c r="DJ1343" s="4"/>
      <c r="DK1343" s="4"/>
      <c r="DL1343" s="4"/>
      <c r="DM1343" s="4"/>
      <c r="DN1343" s="4"/>
      <c r="DO1343" s="4"/>
      <c r="DP1343" s="4"/>
      <c r="DQ1343" s="4"/>
      <c r="DR1343" s="4"/>
      <c r="DS1343" s="4"/>
      <c r="DT1343" s="4"/>
      <c r="DU1343" s="4"/>
      <c r="DV1343" s="4"/>
      <c r="DW1343" s="4"/>
      <c r="DX1343" s="4"/>
      <c r="DY1343" s="4"/>
      <c r="DZ1343" s="4"/>
      <c r="EA1343" s="4"/>
      <c r="EB1343" s="4"/>
      <c r="EC1343" s="4"/>
      <c r="ED1343" s="4"/>
      <c r="EE1343" s="4"/>
      <c r="EF1343" s="4"/>
      <c r="EG1343" s="4"/>
      <c r="EH1343" s="4"/>
      <c r="EI1343" s="4"/>
    </row>
    <row r="1344" spans="1:139" hidden="1" x14ac:dyDescent="0.2">
      <c r="A1344">
        <f>VLOOKUP(B1344,Sheet1!$A$1:$B$18,2,FALSE)</f>
        <v>0</v>
      </c>
      <c r="B1344" t="str">
        <f>LEFT(D1344,3)</f>
        <v>TNK</v>
      </c>
      <c r="C1344" s="2">
        <v>1343</v>
      </c>
      <c r="D1344" s="3" t="str">
        <f>HYPERLINK("https://sitebase.nzcomms.co.nz/spm/spmnominalview/TNK-033-022/","TNK-033-022")</f>
        <v>TNK-033-022</v>
      </c>
      <c r="E1344" s="4" t="s">
        <v>3995</v>
      </c>
      <c r="F1344" s="4"/>
      <c r="G1344" s="4"/>
      <c r="H1344" s="4" t="s">
        <v>3978</v>
      </c>
      <c r="I1344" s="4"/>
      <c r="J1344" s="4" t="s">
        <v>196</v>
      </c>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c r="AT1344" s="4"/>
      <c r="AU1344" s="4"/>
      <c r="AV1344" s="4"/>
      <c r="AW1344" s="4"/>
      <c r="AX1344" s="4"/>
      <c r="AY1344" s="4"/>
      <c r="AZ1344" s="4"/>
      <c r="BA1344" s="4"/>
      <c r="BB1344" s="4"/>
      <c r="BC1344" s="4"/>
      <c r="BD1344" s="4"/>
      <c r="BE1344" s="4"/>
      <c r="BF1344" s="4"/>
      <c r="BG1344" s="4"/>
      <c r="BH1344" s="4"/>
      <c r="BI1344" s="4"/>
      <c r="BJ1344" s="4"/>
      <c r="BK1344" s="4"/>
      <c r="BL1344" s="4"/>
      <c r="BM1344" s="4"/>
      <c r="BN1344" s="4"/>
      <c r="BO1344" s="4"/>
      <c r="BP1344" s="4"/>
      <c r="BQ1344" s="4"/>
      <c r="BR1344" s="4"/>
      <c r="BS1344" s="4"/>
      <c r="BT1344" s="4"/>
      <c r="BU1344" s="4"/>
      <c r="BV1344" s="4"/>
      <c r="BW1344" s="4"/>
      <c r="BX1344" s="4"/>
      <c r="BY1344" s="4"/>
      <c r="BZ1344" s="4"/>
      <c r="CA1344" s="4"/>
      <c r="CB1344" s="4"/>
      <c r="CC1344" s="4"/>
      <c r="CD1344" s="4"/>
      <c r="CE1344" s="4"/>
      <c r="CF1344" s="4"/>
      <c r="CG1344" s="4"/>
      <c r="CH1344" s="4"/>
      <c r="CI1344" s="4"/>
      <c r="CJ1344" s="4"/>
      <c r="CK1344" s="4"/>
      <c r="CL1344" s="4"/>
      <c r="CM1344" s="4"/>
      <c r="CN1344" s="4"/>
      <c r="CO1344" s="4"/>
      <c r="CP1344" s="4"/>
      <c r="CQ1344" s="4"/>
      <c r="CR1344" s="4"/>
      <c r="CS1344" s="4"/>
      <c r="CT1344" s="4"/>
      <c r="CU1344" s="4"/>
      <c r="CV1344" s="4"/>
      <c r="CW1344" s="4"/>
      <c r="CX1344" s="4"/>
      <c r="CY1344" s="4"/>
      <c r="CZ1344" s="4"/>
      <c r="DA1344" s="4"/>
      <c r="DB1344" s="4"/>
      <c r="DC1344" s="4"/>
      <c r="DD1344" s="4"/>
      <c r="DE1344" s="4"/>
      <c r="DF1344" s="4"/>
      <c r="DG1344" s="4"/>
      <c r="DH1344" s="4"/>
      <c r="DI1344" s="4"/>
      <c r="DJ1344" s="4"/>
      <c r="DK1344" s="4"/>
      <c r="DL1344" s="4"/>
      <c r="DM1344" s="4"/>
      <c r="DN1344" s="4"/>
      <c r="DO1344" s="4"/>
      <c r="DP1344" s="4"/>
      <c r="DQ1344" s="4"/>
      <c r="DR1344" s="4"/>
      <c r="DS1344" s="4"/>
      <c r="DT1344" s="4"/>
      <c r="DU1344" s="4"/>
      <c r="DV1344" s="4"/>
      <c r="DW1344" s="4"/>
      <c r="DX1344" s="4"/>
      <c r="DY1344" s="4"/>
      <c r="DZ1344" s="4"/>
      <c r="EA1344" s="4"/>
      <c r="EB1344" s="4"/>
      <c r="EC1344" s="4"/>
      <c r="ED1344" s="4"/>
      <c r="EE1344" s="4"/>
      <c r="EF1344" s="4"/>
      <c r="EG1344" s="4"/>
      <c r="EH1344" s="4"/>
      <c r="EI1344" s="4"/>
    </row>
    <row r="1345" spans="1:139" hidden="1" x14ac:dyDescent="0.2">
      <c r="A1345">
        <f>VLOOKUP(B1345,Sheet1!$A$1:$B$18,2,FALSE)</f>
        <v>0</v>
      </c>
      <c r="B1345" t="str">
        <f>LEFT(D1345,3)</f>
        <v>TNK</v>
      </c>
      <c r="C1345" s="2">
        <v>1344</v>
      </c>
      <c r="D1345" s="3" t="str">
        <f>HYPERLINK("https://sitebase.nzcomms.co.nz/spm/spmnominalview/TNK-033-023/","TNK-033-023")</f>
        <v>TNK-033-023</v>
      </c>
      <c r="E1345" s="4" t="s">
        <v>4026</v>
      </c>
      <c r="F1345" s="4"/>
      <c r="G1345" s="4"/>
      <c r="H1345" s="4" t="s">
        <v>3978</v>
      </c>
      <c r="I1345" s="4"/>
      <c r="J1345" s="4" t="s">
        <v>196</v>
      </c>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c r="AT1345" s="4"/>
      <c r="AU1345" s="4"/>
      <c r="AV1345" s="4"/>
      <c r="AW1345" s="4"/>
      <c r="AX1345" s="4"/>
      <c r="AY1345" s="4"/>
      <c r="AZ1345" s="4"/>
      <c r="BA1345" s="4"/>
      <c r="BB1345" s="4"/>
      <c r="BC1345" s="4"/>
      <c r="BD1345" s="4"/>
      <c r="BE1345" s="4"/>
      <c r="BF1345" s="4"/>
      <c r="BG1345" s="4"/>
      <c r="BH1345" s="4"/>
      <c r="BI1345" s="4"/>
      <c r="BJ1345" s="4"/>
      <c r="BK1345" s="4"/>
      <c r="BL1345" s="4"/>
      <c r="BM1345" s="4"/>
      <c r="BN1345" s="4"/>
      <c r="BO1345" s="4"/>
      <c r="BP1345" s="4"/>
      <c r="BQ1345" s="4"/>
      <c r="BR1345" s="4"/>
      <c r="BS1345" s="4"/>
      <c r="BT1345" s="4"/>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4"/>
      <c r="CW1345" s="4"/>
      <c r="CX1345" s="4"/>
      <c r="CY1345" s="4"/>
      <c r="CZ1345" s="4"/>
      <c r="DA1345" s="4"/>
      <c r="DB1345" s="4"/>
      <c r="DC1345" s="4"/>
      <c r="DD1345" s="4"/>
      <c r="DE1345" s="4"/>
      <c r="DF1345" s="4"/>
      <c r="DG1345" s="4"/>
      <c r="DH1345" s="4"/>
      <c r="DI1345" s="4"/>
      <c r="DJ1345" s="4"/>
      <c r="DK1345" s="4"/>
      <c r="DL1345" s="4"/>
      <c r="DM1345" s="4"/>
      <c r="DN1345" s="4"/>
      <c r="DO1345" s="4"/>
      <c r="DP1345" s="4"/>
      <c r="DQ1345" s="4"/>
      <c r="DR1345" s="4"/>
      <c r="DS1345" s="4"/>
      <c r="DT1345" s="4"/>
      <c r="DU1345" s="4"/>
      <c r="DV1345" s="4"/>
      <c r="DW1345" s="4"/>
      <c r="DX1345" s="4"/>
      <c r="DY1345" s="4"/>
      <c r="DZ1345" s="4"/>
      <c r="EA1345" s="4"/>
      <c r="EB1345" s="4"/>
      <c r="EC1345" s="4"/>
      <c r="ED1345" s="4"/>
      <c r="EE1345" s="4"/>
      <c r="EF1345" s="4"/>
      <c r="EG1345" s="4"/>
      <c r="EH1345" s="4"/>
      <c r="EI1345" s="4"/>
    </row>
    <row r="1346" spans="1:139" hidden="1" x14ac:dyDescent="0.2">
      <c r="A1346">
        <f>VLOOKUP(B1346,Sheet1!$A$1:$B$18,2,FALSE)</f>
        <v>0</v>
      </c>
      <c r="B1346" t="str">
        <f>LEFT(D1346,3)</f>
        <v>TNK</v>
      </c>
      <c r="C1346" s="2">
        <v>1345</v>
      </c>
      <c r="D1346" s="3" t="str">
        <f>HYPERLINK("https://sitebase.nzcomms.co.nz/spm/spmnominalview/TNK-033-024/","TNK-033-024")</f>
        <v>TNK-033-024</v>
      </c>
      <c r="E1346" s="4" t="s">
        <v>4021</v>
      </c>
      <c r="F1346" s="4"/>
      <c r="G1346" s="4"/>
      <c r="H1346" s="4" t="s">
        <v>3978</v>
      </c>
      <c r="I1346" s="4"/>
      <c r="J1346" s="4" t="s">
        <v>196</v>
      </c>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c r="AT1346" s="4"/>
      <c r="AU1346" s="4"/>
      <c r="AV1346" s="4"/>
      <c r="AW1346" s="4"/>
      <c r="AX1346" s="4"/>
      <c r="AY1346" s="4"/>
      <c r="AZ1346" s="4"/>
      <c r="BA1346" s="4"/>
      <c r="BB1346" s="4"/>
      <c r="BC1346" s="4"/>
      <c r="BD1346" s="4"/>
      <c r="BE1346" s="4"/>
      <c r="BF1346" s="4"/>
      <c r="BG1346" s="4"/>
      <c r="BH1346" s="4"/>
      <c r="BI1346" s="4"/>
      <c r="BJ1346" s="4"/>
      <c r="BK1346" s="4"/>
      <c r="BL1346" s="4"/>
      <c r="BM1346" s="4"/>
      <c r="BN1346" s="4"/>
      <c r="BO1346" s="4"/>
      <c r="BP1346" s="4"/>
      <c r="BQ1346" s="4"/>
      <c r="BR1346" s="4"/>
      <c r="BS1346" s="4"/>
      <c r="BT1346" s="4"/>
      <c r="BU1346" s="4"/>
      <c r="BV1346" s="4"/>
      <c r="BW1346" s="4"/>
      <c r="BX1346" s="4"/>
      <c r="BY1346" s="4"/>
      <c r="BZ1346" s="4"/>
      <c r="CA1346" s="4"/>
      <c r="CB1346" s="4"/>
      <c r="CC1346" s="4"/>
      <c r="CD1346" s="4"/>
      <c r="CE1346" s="4"/>
      <c r="CF1346" s="4"/>
      <c r="CG1346" s="4"/>
      <c r="CH1346" s="4"/>
      <c r="CI1346" s="4"/>
      <c r="CJ1346" s="4"/>
      <c r="CK1346" s="4"/>
      <c r="CL1346" s="4"/>
      <c r="CM1346" s="4"/>
      <c r="CN1346" s="4"/>
      <c r="CO1346" s="4"/>
      <c r="CP1346" s="4"/>
      <c r="CQ1346" s="4"/>
      <c r="CR1346" s="4"/>
      <c r="CS1346" s="4"/>
      <c r="CT1346" s="4"/>
      <c r="CU1346" s="4"/>
      <c r="CV1346" s="4"/>
      <c r="CW1346" s="4"/>
      <c r="CX1346" s="4"/>
      <c r="CY1346" s="4"/>
      <c r="CZ1346" s="4"/>
      <c r="DA1346" s="4"/>
      <c r="DB1346" s="4"/>
      <c r="DC1346" s="4"/>
      <c r="DD1346" s="4"/>
      <c r="DE1346" s="4"/>
      <c r="DF1346" s="4"/>
      <c r="DG1346" s="4"/>
      <c r="DH1346" s="4"/>
      <c r="DI1346" s="4"/>
      <c r="DJ1346" s="4"/>
      <c r="DK1346" s="4"/>
      <c r="DL1346" s="4"/>
      <c r="DM1346" s="4"/>
      <c r="DN1346" s="4"/>
      <c r="DO1346" s="4"/>
      <c r="DP1346" s="4"/>
      <c r="DQ1346" s="4"/>
      <c r="DR1346" s="4"/>
      <c r="DS1346" s="4"/>
      <c r="DT1346" s="4"/>
      <c r="DU1346" s="4"/>
      <c r="DV1346" s="4"/>
      <c r="DW1346" s="4"/>
      <c r="DX1346" s="4"/>
      <c r="DY1346" s="4"/>
      <c r="DZ1346" s="4"/>
      <c r="EA1346" s="4"/>
      <c r="EB1346" s="4"/>
      <c r="EC1346" s="4"/>
      <c r="ED1346" s="4"/>
      <c r="EE1346" s="4"/>
      <c r="EF1346" s="4"/>
      <c r="EG1346" s="4"/>
      <c r="EH1346" s="4"/>
      <c r="EI1346" s="4"/>
    </row>
    <row r="1347" spans="1:139" hidden="1" x14ac:dyDescent="0.2">
      <c r="A1347">
        <f>VLOOKUP(B1347,Sheet1!$A$1:$B$18,2,FALSE)</f>
        <v>0</v>
      </c>
      <c r="B1347" t="str">
        <f>LEFT(D1347,3)</f>
        <v>TNK</v>
      </c>
      <c r="C1347" s="2">
        <v>1346</v>
      </c>
      <c r="D1347" s="3" t="str">
        <f>HYPERLINK("https://sitebase.nzcomms.co.nz/spm/spmnominalview/TNK-033-025/","TNK-033-025")</f>
        <v>TNK-033-025</v>
      </c>
      <c r="E1347" s="4" t="s">
        <v>4027</v>
      </c>
      <c r="F1347" s="3" t="str">
        <f>HYPERLINK("https://sitebase.nzcomms.co.nz/spm/spmcandidateview/TNK-033-025-A/","TNK-033-025-A")</f>
        <v>TNK-033-025-A</v>
      </c>
      <c r="G1347" s="4" t="s">
        <v>4028</v>
      </c>
      <c r="H1347" s="4" t="s">
        <v>3978</v>
      </c>
      <c r="I1347" s="4">
        <v>6</v>
      </c>
      <c r="J1347" s="4" t="s">
        <v>180</v>
      </c>
      <c r="K1347" s="4" t="s">
        <v>141</v>
      </c>
      <c r="L1347" s="4" t="s">
        <v>142</v>
      </c>
      <c r="M1347" s="4" t="s">
        <v>190</v>
      </c>
      <c r="N1347" s="4" t="s">
        <v>142</v>
      </c>
      <c r="O1347" s="4"/>
      <c r="P1347" s="4" t="s">
        <v>169</v>
      </c>
      <c r="Q1347" s="4" t="s">
        <v>142</v>
      </c>
      <c r="R1347" s="4"/>
      <c r="S1347" s="4"/>
      <c r="T1347" s="4">
        <v>1</v>
      </c>
      <c r="U1347" s="4">
        <v>-39.151683640000002</v>
      </c>
      <c r="V1347" s="4">
        <v>174.21061323999999</v>
      </c>
      <c r="W1347" s="4"/>
      <c r="X1347" s="5">
        <v>40933</v>
      </c>
      <c r="Y1347" s="4"/>
      <c r="Z1347" s="4"/>
      <c r="AA1347" s="4" t="s">
        <v>152</v>
      </c>
      <c r="AB1347" s="3" t="str">
        <f>HYPERLINK("https://sitebase.nzcomms.co.nz/spm/spmcandidateview/TNK-033-004-A/","TNK-033-004-A")</f>
        <v>TNK-033-004-A</v>
      </c>
      <c r="AC1347" s="4" t="b">
        <v>0</v>
      </c>
      <c r="AD1347" s="4" t="b">
        <v>0</v>
      </c>
      <c r="AE1347" s="4"/>
      <c r="AF1347" s="4"/>
      <c r="AG1347" s="4" t="b">
        <v>0</v>
      </c>
      <c r="AH1347" s="4"/>
      <c r="AI1347" s="5">
        <v>40960</v>
      </c>
      <c r="AJ1347" s="5">
        <v>40946</v>
      </c>
      <c r="AK1347" s="5">
        <v>40965</v>
      </c>
      <c r="AL1347" s="5">
        <v>40960</v>
      </c>
      <c r="AM1347" s="5">
        <v>40991</v>
      </c>
      <c r="AN1347" s="5">
        <v>41003</v>
      </c>
      <c r="AO1347" s="4">
        <v>1</v>
      </c>
      <c r="AP1347" s="5">
        <v>40991</v>
      </c>
      <c r="AQ1347" s="5">
        <v>41003</v>
      </c>
      <c r="AR1347" s="5">
        <v>41162</v>
      </c>
      <c r="AS1347" s="5">
        <v>41163</v>
      </c>
      <c r="AT1347" s="5">
        <v>41208</v>
      </c>
      <c r="AU1347" s="5">
        <v>41207</v>
      </c>
      <c r="AV1347" s="4"/>
      <c r="AW1347" s="5">
        <v>41208</v>
      </c>
      <c r="AX1347" s="5">
        <v>41225</v>
      </c>
      <c r="AY1347" s="4" t="s">
        <v>247</v>
      </c>
      <c r="AZ1347" s="5">
        <v>41036</v>
      </c>
      <c r="BA1347" s="5">
        <v>41036</v>
      </c>
      <c r="BB1347" s="5">
        <v>73938</v>
      </c>
      <c r="BC1347" s="5">
        <v>41050</v>
      </c>
      <c r="BD1347" s="4">
        <v>1</v>
      </c>
      <c r="BE1347" s="5">
        <v>41071</v>
      </c>
      <c r="BF1347" s="5">
        <v>41054</v>
      </c>
      <c r="BG1347" s="4"/>
      <c r="BH1347" s="4"/>
      <c r="BI1347" s="5">
        <v>41159</v>
      </c>
      <c r="BJ1347" s="5">
        <v>41162</v>
      </c>
      <c r="BK1347" s="4">
        <v>1</v>
      </c>
      <c r="BL1347" s="4"/>
      <c r="BM1347" s="5">
        <v>41159</v>
      </c>
      <c r="BN1347" s="5">
        <v>41162</v>
      </c>
      <c r="BO1347" s="5">
        <v>41183</v>
      </c>
      <c r="BP1347" s="4"/>
      <c r="BQ1347" s="4"/>
      <c r="BR1347" s="4"/>
      <c r="BS1347" s="4"/>
      <c r="BT1347" s="5">
        <v>41177</v>
      </c>
      <c r="BU1347" s="5">
        <v>41178</v>
      </c>
      <c r="BV1347" s="5">
        <v>41187</v>
      </c>
      <c r="BW1347" s="5">
        <v>41205</v>
      </c>
      <c r="BX1347" s="5">
        <v>41178</v>
      </c>
      <c r="BY1347" s="5">
        <v>41208</v>
      </c>
      <c r="BZ1347" s="5">
        <v>41209</v>
      </c>
      <c r="CA1347" s="4"/>
      <c r="CB1347" s="4"/>
      <c r="CC1347" s="4"/>
      <c r="CD1347" s="4"/>
      <c r="CE1347" s="4"/>
      <c r="CF1347" s="4"/>
      <c r="CG1347" s="4"/>
      <c r="CH1347" s="4"/>
      <c r="CI1347" s="5">
        <v>41211</v>
      </c>
      <c r="CJ1347" s="5">
        <v>41228</v>
      </c>
      <c r="CK1347" s="5">
        <v>41227</v>
      </c>
      <c r="CL1347" s="5">
        <v>41226</v>
      </c>
      <c r="CM1347" s="5">
        <v>41226</v>
      </c>
      <c r="CN1347" s="5">
        <v>41407</v>
      </c>
      <c r="CO1347" s="5">
        <v>41390</v>
      </c>
      <c r="CP1347" s="4"/>
      <c r="CQ1347" s="4" t="s">
        <v>230</v>
      </c>
      <c r="CR1347" s="5">
        <v>41211</v>
      </c>
      <c r="CS1347" s="4"/>
      <c r="CT1347" s="4"/>
      <c r="CU1347" s="5">
        <v>41146</v>
      </c>
      <c r="CV1347" s="5">
        <v>41164</v>
      </c>
      <c r="CW1347" s="5">
        <v>41163</v>
      </c>
      <c r="CX1347" s="5">
        <v>41183</v>
      </c>
      <c r="CY1347" s="5">
        <v>41157</v>
      </c>
      <c r="CZ1347" s="5">
        <v>41206</v>
      </c>
      <c r="DA1347" s="5">
        <v>41223</v>
      </c>
      <c r="DB1347" s="5">
        <v>41213</v>
      </c>
      <c r="DC1347" s="5">
        <v>40949</v>
      </c>
      <c r="DD1347" s="4" t="s">
        <v>586</v>
      </c>
      <c r="DE1347" s="4" t="s">
        <v>3979</v>
      </c>
      <c r="DF1347" s="5">
        <v>41214</v>
      </c>
      <c r="DG1347" s="5">
        <v>41214</v>
      </c>
      <c r="DH1347" s="4" t="s">
        <v>174</v>
      </c>
      <c r="DI1347" s="5">
        <v>41187</v>
      </c>
      <c r="DJ1347" s="4" t="b">
        <v>0</v>
      </c>
      <c r="DK1347" s="4"/>
      <c r="DL1347" s="4">
        <v>2614687</v>
      </c>
      <c r="DM1347" s="4">
        <v>6227436</v>
      </c>
      <c r="DN1347" s="4" t="s">
        <v>4029</v>
      </c>
      <c r="DO1347" s="4"/>
      <c r="DP1347" s="4"/>
      <c r="DQ1347" s="4" t="s">
        <v>148</v>
      </c>
      <c r="DR1347" s="4"/>
      <c r="DS1347" s="4"/>
      <c r="DT1347" s="4"/>
      <c r="DU1347" s="4"/>
      <c r="DV1347" s="4"/>
      <c r="DW1347" s="4"/>
      <c r="DX1347" s="4"/>
      <c r="DY1347" s="4"/>
      <c r="DZ1347" s="4"/>
      <c r="EA1347" s="4"/>
      <c r="EB1347" s="4"/>
      <c r="EC1347" s="4"/>
      <c r="ED1347" s="4"/>
      <c r="EE1347" s="4"/>
      <c r="EF1347" s="4"/>
      <c r="EG1347" s="5">
        <v>41215</v>
      </c>
      <c r="EH1347" s="5">
        <v>41215</v>
      </c>
      <c r="EI1347" s="4"/>
    </row>
    <row r="1348" spans="1:139" hidden="1" x14ac:dyDescent="0.2">
      <c r="A1348">
        <f>VLOOKUP(B1348,Sheet1!$A$1:$B$18,2,FALSE)</f>
        <v>0</v>
      </c>
      <c r="B1348" t="str">
        <f>LEFT(D1348,3)</f>
        <v>TNK</v>
      </c>
      <c r="C1348" s="2">
        <v>1347</v>
      </c>
      <c r="D1348" s="3" t="str">
        <f>HYPERLINK("https://sitebase.nzcomms.co.nz/spm/spmnominalview/TNK-034-001/","TNK-034-001")</f>
        <v>TNK-034-001</v>
      </c>
      <c r="E1348" s="4"/>
      <c r="F1348" s="4"/>
      <c r="G1348" s="4"/>
      <c r="H1348" s="4" t="s">
        <v>4030</v>
      </c>
      <c r="I1348" s="4"/>
      <c r="J1348" s="4" t="s">
        <v>196</v>
      </c>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c r="AT1348" s="4"/>
      <c r="AU1348" s="4"/>
      <c r="AV1348" s="4"/>
      <c r="AW1348" s="4"/>
      <c r="AX1348" s="4"/>
      <c r="AY1348" s="4"/>
      <c r="AZ1348" s="4"/>
      <c r="BA1348" s="4"/>
      <c r="BB1348" s="4"/>
      <c r="BC1348" s="4"/>
      <c r="BD1348" s="4"/>
      <c r="BE1348" s="4"/>
      <c r="BF1348" s="4"/>
      <c r="BG1348" s="4"/>
      <c r="BH1348" s="4"/>
      <c r="BI1348" s="4"/>
      <c r="BJ1348" s="4"/>
      <c r="BK1348" s="4"/>
      <c r="BL1348" s="4"/>
      <c r="BM1348" s="4"/>
      <c r="BN1348" s="4"/>
      <c r="BO1348" s="4"/>
      <c r="BP1348" s="4"/>
      <c r="BQ1348" s="4"/>
      <c r="BR1348" s="4"/>
      <c r="BS1348" s="4"/>
      <c r="BT1348" s="4"/>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4"/>
      <c r="CW1348" s="4"/>
      <c r="CX1348" s="4"/>
      <c r="CY1348" s="4"/>
      <c r="CZ1348" s="4"/>
      <c r="DA1348" s="4"/>
      <c r="DB1348" s="4"/>
      <c r="DC1348" s="4"/>
      <c r="DD1348" s="4"/>
      <c r="DE1348" s="4"/>
      <c r="DF1348" s="4"/>
      <c r="DG1348" s="4"/>
      <c r="DH1348" s="4"/>
      <c r="DI1348" s="4"/>
      <c r="DJ1348" s="4"/>
      <c r="DK1348" s="4"/>
      <c r="DL1348" s="4"/>
      <c r="DM1348" s="4"/>
      <c r="DN1348" s="4"/>
      <c r="DO1348" s="4"/>
      <c r="DP1348" s="4"/>
      <c r="DQ1348" s="4"/>
      <c r="DR1348" s="4"/>
      <c r="DS1348" s="4"/>
      <c r="DT1348" s="4"/>
      <c r="DU1348" s="4"/>
      <c r="DV1348" s="4"/>
      <c r="DW1348" s="4"/>
      <c r="DX1348" s="4"/>
      <c r="DY1348" s="4"/>
      <c r="DZ1348" s="4"/>
      <c r="EA1348" s="4"/>
      <c r="EB1348" s="4"/>
      <c r="EC1348" s="4"/>
      <c r="ED1348" s="4"/>
      <c r="EE1348" s="4"/>
      <c r="EF1348" s="4"/>
      <c r="EG1348" s="4"/>
      <c r="EH1348" s="4"/>
      <c r="EI1348" s="4"/>
    </row>
    <row r="1349" spans="1:139" hidden="1" x14ac:dyDescent="0.2">
      <c r="A1349">
        <f>VLOOKUP(B1349,Sheet1!$A$1:$B$18,2,FALSE)</f>
        <v>0</v>
      </c>
      <c r="B1349" t="str">
        <f>LEFT(D1349,3)</f>
        <v>TNK</v>
      </c>
      <c r="C1349" s="2">
        <v>1348</v>
      </c>
      <c r="D1349" s="3" t="str">
        <f>HYPERLINK("https://sitebase.nzcomms.co.nz/spm/spmnominalview/TNK-034-002/","TNK-034-002")</f>
        <v>TNK-034-002</v>
      </c>
      <c r="E1349" s="4"/>
      <c r="F1349" s="4"/>
      <c r="G1349" s="4"/>
      <c r="H1349" s="4" t="s">
        <v>4030</v>
      </c>
      <c r="I1349" s="4"/>
      <c r="J1349" s="4" t="s">
        <v>196</v>
      </c>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4"/>
      <c r="BF1349" s="4"/>
      <c r="BG1349" s="4"/>
      <c r="BH1349" s="4"/>
      <c r="BI1349" s="4"/>
      <c r="BJ1349" s="4"/>
      <c r="BK1349" s="4"/>
      <c r="BL1349" s="4"/>
      <c r="BM1349" s="4"/>
      <c r="BN1349" s="4"/>
      <c r="BO1349" s="4"/>
      <c r="BP1349" s="4"/>
      <c r="BQ1349" s="4"/>
      <c r="BR1349" s="4"/>
      <c r="BS1349" s="4"/>
      <c r="BT1349" s="4"/>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4"/>
      <c r="CW1349" s="4"/>
      <c r="CX1349" s="4"/>
      <c r="CY1349" s="4"/>
      <c r="CZ1349" s="4"/>
      <c r="DA1349" s="4"/>
      <c r="DB1349" s="4"/>
      <c r="DC1349" s="4"/>
      <c r="DD1349" s="4"/>
      <c r="DE1349" s="4"/>
      <c r="DF1349" s="4"/>
      <c r="DG1349" s="4"/>
      <c r="DH1349" s="4"/>
      <c r="DI1349" s="4"/>
      <c r="DJ1349" s="4"/>
      <c r="DK1349" s="4"/>
      <c r="DL1349" s="4"/>
      <c r="DM1349" s="4"/>
      <c r="DN1349" s="4"/>
      <c r="DO1349" s="4"/>
      <c r="DP1349" s="4"/>
      <c r="DQ1349" s="4"/>
      <c r="DR1349" s="4"/>
      <c r="DS1349" s="4"/>
      <c r="DT1349" s="4"/>
      <c r="DU1349" s="4"/>
      <c r="DV1349" s="4"/>
      <c r="DW1349" s="4"/>
      <c r="DX1349" s="4"/>
      <c r="DY1349" s="4"/>
      <c r="DZ1349" s="4"/>
      <c r="EA1349" s="4"/>
      <c r="EB1349" s="4"/>
      <c r="EC1349" s="4"/>
      <c r="ED1349" s="4"/>
      <c r="EE1349" s="4"/>
      <c r="EF1349" s="4"/>
      <c r="EG1349" s="4"/>
      <c r="EH1349" s="4"/>
      <c r="EI1349" s="4"/>
    </row>
    <row r="1350" spans="1:139" hidden="1" x14ac:dyDescent="0.2">
      <c r="A1350">
        <f>VLOOKUP(B1350,Sheet1!$A$1:$B$18,2,FALSE)</f>
        <v>0</v>
      </c>
      <c r="B1350" t="str">
        <f>LEFT(D1350,3)</f>
        <v>TNK</v>
      </c>
      <c r="C1350" s="2">
        <v>1349</v>
      </c>
      <c r="D1350" s="3" t="str">
        <f>HYPERLINK("https://sitebase.nzcomms.co.nz/spm/spmnominalview/TNK-034-003/","TNK-034-003")</f>
        <v>TNK-034-003</v>
      </c>
      <c r="E1350" s="4" t="s">
        <v>4031</v>
      </c>
      <c r="F1350" s="3" t="str">
        <f>HYPERLINK("https://sitebase.nzcomms.co.nz/spm/spmcandidateview/TNK-034-003-E/","TNK-034-003-E")</f>
        <v>TNK-034-003-E</v>
      </c>
      <c r="G1350" s="4" t="s">
        <v>4032</v>
      </c>
      <c r="H1350" s="4" t="s">
        <v>4030</v>
      </c>
      <c r="I1350" s="4">
        <v>24</v>
      </c>
      <c r="J1350" s="4" t="s">
        <v>165</v>
      </c>
      <c r="K1350" s="4" t="s">
        <v>141</v>
      </c>
      <c r="L1350" s="4" t="s">
        <v>150</v>
      </c>
      <c r="M1350" s="4" t="s">
        <v>166</v>
      </c>
      <c r="N1350" s="4" t="s">
        <v>269</v>
      </c>
      <c r="O1350" s="4"/>
      <c r="P1350" s="4" t="s">
        <v>169</v>
      </c>
      <c r="Q1350" s="4" t="s">
        <v>192</v>
      </c>
      <c r="R1350" s="4"/>
      <c r="S1350" s="4"/>
      <c r="T1350" s="4"/>
      <c r="U1350" s="4">
        <v>-39.338664719999997</v>
      </c>
      <c r="V1350" s="4">
        <v>174.28350585000001</v>
      </c>
      <c r="W1350" s="4"/>
      <c r="X1350" s="5">
        <v>42066</v>
      </c>
      <c r="Y1350" s="4"/>
      <c r="Z1350" s="5">
        <v>42061</v>
      </c>
      <c r="AA1350" s="4" t="s">
        <v>145</v>
      </c>
      <c r="AB1350" s="3" t="str">
        <f>HYPERLINK("https://sitebase.nzcomms.co.nz/spm/spmcandidateview/TNK-033-004-A/","TNK-033-004-A")</f>
        <v>TNK-033-004-A</v>
      </c>
      <c r="AC1350" s="4" t="b">
        <v>0</v>
      </c>
      <c r="AD1350" s="4" t="b">
        <v>0</v>
      </c>
      <c r="AE1350" s="4"/>
      <c r="AF1350" s="4"/>
      <c r="AG1350" s="4" t="b">
        <v>0</v>
      </c>
      <c r="AH1350" s="4"/>
      <c r="AI1350" s="5">
        <v>42187</v>
      </c>
      <c r="AJ1350" s="5">
        <v>42187</v>
      </c>
      <c r="AK1350" s="5">
        <v>42187</v>
      </c>
      <c r="AL1350" s="5">
        <v>42187</v>
      </c>
      <c r="AM1350" s="5">
        <v>42195</v>
      </c>
      <c r="AN1350" s="5">
        <v>42215</v>
      </c>
      <c r="AO1350" s="4">
        <v>1</v>
      </c>
      <c r="AP1350" s="4"/>
      <c r="AQ1350" s="5">
        <v>42215</v>
      </c>
      <c r="AR1350" s="5">
        <v>42213</v>
      </c>
      <c r="AS1350" s="5">
        <v>42213</v>
      </c>
      <c r="AT1350" s="5">
        <v>42223</v>
      </c>
      <c r="AU1350" s="5">
        <v>42222</v>
      </c>
      <c r="AV1350" s="4"/>
      <c r="AW1350" s="5">
        <v>42257</v>
      </c>
      <c r="AX1350" s="5">
        <v>42227</v>
      </c>
      <c r="AY1350" s="4" t="s">
        <v>183</v>
      </c>
      <c r="AZ1350" s="5">
        <v>42216</v>
      </c>
      <c r="BA1350" s="5">
        <v>42216</v>
      </c>
      <c r="BB1350" s="5">
        <v>42247</v>
      </c>
      <c r="BC1350" s="5">
        <v>42244</v>
      </c>
      <c r="BD1350" s="4">
        <v>1</v>
      </c>
      <c r="BE1350" s="4"/>
      <c r="BF1350" s="5">
        <v>42257</v>
      </c>
      <c r="BG1350" s="5">
        <v>42216</v>
      </c>
      <c r="BH1350" s="5">
        <v>42213</v>
      </c>
      <c r="BI1350" s="5">
        <v>42251</v>
      </c>
      <c r="BJ1350" s="5">
        <v>42272</v>
      </c>
      <c r="BK1350" s="4">
        <v>1</v>
      </c>
      <c r="BL1350" s="4"/>
      <c r="BM1350" s="4"/>
      <c r="BN1350" s="5">
        <v>42272</v>
      </c>
      <c r="BO1350" s="4"/>
      <c r="BP1350" s="4"/>
      <c r="BQ1350" s="4"/>
      <c r="BR1350" s="4"/>
      <c r="BS1350" s="4"/>
      <c r="BT1350" s="5">
        <v>42426</v>
      </c>
      <c r="BU1350" s="5">
        <v>42402</v>
      </c>
      <c r="BV1350" s="5">
        <v>42419</v>
      </c>
      <c r="BW1350" s="4"/>
      <c r="BX1350" s="4"/>
      <c r="BY1350" s="5">
        <v>42429</v>
      </c>
      <c r="BZ1350" s="4"/>
      <c r="CA1350" s="4"/>
      <c r="CB1350" s="4"/>
      <c r="CC1350" s="5">
        <v>42213</v>
      </c>
      <c r="CD1350" s="5">
        <v>42213</v>
      </c>
      <c r="CE1350" s="4"/>
      <c r="CF1350" s="4"/>
      <c r="CG1350" s="4"/>
      <c r="CH1350" s="4"/>
      <c r="CI1350" s="4"/>
      <c r="CJ1350" s="5">
        <v>42457</v>
      </c>
      <c r="CK1350" s="4"/>
      <c r="CL1350" s="4"/>
      <c r="CM1350" s="4"/>
      <c r="CN1350" s="4"/>
      <c r="CO1350" s="4"/>
      <c r="CP1350" s="4" t="s">
        <v>4033</v>
      </c>
      <c r="CQ1350" s="4"/>
      <c r="CR1350" s="4"/>
      <c r="CS1350" s="4"/>
      <c r="CT1350" s="4"/>
      <c r="CU1350" s="4"/>
      <c r="CV1350" s="4"/>
      <c r="CW1350" s="4"/>
      <c r="CX1350" s="4"/>
      <c r="CY1350" s="4"/>
      <c r="CZ1350" s="4"/>
      <c r="DA1350" s="5">
        <v>42444</v>
      </c>
      <c r="DB1350" s="4"/>
      <c r="DC1350" s="4"/>
      <c r="DD1350" s="4"/>
      <c r="DE1350" s="4" t="s">
        <v>3979</v>
      </c>
      <c r="DF1350" s="4"/>
      <c r="DG1350" s="4"/>
      <c r="DH1350" s="4" t="s">
        <v>174</v>
      </c>
      <c r="DI1350" s="4"/>
      <c r="DJ1350" s="4" t="b">
        <v>0</v>
      </c>
      <c r="DK1350" s="4"/>
      <c r="DL1350" s="4">
        <v>2620678</v>
      </c>
      <c r="DM1350" s="4">
        <v>6206591</v>
      </c>
      <c r="DN1350" s="4" t="s">
        <v>4034</v>
      </c>
      <c r="DO1350" s="4"/>
      <c r="DP1350" s="4"/>
      <c r="DQ1350" s="4" t="s">
        <v>148</v>
      </c>
      <c r="DR1350" s="4"/>
      <c r="DS1350" s="4"/>
      <c r="DT1350" s="4"/>
      <c r="DU1350" s="4" t="s">
        <v>178</v>
      </c>
      <c r="DV1350" s="4"/>
      <c r="DW1350" s="5">
        <v>42236</v>
      </c>
      <c r="DX1350" s="5">
        <v>42293</v>
      </c>
      <c r="DY1350" s="5">
        <v>42237</v>
      </c>
      <c r="DZ1350" s="5">
        <v>42223</v>
      </c>
      <c r="EA1350" s="4"/>
      <c r="EB1350" s="4"/>
      <c r="EC1350" s="4"/>
      <c r="ED1350" s="4"/>
      <c r="EE1350" s="5">
        <v>42412</v>
      </c>
      <c r="EF1350" s="5">
        <v>42402</v>
      </c>
      <c r="EG1350" s="4"/>
      <c r="EH1350" s="4"/>
      <c r="EI1350" s="5">
        <v>42187</v>
      </c>
    </row>
    <row r="1351" spans="1:139" hidden="1" x14ac:dyDescent="0.2">
      <c r="A1351">
        <f>VLOOKUP(B1351,Sheet1!$A$1:$B$18,2,FALSE)</f>
        <v>0</v>
      </c>
      <c r="B1351" t="str">
        <f>LEFT(D1351,3)</f>
        <v>TNK</v>
      </c>
      <c r="C1351" s="2">
        <v>1350</v>
      </c>
      <c r="D1351" s="3" t="str">
        <f>HYPERLINK("https://sitebase.nzcomms.co.nz/spm/spmnominalview/TNK-034-004/","TNK-034-004")</f>
        <v>TNK-034-004</v>
      </c>
      <c r="E1351" s="4" t="s">
        <v>4035</v>
      </c>
      <c r="F1351" s="3" t="str">
        <f>HYPERLINK("https://sitebase.nzcomms.co.nz/spm/spmcandidateview/TNK-034-004-B/","TNK-034-004-B")</f>
        <v>TNK-034-004-B</v>
      </c>
      <c r="G1351" s="4" t="s">
        <v>4036</v>
      </c>
      <c r="H1351" s="4" t="s">
        <v>4030</v>
      </c>
      <c r="I1351" s="4">
        <v>24</v>
      </c>
      <c r="J1351" s="4" t="s">
        <v>165</v>
      </c>
      <c r="K1351" s="4" t="s">
        <v>141</v>
      </c>
      <c r="L1351" s="4" t="s">
        <v>150</v>
      </c>
      <c r="M1351" s="4" t="s">
        <v>166</v>
      </c>
      <c r="N1351" s="4" t="s">
        <v>216</v>
      </c>
      <c r="O1351" s="4"/>
      <c r="P1351" s="4" t="s">
        <v>169</v>
      </c>
      <c r="Q1351" s="4" t="s">
        <v>170</v>
      </c>
      <c r="R1351" s="4"/>
      <c r="S1351" s="4"/>
      <c r="T1351" s="4">
        <v>1</v>
      </c>
      <c r="U1351" s="4">
        <v>-39.305815770000002</v>
      </c>
      <c r="V1351" s="4">
        <v>174.10546636999999</v>
      </c>
      <c r="W1351" s="4"/>
      <c r="X1351" s="5">
        <v>40941</v>
      </c>
      <c r="Y1351" s="4"/>
      <c r="Z1351" s="5">
        <v>42109</v>
      </c>
      <c r="AA1351" s="4" t="s">
        <v>171</v>
      </c>
      <c r="AB1351" s="3" t="str">
        <f>HYPERLINK("https://sitebase.nzcomms.co.nz/spm/spmcandidateview/TNK-033-025-A/","TNK-033-025-A")</f>
        <v>TNK-033-025-A</v>
      </c>
      <c r="AC1351" s="4" t="b">
        <v>0</v>
      </c>
      <c r="AD1351" s="4" t="b">
        <v>0</v>
      </c>
      <c r="AE1351" s="4"/>
      <c r="AF1351" s="4"/>
      <c r="AG1351" s="4" t="b">
        <v>0</v>
      </c>
      <c r="AH1351" s="4"/>
      <c r="AI1351" s="5">
        <v>41030</v>
      </c>
      <c r="AJ1351" s="5">
        <v>42129</v>
      </c>
      <c r="AK1351" s="5">
        <v>42139</v>
      </c>
      <c r="AL1351" s="5">
        <v>42139</v>
      </c>
      <c r="AM1351" s="5">
        <v>42146</v>
      </c>
      <c r="AN1351" s="5">
        <v>41324</v>
      </c>
      <c r="AO1351" s="4">
        <v>2</v>
      </c>
      <c r="AP1351" s="5">
        <v>42151</v>
      </c>
      <c r="AQ1351" s="5">
        <v>42151</v>
      </c>
      <c r="AR1351" s="5">
        <v>42230</v>
      </c>
      <c r="AS1351" s="5">
        <v>42257</v>
      </c>
      <c r="AT1351" s="5">
        <v>42338</v>
      </c>
      <c r="AU1351" s="5">
        <v>42331</v>
      </c>
      <c r="AV1351" s="4"/>
      <c r="AW1351" s="5">
        <v>42258</v>
      </c>
      <c r="AX1351" s="4"/>
      <c r="AY1351" s="4" t="s">
        <v>172</v>
      </c>
      <c r="AZ1351" s="5">
        <v>42185</v>
      </c>
      <c r="BA1351" s="5">
        <v>42163</v>
      </c>
      <c r="BB1351" s="5">
        <v>42216</v>
      </c>
      <c r="BC1351" s="5">
        <v>42180</v>
      </c>
      <c r="BD1351" s="4">
        <v>2</v>
      </c>
      <c r="BE1351" s="4"/>
      <c r="BF1351" s="5">
        <v>42257</v>
      </c>
      <c r="BG1351" s="5">
        <v>42202</v>
      </c>
      <c r="BH1351" s="5">
        <v>42184</v>
      </c>
      <c r="BI1351" s="5">
        <v>42338</v>
      </c>
      <c r="BJ1351" s="5">
        <v>42326</v>
      </c>
      <c r="BK1351" s="4">
        <v>1</v>
      </c>
      <c r="BL1351" s="4"/>
      <c r="BM1351" s="4"/>
      <c r="BN1351" s="5">
        <v>42326</v>
      </c>
      <c r="BO1351" s="4"/>
      <c r="BP1351" s="4"/>
      <c r="BQ1351" s="4"/>
      <c r="BR1351" s="4"/>
      <c r="BS1351" s="4"/>
      <c r="BT1351" s="5">
        <v>42429</v>
      </c>
      <c r="BU1351" s="4"/>
      <c r="BV1351" s="5">
        <v>42459</v>
      </c>
      <c r="BW1351" s="4"/>
      <c r="BX1351" s="4"/>
      <c r="BY1351" s="5">
        <v>42475</v>
      </c>
      <c r="BZ1351" s="4"/>
      <c r="CA1351" s="5">
        <v>42293</v>
      </c>
      <c r="CB1351" s="4"/>
      <c r="CC1351" s="5">
        <v>42213</v>
      </c>
      <c r="CD1351" s="5">
        <v>42213</v>
      </c>
      <c r="CE1351" s="4"/>
      <c r="CF1351" s="4"/>
      <c r="CG1351" s="4"/>
      <c r="CH1351" s="4"/>
      <c r="CI1351" s="4"/>
      <c r="CJ1351" s="5">
        <v>42503</v>
      </c>
      <c r="CK1351" s="4"/>
      <c r="CL1351" s="4"/>
      <c r="CM1351" s="4"/>
      <c r="CN1351" s="4"/>
      <c r="CO1351" s="4"/>
      <c r="CP1351" s="4" t="s">
        <v>4037</v>
      </c>
      <c r="CQ1351" s="4" t="s">
        <v>4038</v>
      </c>
      <c r="CR1351" s="4"/>
      <c r="CS1351" s="4"/>
      <c r="CT1351" s="4"/>
      <c r="CU1351" s="4"/>
      <c r="CV1351" s="4"/>
      <c r="CW1351" s="4"/>
      <c r="CX1351" s="4"/>
      <c r="CY1351" s="4"/>
      <c r="CZ1351" s="4"/>
      <c r="DA1351" s="5">
        <v>42489</v>
      </c>
      <c r="DB1351" s="4"/>
      <c r="DC1351" s="5">
        <v>41029</v>
      </c>
      <c r="DD1351" s="4" t="s">
        <v>586</v>
      </c>
      <c r="DE1351" s="4" t="s">
        <v>3979</v>
      </c>
      <c r="DF1351" s="5">
        <v>42293</v>
      </c>
      <c r="DG1351" s="4"/>
      <c r="DH1351" s="4" t="s">
        <v>174</v>
      </c>
      <c r="DI1351" s="4"/>
      <c r="DJ1351" s="4" t="b">
        <v>0</v>
      </c>
      <c r="DK1351" s="4"/>
      <c r="DL1351" s="4">
        <v>2605379</v>
      </c>
      <c r="DM1351" s="4">
        <v>6210450</v>
      </c>
      <c r="DN1351" s="4" t="s">
        <v>4039</v>
      </c>
      <c r="DO1351" s="4"/>
      <c r="DP1351" s="4" t="s">
        <v>4040</v>
      </c>
      <c r="DQ1351" s="4" t="s">
        <v>148</v>
      </c>
      <c r="DR1351" s="4" t="s">
        <v>255</v>
      </c>
      <c r="DS1351" s="4"/>
      <c r="DT1351" s="4"/>
      <c r="DU1351" s="4" t="s">
        <v>178</v>
      </c>
      <c r="DV1351" s="4"/>
      <c r="DW1351" s="5">
        <v>42129</v>
      </c>
      <c r="DX1351" s="5">
        <v>42293</v>
      </c>
      <c r="DY1351" s="5">
        <v>42262</v>
      </c>
      <c r="DZ1351" s="5">
        <v>42258</v>
      </c>
      <c r="EA1351" s="4"/>
      <c r="EB1351" s="4"/>
      <c r="EC1351" s="4"/>
      <c r="ED1351" s="4"/>
      <c r="EE1351" s="5">
        <v>42412</v>
      </c>
      <c r="EF1351" s="5">
        <v>42404</v>
      </c>
      <c r="EG1351" s="4"/>
      <c r="EH1351" s="4"/>
      <c r="EI1351" s="5">
        <v>42139</v>
      </c>
    </row>
    <row r="1352" spans="1:139" hidden="1" x14ac:dyDescent="0.2">
      <c r="A1352">
        <f>VLOOKUP(B1352,Sheet1!$A$1:$B$18,2,FALSE)</f>
        <v>0</v>
      </c>
      <c r="B1352" t="str">
        <f>LEFT(D1352,3)</f>
        <v>TNK</v>
      </c>
      <c r="C1352" s="2">
        <v>1351</v>
      </c>
      <c r="D1352" s="3" t="str">
        <f>HYPERLINK("https://sitebase.nzcomms.co.nz/spm/spmnominalview/TNK-035-001/","TNK-035-001")</f>
        <v>TNK-035-001</v>
      </c>
      <c r="E1352" s="4"/>
      <c r="F1352" s="4"/>
      <c r="G1352" s="4"/>
      <c r="H1352" s="4" t="s">
        <v>4041</v>
      </c>
      <c r="I1352" s="4"/>
      <c r="J1352" s="4" t="s">
        <v>196</v>
      </c>
      <c r="K1352" s="4"/>
      <c r="L1352" s="4"/>
      <c r="M1352" s="4"/>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4"/>
      <c r="BF1352" s="4"/>
      <c r="BG1352" s="4"/>
      <c r="BH1352" s="4"/>
      <c r="BI1352" s="4"/>
      <c r="BJ1352" s="4"/>
      <c r="BK1352" s="4"/>
      <c r="BL1352" s="4"/>
      <c r="BM1352" s="4"/>
      <c r="BN1352" s="4"/>
      <c r="BO1352" s="4"/>
      <c r="BP1352" s="4"/>
      <c r="BQ1352" s="4"/>
      <c r="BR1352" s="4"/>
      <c r="BS1352" s="4"/>
      <c r="BT1352" s="4"/>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4"/>
      <c r="CW1352" s="4"/>
      <c r="CX1352" s="4"/>
      <c r="CY1352" s="4"/>
      <c r="CZ1352" s="4"/>
      <c r="DA1352" s="4"/>
      <c r="DB1352" s="4"/>
      <c r="DC1352" s="4"/>
      <c r="DD1352" s="4"/>
      <c r="DE1352" s="4"/>
      <c r="DF1352" s="4"/>
      <c r="DG1352" s="4"/>
      <c r="DH1352" s="4"/>
      <c r="DI1352" s="4"/>
      <c r="DJ1352" s="4"/>
      <c r="DK1352" s="4"/>
      <c r="DL1352" s="4"/>
      <c r="DM1352" s="4"/>
      <c r="DN1352" s="4"/>
      <c r="DO1352" s="4"/>
      <c r="DP1352" s="4"/>
      <c r="DQ1352" s="4"/>
      <c r="DR1352" s="4"/>
      <c r="DS1352" s="4"/>
      <c r="DT1352" s="4"/>
      <c r="DU1352" s="4"/>
      <c r="DV1352" s="4"/>
      <c r="DW1352" s="4"/>
      <c r="DX1352" s="4"/>
      <c r="DY1352" s="4"/>
      <c r="DZ1352" s="4"/>
      <c r="EA1352" s="4"/>
      <c r="EB1352" s="4"/>
      <c r="EC1352" s="4"/>
      <c r="ED1352" s="4"/>
      <c r="EE1352" s="4"/>
      <c r="EF1352" s="4"/>
      <c r="EG1352" s="4"/>
      <c r="EH1352" s="4"/>
      <c r="EI1352" s="4"/>
    </row>
    <row r="1353" spans="1:139" hidden="1" x14ac:dyDescent="0.2">
      <c r="A1353">
        <f>VLOOKUP(B1353,Sheet1!$A$1:$B$18,2,FALSE)</f>
        <v>0</v>
      </c>
      <c r="B1353" t="str">
        <f>LEFT(D1353,3)</f>
        <v>TNK</v>
      </c>
      <c r="C1353" s="2">
        <v>1352</v>
      </c>
      <c r="D1353" s="3" t="str">
        <f>HYPERLINK("https://sitebase.nzcomms.co.nz/spm/spmnominalview/TNK-035-002/","TNK-035-002")</f>
        <v>TNK-035-002</v>
      </c>
      <c r="E1353" s="4"/>
      <c r="F1353" s="4"/>
      <c r="G1353" s="4"/>
      <c r="H1353" s="4" t="s">
        <v>4041</v>
      </c>
      <c r="I1353" s="4"/>
      <c r="J1353" s="4" t="s">
        <v>196</v>
      </c>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4"/>
      <c r="BF1353" s="4"/>
      <c r="BG1353" s="4"/>
      <c r="BH1353" s="4"/>
      <c r="BI1353" s="4"/>
      <c r="BJ1353" s="4"/>
      <c r="BK1353" s="4"/>
      <c r="BL1353" s="4"/>
      <c r="BM1353" s="4"/>
      <c r="BN1353" s="4"/>
      <c r="BO1353" s="4"/>
      <c r="BP1353" s="4"/>
      <c r="BQ1353" s="4"/>
      <c r="BR1353" s="4"/>
      <c r="BS1353" s="4"/>
      <c r="BT1353" s="4"/>
      <c r="BU1353" s="4"/>
      <c r="BV1353" s="4"/>
      <c r="BW1353" s="4"/>
      <c r="BX1353" s="4"/>
      <c r="BY1353" s="4"/>
      <c r="BZ1353" s="4"/>
      <c r="CA1353" s="4"/>
      <c r="CB1353" s="4"/>
      <c r="CC1353" s="4"/>
      <c r="CD1353" s="4"/>
      <c r="CE1353" s="4"/>
      <c r="CF1353" s="4"/>
      <c r="CG1353" s="4"/>
      <c r="CH1353" s="4"/>
      <c r="CI1353" s="4"/>
      <c r="CJ1353" s="4"/>
      <c r="CK1353" s="4"/>
      <c r="CL1353" s="4"/>
      <c r="CM1353" s="4"/>
      <c r="CN1353" s="4"/>
      <c r="CO1353" s="4"/>
      <c r="CP1353" s="4"/>
      <c r="CQ1353" s="4"/>
      <c r="CR1353" s="4"/>
      <c r="CS1353" s="4"/>
      <c r="CT1353" s="4"/>
      <c r="CU1353" s="4"/>
      <c r="CV1353" s="4"/>
      <c r="CW1353" s="4"/>
      <c r="CX1353" s="4"/>
      <c r="CY1353" s="4"/>
      <c r="CZ1353" s="4"/>
      <c r="DA1353" s="4"/>
      <c r="DB1353" s="4"/>
      <c r="DC1353" s="4"/>
      <c r="DD1353" s="4"/>
      <c r="DE1353" s="4"/>
      <c r="DF1353" s="4"/>
      <c r="DG1353" s="4"/>
      <c r="DH1353" s="4"/>
      <c r="DI1353" s="4"/>
      <c r="DJ1353" s="4"/>
      <c r="DK1353" s="4"/>
      <c r="DL1353" s="4"/>
      <c r="DM1353" s="4"/>
      <c r="DN1353" s="4"/>
      <c r="DO1353" s="4"/>
      <c r="DP1353" s="4"/>
      <c r="DQ1353" s="4"/>
      <c r="DR1353" s="4"/>
      <c r="DS1353" s="4"/>
      <c r="DT1353" s="4"/>
      <c r="DU1353" s="4"/>
      <c r="DV1353" s="4"/>
      <c r="DW1353" s="4"/>
      <c r="DX1353" s="4"/>
      <c r="DY1353" s="4"/>
      <c r="DZ1353" s="4"/>
      <c r="EA1353" s="4"/>
      <c r="EB1353" s="4"/>
      <c r="EC1353" s="4"/>
      <c r="ED1353" s="4"/>
      <c r="EE1353" s="4"/>
      <c r="EF1353" s="4"/>
      <c r="EG1353" s="4"/>
      <c r="EH1353" s="4"/>
      <c r="EI1353" s="4"/>
    </row>
    <row r="1354" spans="1:139" hidden="1" x14ac:dyDescent="0.2">
      <c r="A1354">
        <f>VLOOKUP(B1354,Sheet1!$A$1:$B$18,2,FALSE)</f>
        <v>0</v>
      </c>
      <c r="B1354" t="str">
        <f>LEFT(D1354,3)</f>
        <v>TNK</v>
      </c>
      <c r="C1354" s="2">
        <v>1353</v>
      </c>
      <c r="D1354" s="3" t="str">
        <f>HYPERLINK("https://sitebase.nzcomms.co.nz/spm/spmnominalview/TNK-035-003/","TNK-035-003")</f>
        <v>TNK-035-003</v>
      </c>
      <c r="E1354" s="4"/>
      <c r="F1354" s="4"/>
      <c r="G1354" s="4"/>
      <c r="H1354" s="4" t="s">
        <v>4041</v>
      </c>
      <c r="I1354" s="4"/>
      <c r="J1354" s="4" t="s">
        <v>196</v>
      </c>
      <c r="K1354" s="4"/>
      <c r="L1354" s="4"/>
      <c r="M1354" s="4"/>
      <c r="N1354" s="4"/>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c r="AT1354" s="4"/>
      <c r="AU1354" s="4"/>
      <c r="AV1354" s="4"/>
      <c r="AW1354" s="4"/>
      <c r="AX1354" s="4"/>
      <c r="AY1354" s="4"/>
      <c r="AZ1354" s="4"/>
      <c r="BA1354" s="4"/>
      <c r="BB1354" s="4"/>
      <c r="BC1354" s="4"/>
      <c r="BD1354" s="4"/>
      <c r="BE1354" s="4"/>
      <c r="BF1354" s="4"/>
      <c r="BG1354" s="4"/>
      <c r="BH1354" s="4"/>
      <c r="BI1354" s="4"/>
      <c r="BJ1354" s="4"/>
      <c r="BK1354" s="4"/>
      <c r="BL1354" s="4"/>
      <c r="BM1354" s="4"/>
      <c r="BN1354" s="4"/>
      <c r="BO1354" s="4"/>
      <c r="BP1354" s="4"/>
      <c r="BQ1354" s="4"/>
      <c r="BR1354" s="4"/>
      <c r="BS1354" s="4"/>
      <c r="BT1354" s="4"/>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4"/>
      <c r="CW1354" s="4"/>
      <c r="CX1354" s="4"/>
      <c r="CY1354" s="4"/>
      <c r="CZ1354" s="4"/>
      <c r="DA1354" s="4"/>
      <c r="DB1354" s="4"/>
      <c r="DC1354" s="4"/>
      <c r="DD1354" s="4"/>
      <c r="DE1354" s="4"/>
      <c r="DF1354" s="4"/>
      <c r="DG1354" s="4"/>
      <c r="DH1354" s="4"/>
      <c r="DI1354" s="4"/>
      <c r="DJ1354" s="4"/>
      <c r="DK1354" s="4"/>
      <c r="DL1354" s="4"/>
      <c r="DM1354" s="4"/>
      <c r="DN1354" s="4"/>
      <c r="DO1354" s="4"/>
      <c r="DP1354" s="4"/>
      <c r="DQ1354" s="4"/>
      <c r="DR1354" s="4"/>
      <c r="DS1354" s="4"/>
      <c r="DT1354" s="4"/>
      <c r="DU1354" s="4"/>
      <c r="DV1354" s="4"/>
      <c r="DW1354" s="4"/>
      <c r="DX1354" s="4"/>
      <c r="DY1354" s="4"/>
      <c r="DZ1354" s="4"/>
      <c r="EA1354" s="4"/>
      <c r="EB1354" s="4"/>
      <c r="EC1354" s="4"/>
      <c r="ED1354" s="4"/>
      <c r="EE1354" s="4"/>
      <c r="EF1354" s="4"/>
      <c r="EG1354" s="4"/>
      <c r="EH1354" s="4"/>
      <c r="EI1354" s="4"/>
    </row>
    <row r="1355" spans="1:139" hidden="1" x14ac:dyDescent="0.2">
      <c r="A1355">
        <f>VLOOKUP(B1355,Sheet1!$A$1:$B$18,2,FALSE)</f>
        <v>0</v>
      </c>
      <c r="B1355" t="str">
        <f>LEFT(D1355,3)</f>
        <v>TNK</v>
      </c>
      <c r="C1355" s="2">
        <v>1354</v>
      </c>
      <c r="D1355" s="3" t="str">
        <f>HYPERLINK("https://sitebase.nzcomms.co.nz/spm/spmnominalview/TNK-035-004/","TNK-035-004")</f>
        <v>TNK-035-004</v>
      </c>
      <c r="E1355" s="4"/>
      <c r="F1355" s="4"/>
      <c r="G1355" s="4"/>
      <c r="H1355" s="4" t="s">
        <v>4041</v>
      </c>
      <c r="I1355" s="4"/>
      <c r="J1355" s="4" t="s">
        <v>196</v>
      </c>
      <c r="K1355" s="4"/>
      <c r="L1355" s="4"/>
      <c r="M1355" s="4"/>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c r="AT1355" s="4"/>
      <c r="AU1355" s="4"/>
      <c r="AV1355" s="4"/>
      <c r="AW1355" s="4"/>
      <c r="AX1355" s="4"/>
      <c r="AY1355" s="4"/>
      <c r="AZ1355" s="4"/>
      <c r="BA1355" s="4"/>
      <c r="BB1355" s="4"/>
      <c r="BC1355" s="4"/>
      <c r="BD1355" s="4"/>
      <c r="BE1355" s="4"/>
      <c r="BF1355" s="4"/>
      <c r="BG1355" s="4"/>
      <c r="BH1355" s="4"/>
      <c r="BI1355" s="4"/>
      <c r="BJ1355" s="4"/>
      <c r="BK1355" s="4"/>
      <c r="BL1355" s="4"/>
      <c r="BM1355" s="4"/>
      <c r="BN1355" s="4"/>
      <c r="BO1355" s="4"/>
      <c r="BP1355" s="4"/>
      <c r="BQ1355" s="4"/>
      <c r="BR1355" s="4"/>
      <c r="BS1355" s="4"/>
      <c r="BT1355" s="4"/>
      <c r="BU1355" s="4"/>
      <c r="BV1355" s="4"/>
      <c r="BW1355" s="4"/>
      <c r="BX1355" s="4"/>
      <c r="BY1355" s="4"/>
      <c r="BZ1355" s="4"/>
      <c r="CA1355" s="4"/>
      <c r="CB1355" s="4"/>
      <c r="CC1355" s="4"/>
      <c r="CD1355" s="4"/>
      <c r="CE1355" s="4"/>
      <c r="CF1355" s="4"/>
      <c r="CG1355" s="4"/>
      <c r="CH1355" s="4"/>
      <c r="CI1355" s="4"/>
      <c r="CJ1355" s="4"/>
      <c r="CK1355" s="4"/>
      <c r="CL1355" s="4"/>
      <c r="CM1355" s="4"/>
      <c r="CN1355" s="4"/>
      <c r="CO1355" s="4"/>
      <c r="CP1355" s="4"/>
      <c r="CQ1355" s="4"/>
      <c r="CR1355" s="4"/>
      <c r="CS1355" s="4"/>
      <c r="CT1355" s="4"/>
      <c r="CU1355" s="4"/>
      <c r="CV1355" s="4"/>
      <c r="CW1355" s="4"/>
      <c r="CX1355" s="4"/>
      <c r="CY1355" s="4"/>
      <c r="CZ1355" s="4"/>
      <c r="DA1355" s="4"/>
      <c r="DB1355" s="4"/>
      <c r="DC1355" s="4"/>
      <c r="DD1355" s="4"/>
      <c r="DE1355" s="4"/>
      <c r="DF1355" s="4"/>
      <c r="DG1355" s="4"/>
      <c r="DH1355" s="4"/>
      <c r="DI1355" s="4"/>
      <c r="DJ1355" s="4"/>
      <c r="DK1355" s="4"/>
      <c r="DL1355" s="4"/>
      <c r="DM1355" s="4"/>
      <c r="DN1355" s="4"/>
      <c r="DO1355" s="4"/>
      <c r="DP1355" s="4"/>
      <c r="DQ1355" s="4"/>
      <c r="DR1355" s="4"/>
      <c r="DS1355" s="4"/>
      <c r="DT1355" s="4"/>
      <c r="DU1355" s="4"/>
      <c r="DV1355" s="4"/>
      <c r="DW1355" s="4"/>
      <c r="DX1355" s="4"/>
      <c r="DY1355" s="4"/>
      <c r="DZ1355" s="4"/>
      <c r="EA1355" s="4"/>
      <c r="EB1355" s="4"/>
      <c r="EC1355" s="4"/>
      <c r="ED1355" s="4"/>
      <c r="EE1355" s="4"/>
      <c r="EF1355" s="4"/>
      <c r="EG1355" s="4"/>
      <c r="EH1355" s="4"/>
      <c r="EI1355" s="4"/>
    </row>
    <row r="1356" spans="1:139" hidden="1" x14ac:dyDescent="0.2">
      <c r="A1356">
        <f>VLOOKUP(B1356,Sheet1!$A$1:$B$18,2,FALSE)</f>
        <v>0</v>
      </c>
      <c r="B1356" t="str">
        <f>LEFT(D1356,3)</f>
        <v>TNK</v>
      </c>
      <c r="C1356" s="2">
        <v>1355</v>
      </c>
      <c r="D1356" s="3" t="str">
        <f>HYPERLINK("https://sitebase.nzcomms.co.nz/spm/spmnominalview/TNK-035-005/","TNK-035-005")</f>
        <v>TNK-035-005</v>
      </c>
      <c r="E1356" s="4" t="s">
        <v>4042</v>
      </c>
      <c r="F1356" s="4"/>
      <c r="G1356" s="4"/>
      <c r="H1356" s="4" t="s">
        <v>4041</v>
      </c>
      <c r="I1356" s="4"/>
      <c r="J1356" s="4" t="s">
        <v>1027</v>
      </c>
      <c r="K1356" s="4"/>
      <c r="L1356" s="4"/>
      <c r="M1356" s="4"/>
      <c r="N1356" s="4"/>
      <c r="O1356" s="4"/>
      <c r="P1356" s="4"/>
      <c r="Q1356" s="4"/>
      <c r="R1356" s="4"/>
      <c r="S1356" s="4"/>
      <c r="T1356" s="4"/>
      <c r="U1356" s="4"/>
      <c r="V1356" s="4"/>
      <c r="W1356" s="4"/>
      <c r="X1356" s="4"/>
      <c r="Y1356" s="4"/>
      <c r="Z1356" s="4"/>
      <c r="AA1356" s="4"/>
      <c r="AB1356" s="4"/>
      <c r="AC1356" s="4"/>
      <c r="AD1356" s="4"/>
      <c r="AE1356" s="4"/>
      <c r="AF1356" s="4"/>
      <c r="AG1356" s="4" t="b">
        <v>0</v>
      </c>
      <c r="AH1356" s="4"/>
      <c r="AI1356" s="4"/>
      <c r="AJ1356" s="4"/>
      <c r="AK1356" s="4"/>
      <c r="AL1356" s="4"/>
      <c r="AM1356" s="4"/>
      <c r="AN1356" s="4"/>
      <c r="AO1356" s="4"/>
      <c r="AP1356" s="4"/>
      <c r="AQ1356" s="4"/>
      <c r="AR1356" s="4"/>
      <c r="AS1356" s="4"/>
      <c r="AT1356" s="4"/>
      <c r="AU1356" s="4"/>
      <c r="AV1356" s="4"/>
      <c r="AW1356" s="4"/>
      <c r="AX1356" s="4"/>
      <c r="AY1356" s="4"/>
      <c r="AZ1356" s="4"/>
      <c r="BA1356" s="4"/>
      <c r="BB1356" s="4"/>
      <c r="BC1356" s="4"/>
      <c r="BD1356" s="4"/>
      <c r="BE1356" s="4"/>
      <c r="BF1356" s="4"/>
      <c r="BG1356" s="4"/>
      <c r="BH1356" s="4"/>
      <c r="BI1356" s="4"/>
      <c r="BJ1356" s="4"/>
      <c r="BK1356" s="4"/>
      <c r="BL1356" s="4"/>
      <c r="BM1356" s="4"/>
      <c r="BN1356" s="4"/>
      <c r="BO1356" s="4"/>
      <c r="BP1356" s="4"/>
      <c r="BQ1356" s="4"/>
      <c r="BR1356" s="4"/>
      <c r="BS1356" s="4"/>
      <c r="BT1356" s="4"/>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4"/>
      <c r="CW1356" s="4"/>
      <c r="CX1356" s="4"/>
      <c r="CY1356" s="4"/>
      <c r="CZ1356" s="4"/>
      <c r="DA1356" s="4"/>
      <c r="DB1356" s="4"/>
      <c r="DC1356" s="4"/>
      <c r="DD1356" s="4"/>
      <c r="DE1356" s="4"/>
      <c r="DF1356" s="4"/>
      <c r="DG1356" s="4"/>
      <c r="DH1356" s="4"/>
      <c r="DI1356" s="4"/>
      <c r="DJ1356" s="4"/>
      <c r="DK1356" s="4"/>
      <c r="DL1356" s="4"/>
      <c r="DM1356" s="4"/>
      <c r="DN1356" s="4"/>
      <c r="DO1356" s="4"/>
      <c r="DP1356" s="4"/>
      <c r="DQ1356" s="4"/>
      <c r="DR1356" s="4"/>
      <c r="DS1356" s="4"/>
      <c r="DT1356" s="4"/>
      <c r="DU1356" s="4"/>
      <c r="DV1356" s="4"/>
      <c r="DW1356" s="4"/>
      <c r="DX1356" s="4"/>
      <c r="DY1356" s="4"/>
      <c r="DZ1356" s="4"/>
      <c r="EA1356" s="4"/>
      <c r="EB1356" s="4"/>
      <c r="EC1356" s="4"/>
      <c r="ED1356" s="4"/>
      <c r="EE1356" s="4"/>
      <c r="EF1356" s="4"/>
      <c r="EG1356" s="4"/>
      <c r="EH1356" s="4"/>
      <c r="EI1356" s="4"/>
    </row>
    <row r="1357" spans="1:139" hidden="1" x14ac:dyDescent="0.2">
      <c r="A1357">
        <f>VLOOKUP(B1357,Sheet1!$A$1:$B$18,2,FALSE)</f>
        <v>0</v>
      </c>
      <c r="B1357" t="str">
        <f>LEFT(D1357,3)</f>
        <v>TNK</v>
      </c>
      <c r="C1357" s="2">
        <v>1356</v>
      </c>
      <c r="D1357" s="3" t="str">
        <f>HYPERLINK("https://sitebase.nzcomms.co.nz/spm/spmnominalview/TNK-035-006/","TNK-035-006")</f>
        <v>TNK-035-006</v>
      </c>
      <c r="E1357" s="4" t="s">
        <v>4043</v>
      </c>
      <c r="F1357" s="3" t="str">
        <f>HYPERLINK("https://sitebase.nzcomms.co.nz/spm/spmcandidateview/TNK-035-006-A/","TNK-035-006-A")</f>
        <v>TNK-035-006-A</v>
      </c>
      <c r="G1357" s="4" t="s">
        <v>4044</v>
      </c>
      <c r="H1357" s="4" t="s">
        <v>4041</v>
      </c>
      <c r="I1357" s="4">
        <v>6</v>
      </c>
      <c r="J1357" s="4" t="s">
        <v>180</v>
      </c>
      <c r="K1357" s="4" t="s">
        <v>141</v>
      </c>
      <c r="L1357" s="4" t="s">
        <v>325</v>
      </c>
      <c r="M1357" s="4" t="s">
        <v>166</v>
      </c>
      <c r="N1357" s="4" t="s">
        <v>325</v>
      </c>
      <c r="O1357" s="4"/>
      <c r="P1357" s="4" t="s">
        <v>169</v>
      </c>
      <c r="Q1357" s="4" t="s">
        <v>170</v>
      </c>
      <c r="R1357" s="4"/>
      <c r="S1357" s="4"/>
      <c r="T1357" s="4">
        <v>1</v>
      </c>
      <c r="U1357" s="4">
        <v>-39.59011048</v>
      </c>
      <c r="V1357" s="4">
        <v>174.28513292</v>
      </c>
      <c r="W1357" s="4"/>
      <c r="X1357" s="5">
        <v>40897</v>
      </c>
      <c r="Y1357" s="4"/>
      <c r="Z1357" s="4"/>
      <c r="AA1357" s="4" t="s">
        <v>152</v>
      </c>
      <c r="AB1357" s="3" t="str">
        <f>HYPERLINK("https://sitebase.nzcomms.co.nz/spm/spmcandidateview/TNK-033-004-A/","TNK-033-004-A")</f>
        <v>TNK-033-004-A</v>
      </c>
      <c r="AC1357" s="4" t="b">
        <v>0</v>
      </c>
      <c r="AD1357" s="4" t="b">
        <v>0</v>
      </c>
      <c r="AE1357" s="4"/>
      <c r="AF1357" s="4"/>
      <c r="AG1357" s="4" t="b">
        <v>0</v>
      </c>
      <c r="AH1357" s="4"/>
      <c r="AI1357" s="5">
        <v>41031</v>
      </c>
      <c r="AJ1357" s="5">
        <v>41031</v>
      </c>
      <c r="AK1357" s="5">
        <v>41051</v>
      </c>
      <c r="AL1357" s="5">
        <v>41054</v>
      </c>
      <c r="AM1357" s="5">
        <v>41101</v>
      </c>
      <c r="AN1357" s="5">
        <v>41100</v>
      </c>
      <c r="AO1357" s="4">
        <v>1</v>
      </c>
      <c r="AP1357" s="5">
        <v>41101</v>
      </c>
      <c r="AQ1357" s="5">
        <v>41100</v>
      </c>
      <c r="AR1357" s="5">
        <v>41172</v>
      </c>
      <c r="AS1357" s="5">
        <v>41172</v>
      </c>
      <c r="AT1357" s="5">
        <v>41202</v>
      </c>
      <c r="AU1357" s="5">
        <v>41187</v>
      </c>
      <c r="AV1357" s="4">
        <v>1</v>
      </c>
      <c r="AW1357" s="5">
        <v>41258</v>
      </c>
      <c r="AX1357" s="5">
        <v>41347</v>
      </c>
      <c r="AY1357" s="4" t="s">
        <v>183</v>
      </c>
      <c r="AZ1357" s="5">
        <v>41103</v>
      </c>
      <c r="BA1357" s="5">
        <v>41339</v>
      </c>
      <c r="BB1357" s="5">
        <v>41232</v>
      </c>
      <c r="BC1357" s="5">
        <v>41339</v>
      </c>
      <c r="BD1357" s="4">
        <v>1</v>
      </c>
      <c r="BE1357" s="5">
        <v>41243</v>
      </c>
      <c r="BF1357" s="5">
        <v>41339</v>
      </c>
      <c r="BG1357" s="4"/>
      <c r="BH1357" s="4"/>
      <c r="BI1357" s="5">
        <v>41306</v>
      </c>
      <c r="BJ1357" s="5">
        <v>41312</v>
      </c>
      <c r="BK1357" s="4">
        <v>2</v>
      </c>
      <c r="BL1357" s="4"/>
      <c r="BM1357" s="5">
        <v>41306</v>
      </c>
      <c r="BN1357" s="5">
        <v>41375</v>
      </c>
      <c r="BO1357" s="5">
        <v>41337</v>
      </c>
      <c r="BP1357" s="4"/>
      <c r="BQ1357" s="4"/>
      <c r="BR1357" s="4"/>
      <c r="BS1357" s="4"/>
      <c r="BT1357" s="5">
        <v>41242</v>
      </c>
      <c r="BU1357" s="5">
        <v>41281</v>
      </c>
      <c r="BV1357" s="5">
        <v>41330</v>
      </c>
      <c r="BW1357" s="5">
        <v>41346</v>
      </c>
      <c r="BX1357" s="5">
        <v>41296</v>
      </c>
      <c r="BY1357" s="5">
        <v>41330</v>
      </c>
      <c r="BZ1357" s="5">
        <v>41344</v>
      </c>
      <c r="CA1357" s="4"/>
      <c r="CB1357" s="4"/>
      <c r="CC1357" s="4"/>
      <c r="CD1357" s="4"/>
      <c r="CE1357" s="4"/>
      <c r="CF1357" s="4"/>
      <c r="CG1357" s="4"/>
      <c r="CH1357" s="4"/>
      <c r="CI1357" s="5">
        <v>41346</v>
      </c>
      <c r="CJ1357" s="5">
        <v>41352</v>
      </c>
      <c r="CK1357" s="5">
        <v>41352</v>
      </c>
      <c r="CL1357" s="5">
        <v>41361</v>
      </c>
      <c r="CM1357" s="5">
        <v>41361</v>
      </c>
      <c r="CN1357" s="5">
        <v>41542</v>
      </c>
      <c r="CO1357" s="5">
        <v>41548</v>
      </c>
      <c r="CP1357" s="4"/>
      <c r="CQ1357" s="4"/>
      <c r="CR1357" s="5">
        <v>41331</v>
      </c>
      <c r="CS1357" s="4"/>
      <c r="CT1357" s="4"/>
      <c r="CU1357" s="5">
        <v>41275</v>
      </c>
      <c r="CV1357" s="5">
        <v>41275</v>
      </c>
      <c r="CW1357" s="5">
        <v>41250</v>
      </c>
      <c r="CX1357" s="5">
        <v>41337</v>
      </c>
      <c r="CY1357" s="5">
        <v>41299</v>
      </c>
      <c r="CZ1357" s="5">
        <v>41299</v>
      </c>
      <c r="DA1357" s="5">
        <v>41338</v>
      </c>
      <c r="DB1357" s="5">
        <v>41347</v>
      </c>
      <c r="DC1357" s="5">
        <v>41030</v>
      </c>
      <c r="DD1357" s="4" t="s">
        <v>586</v>
      </c>
      <c r="DE1357" s="4" t="s">
        <v>3979</v>
      </c>
      <c r="DF1357" s="5">
        <v>41320</v>
      </c>
      <c r="DG1357" s="5">
        <v>41320</v>
      </c>
      <c r="DH1357" s="4" t="s">
        <v>174</v>
      </c>
      <c r="DI1357" s="5">
        <v>41296</v>
      </c>
      <c r="DJ1357" s="4" t="b">
        <v>0</v>
      </c>
      <c r="DK1357" s="4"/>
      <c r="DL1357" s="4">
        <v>2620404</v>
      </c>
      <c r="DM1357" s="4">
        <v>6178679</v>
      </c>
      <c r="DN1357" s="4" t="s">
        <v>4045</v>
      </c>
      <c r="DO1357" s="4"/>
      <c r="DP1357" s="4"/>
      <c r="DQ1357" s="4" t="s">
        <v>148</v>
      </c>
      <c r="DR1357" s="4"/>
      <c r="DS1357" s="4"/>
      <c r="DT1357" s="4"/>
      <c r="DU1357" s="4"/>
      <c r="DV1357" s="4"/>
      <c r="DW1357" s="4"/>
      <c r="DX1357" s="4"/>
      <c r="DY1357" s="4"/>
      <c r="DZ1357" s="4"/>
      <c r="EA1357" s="4"/>
      <c r="EB1357" s="4"/>
      <c r="EC1357" s="4"/>
      <c r="ED1357" s="4"/>
      <c r="EE1357" s="4"/>
      <c r="EF1357" s="4"/>
      <c r="EG1357" s="5">
        <v>41333</v>
      </c>
      <c r="EH1357" s="5">
        <v>41347</v>
      </c>
      <c r="EI1357" s="5">
        <v>41057</v>
      </c>
    </row>
    <row r="1358" spans="1:139" hidden="1" x14ac:dyDescent="0.2">
      <c r="A1358">
        <f>VLOOKUP(B1358,Sheet1!$A$1:$B$18,2,FALSE)</f>
        <v>0</v>
      </c>
      <c r="B1358" t="str">
        <f>LEFT(D1358,3)</f>
        <v>TNK</v>
      </c>
      <c r="C1358" s="2">
        <v>1357</v>
      </c>
      <c r="D1358" s="3" t="str">
        <f>HYPERLINK("https://sitebase.nzcomms.co.nz/spm/spmnominalview/TNK-035-007/","TNK-035-007")</f>
        <v>TNK-035-007</v>
      </c>
      <c r="E1358" s="4" t="s">
        <v>4042</v>
      </c>
      <c r="F1358" s="3" t="str">
        <f>HYPERLINK("https://sitebase.nzcomms.co.nz/spm/spmcandidateview/TNK-035-007-B/","TNK-035-007-B")</f>
        <v>TNK-035-007-B</v>
      </c>
      <c r="G1358" s="4" t="s">
        <v>3538</v>
      </c>
      <c r="H1358" s="4" t="s">
        <v>4041</v>
      </c>
      <c r="I1358" s="4">
        <v>24</v>
      </c>
      <c r="J1358" s="4" t="s">
        <v>165</v>
      </c>
      <c r="K1358" s="4" t="s">
        <v>141</v>
      </c>
      <c r="L1358" s="4" t="s">
        <v>142</v>
      </c>
      <c r="M1358" s="4" t="s">
        <v>166</v>
      </c>
      <c r="N1358" s="4" t="s">
        <v>364</v>
      </c>
      <c r="O1358" s="4"/>
      <c r="P1358" s="4" t="s">
        <v>169</v>
      </c>
      <c r="Q1358" s="4" t="s">
        <v>142</v>
      </c>
      <c r="R1358" s="4"/>
      <c r="S1358" s="4"/>
      <c r="T1358" s="4"/>
      <c r="U1358" s="4">
        <v>-39.754167019999997</v>
      </c>
      <c r="V1358" s="4">
        <v>174.65194839</v>
      </c>
      <c r="W1358" s="4"/>
      <c r="X1358" s="5">
        <v>42074</v>
      </c>
      <c r="Y1358" s="4"/>
      <c r="Z1358" s="5">
        <v>42173</v>
      </c>
      <c r="AA1358" s="4" t="s">
        <v>145</v>
      </c>
      <c r="AB1358" s="3" t="str">
        <f>HYPERLINK("https://sitebase.nzcomms.co.nz/spm/spmcandidateview/TNK-033-004-A/","TNK-033-004-A")</f>
        <v>TNK-033-004-A</v>
      </c>
      <c r="AC1358" s="4" t="b">
        <v>0</v>
      </c>
      <c r="AD1358" s="4" t="b">
        <v>0</v>
      </c>
      <c r="AE1358" s="4"/>
      <c r="AF1358" s="4"/>
      <c r="AG1358" s="4" t="b">
        <v>0</v>
      </c>
      <c r="AH1358" s="4"/>
      <c r="AI1358" s="5">
        <v>42124</v>
      </c>
      <c r="AJ1358" s="5">
        <v>42124</v>
      </c>
      <c r="AK1358" s="5">
        <v>42185</v>
      </c>
      <c r="AL1358" s="5">
        <v>42164</v>
      </c>
      <c r="AM1358" s="5">
        <v>42185</v>
      </c>
      <c r="AN1358" s="5">
        <v>42180</v>
      </c>
      <c r="AO1358" s="4">
        <v>1</v>
      </c>
      <c r="AP1358" s="4"/>
      <c r="AQ1358" s="5">
        <v>42180</v>
      </c>
      <c r="AR1358" s="5">
        <v>42184</v>
      </c>
      <c r="AS1358" s="5">
        <v>42181</v>
      </c>
      <c r="AT1358" s="5">
        <v>42247</v>
      </c>
      <c r="AU1358" s="5">
        <v>42244</v>
      </c>
      <c r="AV1358" s="4"/>
      <c r="AW1358" s="5">
        <v>42251</v>
      </c>
      <c r="AX1358" s="4"/>
      <c r="AY1358" s="4"/>
      <c r="AZ1358" s="5">
        <v>42237</v>
      </c>
      <c r="BA1358" s="5">
        <v>42240</v>
      </c>
      <c r="BB1358" s="5">
        <v>42272</v>
      </c>
      <c r="BC1358" s="5">
        <v>42262</v>
      </c>
      <c r="BD1358" s="4">
        <v>1</v>
      </c>
      <c r="BE1358" s="4"/>
      <c r="BF1358" s="4"/>
      <c r="BG1358" s="5">
        <v>42248</v>
      </c>
      <c r="BH1358" s="5">
        <v>42255</v>
      </c>
      <c r="BI1358" s="5">
        <v>42286</v>
      </c>
      <c r="BJ1358" s="5">
        <v>42335</v>
      </c>
      <c r="BK1358" s="4">
        <v>1</v>
      </c>
      <c r="BL1358" s="4"/>
      <c r="BM1358" s="4"/>
      <c r="BN1358" s="5">
        <v>42335</v>
      </c>
      <c r="BO1358" s="4"/>
      <c r="BP1358" s="4"/>
      <c r="BQ1358" s="4"/>
      <c r="BR1358" s="4"/>
      <c r="BS1358" s="4"/>
      <c r="BT1358" s="5">
        <v>42475</v>
      </c>
      <c r="BU1358" s="4"/>
      <c r="BV1358" s="5">
        <v>42489</v>
      </c>
      <c r="BW1358" s="4"/>
      <c r="BX1358" s="4"/>
      <c r="BY1358" s="5">
        <v>42510</v>
      </c>
      <c r="BZ1358" s="4"/>
      <c r="CA1358" s="5">
        <v>42307</v>
      </c>
      <c r="CB1358" s="4"/>
      <c r="CC1358" s="5">
        <v>42213</v>
      </c>
      <c r="CD1358" s="5">
        <v>42213</v>
      </c>
      <c r="CE1358" s="4"/>
      <c r="CF1358" s="4"/>
      <c r="CG1358" s="4"/>
      <c r="CH1358" s="4"/>
      <c r="CI1358" s="4"/>
      <c r="CJ1358" s="5">
        <v>42551</v>
      </c>
      <c r="CK1358" s="4"/>
      <c r="CL1358" s="4"/>
      <c r="CM1358" s="4"/>
      <c r="CN1358" s="4"/>
      <c r="CO1358" s="4"/>
      <c r="CP1358" s="4" t="s">
        <v>4046</v>
      </c>
      <c r="CQ1358" s="4" t="s">
        <v>230</v>
      </c>
      <c r="CR1358" s="4"/>
      <c r="CS1358" s="4"/>
      <c r="CT1358" s="4"/>
      <c r="CU1358" s="4"/>
      <c r="CV1358" s="4"/>
      <c r="CW1358" s="4"/>
      <c r="CX1358" s="4"/>
      <c r="CY1358" s="4"/>
      <c r="CZ1358" s="4"/>
      <c r="DA1358" s="5">
        <v>42531</v>
      </c>
      <c r="DB1358" s="4"/>
      <c r="DC1358" s="4"/>
      <c r="DD1358" s="4"/>
      <c r="DE1358" s="4"/>
      <c r="DF1358" s="5">
        <v>42307</v>
      </c>
      <c r="DG1358" s="4"/>
      <c r="DH1358" s="4" t="s">
        <v>1521</v>
      </c>
      <c r="DI1358" s="4"/>
      <c r="DJ1358" s="4" t="b">
        <v>0</v>
      </c>
      <c r="DK1358" s="4"/>
      <c r="DL1358" s="4">
        <v>2651561</v>
      </c>
      <c r="DM1358" s="4">
        <v>6159939</v>
      </c>
      <c r="DN1358" s="4" t="s">
        <v>4047</v>
      </c>
      <c r="DO1358" s="4"/>
      <c r="DP1358" s="4"/>
      <c r="DQ1358" s="4" t="s">
        <v>148</v>
      </c>
      <c r="DR1358" s="4" t="s">
        <v>255</v>
      </c>
      <c r="DS1358" s="4"/>
      <c r="DT1358" s="4"/>
      <c r="DU1358" s="4" t="s">
        <v>178</v>
      </c>
      <c r="DV1358" s="4"/>
      <c r="DW1358" s="4"/>
      <c r="DX1358" s="4"/>
      <c r="DY1358" s="5">
        <v>42430</v>
      </c>
      <c r="DZ1358" s="4"/>
      <c r="EA1358" s="4"/>
      <c r="EB1358" s="4"/>
      <c r="EC1358" s="4"/>
      <c r="ED1358" s="4"/>
      <c r="EE1358" s="5">
        <v>42460</v>
      </c>
      <c r="EF1358" s="4"/>
      <c r="EG1358" s="4"/>
      <c r="EH1358" s="4"/>
      <c r="EI1358" s="5">
        <v>42164</v>
      </c>
    </row>
    <row r="1359" spans="1:139" hidden="1" x14ac:dyDescent="0.2">
      <c r="A1359">
        <f>VLOOKUP(B1359,Sheet1!$A$1:$B$18,2,FALSE)</f>
        <v>0</v>
      </c>
      <c r="B1359" t="str">
        <f>LEFT(D1359,3)</f>
        <v>WKT</v>
      </c>
      <c r="C1359" s="2">
        <v>1358</v>
      </c>
      <c r="D1359" s="3" t="str">
        <f>HYPERLINK("https://sitebase.nzcomms.co.nz/spm/spmnominalview/WKT-011-002/","WKT-011-002")</f>
        <v>WKT-011-002</v>
      </c>
      <c r="E1359" s="4"/>
      <c r="F1359" s="4"/>
      <c r="G1359" s="4"/>
      <c r="H1359" s="4" t="s">
        <v>4048</v>
      </c>
      <c r="I1359" s="4"/>
      <c r="J1359" s="4" t="s">
        <v>196</v>
      </c>
      <c r="K1359" s="4"/>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c r="AT1359" s="4"/>
      <c r="AU1359" s="4"/>
      <c r="AV1359" s="4"/>
      <c r="AW1359" s="4"/>
      <c r="AX1359" s="4"/>
      <c r="AY1359" s="4"/>
      <c r="AZ1359" s="4"/>
      <c r="BA1359" s="4"/>
      <c r="BB1359" s="4"/>
      <c r="BC1359" s="4"/>
      <c r="BD1359" s="4"/>
      <c r="BE1359" s="4"/>
      <c r="BF1359" s="4"/>
      <c r="BG1359" s="4"/>
      <c r="BH1359" s="4"/>
      <c r="BI1359" s="4"/>
      <c r="BJ1359" s="4"/>
      <c r="BK1359" s="4"/>
      <c r="BL1359" s="4"/>
      <c r="BM1359" s="4"/>
      <c r="BN1359" s="4"/>
      <c r="BO1359" s="4"/>
      <c r="BP1359" s="4"/>
      <c r="BQ1359" s="4"/>
      <c r="BR1359" s="4"/>
      <c r="BS1359" s="4"/>
      <c r="BT1359" s="4"/>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4"/>
      <c r="CV1359" s="4"/>
      <c r="CW1359" s="4"/>
      <c r="CX1359" s="4"/>
      <c r="CY1359" s="4"/>
      <c r="CZ1359" s="4"/>
      <c r="DA1359" s="4"/>
      <c r="DB1359" s="4"/>
      <c r="DC1359" s="4"/>
      <c r="DD1359" s="4"/>
      <c r="DE1359" s="4"/>
      <c r="DF1359" s="4"/>
      <c r="DG1359" s="4"/>
      <c r="DH1359" s="4"/>
      <c r="DI1359" s="4"/>
      <c r="DJ1359" s="4"/>
      <c r="DK1359" s="4"/>
      <c r="DL1359" s="4"/>
      <c r="DM1359" s="4"/>
      <c r="DN1359" s="4"/>
      <c r="DO1359" s="4"/>
      <c r="DP1359" s="4"/>
      <c r="DQ1359" s="4"/>
      <c r="DR1359" s="4"/>
      <c r="DS1359" s="4"/>
      <c r="DT1359" s="4"/>
      <c r="DU1359" s="4"/>
      <c r="DV1359" s="4"/>
      <c r="DW1359" s="4"/>
      <c r="DX1359" s="4"/>
      <c r="DY1359" s="4"/>
      <c r="DZ1359" s="4"/>
      <c r="EA1359" s="4"/>
      <c r="EB1359" s="4"/>
      <c r="EC1359" s="4"/>
      <c r="ED1359" s="4"/>
      <c r="EE1359" s="4"/>
      <c r="EF1359" s="4"/>
      <c r="EG1359" s="4"/>
      <c r="EH1359" s="4"/>
      <c r="EI1359" s="4"/>
    </row>
    <row r="1360" spans="1:139" hidden="1" x14ac:dyDescent="0.2">
      <c r="A1360">
        <f>VLOOKUP(B1360,Sheet1!$A$1:$B$18,2,FALSE)</f>
        <v>0</v>
      </c>
      <c r="B1360" t="str">
        <f>LEFT(D1360,3)</f>
        <v>WKT</v>
      </c>
      <c r="C1360" s="2">
        <v>1359</v>
      </c>
      <c r="D1360" s="3" t="str">
        <f>HYPERLINK("https://sitebase.nzcomms.co.nz/spm/spmnominalview/WKT-011-003/","WKT-011-003")</f>
        <v>WKT-011-003</v>
      </c>
      <c r="E1360" s="4" t="s">
        <v>4049</v>
      </c>
      <c r="F1360" s="3" t="str">
        <f>HYPERLINK("https://sitebase.nzcomms.co.nz/spm/spmcandidateview/WKT-011-003-A/","WKT-011-003-A")</f>
        <v>WKT-011-003-A</v>
      </c>
      <c r="G1360" s="4" t="s">
        <v>4050</v>
      </c>
      <c r="H1360" s="4" t="s">
        <v>4048</v>
      </c>
      <c r="I1360" s="4">
        <v>22</v>
      </c>
      <c r="J1360" s="4" t="s">
        <v>165</v>
      </c>
      <c r="K1360" s="4" t="s">
        <v>141</v>
      </c>
      <c r="L1360" s="4" t="s">
        <v>150</v>
      </c>
      <c r="M1360" s="4" t="s">
        <v>166</v>
      </c>
      <c r="N1360" s="4" t="s">
        <v>167</v>
      </c>
      <c r="O1360" s="4"/>
      <c r="P1360" s="4" t="s">
        <v>169</v>
      </c>
      <c r="Q1360" s="4" t="s">
        <v>170</v>
      </c>
      <c r="R1360" s="4">
        <v>20</v>
      </c>
      <c r="S1360" s="4">
        <v>20</v>
      </c>
      <c r="T1360" s="4"/>
      <c r="U1360" s="4">
        <v>-36.725647000000002</v>
      </c>
      <c r="V1360" s="4">
        <v>175.519847</v>
      </c>
      <c r="W1360" s="4"/>
      <c r="X1360" s="4"/>
      <c r="Y1360" s="4"/>
      <c r="Z1360" s="4"/>
      <c r="AA1360" s="4" t="s">
        <v>171</v>
      </c>
      <c r="AB1360" s="3" t="str">
        <f>HYPERLINK("https://sitebase.nzcomms.co.nz/spm/spmcandidateview/WKT-011-016-A/","WKT-011-016-A")</f>
        <v>WKT-011-016-A</v>
      </c>
      <c r="AC1360" s="4" t="b">
        <v>0</v>
      </c>
      <c r="AD1360" s="4" t="b">
        <v>0</v>
      </c>
      <c r="AE1360" s="4"/>
      <c r="AF1360" s="4"/>
      <c r="AG1360" s="4" t="b">
        <v>0</v>
      </c>
      <c r="AH1360" s="4"/>
      <c r="AI1360" s="5">
        <v>41954</v>
      </c>
      <c r="AJ1360" s="5">
        <v>41954</v>
      </c>
      <c r="AK1360" s="5">
        <v>41961</v>
      </c>
      <c r="AL1360" s="5">
        <v>41960</v>
      </c>
      <c r="AM1360" s="5">
        <v>41978</v>
      </c>
      <c r="AN1360" s="5">
        <v>39612</v>
      </c>
      <c r="AO1360" s="4">
        <v>4</v>
      </c>
      <c r="AP1360" s="5">
        <v>41992</v>
      </c>
      <c r="AQ1360" s="5">
        <v>42160</v>
      </c>
      <c r="AR1360" s="5">
        <v>42179</v>
      </c>
      <c r="AS1360" s="5">
        <v>42178</v>
      </c>
      <c r="AT1360" s="5">
        <v>42209</v>
      </c>
      <c r="AU1360" s="5">
        <v>42177</v>
      </c>
      <c r="AV1360" s="4"/>
      <c r="AW1360" s="5">
        <v>42216</v>
      </c>
      <c r="AX1360" s="5">
        <v>42258</v>
      </c>
      <c r="AY1360" s="4" t="s">
        <v>203</v>
      </c>
      <c r="AZ1360" s="5">
        <v>42144</v>
      </c>
      <c r="BA1360" s="5">
        <v>42152</v>
      </c>
      <c r="BB1360" s="5">
        <v>42186</v>
      </c>
      <c r="BC1360" s="5">
        <v>42185</v>
      </c>
      <c r="BD1360" s="4">
        <v>3</v>
      </c>
      <c r="BE1360" s="5">
        <v>42193</v>
      </c>
      <c r="BF1360" s="5">
        <v>42185</v>
      </c>
      <c r="BG1360" s="5">
        <v>42143</v>
      </c>
      <c r="BH1360" s="5">
        <v>42145</v>
      </c>
      <c r="BI1360" s="5">
        <v>42216</v>
      </c>
      <c r="BJ1360" s="5">
        <v>42230</v>
      </c>
      <c r="BK1360" s="4">
        <v>1</v>
      </c>
      <c r="BL1360" s="4"/>
      <c r="BM1360" s="5">
        <v>42216</v>
      </c>
      <c r="BN1360" s="5">
        <v>42230</v>
      </c>
      <c r="BO1360" s="4"/>
      <c r="BP1360" s="4"/>
      <c r="BQ1360" s="4"/>
      <c r="BR1360" s="4"/>
      <c r="BS1360" s="4"/>
      <c r="BT1360" s="5">
        <v>42284</v>
      </c>
      <c r="BU1360" s="5">
        <v>42285</v>
      </c>
      <c r="BV1360" s="5">
        <v>42334</v>
      </c>
      <c r="BW1360" s="5">
        <v>42338</v>
      </c>
      <c r="BX1360" s="4"/>
      <c r="BY1360" s="5">
        <v>42335</v>
      </c>
      <c r="BZ1360" s="5">
        <v>42338</v>
      </c>
      <c r="CA1360" s="4"/>
      <c r="CB1360" s="4"/>
      <c r="CC1360" s="4"/>
      <c r="CD1360" s="4"/>
      <c r="CE1360" s="4"/>
      <c r="CF1360" s="4"/>
      <c r="CG1360" s="4"/>
      <c r="CH1360" s="4"/>
      <c r="CI1360" s="4"/>
      <c r="CJ1360" s="5">
        <v>42349</v>
      </c>
      <c r="CK1360" s="5">
        <v>42352</v>
      </c>
      <c r="CL1360" s="5">
        <v>42356</v>
      </c>
      <c r="CM1360" s="5">
        <v>42356</v>
      </c>
      <c r="CN1360" s="4"/>
      <c r="CO1360" s="4"/>
      <c r="CP1360" s="4" t="s">
        <v>4051</v>
      </c>
      <c r="CQ1360" s="4"/>
      <c r="CR1360" s="4"/>
      <c r="CS1360" s="4"/>
      <c r="CT1360" s="4"/>
      <c r="CU1360" s="4"/>
      <c r="CV1360" s="4"/>
      <c r="CW1360" s="4"/>
      <c r="CX1360" s="4"/>
      <c r="CY1360" s="4"/>
      <c r="CZ1360" s="4"/>
      <c r="DA1360" s="5">
        <v>42349</v>
      </c>
      <c r="DB1360" s="5">
        <v>42345</v>
      </c>
      <c r="DC1360" s="4"/>
      <c r="DD1360" s="4"/>
      <c r="DE1360" s="4" t="s">
        <v>4052</v>
      </c>
      <c r="DF1360" s="4"/>
      <c r="DG1360" s="4"/>
      <c r="DH1360" s="4" t="s">
        <v>174</v>
      </c>
      <c r="DI1360" s="4"/>
      <c r="DJ1360" s="4" t="b">
        <v>0</v>
      </c>
      <c r="DK1360" s="4"/>
      <c r="DL1360" s="4">
        <v>2735487</v>
      </c>
      <c r="DM1360" s="4">
        <v>6494157</v>
      </c>
      <c r="DN1360" s="4" t="s">
        <v>4053</v>
      </c>
      <c r="DO1360" s="4" t="s">
        <v>4054</v>
      </c>
      <c r="DP1360" s="4"/>
      <c r="DQ1360" s="4" t="s">
        <v>148</v>
      </c>
      <c r="DR1360" s="4"/>
      <c r="DS1360" s="4"/>
      <c r="DT1360" s="4"/>
      <c r="DU1360" s="4" t="s">
        <v>178</v>
      </c>
      <c r="DV1360" s="4"/>
      <c r="DW1360" s="5">
        <v>42194</v>
      </c>
      <c r="DX1360" s="5">
        <v>42198</v>
      </c>
      <c r="DY1360" s="5">
        <v>42219</v>
      </c>
      <c r="DZ1360" s="5">
        <v>42213</v>
      </c>
      <c r="EA1360" s="4"/>
      <c r="EB1360" s="5">
        <v>42107</v>
      </c>
      <c r="EC1360" s="4"/>
      <c r="ED1360" s="4"/>
      <c r="EE1360" s="5">
        <v>42261</v>
      </c>
      <c r="EF1360" s="5">
        <v>42262</v>
      </c>
      <c r="EG1360" s="4"/>
      <c r="EH1360" s="4"/>
      <c r="EI1360" s="5">
        <v>41960</v>
      </c>
    </row>
    <row r="1361" spans="1:139" hidden="1" x14ac:dyDescent="0.2">
      <c r="A1361">
        <f>VLOOKUP(B1361,Sheet1!$A$1:$B$18,2,FALSE)</f>
        <v>0</v>
      </c>
      <c r="B1361" t="str">
        <f>LEFT(D1361,3)</f>
        <v>WKT</v>
      </c>
      <c r="C1361" s="2">
        <v>1360</v>
      </c>
      <c r="D1361" s="3" t="str">
        <f>HYPERLINK("https://sitebase.nzcomms.co.nz/spm/spmnominalview/WKT-011-004/","WKT-011-004")</f>
        <v>WKT-011-004</v>
      </c>
      <c r="E1361" s="4" t="s">
        <v>4055</v>
      </c>
      <c r="F1361" s="3" t="str">
        <f>HYPERLINK("https://sitebase.nzcomms.co.nz/spm/spmcandidateview/WKT-011-004-B/","WKT-011-004-B")</f>
        <v>WKT-011-004-B</v>
      </c>
      <c r="G1361" s="4" t="s">
        <v>4056</v>
      </c>
      <c r="H1361" s="4" t="s">
        <v>4048</v>
      </c>
      <c r="I1361" s="4">
        <v>22</v>
      </c>
      <c r="J1361" s="4" t="s">
        <v>165</v>
      </c>
      <c r="K1361" s="4" t="s">
        <v>141</v>
      </c>
      <c r="L1361" s="4" t="s">
        <v>142</v>
      </c>
      <c r="M1361" s="4" t="s">
        <v>190</v>
      </c>
      <c r="N1361" s="4" t="s">
        <v>364</v>
      </c>
      <c r="O1361" s="4"/>
      <c r="P1361" s="4"/>
      <c r="Q1361" s="4" t="s">
        <v>142</v>
      </c>
      <c r="R1361" s="4"/>
      <c r="S1361" s="4"/>
      <c r="T1361" s="4"/>
      <c r="U1361" s="4"/>
      <c r="V1361" s="4"/>
      <c r="W1361" s="4"/>
      <c r="X1361" s="5">
        <v>42052</v>
      </c>
      <c r="Y1361" s="4"/>
      <c r="Z1361" s="4"/>
      <c r="AA1361" s="4" t="s">
        <v>145</v>
      </c>
      <c r="AB1361" s="3" t="str">
        <f>HYPERLINK("https://sitebase.nzcomms.co.nz/spm/spmcandidateview/WKT-016-023-B/","WKT-016-023-B")</f>
        <v>WKT-016-023-B</v>
      </c>
      <c r="AC1361" s="4" t="b">
        <v>0</v>
      </c>
      <c r="AD1361" s="4" t="b">
        <v>0</v>
      </c>
      <c r="AE1361" s="4"/>
      <c r="AF1361" s="4"/>
      <c r="AG1361" s="4" t="b">
        <v>0</v>
      </c>
      <c r="AH1361" s="4"/>
      <c r="AI1361" s="5">
        <v>42103</v>
      </c>
      <c r="AJ1361" s="5">
        <v>42103</v>
      </c>
      <c r="AK1361" s="5">
        <v>42128</v>
      </c>
      <c r="AL1361" s="5">
        <v>42108</v>
      </c>
      <c r="AM1361" s="5">
        <v>42143</v>
      </c>
      <c r="AN1361" s="5">
        <v>42139</v>
      </c>
      <c r="AO1361" s="4">
        <v>2</v>
      </c>
      <c r="AP1361" s="5">
        <v>42233</v>
      </c>
      <c r="AQ1361" s="5">
        <v>42228</v>
      </c>
      <c r="AR1361" s="5">
        <v>42429</v>
      </c>
      <c r="AS1361" s="4"/>
      <c r="AT1361" s="5">
        <v>42471</v>
      </c>
      <c r="AU1361" s="4"/>
      <c r="AV1361" s="4"/>
      <c r="AW1361" s="5">
        <v>42485</v>
      </c>
      <c r="AX1361" s="4"/>
      <c r="AY1361" s="4" t="s">
        <v>183</v>
      </c>
      <c r="AZ1361" s="5">
        <v>42397</v>
      </c>
      <c r="BA1361" s="5">
        <v>42397</v>
      </c>
      <c r="BB1361" s="5">
        <v>42436</v>
      </c>
      <c r="BC1361" s="4"/>
      <c r="BD1361" s="4">
        <v>2</v>
      </c>
      <c r="BE1361" s="5">
        <v>42443</v>
      </c>
      <c r="BF1361" s="4"/>
      <c r="BG1361" s="5">
        <v>42409</v>
      </c>
      <c r="BH1361" s="4"/>
      <c r="BI1361" s="5">
        <v>42450</v>
      </c>
      <c r="BJ1361" s="4"/>
      <c r="BK1361" s="4"/>
      <c r="BL1361" s="4"/>
      <c r="BM1361" s="5">
        <v>42450</v>
      </c>
      <c r="BN1361" s="4"/>
      <c r="BO1361" s="4"/>
      <c r="BP1361" s="4"/>
      <c r="BQ1361" s="4"/>
      <c r="BR1361" s="4"/>
      <c r="BS1361" s="4"/>
      <c r="BT1361" s="4"/>
      <c r="BU1361" s="4"/>
      <c r="BV1361" s="4"/>
      <c r="BW1361" s="4"/>
      <c r="BX1361" s="4"/>
      <c r="BY1361" s="4"/>
      <c r="BZ1361" s="4"/>
      <c r="CA1361" s="5">
        <v>42489</v>
      </c>
      <c r="CB1361" s="4"/>
      <c r="CC1361" s="4"/>
      <c r="CD1361" s="4"/>
      <c r="CE1361" s="4"/>
      <c r="CF1361" s="4"/>
      <c r="CG1361" s="4"/>
      <c r="CH1361" s="4"/>
      <c r="CI1361" s="4"/>
      <c r="CJ1361" s="4"/>
      <c r="CK1361" s="4"/>
      <c r="CL1361" s="4"/>
      <c r="CM1361" s="4"/>
      <c r="CN1361" s="4"/>
      <c r="CO1361" s="4"/>
      <c r="CP1361" s="4" t="s">
        <v>4057</v>
      </c>
      <c r="CQ1361" s="4" t="s">
        <v>230</v>
      </c>
      <c r="CR1361" s="4"/>
      <c r="CS1361" s="4"/>
      <c r="CT1361" s="4"/>
      <c r="CU1361" s="4"/>
      <c r="CV1361" s="4"/>
      <c r="CW1361" s="4"/>
      <c r="CX1361" s="4"/>
      <c r="CY1361" s="4"/>
      <c r="CZ1361" s="4"/>
      <c r="DA1361" s="4"/>
      <c r="DB1361" s="4"/>
      <c r="DC1361" s="4"/>
      <c r="DD1361" s="4"/>
      <c r="DE1361" s="4"/>
      <c r="DF1361" s="5">
        <v>42489</v>
      </c>
      <c r="DG1361" s="4"/>
      <c r="DH1361" s="4" t="s">
        <v>1521</v>
      </c>
      <c r="DI1361" s="4"/>
      <c r="DJ1361" s="4" t="b">
        <v>0</v>
      </c>
      <c r="DK1361" s="4"/>
      <c r="DL1361" s="4"/>
      <c r="DM1361" s="4"/>
      <c r="DN1361" s="4"/>
      <c r="DO1361" s="4"/>
      <c r="DP1361" s="4"/>
      <c r="DQ1361" s="4" t="s">
        <v>148</v>
      </c>
      <c r="DR1361" s="4" t="s">
        <v>255</v>
      </c>
      <c r="DS1361" s="4"/>
      <c r="DT1361" s="4"/>
      <c r="DU1361" s="4" t="s">
        <v>178</v>
      </c>
      <c r="DV1361" s="4"/>
      <c r="DW1361" s="4"/>
      <c r="DX1361" s="4"/>
      <c r="DY1361" s="4"/>
      <c r="DZ1361" s="4"/>
      <c r="EA1361" s="4"/>
      <c r="EB1361" s="5">
        <v>42095</v>
      </c>
      <c r="EC1361" s="4"/>
      <c r="ED1361" s="5">
        <v>42198</v>
      </c>
      <c r="EE1361" s="4"/>
      <c r="EF1361" s="4"/>
      <c r="EG1361" s="4"/>
      <c r="EH1361" s="4"/>
      <c r="EI1361" s="5">
        <v>42108</v>
      </c>
    </row>
    <row r="1362" spans="1:139" hidden="1" x14ac:dyDescent="0.2">
      <c r="A1362">
        <f>VLOOKUP(B1362,Sheet1!$A$1:$B$18,2,FALSE)</f>
        <v>0</v>
      </c>
      <c r="B1362" t="str">
        <f>LEFT(D1362,3)</f>
        <v>WKT</v>
      </c>
      <c r="C1362" s="2">
        <v>1361</v>
      </c>
      <c r="D1362" s="3" t="str">
        <f>HYPERLINK("https://sitebase.nzcomms.co.nz/spm/spmnominalview/WKT-011-005/","WKT-011-005")</f>
        <v>WKT-011-005</v>
      </c>
      <c r="E1362" s="4" t="s">
        <v>4058</v>
      </c>
      <c r="F1362" s="3" t="str">
        <f>HYPERLINK("https://sitebase.nzcomms.co.nz/spm/spmcandidateview/WKT-011-005-A/","WKT-011-005-A")</f>
        <v>WKT-011-005-A</v>
      </c>
      <c r="G1362" s="4" t="s">
        <v>4059</v>
      </c>
      <c r="H1362" s="4" t="s">
        <v>4048</v>
      </c>
      <c r="I1362" s="4"/>
      <c r="J1362" s="4" t="s">
        <v>331</v>
      </c>
      <c r="K1362" s="4" t="s">
        <v>141</v>
      </c>
      <c r="L1362" s="4" t="s">
        <v>142</v>
      </c>
      <c r="M1362" s="4" t="s">
        <v>190</v>
      </c>
      <c r="N1362" s="4"/>
      <c r="O1362" s="4"/>
      <c r="P1362" s="4"/>
      <c r="Q1362" s="4" t="s">
        <v>142</v>
      </c>
      <c r="R1362" s="4"/>
      <c r="S1362" s="4"/>
      <c r="T1362" s="4">
        <v>1</v>
      </c>
      <c r="U1362" s="4">
        <v>-36.783199459999999</v>
      </c>
      <c r="V1362" s="4">
        <v>175.73792692000001</v>
      </c>
      <c r="W1362" s="4"/>
      <c r="X1362" s="4"/>
      <c r="Y1362" s="4"/>
      <c r="Z1362" s="4"/>
      <c r="AA1362" s="4" t="s">
        <v>171</v>
      </c>
      <c r="AB1362" s="3" t="str">
        <f>HYPERLINK("https://sitebase.nzcomms.co.nz/spm/spmcandidateview/WKT-011-006-D/","WKT-011-006-D")</f>
        <v>WKT-011-006-D</v>
      </c>
      <c r="AC1362" s="4" t="b">
        <v>0</v>
      </c>
      <c r="AD1362" s="4" t="b">
        <v>0</v>
      </c>
      <c r="AE1362" s="4"/>
      <c r="AF1362" s="4"/>
      <c r="AG1362" s="4" t="b">
        <v>0</v>
      </c>
      <c r="AH1362" s="4"/>
      <c r="AI1362" s="5">
        <v>41012</v>
      </c>
      <c r="AJ1362" s="5">
        <v>40995</v>
      </c>
      <c r="AK1362" s="5">
        <v>41057</v>
      </c>
      <c r="AL1362" s="5">
        <v>41051</v>
      </c>
      <c r="AM1362" s="5">
        <v>41057</v>
      </c>
      <c r="AN1362" s="5">
        <v>41051</v>
      </c>
      <c r="AO1362" s="4">
        <v>1</v>
      </c>
      <c r="AP1362" s="5">
        <v>41060</v>
      </c>
      <c r="AQ1362" s="5">
        <v>41051</v>
      </c>
      <c r="AR1362" s="5">
        <v>41082</v>
      </c>
      <c r="AS1362" s="5">
        <v>41051</v>
      </c>
      <c r="AT1362" s="5">
        <v>41103</v>
      </c>
      <c r="AU1362" s="4"/>
      <c r="AV1362" s="4"/>
      <c r="AW1362" s="5">
        <v>41228</v>
      </c>
      <c r="AX1362" s="4"/>
      <c r="AY1362" s="4" t="s">
        <v>1901</v>
      </c>
      <c r="AZ1362" s="5">
        <v>41064</v>
      </c>
      <c r="BA1362" s="5">
        <v>41068</v>
      </c>
      <c r="BB1362" s="5">
        <v>41152</v>
      </c>
      <c r="BC1362" s="4"/>
      <c r="BD1362" s="4">
        <v>1</v>
      </c>
      <c r="BE1362" s="5">
        <v>41152</v>
      </c>
      <c r="BF1362" s="4"/>
      <c r="BG1362" s="4"/>
      <c r="BH1362" s="4"/>
      <c r="BI1362" s="4"/>
      <c r="BJ1362" s="4"/>
      <c r="BK1362" s="4">
        <v>1</v>
      </c>
      <c r="BL1362" s="4"/>
      <c r="BM1362" s="4"/>
      <c r="BN1362" s="4"/>
      <c r="BO1362" s="4"/>
      <c r="BP1362" s="4"/>
      <c r="BQ1362" s="4"/>
      <c r="BR1362" s="4"/>
      <c r="BS1362" s="4"/>
      <c r="BT1362" s="4"/>
      <c r="BU1362" s="4"/>
      <c r="BV1362" s="4"/>
      <c r="BW1362" s="4"/>
      <c r="BX1362" s="4"/>
      <c r="BY1362" s="4"/>
      <c r="BZ1362" s="4"/>
      <c r="CA1362" s="4"/>
      <c r="CB1362" s="4"/>
      <c r="CC1362" s="4"/>
      <c r="CD1362" s="4"/>
      <c r="CE1362" s="4"/>
      <c r="CF1362" s="4"/>
      <c r="CG1362" s="4"/>
      <c r="CH1362" s="4"/>
      <c r="CI1362" s="4"/>
      <c r="CJ1362" s="4"/>
      <c r="CK1362" s="4"/>
      <c r="CL1362" s="4"/>
      <c r="CM1362" s="4"/>
      <c r="CN1362" s="4"/>
      <c r="CO1362" s="4"/>
      <c r="CP1362" s="4" t="s">
        <v>4060</v>
      </c>
      <c r="CQ1362" s="4" t="s">
        <v>1657</v>
      </c>
      <c r="CR1362" s="4"/>
      <c r="CS1362" s="4"/>
      <c r="CT1362" s="4"/>
      <c r="CU1362" s="4"/>
      <c r="CV1362" s="4"/>
      <c r="CW1362" s="4"/>
      <c r="CX1362" s="4"/>
      <c r="CY1362" s="4"/>
      <c r="CZ1362" s="4"/>
      <c r="DA1362" s="4"/>
      <c r="DB1362" s="4"/>
      <c r="DC1362" s="4"/>
      <c r="DD1362" s="4"/>
      <c r="DE1362" s="4" t="s">
        <v>4052</v>
      </c>
      <c r="DF1362" s="4"/>
      <c r="DG1362" s="4"/>
      <c r="DH1362" s="4" t="s">
        <v>1521</v>
      </c>
      <c r="DI1362" s="4"/>
      <c r="DJ1362" s="4" t="b">
        <v>0</v>
      </c>
      <c r="DK1362" s="4"/>
      <c r="DL1362" s="4">
        <v>2754762</v>
      </c>
      <c r="DM1362" s="4">
        <v>6487195</v>
      </c>
      <c r="DN1362" s="4" t="s">
        <v>4061</v>
      </c>
      <c r="DO1362" s="4"/>
      <c r="DP1362" s="4"/>
      <c r="DQ1362" s="4"/>
      <c r="DR1362" s="4"/>
      <c r="DS1362" s="4"/>
      <c r="DT1362" s="4"/>
      <c r="DU1362" s="4"/>
      <c r="DV1362" s="4"/>
      <c r="DW1362" s="4"/>
      <c r="DX1362" s="4"/>
      <c r="DY1362" s="4"/>
      <c r="DZ1362" s="4"/>
      <c r="EA1362" s="4"/>
      <c r="EB1362" s="4"/>
      <c r="EC1362" s="4"/>
      <c r="ED1362" s="4"/>
      <c r="EE1362" s="4"/>
      <c r="EF1362" s="4"/>
      <c r="EG1362" s="4"/>
      <c r="EH1362" s="4"/>
      <c r="EI1362" s="5">
        <v>40995</v>
      </c>
    </row>
    <row r="1363" spans="1:139" hidden="1" x14ac:dyDescent="0.2">
      <c r="A1363">
        <f>VLOOKUP(B1363,Sheet1!$A$1:$B$18,2,FALSE)</f>
        <v>0</v>
      </c>
      <c r="B1363" t="str">
        <f>LEFT(D1363,3)</f>
        <v>WKT</v>
      </c>
      <c r="C1363" s="2">
        <v>1362</v>
      </c>
      <c r="D1363" s="3" t="str">
        <f>HYPERLINK("https://sitebase.nzcomms.co.nz/spm/spmnominalview/WKT-011-006/","WKT-011-006")</f>
        <v>WKT-011-006</v>
      </c>
      <c r="E1363" s="4" t="s">
        <v>4062</v>
      </c>
      <c r="F1363" s="3" t="str">
        <f>HYPERLINK("https://sitebase.nzcomms.co.nz/spm/spmcandidateview/WKT-011-006-D/","WKT-011-006-D")</f>
        <v>WKT-011-006-D</v>
      </c>
      <c r="G1363" s="4" t="s">
        <v>4063</v>
      </c>
      <c r="H1363" s="4" t="s">
        <v>4048</v>
      </c>
      <c r="I1363" s="4">
        <v>22</v>
      </c>
      <c r="J1363" s="4" t="s">
        <v>165</v>
      </c>
      <c r="K1363" s="4" t="s">
        <v>141</v>
      </c>
      <c r="L1363" s="4" t="s">
        <v>150</v>
      </c>
      <c r="M1363" s="4" t="s">
        <v>190</v>
      </c>
      <c r="N1363" s="4" t="s">
        <v>1572</v>
      </c>
      <c r="O1363" s="4"/>
      <c r="P1363" s="4" t="s">
        <v>169</v>
      </c>
      <c r="Q1363" s="4" t="s">
        <v>170</v>
      </c>
      <c r="R1363" s="4"/>
      <c r="S1363" s="4"/>
      <c r="T1363" s="4"/>
      <c r="U1363" s="4">
        <v>-36.853126570000001</v>
      </c>
      <c r="V1363" s="4">
        <v>175.71329209000001</v>
      </c>
      <c r="W1363" s="4"/>
      <c r="X1363" s="4"/>
      <c r="Y1363" s="4"/>
      <c r="Z1363" s="4"/>
      <c r="AA1363" s="4" t="s">
        <v>1125</v>
      </c>
      <c r="AB1363" s="3" t="str">
        <f>HYPERLINK("https://sitebase.nzcomms.co.nz/spm/spmcandidateview/WKT-016-023-B/","WKT-016-023-B")</f>
        <v>WKT-016-023-B</v>
      </c>
      <c r="AC1363" s="4" t="b">
        <v>0</v>
      </c>
      <c r="AD1363" s="4" t="b">
        <v>0</v>
      </c>
      <c r="AE1363" s="4"/>
      <c r="AF1363" s="4"/>
      <c r="AG1363" s="4" t="b">
        <v>0</v>
      </c>
      <c r="AH1363" s="4"/>
      <c r="AI1363" s="5">
        <v>40998</v>
      </c>
      <c r="AJ1363" s="5">
        <v>40996</v>
      </c>
      <c r="AK1363" s="5">
        <v>41003</v>
      </c>
      <c r="AL1363" s="5">
        <v>40997</v>
      </c>
      <c r="AM1363" s="5">
        <v>41057</v>
      </c>
      <c r="AN1363" s="5">
        <v>41065</v>
      </c>
      <c r="AO1363" s="4">
        <v>3</v>
      </c>
      <c r="AP1363" s="5">
        <v>41057</v>
      </c>
      <c r="AQ1363" s="5">
        <v>41414</v>
      </c>
      <c r="AR1363" s="5">
        <v>41124</v>
      </c>
      <c r="AS1363" s="5">
        <v>41114</v>
      </c>
      <c r="AT1363" s="5">
        <v>41152</v>
      </c>
      <c r="AU1363" s="5">
        <v>41115</v>
      </c>
      <c r="AV1363" s="4"/>
      <c r="AW1363" s="5">
        <v>41333</v>
      </c>
      <c r="AX1363" s="5">
        <v>41934</v>
      </c>
      <c r="AY1363" s="4" t="s">
        <v>369</v>
      </c>
      <c r="AZ1363" s="5">
        <v>41185</v>
      </c>
      <c r="BA1363" s="5">
        <v>41190</v>
      </c>
      <c r="BB1363" s="5">
        <v>41333</v>
      </c>
      <c r="BC1363" s="5">
        <v>41416</v>
      </c>
      <c r="BD1363" s="4">
        <v>2</v>
      </c>
      <c r="BE1363" s="5">
        <v>41239</v>
      </c>
      <c r="BF1363" s="5">
        <v>41934</v>
      </c>
      <c r="BG1363" s="5">
        <v>41136</v>
      </c>
      <c r="BH1363" s="5">
        <v>41136</v>
      </c>
      <c r="BI1363" s="5">
        <v>41194</v>
      </c>
      <c r="BJ1363" s="5">
        <v>41198</v>
      </c>
      <c r="BK1363" s="4">
        <v>3</v>
      </c>
      <c r="BL1363" s="4"/>
      <c r="BM1363" s="5">
        <v>41976</v>
      </c>
      <c r="BN1363" s="5">
        <v>42047</v>
      </c>
      <c r="BO1363" s="5">
        <v>42081</v>
      </c>
      <c r="BP1363" s="4"/>
      <c r="BQ1363" s="4"/>
      <c r="BR1363" s="4"/>
      <c r="BS1363" s="4"/>
      <c r="BT1363" s="5">
        <v>42107</v>
      </c>
      <c r="BU1363" s="5">
        <v>42096</v>
      </c>
      <c r="BV1363" s="5">
        <v>42153</v>
      </c>
      <c r="BW1363" s="5">
        <v>42116</v>
      </c>
      <c r="BX1363" s="5">
        <v>42116</v>
      </c>
      <c r="BY1363" s="5">
        <v>42142</v>
      </c>
      <c r="BZ1363" s="5">
        <v>42131</v>
      </c>
      <c r="CA1363" s="5">
        <v>42132</v>
      </c>
      <c r="CB1363" s="4"/>
      <c r="CC1363" s="4"/>
      <c r="CD1363" s="4"/>
      <c r="CE1363" s="4"/>
      <c r="CF1363" s="4"/>
      <c r="CG1363" s="4"/>
      <c r="CH1363" s="4"/>
      <c r="CI1363" s="5">
        <v>42136</v>
      </c>
      <c r="CJ1363" s="5">
        <v>42153</v>
      </c>
      <c r="CK1363" s="5">
        <v>42149</v>
      </c>
      <c r="CL1363" s="5">
        <v>42171</v>
      </c>
      <c r="CM1363" s="5">
        <v>42174</v>
      </c>
      <c r="CN1363" s="4"/>
      <c r="CO1363" s="4"/>
      <c r="CP1363" s="4" t="s">
        <v>4064</v>
      </c>
      <c r="CQ1363" s="4"/>
      <c r="CR1363" s="4"/>
      <c r="CS1363" s="4"/>
      <c r="CT1363" s="4"/>
      <c r="CU1363" s="4"/>
      <c r="CV1363" s="4"/>
      <c r="CW1363" s="5">
        <v>42081</v>
      </c>
      <c r="CX1363" s="5">
        <v>42081</v>
      </c>
      <c r="CY1363" s="5">
        <v>42129</v>
      </c>
      <c r="CZ1363" s="5">
        <v>42129</v>
      </c>
      <c r="DA1363" s="5">
        <v>42163</v>
      </c>
      <c r="DB1363" s="5">
        <v>42142</v>
      </c>
      <c r="DC1363" s="4"/>
      <c r="DD1363" s="4"/>
      <c r="DE1363" s="4" t="s">
        <v>4052</v>
      </c>
      <c r="DF1363" s="5">
        <v>42132</v>
      </c>
      <c r="DG1363" s="5">
        <v>42129</v>
      </c>
      <c r="DH1363" s="4" t="s">
        <v>174</v>
      </c>
      <c r="DI1363" s="5">
        <v>42122</v>
      </c>
      <c r="DJ1363" s="4" t="b">
        <v>0</v>
      </c>
      <c r="DK1363" s="4"/>
      <c r="DL1363" s="4">
        <v>2752327</v>
      </c>
      <c r="DM1363" s="4">
        <v>6479506</v>
      </c>
      <c r="DN1363" s="4" t="s">
        <v>4065</v>
      </c>
      <c r="DO1363" s="4"/>
      <c r="DP1363" s="4"/>
      <c r="DQ1363" s="4" t="s">
        <v>148</v>
      </c>
      <c r="DR1363" s="4"/>
      <c r="DS1363" s="4"/>
      <c r="DT1363" s="4"/>
      <c r="DU1363" s="4" t="s">
        <v>178</v>
      </c>
      <c r="DV1363" s="4"/>
      <c r="DW1363" s="5">
        <v>41991</v>
      </c>
      <c r="DX1363" s="5">
        <v>41984</v>
      </c>
      <c r="DY1363" s="4"/>
      <c r="DZ1363" s="5">
        <v>42093</v>
      </c>
      <c r="EA1363" s="4"/>
      <c r="EB1363" s="4"/>
      <c r="EC1363" s="4"/>
      <c r="ED1363" s="5">
        <v>42018</v>
      </c>
      <c r="EE1363" s="4"/>
      <c r="EF1363" s="5">
        <v>42093</v>
      </c>
      <c r="EG1363" s="4"/>
      <c r="EH1363" s="4"/>
      <c r="EI1363" s="5">
        <v>40997</v>
      </c>
    </row>
    <row r="1364" spans="1:139" hidden="1" x14ac:dyDescent="0.2">
      <c r="A1364">
        <f>VLOOKUP(B1364,Sheet1!$A$1:$B$18,2,FALSE)</f>
        <v>0</v>
      </c>
      <c r="B1364" t="str">
        <f>LEFT(D1364,3)</f>
        <v>WKT</v>
      </c>
      <c r="C1364" s="2">
        <v>1363</v>
      </c>
      <c r="D1364" s="3" t="str">
        <f>HYPERLINK("https://sitebase.nzcomms.co.nz/spm/spmnominalview/WKT-011-007/","WKT-011-007")</f>
        <v>WKT-011-007</v>
      </c>
      <c r="E1364" s="4" t="s">
        <v>4066</v>
      </c>
      <c r="F1364" s="3" t="str">
        <f>HYPERLINK("https://sitebase.nzcomms.co.nz/spm/spmcandidateview/WKT-011-007-B/","WKT-011-007-B")</f>
        <v>WKT-011-007-B</v>
      </c>
      <c r="G1364" s="4" t="s">
        <v>4067</v>
      </c>
      <c r="H1364" s="4" t="s">
        <v>4048</v>
      </c>
      <c r="I1364" s="4">
        <v>22</v>
      </c>
      <c r="J1364" s="4" t="s">
        <v>165</v>
      </c>
      <c r="K1364" s="4" t="s">
        <v>141</v>
      </c>
      <c r="L1364" s="4" t="s">
        <v>142</v>
      </c>
      <c r="M1364" s="4" t="s">
        <v>166</v>
      </c>
      <c r="N1364" s="4" t="s">
        <v>364</v>
      </c>
      <c r="O1364" s="4" t="s">
        <v>144</v>
      </c>
      <c r="P1364" s="4" t="s">
        <v>169</v>
      </c>
      <c r="Q1364" s="4" t="s">
        <v>142</v>
      </c>
      <c r="R1364" s="4">
        <v>30</v>
      </c>
      <c r="S1364" s="4">
        <v>30</v>
      </c>
      <c r="T1364" s="4"/>
      <c r="U1364" s="4">
        <v>-36.839421539999996</v>
      </c>
      <c r="V1364" s="4">
        <v>175.79264323999999</v>
      </c>
      <c r="W1364" s="4"/>
      <c r="X1364" s="4"/>
      <c r="Y1364" s="4"/>
      <c r="Z1364" s="4"/>
      <c r="AA1364" s="4" t="s">
        <v>171</v>
      </c>
      <c r="AB1364" s="3" t="str">
        <f>HYPERLINK("https://sitebase.nzcomms.co.nz/spm/spmcandidateview/WKT-011-006-D/","WKT-011-006-D")</f>
        <v>WKT-011-006-D</v>
      </c>
      <c r="AC1364" s="4" t="b">
        <v>0</v>
      </c>
      <c r="AD1364" s="4" t="b">
        <v>0</v>
      </c>
      <c r="AE1364" s="4"/>
      <c r="AF1364" s="4"/>
      <c r="AG1364" s="4" t="b">
        <v>0</v>
      </c>
      <c r="AH1364" s="4"/>
      <c r="AI1364" s="5">
        <v>41976</v>
      </c>
      <c r="AJ1364" s="5">
        <v>41975</v>
      </c>
      <c r="AK1364" s="5">
        <v>41984</v>
      </c>
      <c r="AL1364" s="5">
        <v>41961</v>
      </c>
      <c r="AM1364" s="5">
        <v>41971</v>
      </c>
      <c r="AN1364" s="5">
        <v>41053</v>
      </c>
      <c r="AO1364" s="4">
        <v>5</v>
      </c>
      <c r="AP1364" s="5">
        <v>42179</v>
      </c>
      <c r="AQ1364" s="5">
        <v>42200</v>
      </c>
      <c r="AR1364" s="5">
        <v>42460</v>
      </c>
      <c r="AS1364" s="4"/>
      <c r="AT1364" s="5">
        <v>42499</v>
      </c>
      <c r="AU1364" s="4"/>
      <c r="AV1364" s="4"/>
      <c r="AW1364" s="5">
        <v>42513</v>
      </c>
      <c r="AX1364" s="4"/>
      <c r="AY1364" s="4" t="s">
        <v>203</v>
      </c>
      <c r="AZ1364" s="5">
        <v>42198</v>
      </c>
      <c r="BA1364" s="5">
        <v>42206</v>
      </c>
      <c r="BB1364" s="5">
        <v>42240</v>
      </c>
      <c r="BC1364" s="5">
        <v>42234</v>
      </c>
      <c r="BD1364" s="4">
        <v>5</v>
      </c>
      <c r="BE1364" s="5">
        <v>42240</v>
      </c>
      <c r="BF1364" s="5">
        <v>42234</v>
      </c>
      <c r="BG1364" s="5">
        <v>42194</v>
      </c>
      <c r="BH1364" s="5">
        <v>42198</v>
      </c>
      <c r="BI1364" s="5">
        <v>42317</v>
      </c>
      <c r="BJ1364" s="5">
        <v>42299</v>
      </c>
      <c r="BK1364" s="4">
        <v>1</v>
      </c>
      <c r="BL1364" s="4"/>
      <c r="BM1364" s="5">
        <v>42324</v>
      </c>
      <c r="BN1364" s="5">
        <v>42299</v>
      </c>
      <c r="BO1364" s="4"/>
      <c r="BP1364" s="4"/>
      <c r="BQ1364" s="4"/>
      <c r="BR1364" s="4"/>
      <c r="BS1364" s="4"/>
      <c r="BT1364" s="4"/>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t="s">
        <v>4068</v>
      </c>
      <c r="CQ1364" s="4" t="s">
        <v>230</v>
      </c>
      <c r="CR1364" s="4"/>
      <c r="CS1364" s="4"/>
      <c r="CT1364" s="4"/>
      <c r="CU1364" s="4"/>
      <c r="CV1364" s="4"/>
      <c r="CW1364" s="4"/>
      <c r="CX1364" s="4"/>
      <c r="CY1364" s="4"/>
      <c r="CZ1364" s="4"/>
      <c r="DA1364" s="4"/>
      <c r="DB1364" s="4"/>
      <c r="DC1364" s="4"/>
      <c r="DD1364" s="4"/>
      <c r="DE1364" s="4" t="s">
        <v>4052</v>
      </c>
      <c r="DF1364" s="4"/>
      <c r="DG1364" s="4"/>
      <c r="DH1364" s="4" t="s">
        <v>1521</v>
      </c>
      <c r="DI1364" s="4"/>
      <c r="DJ1364" s="4" t="b">
        <v>0</v>
      </c>
      <c r="DK1364" s="4"/>
      <c r="DL1364" s="4">
        <v>2759448</v>
      </c>
      <c r="DM1364" s="4">
        <v>6480807</v>
      </c>
      <c r="DN1364" s="4" t="s">
        <v>4069</v>
      </c>
      <c r="DO1364" s="4"/>
      <c r="DP1364" s="4"/>
      <c r="DQ1364" s="4" t="s">
        <v>148</v>
      </c>
      <c r="DR1364" s="4" t="s">
        <v>255</v>
      </c>
      <c r="DS1364" s="4"/>
      <c r="DT1364" s="4"/>
      <c r="DU1364" s="4" t="s">
        <v>178</v>
      </c>
      <c r="DV1364" s="4"/>
      <c r="DW1364" s="4"/>
      <c r="DX1364" s="4"/>
      <c r="DY1364" s="4"/>
      <c r="DZ1364" s="4"/>
      <c r="EA1364" s="4"/>
      <c r="EB1364" s="5">
        <v>42095</v>
      </c>
      <c r="EC1364" s="4"/>
      <c r="ED1364" s="4"/>
      <c r="EE1364" s="4"/>
      <c r="EF1364" s="4"/>
      <c r="EG1364" s="4"/>
      <c r="EH1364" s="4"/>
      <c r="EI1364" s="5">
        <v>41961</v>
      </c>
    </row>
    <row r="1365" spans="1:139" hidden="1" x14ac:dyDescent="0.2">
      <c r="A1365">
        <f>VLOOKUP(B1365,Sheet1!$A$1:$B$18,2,FALSE)</f>
        <v>0</v>
      </c>
      <c r="B1365" t="str">
        <f>LEFT(D1365,3)</f>
        <v>WKT</v>
      </c>
      <c r="C1365" s="2">
        <v>1364</v>
      </c>
      <c r="D1365" s="3" t="str">
        <f>HYPERLINK("https://sitebase.nzcomms.co.nz/spm/spmnominalview/WKT-011-008/","WKT-011-008")</f>
        <v>WKT-011-008</v>
      </c>
      <c r="E1365" s="4" t="s">
        <v>4070</v>
      </c>
      <c r="F1365" s="3" t="str">
        <f>HYPERLINK("https://sitebase.nzcomms.co.nz/spm/spmcandidateview/WKT-011-008-B/","WKT-011-008-B")</f>
        <v>WKT-011-008-B</v>
      </c>
      <c r="G1365" s="4" t="s">
        <v>4071</v>
      </c>
      <c r="H1365" s="4" t="s">
        <v>4048</v>
      </c>
      <c r="I1365" s="4"/>
      <c r="J1365" s="4" t="s">
        <v>331</v>
      </c>
      <c r="K1365" s="4" t="s">
        <v>141</v>
      </c>
      <c r="L1365" s="4" t="s">
        <v>142</v>
      </c>
      <c r="M1365" s="4" t="s">
        <v>190</v>
      </c>
      <c r="N1365" s="4" t="s">
        <v>364</v>
      </c>
      <c r="O1365" s="4"/>
      <c r="P1365" s="4" t="s">
        <v>169</v>
      </c>
      <c r="Q1365" s="4" t="s">
        <v>142</v>
      </c>
      <c r="R1365" s="4">
        <v>20</v>
      </c>
      <c r="S1365" s="4">
        <v>20</v>
      </c>
      <c r="T1365" s="4"/>
      <c r="U1365" s="4">
        <v>-36.971222220000001</v>
      </c>
      <c r="V1365" s="4">
        <v>175.81537677</v>
      </c>
      <c r="W1365" s="4"/>
      <c r="X1365" s="4"/>
      <c r="Y1365" s="4"/>
      <c r="Z1365" s="4"/>
      <c r="AA1365" s="4" t="s">
        <v>171</v>
      </c>
      <c r="AB1365" s="3" t="str">
        <f>HYPERLINK("https://sitebase.nzcomms.co.nz/spm/spmcandidateview/WKT-011-009-A/","WKT-011-009-A")</f>
        <v>WKT-011-009-A</v>
      </c>
      <c r="AC1365" s="4" t="b">
        <v>0</v>
      </c>
      <c r="AD1365" s="4" t="b">
        <v>0</v>
      </c>
      <c r="AE1365" s="4"/>
      <c r="AF1365" s="4"/>
      <c r="AG1365" s="4" t="b">
        <v>0</v>
      </c>
      <c r="AH1365" s="4"/>
      <c r="AI1365" s="5">
        <v>40991</v>
      </c>
      <c r="AJ1365" s="5">
        <v>40970</v>
      </c>
      <c r="AK1365" s="5">
        <v>40995</v>
      </c>
      <c r="AL1365" s="5">
        <v>40973</v>
      </c>
      <c r="AM1365" s="5">
        <v>40990</v>
      </c>
      <c r="AN1365" s="5">
        <v>39650</v>
      </c>
      <c r="AO1365" s="4">
        <v>4</v>
      </c>
      <c r="AP1365" s="5">
        <v>40998</v>
      </c>
      <c r="AQ1365" s="5">
        <v>41011</v>
      </c>
      <c r="AR1365" s="5">
        <v>41082</v>
      </c>
      <c r="AS1365" s="4"/>
      <c r="AT1365" s="5">
        <v>41096</v>
      </c>
      <c r="AU1365" s="4"/>
      <c r="AV1365" s="4"/>
      <c r="AW1365" s="5">
        <v>41117</v>
      </c>
      <c r="AX1365" s="4"/>
      <c r="AY1365" s="4" t="s">
        <v>369</v>
      </c>
      <c r="AZ1365" s="5">
        <v>41087</v>
      </c>
      <c r="BA1365" s="4"/>
      <c r="BB1365" s="5">
        <v>41124</v>
      </c>
      <c r="BC1365" s="4"/>
      <c r="BD1365" s="4"/>
      <c r="BE1365" s="5">
        <v>41131</v>
      </c>
      <c r="BF1365" s="4"/>
      <c r="BG1365" s="4"/>
      <c r="BH1365" s="4"/>
      <c r="BI1365" s="4"/>
      <c r="BJ1365" s="4"/>
      <c r="BK1365" s="4">
        <v>1</v>
      </c>
      <c r="BL1365" s="4">
        <v>3</v>
      </c>
      <c r="BM1365" s="4"/>
      <c r="BN1365" s="4"/>
      <c r="BO1365" s="4"/>
      <c r="BP1365" s="4"/>
      <c r="BQ1365" s="4"/>
      <c r="BR1365" s="4"/>
      <c r="BS1365" s="4"/>
      <c r="BT1365" s="4"/>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t="s">
        <v>4072</v>
      </c>
      <c r="CQ1365" s="4" t="s">
        <v>205</v>
      </c>
      <c r="CR1365" s="4"/>
      <c r="CS1365" s="4"/>
      <c r="CT1365" s="4"/>
      <c r="CU1365" s="4"/>
      <c r="CV1365" s="4"/>
      <c r="CW1365" s="4"/>
      <c r="CX1365" s="4"/>
      <c r="CY1365" s="4"/>
      <c r="CZ1365" s="4"/>
      <c r="DA1365" s="4"/>
      <c r="DB1365" s="4"/>
      <c r="DC1365" s="4"/>
      <c r="DD1365" s="4"/>
      <c r="DE1365" s="4" t="s">
        <v>4052</v>
      </c>
      <c r="DF1365" s="4"/>
      <c r="DG1365" s="4"/>
      <c r="DH1365" s="4" t="s">
        <v>1521</v>
      </c>
      <c r="DI1365" s="4"/>
      <c r="DJ1365" s="4" t="b">
        <v>0</v>
      </c>
      <c r="DK1365" s="4"/>
      <c r="DL1365" s="4">
        <v>2761012</v>
      </c>
      <c r="DM1365" s="4">
        <v>6466124</v>
      </c>
      <c r="DN1365" s="4" t="s">
        <v>4073</v>
      </c>
      <c r="DO1365" s="4"/>
      <c r="DP1365" s="4"/>
      <c r="DQ1365" s="4"/>
      <c r="DR1365" s="4"/>
      <c r="DS1365" s="4"/>
      <c r="DT1365" s="4"/>
      <c r="DU1365" s="4"/>
      <c r="DV1365" s="4"/>
      <c r="DW1365" s="4"/>
      <c r="DX1365" s="4"/>
      <c r="DY1365" s="4"/>
      <c r="DZ1365" s="4"/>
      <c r="EA1365" s="4"/>
      <c r="EB1365" s="4"/>
      <c r="EC1365" s="4"/>
      <c r="ED1365" s="4"/>
      <c r="EE1365" s="4"/>
      <c r="EF1365" s="4"/>
      <c r="EG1365" s="4"/>
      <c r="EH1365" s="4"/>
      <c r="EI1365" s="5">
        <v>40973</v>
      </c>
    </row>
    <row r="1366" spans="1:139" hidden="1" x14ac:dyDescent="0.2">
      <c r="A1366">
        <f>VLOOKUP(B1366,Sheet1!$A$1:$B$18,2,FALSE)</f>
        <v>0</v>
      </c>
      <c r="B1366" t="str">
        <f>LEFT(D1366,3)</f>
        <v>WKT</v>
      </c>
      <c r="C1366" s="2">
        <v>1365</v>
      </c>
      <c r="D1366" s="3" t="str">
        <f>HYPERLINK("https://sitebase.nzcomms.co.nz/spm/spmnominalview/WKT-011-009/","WKT-011-009")</f>
        <v>WKT-011-009</v>
      </c>
      <c r="E1366" s="4" t="s">
        <v>4074</v>
      </c>
      <c r="F1366" s="3" t="str">
        <f>HYPERLINK("https://sitebase.nzcomms.co.nz/spm/spmcandidateview/WKT-011-009-B/","WKT-011-009-B")</f>
        <v>WKT-011-009-B</v>
      </c>
      <c r="G1366" s="4" t="s">
        <v>4075</v>
      </c>
      <c r="H1366" s="4" t="s">
        <v>4048</v>
      </c>
      <c r="I1366" s="4">
        <v>22</v>
      </c>
      <c r="J1366" s="4" t="s">
        <v>165</v>
      </c>
      <c r="K1366" s="4" t="s">
        <v>141</v>
      </c>
      <c r="L1366" s="4" t="s">
        <v>150</v>
      </c>
      <c r="M1366" s="4" t="s">
        <v>190</v>
      </c>
      <c r="N1366" s="4" t="s">
        <v>167</v>
      </c>
      <c r="O1366" s="4"/>
      <c r="P1366" s="4"/>
      <c r="Q1366" s="4" t="s">
        <v>170</v>
      </c>
      <c r="R1366" s="4"/>
      <c r="S1366" s="4"/>
      <c r="T1366" s="4"/>
      <c r="U1366" s="4">
        <v>-37.037831490000002</v>
      </c>
      <c r="V1366" s="4">
        <v>175.87302424999999</v>
      </c>
      <c r="W1366" s="4"/>
      <c r="X1366" s="4"/>
      <c r="Y1366" s="4"/>
      <c r="Z1366" s="4"/>
      <c r="AA1366" s="4" t="s">
        <v>171</v>
      </c>
      <c r="AB1366" s="3" t="str">
        <f>HYPERLINK("https://sitebase.nzcomms.co.nz/spm/spmcandidateview/WKT-011-012-A/","WKT-011-012-A")</f>
        <v>WKT-011-012-A</v>
      </c>
      <c r="AC1366" s="4" t="b">
        <v>0</v>
      </c>
      <c r="AD1366" s="4" t="b">
        <v>0</v>
      </c>
      <c r="AE1366" s="4"/>
      <c r="AF1366" s="4"/>
      <c r="AG1366" s="4" t="b">
        <v>0</v>
      </c>
      <c r="AH1366" s="4"/>
      <c r="AI1366" s="5">
        <v>40970</v>
      </c>
      <c r="AJ1366" s="5">
        <v>40970</v>
      </c>
      <c r="AK1366" s="5">
        <v>41130</v>
      </c>
      <c r="AL1366" s="5">
        <v>41130</v>
      </c>
      <c r="AM1366" s="5">
        <v>41148</v>
      </c>
      <c r="AN1366" s="5">
        <v>41156</v>
      </c>
      <c r="AO1366" s="4">
        <v>3</v>
      </c>
      <c r="AP1366" s="5">
        <v>41148</v>
      </c>
      <c r="AQ1366" s="5">
        <v>42065</v>
      </c>
      <c r="AR1366" s="5">
        <v>42124</v>
      </c>
      <c r="AS1366" s="5">
        <v>42122</v>
      </c>
      <c r="AT1366" s="5">
        <v>42195</v>
      </c>
      <c r="AU1366" s="5">
        <v>42180</v>
      </c>
      <c r="AV1366" s="4"/>
      <c r="AW1366" s="5">
        <v>42195</v>
      </c>
      <c r="AX1366" s="5">
        <v>42185</v>
      </c>
      <c r="AY1366" s="4" t="s">
        <v>198</v>
      </c>
      <c r="AZ1366" s="5">
        <v>41198</v>
      </c>
      <c r="BA1366" s="5">
        <v>41222</v>
      </c>
      <c r="BB1366" s="5">
        <v>41243</v>
      </c>
      <c r="BC1366" s="5">
        <v>41260</v>
      </c>
      <c r="BD1366" s="4">
        <v>2</v>
      </c>
      <c r="BE1366" s="5">
        <v>41250</v>
      </c>
      <c r="BF1366" s="5">
        <v>41260</v>
      </c>
      <c r="BG1366" s="5">
        <v>42170</v>
      </c>
      <c r="BH1366" s="5">
        <v>42123</v>
      </c>
      <c r="BI1366" s="5">
        <v>42173</v>
      </c>
      <c r="BJ1366" s="5">
        <v>42179</v>
      </c>
      <c r="BK1366" s="4">
        <v>2</v>
      </c>
      <c r="BL1366" s="4"/>
      <c r="BM1366" s="5">
        <v>42180</v>
      </c>
      <c r="BN1366" s="5">
        <v>42240</v>
      </c>
      <c r="BO1366" s="4"/>
      <c r="BP1366" s="4"/>
      <c r="BQ1366" s="4"/>
      <c r="BR1366" s="4"/>
      <c r="BS1366" s="4"/>
      <c r="BT1366" s="5">
        <v>42240</v>
      </c>
      <c r="BU1366" s="5">
        <v>42242</v>
      </c>
      <c r="BV1366" s="5">
        <v>42276</v>
      </c>
      <c r="BW1366" s="5">
        <v>42276</v>
      </c>
      <c r="BX1366" s="4"/>
      <c r="BY1366" s="5">
        <v>42277</v>
      </c>
      <c r="BZ1366" s="5">
        <v>42277</v>
      </c>
      <c r="CA1366" s="4"/>
      <c r="CB1366" s="4"/>
      <c r="CC1366" s="4"/>
      <c r="CD1366" s="4"/>
      <c r="CE1366" s="4"/>
      <c r="CF1366" s="4"/>
      <c r="CG1366" s="4"/>
      <c r="CH1366" s="4"/>
      <c r="CI1366" s="4"/>
      <c r="CJ1366" s="5">
        <v>42299</v>
      </c>
      <c r="CK1366" s="5">
        <v>42292</v>
      </c>
      <c r="CL1366" s="5">
        <v>42305</v>
      </c>
      <c r="CM1366" s="5">
        <v>42305</v>
      </c>
      <c r="CN1366" s="4"/>
      <c r="CO1366" s="4"/>
      <c r="CP1366" s="4" t="s">
        <v>4076</v>
      </c>
      <c r="CQ1366" s="4"/>
      <c r="CR1366" s="4"/>
      <c r="CS1366" s="4"/>
      <c r="CT1366" s="4"/>
      <c r="CU1366" s="4"/>
      <c r="CV1366" s="4"/>
      <c r="CW1366" s="4"/>
      <c r="CX1366" s="4"/>
      <c r="CY1366" s="4"/>
      <c r="CZ1366" s="4"/>
      <c r="DA1366" s="5">
        <v>42289</v>
      </c>
      <c r="DB1366" s="5">
        <v>42284</v>
      </c>
      <c r="DC1366" s="4"/>
      <c r="DD1366" s="4"/>
      <c r="DE1366" s="4" t="s">
        <v>4052</v>
      </c>
      <c r="DF1366" s="4"/>
      <c r="DG1366" s="4"/>
      <c r="DH1366" s="4" t="s">
        <v>174</v>
      </c>
      <c r="DI1366" s="4"/>
      <c r="DJ1366" s="4" t="b">
        <v>0</v>
      </c>
      <c r="DK1366" s="4"/>
      <c r="DL1366" s="4">
        <v>2765904</v>
      </c>
      <c r="DM1366" s="4">
        <v>6458572</v>
      </c>
      <c r="DN1366" s="4" t="s">
        <v>4077</v>
      </c>
      <c r="DO1366" s="4"/>
      <c r="DP1366" s="4"/>
      <c r="DQ1366" s="4" t="s">
        <v>148</v>
      </c>
      <c r="DR1366" s="4"/>
      <c r="DS1366" s="4"/>
      <c r="DT1366" s="4"/>
      <c r="DU1366" s="4" t="s">
        <v>178</v>
      </c>
      <c r="DV1366" s="4"/>
      <c r="DW1366" s="5">
        <v>42194</v>
      </c>
      <c r="DX1366" s="5">
        <v>42165</v>
      </c>
      <c r="DY1366" s="5">
        <v>42144</v>
      </c>
      <c r="DZ1366" s="5">
        <v>42142</v>
      </c>
      <c r="EA1366" s="4"/>
      <c r="EB1366" s="5">
        <v>42110</v>
      </c>
      <c r="EC1366" s="4"/>
      <c r="ED1366" s="4"/>
      <c r="EE1366" s="5">
        <v>42195</v>
      </c>
      <c r="EF1366" s="5">
        <v>42201</v>
      </c>
      <c r="EG1366" s="4"/>
      <c r="EH1366" s="4"/>
      <c r="EI1366" s="5">
        <v>41130</v>
      </c>
    </row>
    <row r="1367" spans="1:139" hidden="1" x14ac:dyDescent="0.2">
      <c r="A1367">
        <f>VLOOKUP(B1367,Sheet1!$A$1:$B$18,2,FALSE)</f>
        <v>0</v>
      </c>
      <c r="B1367" t="str">
        <f>LEFT(D1367,3)</f>
        <v>WKT</v>
      </c>
      <c r="C1367" s="2">
        <v>1366</v>
      </c>
      <c r="D1367" s="3" t="str">
        <f>HYPERLINK("https://sitebase.nzcomms.co.nz/spm/spmnominalview/WKT-011-010/","WKT-011-010")</f>
        <v>WKT-011-010</v>
      </c>
      <c r="E1367" s="4" t="s">
        <v>4078</v>
      </c>
      <c r="F1367" s="3" t="str">
        <f>HYPERLINK("https://sitebase.nzcomms.co.nz/spm/spmcandidateview/WKT-011-010-A/","WKT-011-010-A")</f>
        <v>WKT-011-010-A</v>
      </c>
      <c r="G1367" s="4" t="s">
        <v>4079</v>
      </c>
      <c r="H1367" s="4" t="s">
        <v>4048</v>
      </c>
      <c r="I1367" s="4"/>
      <c r="J1367" s="4" t="s">
        <v>331</v>
      </c>
      <c r="K1367" s="4" t="s">
        <v>141</v>
      </c>
      <c r="L1367" s="4" t="s">
        <v>150</v>
      </c>
      <c r="M1367" s="4" t="s">
        <v>190</v>
      </c>
      <c r="N1367" s="4" t="s">
        <v>291</v>
      </c>
      <c r="O1367" s="4"/>
      <c r="P1367" s="4"/>
      <c r="Q1367" s="4" t="s">
        <v>170</v>
      </c>
      <c r="R1367" s="4">
        <v>8</v>
      </c>
      <c r="S1367" s="4">
        <v>8</v>
      </c>
      <c r="T1367" s="4"/>
      <c r="U1367" s="4">
        <v>-37.156996380000002</v>
      </c>
      <c r="V1367" s="4">
        <v>175.87782007000001</v>
      </c>
      <c r="W1367" s="4"/>
      <c r="X1367" s="4"/>
      <c r="Y1367" s="4"/>
      <c r="Z1367" s="4"/>
      <c r="AA1367" s="4"/>
      <c r="AB1367" s="4"/>
      <c r="AC1367" s="4" t="b">
        <v>0</v>
      </c>
      <c r="AD1367" s="4" t="b">
        <v>0</v>
      </c>
      <c r="AE1367" s="4"/>
      <c r="AF1367" s="4"/>
      <c r="AG1367" s="4" t="b">
        <v>0</v>
      </c>
      <c r="AH1367" s="4"/>
      <c r="AI1367" s="4"/>
      <c r="AJ1367" s="4"/>
      <c r="AK1367" s="4"/>
      <c r="AL1367" s="4"/>
      <c r="AM1367" s="4"/>
      <c r="AN1367" s="5">
        <v>39626</v>
      </c>
      <c r="AO1367" s="4">
        <v>1</v>
      </c>
      <c r="AP1367" s="4"/>
      <c r="AQ1367" s="5">
        <v>39626</v>
      </c>
      <c r="AR1367" s="4"/>
      <c r="AS1367" s="4"/>
      <c r="AT1367" s="4"/>
      <c r="AU1367" s="4"/>
      <c r="AV1367" s="4">
        <v>1</v>
      </c>
      <c r="AW1367" s="4"/>
      <c r="AX1367" s="4"/>
      <c r="AY1367" s="4"/>
      <c r="AZ1367" s="4"/>
      <c r="BA1367" s="4"/>
      <c r="BB1367" s="4"/>
      <c r="BC1367" s="4"/>
      <c r="BD1367" s="4"/>
      <c r="BE1367" s="4"/>
      <c r="BF1367" s="4"/>
      <c r="BG1367" s="4"/>
      <c r="BH1367" s="5">
        <v>39742</v>
      </c>
      <c r="BI1367" s="4"/>
      <c r="BJ1367" s="5">
        <v>39773</v>
      </c>
      <c r="BK1367" s="4">
        <v>1</v>
      </c>
      <c r="BL1367" s="4">
        <v>1</v>
      </c>
      <c r="BM1367" s="5">
        <v>39773</v>
      </c>
      <c r="BN1367" s="5">
        <v>39773</v>
      </c>
      <c r="BO1367" s="4"/>
      <c r="BP1367" s="4"/>
      <c r="BQ1367" s="4"/>
      <c r="BR1367" s="4"/>
      <c r="BS1367" s="4"/>
      <c r="BT1367" s="4"/>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4"/>
      <c r="CW1367" s="4"/>
      <c r="CX1367" s="4"/>
      <c r="CY1367" s="4"/>
      <c r="CZ1367" s="4"/>
      <c r="DA1367" s="4"/>
      <c r="DB1367" s="4"/>
      <c r="DC1367" s="4"/>
      <c r="DD1367" s="4"/>
      <c r="DE1367" s="4"/>
      <c r="DF1367" s="4"/>
      <c r="DG1367" s="4"/>
      <c r="DH1367" s="4" t="s">
        <v>1521</v>
      </c>
      <c r="DI1367" s="4"/>
      <c r="DJ1367" s="4" t="b">
        <v>0</v>
      </c>
      <c r="DK1367" s="4"/>
      <c r="DL1367" s="4">
        <v>2765903</v>
      </c>
      <c r="DM1367" s="4">
        <v>6445341</v>
      </c>
      <c r="DN1367" s="4"/>
      <c r="DO1367" s="4"/>
      <c r="DP1367" s="4"/>
      <c r="DQ1367" s="4"/>
      <c r="DR1367" s="4"/>
      <c r="DS1367" s="4"/>
      <c r="DT1367" s="4"/>
      <c r="DU1367" s="4"/>
      <c r="DV1367" s="4"/>
      <c r="DW1367" s="4"/>
      <c r="DX1367" s="4"/>
      <c r="DY1367" s="4"/>
      <c r="DZ1367" s="4"/>
      <c r="EA1367" s="4"/>
      <c r="EB1367" s="4"/>
      <c r="EC1367" s="4"/>
      <c r="ED1367" s="4"/>
      <c r="EE1367" s="4"/>
      <c r="EF1367" s="4"/>
      <c r="EG1367" s="4"/>
      <c r="EH1367" s="4"/>
      <c r="EI1367" s="4"/>
    </row>
    <row r="1368" spans="1:139" hidden="1" x14ac:dyDescent="0.2">
      <c r="A1368">
        <f>VLOOKUP(B1368,Sheet1!$A$1:$B$18,2,FALSE)</f>
        <v>0</v>
      </c>
      <c r="B1368" t="str">
        <f>LEFT(D1368,3)</f>
        <v>WKT</v>
      </c>
      <c r="C1368" s="2">
        <v>1367</v>
      </c>
      <c r="D1368" s="3" t="str">
        <f>HYPERLINK("https://sitebase.nzcomms.co.nz/spm/spmnominalview/WKT-011-012/","WKT-011-012")</f>
        <v>WKT-011-012</v>
      </c>
      <c r="E1368" s="4" t="s">
        <v>4080</v>
      </c>
      <c r="F1368" s="3" t="str">
        <f>HYPERLINK("https://sitebase.nzcomms.co.nz/spm/spmcandidateview/WKT-011-012-A/","WKT-011-012-A")</f>
        <v>WKT-011-012-A</v>
      </c>
      <c r="G1368" s="4" t="s">
        <v>4081</v>
      </c>
      <c r="H1368" s="4" t="s">
        <v>4048</v>
      </c>
      <c r="I1368" s="4">
        <v>2</v>
      </c>
      <c r="J1368" s="4" t="s">
        <v>180</v>
      </c>
      <c r="K1368" s="4" t="s">
        <v>141</v>
      </c>
      <c r="L1368" s="4" t="s">
        <v>150</v>
      </c>
      <c r="M1368" s="4" t="s">
        <v>190</v>
      </c>
      <c r="N1368" s="4" t="s">
        <v>1572</v>
      </c>
      <c r="O1368" s="4"/>
      <c r="P1368" s="4" t="s">
        <v>169</v>
      </c>
      <c r="Q1368" s="4" t="s">
        <v>170</v>
      </c>
      <c r="R1368" s="4">
        <v>20</v>
      </c>
      <c r="S1368" s="4">
        <v>20</v>
      </c>
      <c r="T1368" s="4">
        <v>1</v>
      </c>
      <c r="U1368" s="4">
        <v>-37.214473079999998</v>
      </c>
      <c r="V1368" s="4">
        <v>175.85506258999999</v>
      </c>
      <c r="W1368" s="4"/>
      <c r="X1368" s="4"/>
      <c r="Y1368" s="4"/>
      <c r="Z1368" s="4"/>
      <c r="AA1368" s="4" t="s">
        <v>145</v>
      </c>
      <c r="AB1368" s="4"/>
      <c r="AC1368" s="4" t="b">
        <v>0</v>
      </c>
      <c r="AD1368" s="4" t="b">
        <v>0</v>
      </c>
      <c r="AE1368" s="4"/>
      <c r="AF1368" s="4"/>
      <c r="AG1368" s="4" t="b">
        <v>0</v>
      </c>
      <c r="AH1368" s="4"/>
      <c r="AI1368" s="5">
        <v>40998</v>
      </c>
      <c r="AJ1368" s="5">
        <v>40970</v>
      </c>
      <c r="AK1368" s="5">
        <v>41003</v>
      </c>
      <c r="AL1368" s="5">
        <v>40973</v>
      </c>
      <c r="AM1368" s="5">
        <v>40990</v>
      </c>
      <c r="AN1368" s="5">
        <v>39630</v>
      </c>
      <c r="AO1368" s="4">
        <v>4</v>
      </c>
      <c r="AP1368" s="5">
        <v>40998</v>
      </c>
      <c r="AQ1368" s="5">
        <v>41137</v>
      </c>
      <c r="AR1368" s="5">
        <v>41197</v>
      </c>
      <c r="AS1368" s="5">
        <v>41197</v>
      </c>
      <c r="AT1368" s="5">
        <v>41201</v>
      </c>
      <c r="AU1368" s="5">
        <v>41213</v>
      </c>
      <c r="AV1368" s="4">
        <v>3</v>
      </c>
      <c r="AW1368" s="5">
        <v>41208</v>
      </c>
      <c r="AX1368" s="5">
        <v>41213</v>
      </c>
      <c r="AY1368" s="4" t="s">
        <v>369</v>
      </c>
      <c r="AZ1368" s="5">
        <v>41141</v>
      </c>
      <c r="BA1368" s="5">
        <v>41141</v>
      </c>
      <c r="BB1368" s="5">
        <v>41194</v>
      </c>
      <c r="BC1368" s="5">
        <v>41193</v>
      </c>
      <c r="BD1368" s="4">
        <v>4</v>
      </c>
      <c r="BE1368" s="5">
        <v>41194</v>
      </c>
      <c r="BF1368" s="5">
        <v>41193</v>
      </c>
      <c r="BG1368" s="5">
        <v>41135</v>
      </c>
      <c r="BH1368" s="4"/>
      <c r="BI1368" s="5">
        <v>41194</v>
      </c>
      <c r="BJ1368" s="5">
        <v>41205</v>
      </c>
      <c r="BK1368" s="4">
        <v>2</v>
      </c>
      <c r="BL1368" s="4"/>
      <c r="BM1368" s="5">
        <v>41194</v>
      </c>
      <c r="BN1368" s="5">
        <v>41215</v>
      </c>
      <c r="BO1368" s="5">
        <v>41227</v>
      </c>
      <c r="BP1368" s="4"/>
      <c r="BQ1368" s="4"/>
      <c r="BR1368" s="4"/>
      <c r="BS1368" s="4"/>
      <c r="BT1368" s="5">
        <v>41207</v>
      </c>
      <c r="BU1368" s="5">
        <v>41207</v>
      </c>
      <c r="BV1368" s="5">
        <v>41228</v>
      </c>
      <c r="BW1368" s="5">
        <v>41228</v>
      </c>
      <c r="BX1368" s="5">
        <v>41228</v>
      </c>
      <c r="BY1368" s="5">
        <v>41239</v>
      </c>
      <c r="BZ1368" s="5">
        <v>41239</v>
      </c>
      <c r="CA1368" s="5">
        <v>41232</v>
      </c>
      <c r="CB1368" s="5">
        <v>41232</v>
      </c>
      <c r="CC1368" s="4"/>
      <c r="CD1368" s="4"/>
      <c r="CE1368" s="4"/>
      <c r="CF1368" s="4"/>
      <c r="CG1368" s="4"/>
      <c r="CH1368" s="4"/>
      <c r="CI1368" s="5">
        <v>41239</v>
      </c>
      <c r="CJ1368" s="5">
        <v>41250</v>
      </c>
      <c r="CK1368" s="5">
        <v>41247</v>
      </c>
      <c r="CL1368" s="5">
        <v>41255</v>
      </c>
      <c r="CM1368" s="5">
        <v>41250</v>
      </c>
      <c r="CN1368" s="5">
        <v>41453</v>
      </c>
      <c r="CO1368" s="5">
        <v>41452</v>
      </c>
      <c r="CP1368" s="4" t="s">
        <v>4082</v>
      </c>
      <c r="CQ1368" s="4"/>
      <c r="CR1368" s="5">
        <v>41239</v>
      </c>
      <c r="CS1368" s="5">
        <v>41176</v>
      </c>
      <c r="CT1368" s="5">
        <v>41188</v>
      </c>
      <c r="CU1368" s="5">
        <v>41204</v>
      </c>
      <c r="CV1368" s="5">
        <v>41227</v>
      </c>
      <c r="CW1368" s="5">
        <v>41206</v>
      </c>
      <c r="CX1368" s="5">
        <v>41227</v>
      </c>
      <c r="CY1368" s="5">
        <v>41232</v>
      </c>
      <c r="CZ1368" s="5">
        <v>41232</v>
      </c>
      <c r="DA1368" s="5">
        <v>41239</v>
      </c>
      <c r="DB1368" s="5">
        <v>41241</v>
      </c>
      <c r="DC1368" s="4"/>
      <c r="DD1368" s="4"/>
      <c r="DE1368" s="4" t="s">
        <v>4052</v>
      </c>
      <c r="DF1368" s="5">
        <v>41227</v>
      </c>
      <c r="DG1368" s="5">
        <v>41226</v>
      </c>
      <c r="DH1368" s="4" t="s">
        <v>174</v>
      </c>
      <c r="DI1368" s="5">
        <v>41228</v>
      </c>
      <c r="DJ1368" s="4" t="b">
        <v>0</v>
      </c>
      <c r="DK1368" s="4"/>
      <c r="DL1368" s="4">
        <v>2763678</v>
      </c>
      <c r="DM1368" s="4">
        <v>6439031</v>
      </c>
      <c r="DN1368" s="4" t="s">
        <v>4083</v>
      </c>
      <c r="DO1368" s="4"/>
      <c r="DP1368" s="4"/>
      <c r="DQ1368" s="4" t="s">
        <v>148</v>
      </c>
      <c r="DR1368" s="4"/>
      <c r="DS1368" s="4"/>
      <c r="DT1368" s="5">
        <v>42101</v>
      </c>
      <c r="DU1368" s="4"/>
      <c r="DV1368" s="4"/>
      <c r="DW1368" s="4"/>
      <c r="DX1368" s="4"/>
      <c r="DY1368" s="4"/>
      <c r="DZ1368" s="4"/>
      <c r="EA1368" s="4"/>
      <c r="EB1368" s="4"/>
      <c r="EC1368" s="4"/>
      <c r="ED1368" s="4"/>
      <c r="EE1368" s="4"/>
      <c r="EF1368" s="4"/>
      <c r="EG1368" s="5">
        <v>41241</v>
      </c>
      <c r="EH1368" s="5">
        <v>41241</v>
      </c>
      <c r="EI1368" s="5">
        <v>40973</v>
      </c>
    </row>
    <row r="1369" spans="1:139" hidden="1" x14ac:dyDescent="0.2">
      <c r="A1369">
        <f>VLOOKUP(B1369,Sheet1!$A$1:$B$18,2,FALSE)</f>
        <v>0</v>
      </c>
      <c r="B1369" t="str">
        <f>LEFT(D1369,3)</f>
        <v>WKT</v>
      </c>
      <c r="C1369" s="2">
        <v>1368</v>
      </c>
      <c r="D1369" s="3" t="str">
        <f>HYPERLINK("https://sitebase.nzcomms.co.nz/spm/spmnominalview/WKT-011-013/","WKT-011-013")</f>
        <v>WKT-011-013</v>
      </c>
      <c r="E1369" s="4" t="s">
        <v>4084</v>
      </c>
      <c r="F1369" s="3" t="str">
        <f>HYPERLINK("https://sitebase.nzcomms.co.nz/spm/spmcandidateview/WKT-011-013-B/","WKT-011-013-B")</f>
        <v>WKT-011-013-B</v>
      </c>
      <c r="G1369" s="4" t="s">
        <v>4085</v>
      </c>
      <c r="H1369" s="4" t="s">
        <v>4048</v>
      </c>
      <c r="I1369" s="4">
        <v>2</v>
      </c>
      <c r="J1369" s="4" t="s">
        <v>180</v>
      </c>
      <c r="K1369" s="4" t="s">
        <v>141</v>
      </c>
      <c r="L1369" s="4" t="s">
        <v>181</v>
      </c>
      <c r="M1369" s="4" t="s">
        <v>190</v>
      </c>
      <c r="N1369" s="4" t="s">
        <v>364</v>
      </c>
      <c r="O1369" s="4"/>
      <c r="P1369" s="4" t="s">
        <v>169</v>
      </c>
      <c r="Q1369" s="4" t="s">
        <v>170</v>
      </c>
      <c r="R1369" s="4">
        <v>18</v>
      </c>
      <c r="S1369" s="4">
        <v>18</v>
      </c>
      <c r="T1369" s="4">
        <v>1</v>
      </c>
      <c r="U1369" s="4">
        <v>-37.136770919999996</v>
      </c>
      <c r="V1369" s="4">
        <v>175.54363065999999</v>
      </c>
      <c r="W1369" s="4"/>
      <c r="X1369" s="4"/>
      <c r="Y1369" s="4"/>
      <c r="Z1369" s="4"/>
      <c r="AA1369" s="4" t="s">
        <v>145</v>
      </c>
      <c r="AB1369" s="4"/>
      <c r="AC1369" s="4" t="b">
        <v>0</v>
      </c>
      <c r="AD1369" s="4" t="b">
        <v>0</v>
      </c>
      <c r="AE1369" s="4"/>
      <c r="AF1369" s="4"/>
      <c r="AG1369" s="4" t="b">
        <v>0</v>
      </c>
      <c r="AH1369" s="4"/>
      <c r="AI1369" s="5">
        <v>40991</v>
      </c>
      <c r="AJ1369" s="5">
        <v>40970</v>
      </c>
      <c r="AK1369" s="5">
        <v>40996</v>
      </c>
      <c r="AL1369" s="5">
        <v>40973</v>
      </c>
      <c r="AM1369" s="5">
        <v>40990</v>
      </c>
      <c r="AN1369" s="5">
        <v>41036</v>
      </c>
      <c r="AO1369" s="4">
        <v>4</v>
      </c>
      <c r="AP1369" s="5">
        <v>40998</v>
      </c>
      <c r="AQ1369" s="5">
        <v>41065</v>
      </c>
      <c r="AR1369" s="5">
        <v>41087</v>
      </c>
      <c r="AS1369" s="5">
        <v>41080</v>
      </c>
      <c r="AT1369" s="5">
        <v>41152</v>
      </c>
      <c r="AU1369" s="5">
        <v>41152</v>
      </c>
      <c r="AV1369" s="4">
        <v>2</v>
      </c>
      <c r="AW1369" s="5">
        <v>41152</v>
      </c>
      <c r="AX1369" s="5">
        <v>41152</v>
      </c>
      <c r="AY1369" s="4" t="s">
        <v>183</v>
      </c>
      <c r="AZ1369" s="5">
        <v>41082</v>
      </c>
      <c r="BA1369" s="5">
        <v>41082</v>
      </c>
      <c r="BB1369" s="5">
        <v>41117</v>
      </c>
      <c r="BC1369" s="5">
        <v>41106</v>
      </c>
      <c r="BD1369" s="4">
        <v>4</v>
      </c>
      <c r="BE1369" s="5">
        <v>41121</v>
      </c>
      <c r="BF1369" s="5">
        <v>41116</v>
      </c>
      <c r="BG1369" s="5">
        <v>41135</v>
      </c>
      <c r="BH1369" s="4"/>
      <c r="BI1369" s="5">
        <v>41191</v>
      </c>
      <c r="BJ1369" s="5">
        <v>41193</v>
      </c>
      <c r="BK1369" s="4">
        <v>1</v>
      </c>
      <c r="BL1369" s="4"/>
      <c r="BM1369" s="5">
        <v>41191</v>
      </c>
      <c r="BN1369" s="5">
        <v>41193</v>
      </c>
      <c r="BO1369" s="5">
        <v>41226</v>
      </c>
      <c r="BP1369" s="4"/>
      <c r="BQ1369" s="4"/>
      <c r="BR1369" s="4"/>
      <c r="BS1369" s="4"/>
      <c r="BT1369" s="5">
        <v>41197</v>
      </c>
      <c r="BU1369" s="5">
        <v>41198</v>
      </c>
      <c r="BV1369" s="5">
        <v>41220</v>
      </c>
      <c r="BW1369" s="5">
        <v>41220</v>
      </c>
      <c r="BX1369" s="5">
        <v>41218</v>
      </c>
      <c r="BY1369" s="5">
        <v>41223</v>
      </c>
      <c r="BZ1369" s="5">
        <v>41222</v>
      </c>
      <c r="CA1369" s="5">
        <v>41222</v>
      </c>
      <c r="CB1369" s="5">
        <v>41220</v>
      </c>
      <c r="CC1369" s="4"/>
      <c r="CD1369" s="4"/>
      <c r="CE1369" s="4"/>
      <c r="CF1369" s="4"/>
      <c r="CG1369" s="4"/>
      <c r="CH1369" s="4"/>
      <c r="CI1369" s="5">
        <v>41225</v>
      </c>
      <c r="CJ1369" s="5">
        <v>41246</v>
      </c>
      <c r="CK1369" s="5">
        <v>41228</v>
      </c>
      <c r="CL1369" s="5">
        <v>41255</v>
      </c>
      <c r="CM1369" s="5">
        <v>41243</v>
      </c>
      <c r="CN1369" s="5">
        <v>41446</v>
      </c>
      <c r="CO1369" s="5">
        <v>41446</v>
      </c>
      <c r="CP1369" s="4" t="s">
        <v>4086</v>
      </c>
      <c r="CQ1369" s="4"/>
      <c r="CR1369" s="5">
        <v>41224</v>
      </c>
      <c r="CS1369" s="5">
        <v>41188</v>
      </c>
      <c r="CT1369" s="5">
        <v>41188</v>
      </c>
      <c r="CU1369" s="5">
        <v>41204</v>
      </c>
      <c r="CV1369" s="5">
        <v>41226</v>
      </c>
      <c r="CW1369" s="5">
        <v>41208</v>
      </c>
      <c r="CX1369" s="5">
        <v>41226</v>
      </c>
      <c r="CY1369" s="5">
        <v>41226</v>
      </c>
      <c r="CZ1369" s="5">
        <v>41220</v>
      </c>
      <c r="DA1369" s="5">
        <v>41232</v>
      </c>
      <c r="DB1369" s="5">
        <v>41226</v>
      </c>
      <c r="DC1369" s="5">
        <v>40977</v>
      </c>
      <c r="DD1369" s="4" t="s">
        <v>586</v>
      </c>
      <c r="DE1369" s="4" t="s">
        <v>1640</v>
      </c>
      <c r="DF1369" s="5">
        <v>41222</v>
      </c>
      <c r="DG1369" s="5">
        <v>41220</v>
      </c>
      <c r="DH1369" s="4" t="s">
        <v>174</v>
      </c>
      <c r="DI1369" s="5">
        <v>41218</v>
      </c>
      <c r="DJ1369" s="4" t="b">
        <v>0</v>
      </c>
      <c r="DK1369" s="4"/>
      <c r="DL1369" s="4">
        <v>2736298</v>
      </c>
      <c r="DM1369" s="4">
        <v>6448491</v>
      </c>
      <c r="DN1369" s="4" t="s">
        <v>4087</v>
      </c>
      <c r="DO1369" s="4"/>
      <c r="DP1369" s="4"/>
      <c r="DQ1369" s="4" t="s">
        <v>148</v>
      </c>
      <c r="DR1369" s="4"/>
      <c r="DS1369" s="4"/>
      <c r="DT1369" s="4"/>
      <c r="DU1369" s="4"/>
      <c r="DV1369" s="4"/>
      <c r="DW1369" s="4"/>
      <c r="DX1369" s="4"/>
      <c r="DY1369" s="4"/>
      <c r="DZ1369" s="4"/>
      <c r="EA1369" s="4"/>
      <c r="EB1369" s="4"/>
      <c r="EC1369" s="4"/>
      <c r="ED1369" s="4"/>
      <c r="EE1369" s="4"/>
      <c r="EF1369" s="4"/>
      <c r="EG1369" s="5">
        <v>41239</v>
      </c>
      <c r="EH1369" s="5">
        <v>41239</v>
      </c>
      <c r="EI1369" s="5">
        <v>40973</v>
      </c>
    </row>
    <row r="1370" spans="1:139" hidden="1" x14ac:dyDescent="0.2">
      <c r="A1370">
        <f>VLOOKUP(B1370,Sheet1!$A$1:$B$18,2,FALSE)</f>
        <v>0</v>
      </c>
      <c r="B1370" t="str">
        <f>LEFT(D1370,3)</f>
        <v>WKT</v>
      </c>
      <c r="C1370" s="2">
        <v>1369</v>
      </c>
      <c r="D1370" s="3" t="str">
        <f>HYPERLINK("https://sitebase.nzcomms.co.nz/spm/spmnominalview/WKT-011-014/","WKT-011-014")</f>
        <v>WKT-011-014</v>
      </c>
      <c r="E1370" s="4"/>
      <c r="F1370" s="4"/>
      <c r="G1370" s="4"/>
      <c r="H1370" s="4" t="s">
        <v>4048</v>
      </c>
      <c r="I1370" s="4"/>
      <c r="J1370" s="4" t="s">
        <v>196</v>
      </c>
      <c r="K1370" s="4"/>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c r="AT1370" s="4"/>
      <c r="AU1370" s="4"/>
      <c r="AV1370" s="4"/>
      <c r="AW1370" s="4"/>
      <c r="AX1370" s="4"/>
      <c r="AY1370" s="4"/>
      <c r="AZ1370" s="4"/>
      <c r="BA1370" s="4"/>
      <c r="BB1370" s="4"/>
      <c r="BC1370" s="4"/>
      <c r="BD1370" s="4"/>
      <c r="BE1370" s="4"/>
      <c r="BF1370" s="4"/>
      <c r="BG1370" s="4"/>
      <c r="BH1370" s="4"/>
      <c r="BI1370" s="4"/>
      <c r="BJ1370" s="4"/>
      <c r="BK1370" s="4"/>
      <c r="BL1370" s="4"/>
      <c r="BM1370" s="4"/>
      <c r="BN1370" s="4"/>
      <c r="BO1370" s="4"/>
      <c r="BP1370" s="4"/>
      <c r="BQ1370" s="4"/>
      <c r="BR1370" s="4"/>
      <c r="BS1370" s="4"/>
      <c r="BT1370" s="4"/>
      <c r="BU1370" s="4"/>
      <c r="BV1370" s="4"/>
      <c r="BW1370" s="4"/>
      <c r="BX1370" s="4"/>
      <c r="BY1370" s="4"/>
      <c r="BZ1370" s="4"/>
      <c r="CA1370" s="4"/>
      <c r="CB1370" s="4"/>
      <c r="CC1370" s="4"/>
      <c r="CD1370" s="4"/>
      <c r="CE1370" s="4"/>
      <c r="CF1370" s="4"/>
      <c r="CG1370" s="4"/>
      <c r="CH1370" s="4"/>
      <c r="CI1370" s="4"/>
      <c r="CJ1370" s="4"/>
      <c r="CK1370" s="4"/>
      <c r="CL1370" s="4"/>
      <c r="CM1370" s="4"/>
      <c r="CN1370" s="4"/>
      <c r="CO1370" s="4"/>
      <c r="CP1370" s="4"/>
      <c r="CQ1370" s="4"/>
      <c r="CR1370" s="4"/>
      <c r="CS1370" s="4"/>
      <c r="CT1370" s="4"/>
      <c r="CU1370" s="4"/>
      <c r="CV1370" s="4"/>
      <c r="CW1370" s="4"/>
      <c r="CX1370" s="4"/>
      <c r="CY1370" s="4"/>
      <c r="CZ1370" s="4"/>
      <c r="DA1370" s="4"/>
      <c r="DB1370" s="4"/>
      <c r="DC1370" s="4"/>
      <c r="DD1370" s="4"/>
      <c r="DE1370" s="4"/>
      <c r="DF1370" s="4"/>
      <c r="DG1370" s="4"/>
      <c r="DH1370" s="4"/>
      <c r="DI1370" s="4"/>
      <c r="DJ1370" s="4"/>
      <c r="DK1370" s="4"/>
      <c r="DL1370" s="4"/>
      <c r="DM1370" s="4"/>
      <c r="DN1370" s="4"/>
      <c r="DO1370" s="4"/>
      <c r="DP1370" s="4"/>
      <c r="DQ1370" s="4"/>
      <c r="DR1370" s="4"/>
      <c r="DS1370" s="4"/>
      <c r="DT1370" s="4"/>
      <c r="DU1370" s="4"/>
      <c r="DV1370" s="4"/>
      <c r="DW1370" s="4"/>
      <c r="DX1370" s="4"/>
      <c r="DY1370" s="4"/>
      <c r="DZ1370" s="4"/>
      <c r="EA1370" s="4"/>
      <c r="EB1370" s="4"/>
      <c r="EC1370" s="4"/>
      <c r="ED1370" s="4"/>
      <c r="EE1370" s="4"/>
      <c r="EF1370" s="4"/>
      <c r="EG1370" s="4"/>
      <c r="EH1370" s="4"/>
      <c r="EI1370" s="4"/>
    </row>
    <row r="1371" spans="1:139" hidden="1" x14ac:dyDescent="0.2">
      <c r="A1371">
        <f>VLOOKUP(B1371,Sheet1!$A$1:$B$18,2,FALSE)</f>
        <v>0</v>
      </c>
      <c r="B1371" t="str">
        <f>LEFT(D1371,3)</f>
        <v>WKT</v>
      </c>
      <c r="C1371" s="2">
        <v>1370</v>
      </c>
      <c r="D1371" s="3" t="str">
        <f>HYPERLINK("https://sitebase.nzcomms.co.nz/spm/spmnominalview/WKT-011-015/","WKT-011-015")</f>
        <v>WKT-011-015</v>
      </c>
      <c r="E1371" s="4" t="s">
        <v>4088</v>
      </c>
      <c r="F1371" s="4"/>
      <c r="G1371" s="4"/>
      <c r="H1371" s="4" t="s">
        <v>4048</v>
      </c>
      <c r="I1371" s="4"/>
      <c r="J1371" s="4" t="s">
        <v>196</v>
      </c>
      <c r="K1371" s="4"/>
      <c r="L1371" s="4"/>
      <c r="M1371" s="4"/>
      <c r="N1371" s="4"/>
      <c r="O1371" s="4"/>
      <c r="P1371" s="4"/>
      <c r="Q1371" s="4"/>
      <c r="R1371" s="4"/>
      <c r="S1371" s="4"/>
      <c r="T1371" s="4"/>
      <c r="U1371" s="4"/>
      <c r="V1371" s="4"/>
      <c r="W1371" s="4"/>
      <c r="X1371" s="4"/>
      <c r="Y1371" s="4"/>
      <c r="Z1371" s="4"/>
      <c r="AA1371" s="4"/>
      <c r="AB1371" s="4"/>
      <c r="AC1371" s="4"/>
      <c r="AD1371" s="4"/>
      <c r="AE1371" s="4"/>
      <c r="AF1371" s="4"/>
      <c r="AG1371" s="4" t="b">
        <v>0</v>
      </c>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4"/>
      <c r="BF1371" s="4"/>
      <c r="BG1371" s="4"/>
      <c r="BH1371" s="4"/>
      <c r="BI1371" s="4"/>
      <c r="BJ1371" s="4"/>
      <c r="BK1371" s="4"/>
      <c r="BL1371" s="4"/>
      <c r="BM1371" s="4"/>
      <c r="BN1371" s="4"/>
      <c r="BO1371" s="4"/>
      <c r="BP1371" s="4"/>
      <c r="BQ1371" s="4"/>
      <c r="BR1371" s="4"/>
      <c r="BS1371" s="4"/>
      <c r="BT1371" s="4"/>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4"/>
      <c r="CW1371" s="4"/>
      <c r="CX1371" s="4"/>
      <c r="CY1371" s="4"/>
      <c r="CZ1371" s="4"/>
      <c r="DA1371" s="4"/>
      <c r="DB1371" s="4"/>
      <c r="DC1371" s="4"/>
      <c r="DD1371" s="4"/>
      <c r="DE1371" s="4" t="s">
        <v>4052</v>
      </c>
      <c r="DF1371" s="4"/>
      <c r="DG1371" s="4"/>
      <c r="DH1371" s="4"/>
      <c r="DI1371" s="4"/>
      <c r="DJ1371" s="4"/>
      <c r="DK1371" s="4"/>
      <c r="DL1371" s="4"/>
      <c r="DM1371" s="4"/>
      <c r="DN1371" s="4"/>
      <c r="DO1371" s="4"/>
      <c r="DP1371" s="4"/>
      <c r="DQ1371" s="4"/>
      <c r="DR1371" s="4"/>
      <c r="DS1371" s="4"/>
      <c r="DT1371" s="4"/>
      <c r="DU1371" s="4"/>
      <c r="DV1371" s="4"/>
      <c r="DW1371" s="4"/>
      <c r="DX1371" s="4"/>
      <c r="DY1371" s="4"/>
      <c r="DZ1371" s="4"/>
      <c r="EA1371" s="4"/>
      <c r="EB1371" s="4"/>
      <c r="EC1371" s="4"/>
      <c r="ED1371" s="4"/>
      <c r="EE1371" s="4"/>
      <c r="EF1371" s="4"/>
      <c r="EG1371" s="4"/>
      <c r="EH1371" s="4"/>
      <c r="EI1371" s="4"/>
    </row>
    <row r="1372" spans="1:139" hidden="1" x14ac:dyDescent="0.2">
      <c r="A1372">
        <f>VLOOKUP(B1372,Sheet1!$A$1:$B$18,2,FALSE)</f>
        <v>0</v>
      </c>
      <c r="B1372" t="str">
        <f>LEFT(D1372,3)</f>
        <v>WKT</v>
      </c>
      <c r="C1372" s="2">
        <v>1371</v>
      </c>
      <c r="D1372" s="3" t="str">
        <f>HYPERLINK("https://sitebase.nzcomms.co.nz/spm/spmnominalview/WKT-011-016/","WKT-011-016")</f>
        <v>WKT-011-016</v>
      </c>
      <c r="E1372" s="4" t="s">
        <v>4089</v>
      </c>
      <c r="F1372" s="3" t="str">
        <f>HYPERLINK("https://sitebase.nzcomms.co.nz/spm/spmcandidateview/WKT-011-016-A/","WKT-011-016-A")</f>
        <v>WKT-011-016-A</v>
      </c>
      <c r="G1372" s="4" t="s">
        <v>4090</v>
      </c>
      <c r="H1372" s="4" t="s">
        <v>4048</v>
      </c>
      <c r="I1372" s="4">
        <v>22</v>
      </c>
      <c r="J1372" s="4" t="s">
        <v>165</v>
      </c>
      <c r="K1372" s="4" t="s">
        <v>141</v>
      </c>
      <c r="L1372" s="4" t="s">
        <v>722</v>
      </c>
      <c r="M1372" s="4" t="s">
        <v>166</v>
      </c>
      <c r="N1372" s="4" t="s">
        <v>364</v>
      </c>
      <c r="O1372" s="4"/>
      <c r="P1372" s="4"/>
      <c r="Q1372" s="4" t="s">
        <v>142</v>
      </c>
      <c r="R1372" s="4"/>
      <c r="S1372" s="4"/>
      <c r="T1372" s="4"/>
      <c r="U1372" s="4">
        <v>-36.775763320000003</v>
      </c>
      <c r="V1372" s="4">
        <v>175.49615052999999</v>
      </c>
      <c r="W1372" s="4"/>
      <c r="X1372" s="5">
        <v>42052</v>
      </c>
      <c r="Y1372" s="4"/>
      <c r="Z1372" s="4"/>
      <c r="AA1372" s="4" t="s">
        <v>145</v>
      </c>
      <c r="AB1372" s="3" t="str">
        <f>HYPERLINK("https://sitebase.nzcomms.co.nz/spm/spmcandidateview/WKT-016-023-B/","WKT-016-023-B")</f>
        <v>WKT-016-023-B</v>
      </c>
      <c r="AC1372" s="4" t="b">
        <v>0</v>
      </c>
      <c r="AD1372" s="4" t="b">
        <v>0</v>
      </c>
      <c r="AE1372" s="4"/>
      <c r="AF1372" s="4"/>
      <c r="AG1372" s="4" t="b">
        <v>0</v>
      </c>
      <c r="AH1372" s="4"/>
      <c r="AI1372" s="5">
        <v>42103</v>
      </c>
      <c r="AJ1372" s="5">
        <v>42103</v>
      </c>
      <c r="AK1372" s="5">
        <v>42128</v>
      </c>
      <c r="AL1372" s="5">
        <v>42116</v>
      </c>
      <c r="AM1372" s="5">
        <v>42151</v>
      </c>
      <c r="AN1372" s="5">
        <v>42143</v>
      </c>
      <c r="AO1372" s="4">
        <v>2</v>
      </c>
      <c r="AP1372" s="5">
        <v>42151</v>
      </c>
      <c r="AQ1372" s="5">
        <v>42172</v>
      </c>
      <c r="AR1372" s="5">
        <v>42185</v>
      </c>
      <c r="AS1372" s="5">
        <v>42144</v>
      </c>
      <c r="AT1372" s="5">
        <v>42191</v>
      </c>
      <c r="AU1372" s="5">
        <v>42178</v>
      </c>
      <c r="AV1372" s="4"/>
      <c r="AW1372" s="5">
        <v>42212</v>
      </c>
      <c r="AX1372" s="5">
        <v>42208</v>
      </c>
      <c r="AY1372" s="4" t="s">
        <v>183</v>
      </c>
      <c r="AZ1372" s="5">
        <v>42156</v>
      </c>
      <c r="BA1372" s="5">
        <v>42143</v>
      </c>
      <c r="BB1372" s="5">
        <v>42156</v>
      </c>
      <c r="BC1372" s="5">
        <v>42143</v>
      </c>
      <c r="BD1372" s="4">
        <v>1</v>
      </c>
      <c r="BE1372" s="5">
        <v>42156</v>
      </c>
      <c r="BF1372" s="5">
        <v>42143</v>
      </c>
      <c r="BG1372" s="5">
        <v>42149</v>
      </c>
      <c r="BH1372" s="5">
        <v>42145</v>
      </c>
      <c r="BI1372" s="5">
        <v>42191</v>
      </c>
      <c r="BJ1372" s="5">
        <v>42166</v>
      </c>
      <c r="BK1372" s="4">
        <v>1</v>
      </c>
      <c r="BL1372" s="4"/>
      <c r="BM1372" s="5">
        <v>42191</v>
      </c>
      <c r="BN1372" s="5">
        <v>42166</v>
      </c>
      <c r="BO1372" s="4"/>
      <c r="BP1372" s="4"/>
      <c r="BQ1372" s="4"/>
      <c r="BR1372" s="4"/>
      <c r="BS1372" s="4"/>
      <c r="BT1372" s="5">
        <v>42212</v>
      </c>
      <c r="BU1372" s="5">
        <v>42212</v>
      </c>
      <c r="BV1372" s="5">
        <v>42230</v>
      </c>
      <c r="BW1372" s="5">
        <v>42216</v>
      </c>
      <c r="BX1372" s="5">
        <v>42212</v>
      </c>
      <c r="BY1372" s="5">
        <v>42230</v>
      </c>
      <c r="BZ1372" s="5">
        <v>42216</v>
      </c>
      <c r="CA1372" s="5">
        <v>42233</v>
      </c>
      <c r="CB1372" s="5">
        <v>42215</v>
      </c>
      <c r="CC1372" s="4"/>
      <c r="CD1372" s="4"/>
      <c r="CE1372" s="4"/>
      <c r="CF1372" s="4"/>
      <c r="CG1372" s="4"/>
      <c r="CH1372" s="4"/>
      <c r="CI1372" s="4"/>
      <c r="CJ1372" s="5">
        <v>42233</v>
      </c>
      <c r="CK1372" s="5">
        <v>42228</v>
      </c>
      <c r="CL1372" s="5">
        <v>42244</v>
      </c>
      <c r="CM1372" s="5">
        <v>42244</v>
      </c>
      <c r="CN1372" s="4"/>
      <c r="CO1372" s="4"/>
      <c r="CP1372" s="4" t="s">
        <v>4091</v>
      </c>
      <c r="CQ1372" s="4" t="s">
        <v>230</v>
      </c>
      <c r="CR1372" s="4"/>
      <c r="CS1372" s="4"/>
      <c r="CT1372" s="4"/>
      <c r="CU1372" s="4"/>
      <c r="CV1372" s="4"/>
      <c r="CW1372" s="4"/>
      <c r="CX1372" s="4"/>
      <c r="CY1372" s="5">
        <v>42214</v>
      </c>
      <c r="CZ1372" s="5">
        <v>42214</v>
      </c>
      <c r="DA1372" s="5">
        <v>42226</v>
      </c>
      <c r="DB1372" s="5">
        <v>42223</v>
      </c>
      <c r="DC1372" s="4"/>
      <c r="DD1372" s="4"/>
      <c r="DE1372" s="4"/>
      <c r="DF1372" s="5">
        <v>42233</v>
      </c>
      <c r="DG1372" s="5">
        <v>42215</v>
      </c>
      <c r="DH1372" s="4" t="s">
        <v>174</v>
      </c>
      <c r="DI1372" s="5">
        <v>42212</v>
      </c>
      <c r="DJ1372" s="4" t="b">
        <v>0</v>
      </c>
      <c r="DK1372" s="4"/>
      <c r="DL1372" s="4">
        <v>2733213</v>
      </c>
      <c r="DM1372" s="4">
        <v>6488657</v>
      </c>
      <c r="DN1372" s="4" t="s">
        <v>4092</v>
      </c>
      <c r="DO1372" s="4"/>
      <c r="DP1372" s="4"/>
      <c r="DQ1372" s="4" t="s">
        <v>148</v>
      </c>
      <c r="DR1372" s="4"/>
      <c r="DS1372" s="4"/>
      <c r="DT1372" s="4"/>
      <c r="DU1372" s="4" t="s">
        <v>178</v>
      </c>
      <c r="DV1372" s="4"/>
      <c r="DW1372" s="4"/>
      <c r="DX1372" s="5">
        <v>42128</v>
      </c>
      <c r="DY1372" s="4"/>
      <c r="DZ1372" s="5">
        <v>42131</v>
      </c>
      <c r="EA1372" s="4"/>
      <c r="EB1372" s="5">
        <v>42095</v>
      </c>
      <c r="EC1372" s="4"/>
      <c r="ED1372" s="5">
        <v>42142</v>
      </c>
      <c r="EE1372" s="5">
        <v>42202</v>
      </c>
      <c r="EF1372" s="5">
        <v>42198</v>
      </c>
      <c r="EG1372" s="5">
        <v>42233</v>
      </c>
      <c r="EH1372" s="4"/>
      <c r="EI1372" s="5">
        <v>42116</v>
      </c>
    </row>
    <row r="1373" spans="1:139" hidden="1" x14ac:dyDescent="0.2">
      <c r="A1373">
        <f>VLOOKUP(B1373,Sheet1!$A$1:$B$18,2,FALSE)</f>
        <v>0</v>
      </c>
      <c r="B1373" t="str">
        <f>LEFT(D1373,3)</f>
        <v>WKT</v>
      </c>
      <c r="C1373" s="2">
        <v>1372</v>
      </c>
      <c r="D1373" s="3" t="str">
        <f>HYPERLINK("https://sitebase.nzcomms.co.nz/spm/spmnominalview/WKT-011-017/","WKT-011-017")</f>
        <v>WKT-011-017</v>
      </c>
      <c r="E1373" s="4" t="s">
        <v>4093</v>
      </c>
      <c r="F1373" s="4"/>
      <c r="G1373" s="4"/>
      <c r="H1373" s="4" t="s">
        <v>4048</v>
      </c>
      <c r="I1373" s="4"/>
      <c r="J1373" s="4" t="s">
        <v>196</v>
      </c>
      <c r="K1373" s="4"/>
      <c r="L1373" s="4"/>
      <c r="M1373" s="4"/>
      <c r="N1373" s="4"/>
      <c r="O1373" s="4"/>
      <c r="P1373" s="4"/>
      <c r="Q1373" s="4"/>
      <c r="R1373" s="4"/>
      <c r="S1373" s="4"/>
      <c r="T1373" s="4"/>
      <c r="U1373" s="4"/>
      <c r="V1373" s="4"/>
      <c r="W1373" s="4"/>
      <c r="X1373" s="4"/>
      <c r="Y1373" s="4"/>
      <c r="Z1373" s="4"/>
      <c r="AA1373" s="4"/>
      <c r="AB1373" s="4"/>
      <c r="AC1373" s="4"/>
      <c r="AD1373" s="4"/>
      <c r="AE1373" s="4"/>
      <c r="AF1373" s="4"/>
      <c r="AG1373" s="4" t="b">
        <v>0</v>
      </c>
      <c r="AH1373" s="4"/>
      <c r="AI1373" s="4"/>
      <c r="AJ1373" s="4"/>
      <c r="AK1373" s="4"/>
      <c r="AL1373" s="4"/>
      <c r="AM1373" s="4"/>
      <c r="AN1373" s="4"/>
      <c r="AO1373" s="4"/>
      <c r="AP1373" s="4"/>
      <c r="AQ1373" s="4"/>
      <c r="AR1373" s="4"/>
      <c r="AS1373" s="4"/>
      <c r="AT1373" s="4"/>
      <c r="AU1373" s="4"/>
      <c r="AV1373" s="4"/>
      <c r="AW1373" s="4"/>
      <c r="AX1373" s="4"/>
      <c r="AY1373" s="4"/>
      <c r="AZ1373" s="4"/>
      <c r="BA1373" s="4"/>
      <c r="BB1373" s="4"/>
      <c r="BC1373" s="4"/>
      <c r="BD1373" s="4"/>
      <c r="BE1373" s="4"/>
      <c r="BF1373" s="4"/>
      <c r="BG1373" s="4"/>
      <c r="BH1373" s="4"/>
      <c r="BI1373" s="4"/>
      <c r="BJ1373" s="4"/>
      <c r="BK1373" s="4"/>
      <c r="BL1373" s="4"/>
      <c r="BM1373" s="4"/>
      <c r="BN1373" s="4"/>
      <c r="BO1373" s="4"/>
      <c r="BP1373" s="4"/>
      <c r="BQ1373" s="4"/>
      <c r="BR1373" s="4"/>
      <c r="BS1373" s="4"/>
      <c r="BT1373" s="4"/>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4"/>
      <c r="CW1373" s="4"/>
      <c r="CX1373" s="4"/>
      <c r="CY1373" s="4"/>
      <c r="CZ1373" s="4"/>
      <c r="DA1373" s="4"/>
      <c r="DB1373" s="4"/>
      <c r="DC1373" s="4"/>
      <c r="DD1373" s="4"/>
      <c r="DE1373" s="4"/>
      <c r="DF1373" s="4"/>
      <c r="DG1373" s="4"/>
      <c r="DH1373" s="4"/>
      <c r="DI1373" s="4"/>
      <c r="DJ1373" s="4"/>
      <c r="DK1373" s="4"/>
      <c r="DL1373" s="4"/>
      <c r="DM1373" s="4"/>
      <c r="DN1373" s="4"/>
      <c r="DO1373" s="4"/>
      <c r="DP1373" s="4"/>
      <c r="DQ1373" s="4"/>
      <c r="DR1373" s="4"/>
      <c r="DS1373" s="4"/>
      <c r="DT1373" s="4"/>
      <c r="DU1373" s="4"/>
      <c r="DV1373" s="4"/>
      <c r="DW1373" s="4"/>
      <c r="DX1373" s="4"/>
      <c r="DY1373" s="4"/>
      <c r="DZ1373" s="4"/>
      <c r="EA1373" s="4"/>
      <c r="EB1373" s="4"/>
      <c r="EC1373" s="4"/>
      <c r="ED1373" s="4"/>
      <c r="EE1373" s="4"/>
      <c r="EF1373" s="4"/>
      <c r="EG1373" s="4"/>
      <c r="EH1373" s="4"/>
      <c r="EI1373" s="4"/>
    </row>
    <row r="1374" spans="1:139" hidden="1" x14ac:dyDescent="0.2">
      <c r="A1374">
        <f>VLOOKUP(B1374,Sheet1!$A$1:$B$18,2,FALSE)</f>
        <v>0</v>
      </c>
      <c r="B1374" t="str">
        <f>LEFT(D1374,3)</f>
        <v>WKT</v>
      </c>
      <c r="C1374" s="2">
        <v>1373</v>
      </c>
      <c r="D1374" s="3" t="str">
        <f>HYPERLINK("https://sitebase.nzcomms.co.nz/spm/spmnominalview/WKT-011-018/","WKT-011-018")</f>
        <v>WKT-011-018</v>
      </c>
      <c r="E1374" s="4" t="s">
        <v>4094</v>
      </c>
      <c r="F1374" s="3" t="str">
        <f>HYPERLINK("https://sitebase.nzcomms.co.nz/spm/spmcandidateview/WKT-011-018-A/","WKT-011-018-A")</f>
        <v>WKT-011-018-A</v>
      </c>
      <c r="G1374" s="4" t="s">
        <v>4095</v>
      </c>
      <c r="H1374" s="4" t="s">
        <v>4048</v>
      </c>
      <c r="I1374" s="4"/>
      <c r="J1374" s="4" t="s">
        <v>331</v>
      </c>
      <c r="K1374" s="4" t="s">
        <v>141</v>
      </c>
      <c r="L1374" s="4"/>
      <c r="M1374" s="4"/>
      <c r="N1374" s="4"/>
      <c r="O1374" s="4"/>
      <c r="P1374" s="4"/>
      <c r="Q1374" s="4"/>
      <c r="R1374" s="4"/>
      <c r="S1374" s="4"/>
      <c r="T1374" s="4"/>
      <c r="U1374" s="4"/>
      <c r="V1374" s="4"/>
      <c r="W1374" s="4"/>
      <c r="X1374" s="4"/>
      <c r="Y1374" s="4"/>
      <c r="Z1374" s="4"/>
      <c r="AA1374" s="4"/>
      <c r="AB1374" s="4"/>
      <c r="AC1374" s="4" t="b">
        <v>0</v>
      </c>
      <c r="AD1374" s="4" t="b">
        <v>0</v>
      </c>
      <c r="AE1374" s="4"/>
      <c r="AF1374" s="4"/>
      <c r="AG1374" s="4" t="b">
        <v>0</v>
      </c>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4"/>
      <c r="BF1374" s="4"/>
      <c r="BG1374" s="4"/>
      <c r="BH1374" s="4"/>
      <c r="BI1374" s="4"/>
      <c r="BJ1374" s="4"/>
      <c r="BK1374" s="4"/>
      <c r="BL1374" s="4"/>
      <c r="BM1374" s="4"/>
      <c r="BN1374" s="4"/>
      <c r="BO1374" s="4"/>
      <c r="BP1374" s="4"/>
      <c r="BQ1374" s="4"/>
      <c r="BR1374" s="4"/>
      <c r="BS1374" s="4"/>
      <c r="BT1374" s="4"/>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4"/>
      <c r="CW1374" s="4"/>
      <c r="CX1374" s="4"/>
      <c r="CY1374" s="4"/>
      <c r="CZ1374" s="4"/>
      <c r="DA1374" s="4"/>
      <c r="DB1374" s="4"/>
      <c r="DC1374" s="4"/>
      <c r="DD1374" s="4"/>
      <c r="DE1374" s="4"/>
      <c r="DF1374" s="4"/>
      <c r="DG1374" s="4"/>
      <c r="DH1374" s="4" t="s">
        <v>1521</v>
      </c>
      <c r="DI1374" s="4"/>
      <c r="DJ1374" s="4"/>
      <c r="DK1374" s="4"/>
      <c r="DL1374" s="4"/>
      <c r="DM1374" s="4"/>
      <c r="DN1374" s="4"/>
      <c r="DO1374" s="4"/>
      <c r="DP1374" s="4"/>
      <c r="DQ1374" s="4"/>
      <c r="DR1374" s="4"/>
      <c r="DS1374" s="4"/>
      <c r="DT1374" s="4"/>
      <c r="DU1374" s="4"/>
      <c r="DV1374" s="4"/>
      <c r="DW1374" s="4"/>
      <c r="DX1374" s="4"/>
      <c r="DY1374" s="4"/>
      <c r="DZ1374" s="4"/>
      <c r="EA1374" s="4"/>
      <c r="EB1374" s="4"/>
      <c r="EC1374" s="4"/>
      <c r="ED1374" s="4"/>
      <c r="EE1374" s="4"/>
      <c r="EF1374" s="4"/>
      <c r="EG1374" s="4"/>
      <c r="EH1374" s="4"/>
      <c r="EI1374" s="4"/>
    </row>
    <row r="1375" spans="1:139" hidden="1" x14ac:dyDescent="0.2">
      <c r="A1375">
        <f>VLOOKUP(B1375,Sheet1!$A$1:$B$18,2,FALSE)</f>
        <v>0</v>
      </c>
      <c r="B1375" t="str">
        <f>LEFT(D1375,3)</f>
        <v>WKT</v>
      </c>
      <c r="C1375" s="2">
        <v>1374</v>
      </c>
      <c r="D1375" s="3" t="str">
        <f>HYPERLINK("https://sitebase.nzcomms.co.nz/spm/spmnominalview/WKT-012-001/","WKT-012-001")</f>
        <v>WKT-012-001</v>
      </c>
      <c r="E1375" s="4"/>
      <c r="F1375" s="4"/>
      <c r="G1375" s="4"/>
      <c r="H1375" s="4" t="s">
        <v>4096</v>
      </c>
      <c r="I1375" s="4"/>
      <c r="J1375" s="4" t="s">
        <v>196</v>
      </c>
      <c r="K1375" s="4"/>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4"/>
      <c r="BF1375" s="4"/>
      <c r="BG1375" s="4"/>
      <c r="BH1375" s="4"/>
      <c r="BI1375" s="4"/>
      <c r="BJ1375" s="4"/>
      <c r="BK1375" s="4"/>
      <c r="BL1375" s="4"/>
      <c r="BM1375" s="4"/>
      <c r="BN1375" s="4"/>
      <c r="BO1375" s="4"/>
      <c r="BP1375" s="4"/>
      <c r="BQ1375" s="4"/>
      <c r="BR1375" s="4"/>
      <c r="BS1375" s="4"/>
      <c r="BT1375" s="4"/>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4"/>
      <c r="CV1375" s="4"/>
      <c r="CW1375" s="4"/>
      <c r="CX1375" s="4"/>
      <c r="CY1375" s="4"/>
      <c r="CZ1375" s="4"/>
      <c r="DA1375" s="4"/>
      <c r="DB1375" s="4"/>
      <c r="DC1375" s="4"/>
      <c r="DD1375" s="4"/>
      <c r="DE1375" s="4"/>
      <c r="DF1375" s="4"/>
      <c r="DG1375" s="4"/>
      <c r="DH1375" s="4"/>
      <c r="DI1375" s="4"/>
      <c r="DJ1375" s="4"/>
      <c r="DK1375" s="4"/>
      <c r="DL1375" s="4"/>
      <c r="DM1375" s="4"/>
      <c r="DN1375" s="4"/>
      <c r="DO1375" s="4"/>
      <c r="DP1375" s="4"/>
      <c r="DQ1375" s="4"/>
      <c r="DR1375" s="4"/>
      <c r="DS1375" s="4"/>
      <c r="DT1375" s="4"/>
      <c r="DU1375" s="4"/>
      <c r="DV1375" s="4"/>
      <c r="DW1375" s="4"/>
      <c r="DX1375" s="4"/>
      <c r="DY1375" s="4"/>
      <c r="DZ1375" s="4"/>
      <c r="EA1375" s="4"/>
      <c r="EB1375" s="4"/>
      <c r="EC1375" s="4"/>
      <c r="ED1375" s="4"/>
      <c r="EE1375" s="4"/>
      <c r="EF1375" s="4"/>
      <c r="EG1375" s="4"/>
      <c r="EH1375" s="4"/>
      <c r="EI1375" s="4"/>
    </row>
    <row r="1376" spans="1:139" hidden="1" x14ac:dyDescent="0.2">
      <c r="A1376">
        <f>VLOOKUP(B1376,Sheet1!$A$1:$B$18,2,FALSE)</f>
        <v>0</v>
      </c>
      <c r="B1376" t="str">
        <f>LEFT(D1376,3)</f>
        <v>WKT</v>
      </c>
      <c r="C1376" s="2">
        <v>1375</v>
      </c>
      <c r="D1376" s="3" t="str">
        <f>HYPERLINK("https://sitebase.nzcomms.co.nz/spm/spmnominalview/WKT-012-002/","WKT-012-002")</f>
        <v>WKT-012-002</v>
      </c>
      <c r="E1376" s="4" t="s">
        <v>4097</v>
      </c>
      <c r="F1376" s="3" t="str">
        <f>HYPERLINK("https://sitebase.nzcomms.co.nz/spm/spmcandidateview/WKT-012-002-A/","WKT-012-002-A")</f>
        <v>WKT-012-002-A</v>
      </c>
      <c r="G1376" s="4" t="s">
        <v>4097</v>
      </c>
      <c r="H1376" s="4" t="s">
        <v>4096</v>
      </c>
      <c r="I1376" s="4">
        <v>1</v>
      </c>
      <c r="J1376" s="4" t="s">
        <v>180</v>
      </c>
      <c r="K1376" s="4" t="s">
        <v>141</v>
      </c>
      <c r="L1376" s="4" t="s">
        <v>150</v>
      </c>
      <c r="M1376" s="4" t="s">
        <v>190</v>
      </c>
      <c r="N1376" s="4" t="s">
        <v>167</v>
      </c>
      <c r="O1376" s="4"/>
      <c r="P1376" s="4" t="s">
        <v>169</v>
      </c>
      <c r="Q1376" s="4" t="s">
        <v>170</v>
      </c>
      <c r="R1376" s="4"/>
      <c r="S1376" s="4"/>
      <c r="T1376" s="4">
        <v>1</v>
      </c>
      <c r="U1376" s="4">
        <v>-37.278170000000003</v>
      </c>
      <c r="V1376" s="4">
        <v>175.38533545000001</v>
      </c>
      <c r="W1376" s="4"/>
      <c r="X1376" s="4"/>
      <c r="Y1376" s="4"/>
      <c r="Z1376" s="4"/>
      <c r="AA1376" s="4" t="s">
        <v>171</v>
      </c>
      <c r="AB1376" s="3" t="str">
        <f>HYPERLINK("https://sitebase.nzcomms.co.nz/spm/spmcandidateview/WKT-011-013-B/","WKT-011-013-B")</f>
        <v>WKT-011-013-B</v>
      </c>
      <c r="AC1376" s="4" t="b">
        <v>0</v>
      </c>
      <c r="AD1376" s="4" t="b">
        <v>0</v>
      </c>
      <c r="AE1376" s="4"/>
      <c r="AF1376" s="4"/>
      <c r="AG1376" s="4" t="b">
        <v>0</v>
      </c>
      <c r="AH1376" s="4" t="s">
        <v>4098</v>
      </c>
      <c r="AI1376" s="4"/>
      <c r="AJ1376" s="5">
        <v>41001</v>
      </c>
      <c r="AK1376" s="4"/>
      <c r="AL1376" s="5">
        <v>41004</v>
      </c>
      <c r="AM1376" s="5">
        <v>41054</v>
      </c>
      <c r="AN1376" s="5">
        <v>41052</v>
      </c>
      <c r="AO1376" s="4">
        <v>2</v>
      </c>
      <c r="AP1376" s="5">
        <v>41054</v>
      </c>
      <c r="AQ1376" s="5">
        <v>41092</v>
      </c>
      <c r="AR1376" s="4"/>
      <c r="AS1376" s="5">
        <v>39834</v>
      </c>
      <c r="AT1376" s="4"/>
      <c r="AU1376" s="5">
        <v>39834</v>
      </c>
      <c r="AV1376" s="4"/>
      <c r="AW1376" s="4"/>
      <c r="AX1376" s="5">
        <v>39834</v>
      </c>
      <c r="AY1376" s="4" t="s">
        <v>172</v>
      </c>
      <c r="AZ1376" s="5">
        <v>41078</v>
      </c>
      <c r="BA1376" s="5">
        <v>41086</v>
      </c>
      <c r="BB1376" s="5">
        <v>41124</v>
      </c>
      <c r="BC1376" s="5">
        <v>41114</v>
      </c>
      <c r="BD1376" s="4">
        <v>1</v>
      </c>
      <c r="BE1376" s="5">
        <v>41131</v>
      </c>
      <c r="BF1376" s="5">
        <v>41120</v>
      </c>
      <c r="BG1376" s="5">
        <v>41135</v>
      </c>
      <c r="BH1376" s="4"/>
      <c r="BI1376" s="5">
        <v>41193</v>
      </c>
      <c r="BJ1376" s="5">
        <v>41208</v>
      </c>
      <c r="BK1376" s="4">
        <v>1</v>
      </c>
      <c r="BL1376" s="4"/>
      <c r="BM1376" s="5">
        <v>41193</v>
      </c>
      <c r="BN1376" s="5">
        <v>41208</v>
      </c>
      <c r="BO1376" s="5">
        <v>41226</v>
      </c>
      <c r="BP1376" s="4"/>
      <c r="BQ1376" s="4"/>
      <c r="BR1376" s="4"/>
      <c r="BS1376" s="4"/>
      <c r="BT1376" s="5">
        <v>41207</v>
      </c>
      <c r="BU1376" s="5">
        <v>41207</v>
      </c>
      <c r="BV1376" s="5">
        <v>41233</v>
      </c>
      <c r="BW1376" s="5">
        <v>41233</v>
      </c>
      <c r="BX1376" s="5">
        <v>41232</v>
      </c>
      <c r="BY1376" s="5">
        <v>41236</v>
      </c>
      <c r="BZ1376" s="5">
        <v>41238</v>
      </c>
      <c r="CA1376" s="4"/>
      <c r="CB1376" s="4"/>
      <c r="CC1376" s="4"/>
      <c r="CD1376" s="4"/>
      <c r="CE1376" s="4"/>
      <c r="CF1376" s="4"/>
      <c r="CG1376" s="4"/>
      <c r="CH1376" s="4"/>
      <c r="CI1376" s="5">
        <v>41238</v>
      </c>
      <c r="CJ1376" s="5">
        <v>41250</v>
      </c>
      <c r="CK1376" s="5">
        <v>41248</v>
      </c>
      <c r="CL1376" s="5">
        <v>41262</v>
      </c>
      <c r="CM1376" s="5">
        <v>41255</v>
      </c>
      <c r="CN1376" s="5">
        <v>41453</v>
      </c>
      <c r="CO1376" s="5">
        <v>41453</v>
      </c>
      <c r="CP1376" s="4" t="s">
        <v>4099</v>
      </c>
      <c r="CQ1376" s="4"/>
      <c r="CR1376" s="5">
        <v>41236</v>
      </c>
      <c r="CS1376" s="5">
        <v>41188</v>
      </c>
      <c r="CT1376" s="5">
        <v>41188</v>
      </c>
      <c r="CU1376" s="5">
        <v>41204</v>
      </c>
      <c r="CV1376" s="5">
        <v>41226</v>
      </c>
      <c r="CW1376" s="5">
        <v>41205</v>
      </c>
      <c r="CX1376" s="5">
        <v>41226</v>
      </c>
      <c r="CY1376" s="5">
        <v>41234</v>
      </c>
      <c r="CZ1376" s="5">
        <v>41234</v>
      </c>
      <c r="DA1376" s="5">
        <v>41239</v>
      </c>
      <c r="DB1376" s="5">
        <v>41239</v>
      </c>
      <c r="DC1376" s="4"/>
      <c r="DD1376" s="4"/>
      <c r="DE1376" s="4" t="s">
        <v>4100</v>
      </c>
      <c r="DF1376" s="4"/>
      <c r="DG1376" s="4"/>
      <c r="DH1376" s="4" t="s">
        <v>174</v>
      </c>
      <c r="DI1376" s="5">
        <v>41232</v>
      </c>
      <c r="DJ1376" s="4" t="b">
        <v>0</v>
      </c>
      <c r="DK1376" s="4"/>
      <c r="DL1376" s="4">
        <v>2721815</v>
      </c>
      <c r="DM1376" s="4">
        <v>6433198</v>
      </c>
      <c r="DN1376" s="4" t="s">
        <v>4101</v>
      </c>
      <c r="DO1376" s="4"/>
      <c r="DP1376" s="4" t="s">
        <v>4102</v>
      </c>
      <c r="DQ1376" s="4" t="s">
        <v>148</v>
      </c>
      <c r="DR1376" s="4"/>
      <c r="DS1376" s="4"/>
      <c r="DT1376" s="4"/>
      <c r="DU1376" s="4"/>
      <c r="DV1376" s="4"/>
      <c r="DW1376" s="4"/>
      <c r="DX1376" s="4"/>
      <c r="DY1376" s="4"/>
      <c r="DZ1376" s="4"/>
      <c r="EA1376" s="4"/>
      <c r="EB1376" s="4"/>
      <c r="EC1376" s="4"/>
      <c r="ED1376" s="4"/>
      <c r="EE1376" s="4"/>
      <c r="EF1376" s="4"/>
      <c r="EG1376" s="5">
        <v>41246</v>
      </c>
      <c r="EH1376" s="5">
        <v>41247</v>
      </c>
      <c r="EI1376" s="5">
        <v>39749</v>
      </c>
    </row>
    <row r="1377" spans="1:139" hidden="1" x14ac:dyDescent="0.2">
      <c r="A1377">
        <f>VLOOKUP(B1377,Sheet1!$A$1:$B$18,2,FALSE)</f>
        <v>0</v>
      </c>
      <c r="B1377" t="str">
        <f>LEFT(D1377,3)</f>
        <v>WKT</v>
      </c>
      <c r="C1377" s="2">
        <v>1376</v>
      </c>
      <c r="D1377" s="3" t="str">
        <f>HYPERLINK("https://sitebase.nzcomms.co.nz/spm/spmnominalview/WKT-012-003/","WKT-012-003")</f>
        <v>WKT-012-003</v>
      </c>
      <c r="E1377" s="4" t="s">
        <v>4103</v>
      </c>
      <c r="F1377" s="3" t="str">
        <f>HYPERLINK("https://sitebase.nzcomms.co.nz/spm/spmcandidateview/WKT-012-003-A/","WKT-012-003-A")</f>
        <v>WKT-012-003-A</v>
      </c>
      <c r="G1377" s="4" t="s">
        <v>4104</v>
      </c>
      <c r="H1377" s="4" t="s">
        <v>4096</v>
      </c>
      <c r="I1377" s="4">
        <v>2</v>
      </c>
      <c r="J1377" s="4" t="s">
        <v>180</v>
      </c>
      <c r="K1377" s="4" t="s">
        <v>141</v>
      </c>
      <c r="L1377" s="4" t="s">
        <v>150</v>
      </c>
      <c r="M1377" s="4" t="s">
        <v>190</v>
      </c>
      <c r="N1377" s="4" t="s">
        <v>167</v>
      </c>
      <c r="O1377" s="4"/>
      <c r="P1377" s="4" t="s">
        <v>169</v>
      </c>
      <c r="Q1377" s="4" t="s">
        <v>170</v>
      </c>
      <c r="R1377" s="4">
        <v>20</v>
      </c>
      <c r="S1377" s="4">
        <v>20</v>
      </c>
      <c r="T1377" s="4">
        <v>1</v>
      </c>
      <c r="U1377" s="4">
        <v>-37.378587949999996</v>
      </c>
      <c r="V1377" s="4">
        <v>175.69380894</v>
      </c>
      <c r="W1377" s="4"/>
      <c r="X1377" s="4"/>
      <c r="Y1377" s="4"/>
      <c r="Z1377" s="4"/>
      <c r="AA1377" s="4" t="s">
        <v>145</v>
      </c>
      <c r="AB1377" s="4"/>
      <c r="AC1377" s="4" t="b">
        <v>0</v>
      </c>
      <c r="AD1377" s="4" t="b">
        <v>0</v>
      </c>
      <c r="AE1377" s="4"/>
      <c r="AF1377" s="4"/>
      <c r="AG1377" s="4" t="b">
        <v>0</v>
      </c>
      <c r="AH1377" s="4"/>
      <c r="AI1377" s="5">
        <v>41040</v>
      </c>
      <c r="AJ1377" s="5">
        <v>41037</v>
      </c>
      <c r="AK1377" s="5">
        <v>41051</v>
      </c>
      <c r="AL1377" s="5">
        <v>41058</v>
      </c>
      <c r="AM1377" s="5">
        <v>41096</v>
      </c>
      <c r="AN1377" s="5">
        <v>41099</v>
      </c>
      <c r="AO1377" s="4">
        <v>4</v>
      </c>
      <c r="AP1377" s="5">
        <v>41096</v>
      </c>
      <c r="AQ1377" s="5">
        <v>42068</v>
      </c>
      <c r="AR1377" s="5">
        <v>41110</v>
      </c>
      <c r="AS1377" s="5">
        <v>41094</v>
      </c>
      <c r="AT1377" s="5">
        <v>41180</v>
      </c>
      <c r="AU1377" s="5">
        <v>41180</v>
      </c>
      <c r="AV1377" s="4">
        <v>1</v>
      </c>
      <c r="AW1377" s="5">
        <v>41180</v>
      </c>
      <c r="AX1377" s="5">
        <v>41184</v>
      </c>
      <c r="AY1377" s="4" t="s">
        <v>247</v>
      </c>
      <c r="AZ1377" s="5">
        <v>41152</v>
      </c>
      <c r="BA1377" s="5">
        <v>41157</v>
      </c>
      <c r="BB1377" s="5">
        <v>41194</v>
      </c>
      <c r="BC1377" s="5">
        <v>41193</v>
      </c>
      <c r="BD1377" s="4">
        <v>2</v>
      </c>
      <c r="BE1377" s="5">
        <v>41194</v>
      </c>
      <c r="BF1377" s="5">
        <v>41221</v>
      </c>
      <c r="BG1377" s="5">
        <v>41155</v>
      </c>
      <c r="BH1377" s="4"/>
      <c r="BI1377" s="4"/>
      <c r="BJ1377" s="5">
        <v>41208</v>
      </c>
      <c r="BK1377" s="4">
        <v>3</v>
      </c>
      <c r="BL1377" s="4"/>
      <c r="BM1377" s="4"/>
      <c r="BN1377" s="5">
        <v>42047</v>
      </c>
      <c r="BO1377" s="5">
        <v>41225</v>
      </c>
      <c r="BP1377" s="4"/>
      <c r="BQ1377" s="4"/>
      <c r="BR1377" s="4"/>
      <c r="BS1377" s="4"/>
      <c r="BT1377" s="5">
        <v>41214</v>
      </c>
      <c r="BU1377" s="4"/>
      <c r="BV1377" s="5">
        <v>41246</v>
      </c>
      <c r="BW1377" s="4"/>
      <c r="BX1377" s="5">
        <v>41233</v>
      </c>
      <c r="BY1377" s="5">
        <v>41250</v>
      </c>
      <c r="BZ1377" s="5">
        <v>41250</v>
      </c>
      <c r="CA1377" s="5">
        <v>41240</v>
      </c>
      <c r="CB1377" s="5">
        <v>41240</v>
      </c>
      <c r="CC1377" s="4"/>
      <c r="CD1377" s="4"/>
      <c r="CE1377" s="4"/>
      <c r="CF1377" s="4"/>
      <c r="CG1377" s="4"/>
      <c r="CH1377" s="4"/>
      <c r="CI1377" s="5">
        <v>41250</v>
      </c>
      <c r="CJ1377" s="5">
        <v>41257</v>
      </c>
      <c r="CK1377" s="5">
        <v>41256</v>
      </c>
      <c r="CL1377" s="5">
        <v>41289</v>
      </c>
      <c r="CM1377" s="5">
        <v>41262</v>
      </c>
      <c r="CN1377" s="5">
        <v>41418</v>
      </c>
      <c r="CO1377" s="5">
        <v>41431</v>
      </c>
      <c r="CP1377" s="4" t="s">
        <v>4105</v>
      </c>
      <c r="CQ1377" s="4"/>
      <c r="CR1377" s="5">
        <v>41250</v>
      </c>
      <c r="CS1377" s="5">
        <v>41188</v>
      </c>
      <c r="CT1377" s="5">
        <v>41188</v>
      </c>
      <c r="CU1377" s="5">
        <v>41226</v>
      </c>
      <c r="CV1377" s="5">
        <v>41225</v>
      </c>
      <c r="CW1377" s="5">
        <v>41197</v>
      </c>
      <c r="CX1377" s="5">
        <v>41225</v>
      </c>
      <c r="CY1377" s="5">
        <v>41236</v>
      </c>
      <c r="CZ1377" s="5">
        <v>41236</v>
      </c>
      <c r="DA1377" s="5">
        <v>41254</v>
      </c>
      <c r="DB1377" s="5">
        <v>41254</v>
      </c>
      <c r="DC1377" s="5">
        <v>40977</v>
      </c>
      <c r="DD1377" s="4" t="s">
        <v>586</v>
      </c>
      <c r="DE1377" s="4" t="s">
        <v>1640</v>
      </c>
      <c r="DF1377" s="5">
        <v>41235</v>
      </c>
      <c r="DG1377" s="5">
        <v>41235</v>
      </c>
      <c r="DH1377" s="4" t="s">
        <v>174</v>
      </c>
      <c r="DI1377" s="5">
        <v>41235</v>
      </c>
      <c r="DJ1377" s="4" t="b">
        <v>0</v>
      </c>
      <c r="DK1377" s="4"/>
      <c r="DL1377" s="4">
        <v>2748820</v>
      </c>
      <c r="DM1377" s="4">
        <v>6421274</v>
      </c>
      <c r="DN1377" s="4" t="s">
        <v>4106</v>
      </c>
      <c r="DO1377" s="4"/>
      <c r="DP1377" s="4"/>
      <c r="DQ1377" s="4" t="s">
        <v>148</v>
      </c>
      <c r="DR1377" s="4"/>
      <c r="DS1377" s="4"/>
      <c r="DT1377" s="4"/>
      <c r="DU1377" s="4"/>
      <c r="DV1377" s="4"/>
      <c r="DW1377" s="4"/>
      <c r="DX1377" s="4"/>
      <c r="DY1377" s="4"/>
      <c r="DZ1377" s="4"/>
      <c r="EA1377" s="4"/>
      <c r="EB1377" s="4"/>
      <c r="EC1377" s="4"/>
      <c r="ED1377" s="4"/>
      <c r="EE1377" s="4"/>
      <c r="EF1377" s="4"/>
      <c r="EG1377" s="5">
        <v>41255</v>
      </c>
      <c r="EH1377" s="5">
        <v>41255</v>
      </c>
      <c r="EI1377" s="5">
        <v>41058</v>
      </c>
    </row>
    <row r="1378" spans="1:139" hidden="1" x14ac:dyDescent="0.2">
      <c r="A1378">
        <f>VLOOKUP(B1378,Sheet1!$A$1:$B$18,2,FALSE)</f>
        <v>0</v>
      </c>
      <c r="B1378" t="str">
        <f>LEFT(D1378,3)</f>
        <v>WKT</v>
      </c>
      <c r="C1378" s="2">
        <v>1377</v>
      </c>
      <c r="D1378" s="3" t="str">
        <f>HYPERLINK("https://sitebase.nzcomms.co.nz/spm/spmnominalview/WKT-012-004/","WKT-012-004")</f>
        <v>WKT-012-004</v>
      </c>
      <c r="E1378" s="4" t="s">
        <v>4107</v>
      </c>
      <c r="F1378" s="3" t="str">
        <f>HYPERLINK("https://sitebase.nzcomms.co.nz/spm/spmcandidateview/WKT-012-004-B/","WKT-012-004-B")</f>
        <v>WKT-012-004-B</v>
      </c>
      <c r="G1378" s="4" t="s">
        <v>4108</v>
      </c>
      <c r="H1378" s="4" t="s">
        <v>4096</v>
      </c>
      <c r="I1378" s="4">
        <v>2</v>
      </c>
      <c r="J1378" s="4" t="s">
        <v>180</v>
      </c>
      <c r="K1378" s="4" t="s">
        <v>141</v>
      </c>
      <c r="L1378" s="4" t="s">
        <v>150</v>
      </c>
      <c r="M1378" s="4" t="s">
        <v>190</v>
      </c>
      <c r="N1378" s="4" t="s">
        <v>224</v>
      </c>
      <c r="O1378" s="4"/>
      <c r="P1378" s="4" t="s">
        <v>169</v>
      </c>
      <c r="Q1378" s="4" t="s">
        <v>170</v>
      </c>
      <c r="R1378" s="4"/>
      <c r="S1378" s="4">
        <v>15</v>
      </c>
      <c r="T1378" s="4">
        <v>1</v>
      </c>
      <c r="U1378" s="4">
        <v>-37.396188500000001</v>
      </c>
      <c r="V1378" s="4">
        <v>175.81959282</v>
      </c>
      <c r="W1378" s="4"/>
      <c r="X1378" s="4"/>
      <c r="Y1378" s="4"/>
      <c r="Z1378" s="4"/>
      <c r="AA1378" s="4" t="s">
        <v>145</v>
      </c>
      <c r="AB1378" s="4"/>
      <c r="AC1378" s="4" t="b">
        <v>0</v>
      </c>
      <c r="AD1378" s="4" t="b">
        <v>0</v>
      </c>
      <c r="AE1378" s="4"/>
      <c r="AF1378" s="4"/>
      <c r="AG1378" s="4" t="b">
        <v>0</v>
      </c>
      <c r="AH1378" s="4"/>
      <c r="AI1378" s="5">
        <v>41040</v>
      </c>
      <c r="AJ1378" s="5">
        <v>41037</v>
      </c>
      <c r="AK1378" s="5">
        <v>41043</v>
      </c>
      <c r="AL1378" s="5">
        <v>41043</v>
      </c>
      <c r="AM1378" s="5">
        <v>41086</v>
      </c>
      <c r="AN1378" s="5">
        <v>41085</v>
      </c>
      <c r="AO1378" s="4">
        <v>1</v>
      </c>
      <c r="AP1378" s="5">
        <v>41089</v>
      </c>
      <c r="AQ1378" s="5">
        <v>41085</v>
      </c>
      <c r="AR1378" s="5">
        <v>41046</v>
      </c>
      <c r="AS1378" s="5">
        <v>41046</v>
      </c>
      <c r="AT1378" s="5">
        <v>41124</v>
      </c>
      <c r="AU1378" s="5">
        <v>41117</v>
      </c>
      <c r="AV1378" s="4">
        <v>1</v>
      </c>
      <c r="AW1378" s="5">
        <v>41124</v>
      </c>
      <c r="AX1378" s="5">
        <v>41183</v>
      </c>
      <c r="AY1378" s="4" t="s">
        <v>172</v>
      </c>
      <c r="AZ1378" s="5">
        <v>41095</v>
      </c>
      <c r="BA1378" s="5">
        <v>41096</v>
      </c>
      <c r="BB1378" s="5">
        <v>41130</v>
      </c>
      <c r="BC1378" s="5">
        <v>41122</v>
      </c>
      <c r="BD1378" s="4">
        <v>1</v>
      </c>
      <c r="BE1378" s="5">
        <v>41135</v>
      </c>
      <c r="BF1378" s="5">
        <v>41122</v>
      </c>
      <c r="BG1378" s="4"/>
      <c r="BH1378" s="4"/>
      <c r="BI1378" s="5">
        <v>41158</v>
      </c>
      <c r="BJ1378" s="5">
        <v>41158</v>
      </c>
      <c r="BK1378" s="4">
        <v>1</v>
      </c>
      <c r="BL1378" s="4"/>
      <c r="BM1378" s="5">
        <v>41158</v>
      </c>
      <c r="BN1378" s="5">
        <v>41158</v>
      </c>
      <c r="BO1378" s="5">
        <v>41184</v>
      </c>
      <c r="BP1378" s="4"/>
      <c r="BQ1378" s="4"/>
      <c r="BR1378" s="4"/>
      <c r="BS1378" s="4"/>
      <c r="BT1378" s="5">
        <v>41164</v>
      </c>
      <c r="BU1378" s="5">
        <v>41164</v>
      </c>
      <c r="BV1378" s="5">
        <v>41184</v>
      </c>
      <c r="BW1378" s="5">
        <v>41184</v>
      </c>
      <c r="BX1378" s="5">
        <v>41184</v>
      </c>
      <c r="BY1378" s="5">
        <v>41191</v>
      </c>
      <c r="BZ1378" s="5">
        <v>41191</v>
      </c>
      <c r="CA1378" s="5">
        <v>41190</v>
      </c>
      <c r="CB1378" s="5">
        <v>41187</v>
      </c>
      <c r="CC1378" s="4"/>
      <c r="CD1378" s="4"/>
      <c r="CE1378" s="4"/>
      <c r="CF1378" s="4"/>
      <c r="CG1378" s="4"/>
      <c r="CH1378" s="4"/>
      <c r="CI1378" s="5">
        <v>41192</v>
      </c>
      <c r="CJ1378" s="5">
        <v>41208</v>
      </c>
      <c r="CK1378" s="5">
        <v>41221</v>
      </c>
      <c r="CL1378" s="5">
        <v>41226</v>
      </c>
      <c r="CM1378" s="5">
        <v>41208</v>
      </c>
      <c r="CN1378" s="5">
        <v>41411</v>
      </c>
      <c r="CO1378" s="5">
        <v>41397</v>
      </c>
      <c r="CP1378" s="4" t="s">
        <v>4109</v>
      </c>
      <c r="CQ1378" s="4"/>
      <c r="CR1378" s="5">
        <v>41191</v>
      </c>
      <c r="CS1378" s="5">
        <v>41184</v>
      </c>
      <c r="CT1378" s="5">
        <v>41184</v>
      </c>
      <c r="CU1378" s="5">
        <v>41184</v>
      </c>
      <c r="CV1378" s="5">
        <v>41184</v>
      </c>
      <c r="CW1378" s="5">
        <v>41184</v>
      </c>
      <c r="CX1378" s="5">
        <v>41184</v>
      </c>
      <c r="CY1378" s="5">
        <v>41186</v>
      </c>
      <c r="CZ1378" s="5">
        <v>41186</v>
      </c>
      <c r="DA1378" s="5">
        <v>41194</v>
      </c>
      <c r="DB1378" s="5">
        <v>41194</v>
      </c>
      <c r="DC1378" s="4"/>
      <c r="DD1378" s="4"/>
      <c r="DE1378" s="4" t="s">
        <v>1640</v>
      </c>
      <c r="DF1378" s="5">
        <v>41190</v>
      </c>
      <c r="DG1378" s="5">
        <v>41186</v>
      </c>
      <c r="DH1378" s="4" t="s">
        <v>174</v>
      </c>
      <c r="DI1378" s="5">
        <v>41184</v>
      </c>
      <c r="DJ1378" s="4" t="b">
        <v>0</v>
      </c>
      <c r="DK1378" s="4"/>
      <c r="DL1378" s="4">
        <v>2759892</v>
      </c>
      <c r="DM1378" s="4">
        <v>6418976</v>
      </c>
      <c r="DN1378" s="4" t="s">
        <v>4110</v>
      </c>
      <c r="DO1378" s="4"/>
      <c r="DP1378" s="4"/>
      <c r="DQ1378" s="4" t="s">
        <v>148</v>
      </c>
      <c r="DR1378" s="4"/>
      <c r="DS1378" s="4"/>
      <c r="DT1378" s="4"/>
      <c r="DU1378" s="4"/>
      <c r="DV1378" s="4"/>
      <c r="DW1378" s="4"/>
      <c r="DX1378" s="4"/>
      <c r="DY1378" s="4"/>
      <c r="DZ1378" s="4"/>
      <c r="EA1378" s="4"/>
      <c r="EB1378" s="4"/>
      <c r="EC1378" s="4"/>
      <c r="ED1378" s="4"/>
      <c r="EE1378" s="4"/>
      <c r="EF1378" s="4"/>
      <c r="EG1378" s="5">
        <v>41200</v>
      </c>
      <c r="EH1378" s="5">
        <v>41200</v>
      </c>
      <c r="EI1378" s="5">
        <v>41043</v>
      </c>
    </row>
    <row r="1379" spans="1:139" hidden="1" x14ac:dyDescent="0.2">
      <c r="A1379">
        <f>VLOOKUP(B1379,Sheet1!$A$1:$B$18,2,FALSE)</f>
        <v>0</v>
      </c>
      <c r="B1379" t="str">
        <f>LEFT(D1379,3)</f>
        <v>WKT</v>
      </c>
      <c r="C1379" s="2">
        <v>1378</v>
      </c>
      <c r="D1379" s="3" t="str">
        <f>HYPERLINK("https://sitebase.nzcomms.co.nz/spm/spmnominalview/WKT-012-005/","WKT-012-005")</f>
        <v>WKT-012-005</v>
      </c>
      <c r="E1379" s="4" t="s">
        <v>4111</v>
      </c>
      <c r="F1379" s="3" t="str">
        <f>HYPERLINK("https://sitebase.nzcomms.co.nz/spm/spmcandidateview/WKT-012-005-A/","WKT-012-005-A")</f>
        <v>WKT-012-005-A</v>
      </c>
      <c r="G1379" s="4" t="s">
        <v>4112</v>
      </c>
      <c r="H1379" s="4" t="s">
        <v>4096</v>
      </c>
      <c r="I1379" s="4">
        <v>2</v>
      </c>
      <c r="J1379" s="4" t="s">
        <v>180</v>
      </c>
      <c r="K1379" s="4" t="s">
        <v>141</v>
      </c>
      <c r="L1379" s="4" t="s">
        <v>142</v>
      </c>
      <c r="M1379" s="4" t="s">
        <v>190</v>
      </c>
      <c r="N1379" s="4" t="s">
        <v>142</v>
      </c>
      <c r="O1379" s="4"/>
      <c r="P1379" s="4" t="s">
        <v>169</v>
      </c>
      <c r="Q1379" s="4" t="s">
        <v>142</v>
      </c>
      <c r="R1379" s="4"/>
      <c r="S1379" s="4"/>
      <c r="T1379" s="4">
        <v>1</v>
      </c>
      <c r="U1379" s="4">
        <v>-37.366954339999999</v>
      </c>
      <c r="V1379" s="4">
        <v>175.85870008000001</v>
      </c>
      <c r="W1379" s="4"/>
      <c r="X1379" s="4"/>
      <c r="Y1379" s="4"/>
      <c r="Z1379" s="4"/>
      <c r="AA1379" s="4" t="s">
        <v>145</v>
      </c>
      <c r="AB1379" s="4"/>
      <c r="AC1379" s="4" t="b">
        <v>0</v>
      </c>
      <c r="AD1379" s="4" t="b">
        <v>0</v>
      </c>
      <c r="AE1379" s="4"/>
      <c r="AF1379" s="4"/>
      <c r="AG1379" s="4" t="b">
        <v>0</v>
      </c>
      <c r="AH1379" s="4"/>
      <c r="AI1379" s="5">
        <v>40963</v>
      </c>
      <c r="AJ1379" s="5">
        <v>40960</v>
      </c>
      <c r="AK1379" s="5">
        <v>40968</v>
      </c>
      <c r="AL1379" s="5">
        <v>40961</v>
      </c>
      <c r="AM1379" s="5">
        <v>41054</v>
      </c>
      <c r="AN1379" s="5">
        <v>41053</v>
      </c>
      <c r="AO1379" s="4">
        <v>2</v>
      </c>
      <c r="AP1379" s="5">
        <v>41106</v>
      </c>
      <c r="AQ1379" s="5">
        <v>41103</v>
      </c>
      <c r="AR1379" s="5">
        <v>41159</v>
      </c>
      <c r="AS1379" s="5">
        <v>41152</v>
      </c>
      <c r="AT1379" s="5">
        <v>41201</v>
      </c>
      <c r="AU1379" s="5">
        <v>41198</v>
      </c>
      <c r="AV1379" s="4"/>
      <c r="AW1379" s="5">
        <v>41201</v>
      </c>
      <c r="AX1379" s="5">
        <v>41198</v>
      </c>
      <c r="AY1379" s="4" t="s">
        <v>183</v>
      </c>
      <c r="AZ1379" s="5">
        <v>41120</v>
      </c>
      <c r="BA1379" s="5">
        <v>41120</v>
      </c>
      <c r="BB1379" s="5">
        <v>41152</v>
      </c>
      <c r="BC1379" s="5">
        <v>41145</v>
      </c>
      <c r="BD1379" s="4">
        <v>2</v>
      </c>
      <c r="BE1379" s="5">
        <v>41159</v>
      </c>
      <c r="BF1379" s="5">
        <v>41151</v>
      </c>
      <c r="BG1379" s="5">
        <v>41155</v>
      </c>
      <c r="BH1379" s="4"/>
      <c r="BI1379" s="5">
        <v>41194</v>
      </c>
      <c r="BJ1379" s="5">
        <v>41193</v>
      </c>
      <c r="BK1379" s="4">
        <v>1</v>
      </c>
      <c r="BL1379" s="4"/>
      <c r="BM1379" s="5">
        <v>41194</v>
      </c>
      <c r="BN1379" s="5">
        <v>41193</v>
      </c>
      <c r="BO1379" s="5">
        <v>41226</v>
      </c>
      <c r="BP1379" s="4"/>
      <c r="BQ1379" s="4"/>
      <c r="BR1379" s="4"/>
      <c r="BS1379" s="4"/>
      <c r="BT1379" s="5">
        <v>41221</v>
      </c>
      <c r="BU1379" s="5">
        <v>41220</v>
      </c>
      <c r="BV1379" s="5">
        <v>41236</v>
      </c>
      <c r="BW1379" s="5">
        <v>41238</v>
      </c>
      <c r="BX1379" s="5">
        <v>41225</v>
      </c>
      <c r="BY1379" s="5">
        <v>41243</v>
      </c>
      <c r="BZ1379" s="5">
        <v>41244</v>
      </c>
      <c r="CA1379" s="5">
        <v>41229</v>
      </c>
      <c r="CB1379" s="5">
        <v>41227</v>
      </c>
      <c r="CC1379" s="4"/>
      <c r="CD1379" s="4"/>
      <c r="CE1379" s="4"/>
      <c r="CF1379" s="4"/>
      <c r="CG1379" s="4"/>
      <c r="CH1379" s="4"/>
      <c r="CI1379" s="5">
        <v>41244</v>
      </c>
      <c r="CJ1379" s="5">
        <v>41257</v>
      </c>
      <c r="CK1379" s="5">
        <v>41248</v>
      </c>
      <c r="CL1379" s="5">
        <v>41289</v>
      </c>
      <c r="CM1379" s="5">
        <v>41257</v>
      </c>
      <c r="CN1379" s="5">
        <v>41425</v>
      </c>
      <c r="CO1379" s="5">
        <v>41425</v>
      </c>
      <c r="CP1379" s="4" t="s">
        <v>4113</v>
      </c>
      <c r="CQ1379" s="4" t="s">
        <v>230</v>
      </c>
      <c r="CR1379" s="5">
        <v>41243</v>
      </c>
      <c r="CS1379" s="5">
        <v>41188</v>
      </c>
      <c r="CT1379" s="5">
        <v>41188</v>
      </c>
      <c r="CU1379" s="5">
        <v>41228</v>
      </c>
      <c r="CV1379" s="5">
        <v>41225</v>
      </c>
      <c r="CW1379" s="5">
        <v>41199</v>
      </c>
      <c r="CX1379" s="5">
        <v>41226</v>
      </c>
      <c r="CY1379" s="5">
        <v>41239</v>
      </c>
      <c r="CZ1379" s="5">
        <v>41239</v>
      </c>
      <c r="DA1379" s="5">
        <v>41246</v>
      </c>
      <c r="DB1379" s="5">
        <v>41247</v>
      </c>
      <c r="DC1379" s="5">
        <v>40977</v>
      </c>
      <c r="DD1379" s="4" t="s">
        <v>586</v>
      </c>
      <c r="DE1379" s="4" t="s">
        <v>1640</v>
      </c>
      <c r="DF1379" s="5">
        <v>41226</v>
      </c>
      <c r="DG1379" s="5">
        <v>41227</v>
      </c>
      <c r="DH1379" s="4" t="s">
        <v>174</v>
      </c>
      <c r="DI1379" s="5">
        <v>41225</v>
      </c>
      <c r="DJ1379" s="4" t="b">
        <v>0</v>
      </c>
      <c r="DK1379" s="4"/>
      <c r="DL1379" s="4">
        <v>2763457</v>
      </c>
      <c r="DM1379" s="4">
        <v>6422108</v>
      </c>
      <c r="DN1379" s="4" t="s">
        <v>4114</v>
      </c>
      <c r="DO1379" s="4"/>
      <c r="DP1379" s="4"/>
      <c r="DQ1379" s="4" t="s">
        <v>148</v>
      </c>
      <c r="DR1379" s="4"/>
      <c r="DS1379" s="4"/>
      <c r="DT1379" s="4"/>
      <c r="DU1379" s="4"/>
      <c r="DV1379" s="4"/>
      <c r="DW1379" s="4"/>
      <c r="DX1379" s="4"/>
      <c r="DY1379" s="4"/>
      <c r="DZ1379" s="4"/>
      <c r="EA1379" s="4"/>
      <c r="EB1379" s="4"/>
      <c r="EC1379" s="4"/>
      <c r="ED1379" s="4"/>
      <c r="EE1379" s="4"/>
      <c r="EF1379" s="4"/>
      <c r="EG1379" s="5">
        <v>41250</v>
      </c>
      <c r="EH1379" s="5">
        <v>41250</v>
      </c>
      <c r="EI1379" s="5">
        <v>40961</v>
      </c>
    </row>
    <row r="1380" spans="1:139" hidden="1" x14ac:dyDescent="0.2">
      <c r="A1380">
        <f>VLOOKUP(B1380,Sheet1!$A$1:$B$18,2,FALSE)</f>
        <v>0</v>
      </c>
      <c r="B1380" t="str">
        <f>LEFT(D1380,3)</f>
        <v>WKT</v>
      </c>
      <c r="C1380" s="2">
        <v>1379</v>
      </c>
      <c r="D1380" s="3" t="str">
        <f>HYPERLINK("https://sitebase.nzcomms.co.nz/spm/spmnominalview/WKT-012-006/","WKT-012-006")</f>
        <v>WKT-012-006</v>
      </c>
      <c r="E1380" s="4"/>
      <c r="F1380" s="4"/>
      <c r="G1380" s="4"/>
      <c r="H1380" s="4" t="s">
        <v>4096</v>
      </c>
      <c r="I1380" s="4"/>
      <c r="J1380" s="4" t="s">
        <v>196</v>
      </c>
      <c r="K1380" s="4"/>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c r="BR1380" s="4"/>
      <c r="BS1380" s="4"/>
      <c r="BT1380" s="4"/>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4"/>
      <c r="CW1380" s="4"/>
      <c r="CX1380" s="4"/>
      <c r="CY1380" s="4"/>
      <c r="CZ1380" s="4"/>
      <c r="DA1380" s="4"/>
      <c r="DB1380" s="4"/>
      <c r="DC1380" s="4"/>
      <c r="DD1380" s="4"/>
      <c r="DE1380" s="4"/>
      <c r="DF1380" s="4"/>
      <c r="DG1380" s="4"/>
      <c r="DH1380" s="4"/>
      <c r="DI1380" s="4"/>
      <c r="DJ1380" s="4"/>
      <c r="DK1380" s="4"/>
      <c r="DL1380" s="4"/>
      <c r="DM1380" s="4"/>
      <c r="DN1380" s="4"/>
      <c r="DO1380" s="4"/>
      <c r="DP1380" s="4"/>
      <c r="DQ1380" s="4"/>
      <c r="DR1380" s="4"/>
      <c r="DS1380" s="4"/>
      <c r="DT1380" s="4"/>
      <c r="DU1380" s="4"/>
      <c r="DV1380" s="4"/>
      <c r="DW1380" s="4"/>
      <c r="DX1380" s="4"/>
      <c r="DY1380" s="4"/>
      <c r="DZ1380" s="4"/>
      <c r="EA1380" s="4"/>
      <c r="EB1380" s="4"/>
      <c r="EC1380" s="4"/>
      <c r="ED1380" s="4"/>
      <c r="EE1380" s="4"/>
      <c r="EF1380" s="4"/>
      <c r="EG1380" s="4"/>
      <c r="EH1380" s="4"/>
      <c r="EI1380" s="4"/>
    </row>
    <row r="1381" spans="1:139" hidden="1" x14ac:dyDescent="0.2">
      <c r="A1381">
        <f>VLOOKUP(B1381,Sheet1!$A$1:$B$18,2,FALSE)</f>
        <v>0</v>
      </c>
      <c r="B1381" t="str">
        <f>LEFT(D1381,3)</f>
        <v>WKT</v>
      </c>
      <c r="C1381" s="2">
        <v>1380</v>
      </c>
      <c r="D1381" s="3" t="str">
        <f>HYPERLINK("https://sitebase.nzcomms.co.nz/spm/spmnominalview/WKT-012-007/","WKT-012-007")</f>
        <v>WKT-012-007</v>
      </c>
      <c r="E1381" s="4" t="s">
        <v>4115</v>
      </c>
      <c r="F1381" s="4"/>
      <c r="G1381" s="4"/>
      <c r="H1381" s="4" t="s">
        <v>4096</v>
      </c>
      <c r="I1381" s="4"/>
      <c r="J1381" s="4" t="s">
        <v>196</v>
      </c>
      <c r="K1381" s="4"/>
      <c r="L1381" s="4"/>
      <c r="M1381" s="4"/>
      <c r="N1381" s="4"/>
      <c r="O1381" s="4"/>
      <c r="P1381" s="4"/>
      <c r="Q1381" s="4"/>
      <c r="R1381" s="4"/>
      <c r="S1381" s="4"/>
      <c r="T1381" s="4"/>
      <c r="U1381" s="4"/>
      <c r="V1381" s="4"/>
      <c r="W1381" s="4"/>
      <c r="X1381" s="4"/>
      <c r="Y1381" s="4"/>
      <c r="Z1381" s="4"/>
      <c r="AA1381" s="4"/>
      <c r="AB1381" s="4"/>
      <c r="AC1381" s="4"/>
      <c r="AD1381" s="4"/>
      <c r="AE1381" s="4"/>
      <c r="AF1381" s="4"/>
      <c r="AG1381" s="4" t="b">
        <v>0</v>
      </c>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4"/>
      <c r="BF1381" s="4"/>
      <c r="BG1381" s="4"/>
      <c r="BH1381" s="4"/>
      <c r="BI1381" s="4"/>
      <c r="BJ1381" s="4"/>
      <c r="BK1381" s="4"/>
      <c r="BL1381" s="4"/>
      <c r="BM1381" s="4"/>
      <c r="BN1381" s="4"/>
      <c r="BO1381" s="4"/>
      <c r="BP1381" s="4"/>
      <c r="BQ1381" s="4"/>
      <c r="BR1381" s="4"/>
      <c r="BS1381" s="4"/>
      <c r="BT1381" s="4"/>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4"/>
      <c r="CW1381" s="4"/>
      <c r="CX1381" s="4"/>
      <c r="CY1381" s="4"/>
      <c r="CZ1381" s="4"/>
      <c r="DA1381" s="4"/>
      <c r="DB1381" s="4"/>
      <c r="DC1381" s="4"/>
      <c r="DD1381" s="4"/>
      <c r="DE1381" s="4"/>
      <c r="DF1381" s="4"/>
      <c r="DG1381" s="4"/>
      <c r="DH1381" s="4"/>
      <c r="DI1381" s="4"/>
      <c r="DJ1381" s="4"/>
      <c r="DK1381" s="4"/>
      <c r="DL1381" s="4"/>
      <c r="DM1381" s="4"/>
      <c r="DN1381" s="4"/>
      <c r="DO1381" s="4"/>
      <c r="DP1381" s="4"/>
      <c r="DQ1381" s="4"/>
      <c r="DR1381" s="4"/>
      <c r="DS1381" s="4"/>
      <c r="DT1381" s="4"/>
      <c r="DU1381" s="4"/>
      <c r="DV1381" s="4"/>
      <c r="DW1381" s="4"/>
      <c r="DX1381" s="4"/>
      <c r="DY1381" s="4"/>
      <c r="DZ1381" s="4"/>
      <c r="EA1381" s="4"/>
      <c r="EB1381" s="4"/>
      <c r="EC1381" s="4"/>
      <c r="ED1381" s="4"/>
      <c r="EE1381" s="4"/>
      <c r="EF1381" s="4"/>
      <c r="EG1381" s="4"/>
      <c r="EH1381" s="4"/>
      <c r="EI1381" s="4"/>
    </row>
    <row r="1382" spans="1:139" hidden="1" x14ac:dyDescent="0.2">
      <c r="A1382">
        <f>VLOOKUP(B1382,Sheet1!$A$1:$B$18,2,FALSE)</f>
        <v>0</v>
      </c>
      <c r="B1382" t="str">
        <f>LEFT(D1382,3)</f>
        <v>WKT</v>
      </c>
      <c r="C1382" s="2">
        <v>1381</v>
      </c>
      <c r="D1382" s="3" t="str">
        <f>HYPERLINK("https://sitebase.nzcomms.co.nz/spm/spmnominalview/WKT-012-008/","WKT-012-008")</f>
        <v>WKT-012-008</v>
      </c>
      <c r="E1382" s="4" t="s">
        <v>4116</v>
      </c>
      <c r="F1382" s="4"/>
      <c r="G1382" s="4"/>
      <c r="H1382" s="4" t="s">
        <v>4096</v>
      </c>
      <c r="I1382" s="4"/>
      <c r="J1382" s="4" t="s">
        <v>196</v>
      </c>
      <c r="K1382" s="4"/>
      <c r="L1382" s="4"/>
      <c r="M1382" s="4"/>
      <c r="N1382" s="4"/>
      <c r="O1382" s="4"/>
      <c r="P1382" s="4"/>
      <c r="Q1382" s="4"/>
      <c r="R1382" s="4"/>
      <c r="S1382" s="4"/>
      <c r="T1382" s="4"/>
      <c r="U1382" s="4"/>
      <c r="V1382" s="4"/>
      <c r="W1382" s="4"/>
      <c r="X1382" s="4"/>
      <c r="Y1382" s="4"/>
      <c r="Z1382" s="4"/>
      <c r="AA1382" s="4"/>
      <c r="AB1382" s="4"/>
      <c r="AC1382" s="4"/>
      <c r="AD1382" s="4"/>
      <c r="AE1382" s="4"/>
      <c r="AF1382" s="4"/>
      <c r="AG1382" s="4" t="b">
        <v>0</v>
      </c>
      <c r="AH1382" s="4"/>
      <c r="AI1382" s="4"/>
      <c r="AJ1382" s="4"/>
      <c r="AK1382" s="4"/>
      <c r="AL1382" s="4"/>
      <c r="AM1382" s="4"/>
      <c r="AN1382" s="4"/>
      <c r="AO1382" s="4"/>
      <c r="AP1382" s="4"/>
      <c r="AQ1382" s="4"/>
      <c r="AR1382" s="4"/>
      <c r="AS1382" s="4"/>
      <c r="AT1382" s="4"/>
      <c r="AU1382" s="4"/>
      <c r="AV1382" s="4"/>
      <c r="AW1382" s="4"/>
      <c r="AX1382" s="4"/>
      <c r="AY1382" s="4"/>
      <c r="AZ1382" s="4"/>
      <c r="BA1382" s="4"/>
      <c r="BB1382" s="4"/>
      <c r="BC1382" s="4"/>
      <c r="BD1382" s="4"/>
      <c r="BE1382" s="4"/>
      <c r="BF1382" s="4"/>
      <c r="BG1382" s="4"/>
      <c r="BH1382" s="4"/>
      <c r="BI1382" s="4"/>
      <c r="BJ1382" s="4"/>
      <c r="BK1382" s="4"/>
      <c r="BL1382" s="4"/>
      <c r="BM1382" s="4"/>
      <c r="BN1382" s="4"/>
      <c r="BO1382" s="4"/>
      <c r="BP1382" s="4"/>
      <c r="BQ1382" s="4"/>
      <c r="BR1382" s="4"/>
      <c r="BS1382" s="4"/>
      <c r="BT1382" s="4"/>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4"/>
      <c r="CW1382" s="4"/>
      <c r="CX1382" s="4"/>
      <c r="CY1382" s="4"/>
      <c r="CZ1382" s="4"/>
      <c r="DA1382" s="4"/>
      <c r="DB1382" s="4"/>
      <c r="DC1382" s="4"/>
      <c r="DD1382" s="4"/>
      <c r="DE1382" s="4"/>
      <c r="DF1382" s="4"/>
      <c r="DG1382" s="4"/>
      <c r="DH1382" s="4"/>
      <c r="DI1382" s="4"/>
      <c r="DJ1382" s="4"/>
      <c r="DK1382" s="4"/>
      <c r="DL1382" s="4"/>
      <c r="DM1382" s="4"/>
      <c r="DN1382" s="4"/>
      <c r="DO1382" s="4"/>
      <c r="DP1382" s="4"/>
      <c r="DQ1382" s="4"/>
      <c r="DR1382" s="4"/>
      <c r="DS1382" s="4"/>
      <c r="DT1382" s="4"/>
      <c r="DU1382" s="4"/>
      <c r="DV1382" s="4"/>
      <c r="DW1382" s="4"/>
      <c r="DX1382" s="4"/>
      <c r="DY1382" s="4"/>
      <c r="DZ1382" s="4"/>
      <c r="EA1382" s="4"/>
      <c r="EB1382" s="4"/>
      <c r="EC1382" s="4"/>
      <c r="ED1382" s="4"/>
      <c r="EE1382" s="4"/>
      <c r="EF1382" s="4"/>
      <c r="EG1382" s="4"/>
      <c r="EH1382" s="4"/>
      <c r="EI1382" s="4"/>
    </row>
    <row r="1383" spans="1:139" hidden="1" x14ac:dyDescent="0.2">
      <c r="A1383">
        <f>VLOOKUP(B1383,Sheet1!$A$1:$B$18,2,FALSE)</f>
        <v>0</v>
      </c>
      <c r="B1383" t="str">
        <f>LEFT(D1383,3)</f>
        <v>WKT</v>
      </c>
      <c r="C1383" s="2">
        <v>1382</v>
      </c>
      <c r="D1383" s="3" t="str">
        <f>HYPERLINK("https://sitebase.nzcomms.co.nz/spm/spmnominalview/WKT-012-009/","WKT-012-009")</f>
        <v>WKT-012-009</v>
      </c>
      <c r="E1383" s="4" t="s">
        <v>4117</v>
      </c>
      <c r="F1383" s="3" t="str">
        <f>HYPERLINK("https://sitebase.nzcomms.co.nz/spm/spmcandidateview/WKT-012-009-A/","WKT-012-009-A")</f>
        <v>WKT-012-009-A</v>
      </c>
      <c r="G1383" s="4" t="s">
        <v>4118</v>
      </c>
      <c r="H1383" s="4" t="s">
        <v>4096</v>
      </c>
      <c r="I1383" s="4">
        <v>25</v>
      </c>
      <c r="J1383" s="4" t="s">
        <v>331</v>
      </c>
      <c r="K1383" s="4" t="s">
        <v>141</v>
      </c>
      <c r="L1383" s="4" t="s">
        <v>722</v>
      </c>
      <c r="M1383" s="4" t="s">
        <v>166</v>
      </c>
      <c r="N1383" s="4" t="s">
        <v>142</v>
      </c>
      <c r="O1383" s="4"/>
      <c r="P1383" s="4" t="s">
        <v>169</v>
      </c>
      <c r="Q1383" s="4" t="s">
        <v>142</v>
      </c>
      <c r="R1383" s="4">
        <v>28</v>
      </c>
      <c r="S1383" s="4">
        <v>30</v>
      </c>
      <c r="T1383" s="4"/>
      <c r="U1383" s="4">
        <v>-37.271249419999997</v>
      </c>
      <c r="V1383" s="4">
        <v>175.53256673999999</v>
      </c>
      <c r="W1383" s="4"/>
      <c r="X1383" s="4"/>
      <c r="Y1383" s="4"/>
      <c r="Z1383" s="4"/>
      <c r="AA1383" s="4" t="s">
        <v>145</v>
      </c>
      <c r="AB1383" s="3" t="str">
        <f>HYPERLINK("https://sitebase.nzcomms.co.nz/spm/spmcandidateview/WKT-016-044-A/","WKT-016-044-A")</f>
        <v>WKT-016-044-A</v>
      </c>
      <c r="AC1383" s="4" t="b">
        <v>0</v>
      </c>
      <c r="AD1383" s="4" t="b">
        <v>0</v>
      </c>
      <c r="AE1383" s="4"/>
      <c r="AF1383" s="4"/>
      <c r="AG1383" s="4" t="b">
        <v>0</v>
      </c>
      <c r="AH1383" s="4"/>
      <c r="AI1383" s="5">
        <v>42291</v>
      </c>
      <c r="AJ1383" s="5">
        <v>42292</v>
      </c>
      <c r="AK1383" s="5">
        <v>42297</v>
      </c>
      <c r="AL1383" s="5">
        <v>42297</v>
      </c>
      <c r="AM1383" s="5">
        <v>42298</v>
      </c>
      <c r="AN1383" s="5">
        <v>42310</v>
      </c>
      <c r="AO1383" s="4">
        <v>1</v>
      </c>
      <c r="AP1383" s="5">
        <v>42299</v>
      </c>
      <c r="AQ1383" s="5">
        <v>42310</v>
      </c>
      <c r="AR1383" s="5">
        <v>42333</v>
      </c>
      <c r="AS1383" s="5">
        <v>42332</v>
      </c>
      <c r="AT1383" s="5">
        <v>42335</v>
      </c>
      <c r="AU1383" s="5">
        <v>42334</v>
      </c>
      <c r="AV1383" s="4"/>
      <c r="AW1383" s="5">
        <v>42403</v>
      </c>
      <c r="AX1383" s="5">
        <v>42410</v>
      </c>
      <c r="AY1383" s="4" t="s">
        <v>172</v>
      </c>
      <c r="AZ1383" s="5">
        <v>42333</v>
      </c>
      <c r="BA1383" s="5">
        <v>42334</v>
      </c>
      <c r="BB1383" s="5">
        <v>42338</v>
      </c>
      <c r="BC1383" s="5">
        <v>42335</v>
      </c>
      <c r="BD1383" s="4">
        <v>1</v>
      </c>
      <c r="BE1383" s="5">
        <v>42339</v>
      </c>
      <c r="BF1383" s="5">
        <v>42341</v>
      </c>
      <c r="BG1383" s="5">
        <v>42300</v>
      </c>
      <c r="BH1383" s="5">
        <v>42307</v>
      </c>
      <c r="BI1383" s="5">
        <v>42304</v>
      </c>
      <c r="BJ1383" s="5">
        <v>42307</v>
      </c>
      <c r="BK1383" s="4">
        <v>2</v>
      </c>
      <c r="BL1383" s="4"/>
      <c r="BM1383" s="5">
        <v>42306</v>
      </c>
      <c r="BN1383" s="5">
        <v>42345</v>
      </c>
      <c r="BO1383" s="4"/>
      <c r="BP1383" s="4"/>
      <c r="BQ1383" s="4"/>
      <c r="BR1383" s="4"/>
      <c r="BS1383" s="4"/>
      <c r="BT1383" s="5">
        <v>42422</v>
      </c>
      <c r="BU1383" s="4"/>
      <c r="BV1383" s="5">
        <v>42426</v>
      </c>
      <c r="BW1383" s="4"/>
      <c r="BX1383" s="4"/>
      <c r="BY1383" s="5">
        <v>42426</v>
      </c>
      <c r="BZ1383" s="4"/>
      <c r="CA1383" s="5">
        <v>42426</v>
      </c>
      <c r="CB1383" s="4"/>
      <c r="CC1383" s="5">
        <v>42410</v>
      </c>
      <c r="CD1383" s="4"/>
      <c r="CE1383" s="5">
        <v>42410</v>
      </c>
      <c r="CF1383" s="4"/>
      <c r="CG1383" s="5">
        <v>42405</v>
      </c>
      <c r="CH1383" s="4"/>
      <c r="CI1383" s="4"/>
      <c r="CJ1383" s="5">
        <v>42440</v>
      </c>
      <c r="CK1383" s="4"/>
      <c r="CL1383" s="4"/>
      <c r="CM1383" s="4"/>
      <c r="CN1383" s="4"/>
      <c r="CO1383" s="4"/>
      <c r="CP1383" s="4" t="s">
        <v>4119</v>
      </c>
      <c r="CQ1383" s="4" t="s">
        <v>230</v>
      </c>
      <c r="CR1383" s="4"/>
      <c r="CS1383" s="4"/>
      <c r="CT1383" s="4"/>
      <c r="CU1383" s="4"/>
      <c r="CV1383" s="4"/>
      <c r="CW1383" s="4"/>
      <c r="CX1383" s="4"/>
      <c r="CY1383" s="4"/>
      <c r="CZ1383" s="4"/>
      <c r="DA1383" s="5">
        <v>42433</v>
      </c>
      <c r="DB1383" s="4"/>
      <c r="DC1383" s="4"/>
      <c r="DD1383" s="4"/>
      <c r="DE1383" s="4"/>
      <c r="DF1383" s="5">
        <v>42423</v>
      </c>
      <c r="DG1383" s="4"/>
      <c r="DH1383" s="4" t="s">
        <v>174</v>
      </c>
      <c r="DI1383" s="5">
        <v>42422</v>
      </c>
      <c r="DJ1383" s="4" t="b">
        <v>0</v>
      </c>
      <c r="DK1383" s="4"/>
      <c r="DL1383" s="4">
        <v>2734888</v>
      </c>
      <c r="DM1383" s="4">
        <v>6433602</v>
      </c>
      <c r="DN1383" s="4" t="s">
        <v>4120</v>
      </c>
      <c r="DO1383" s="4"/>
      <c r="DP1383" s="4" t="s">
        <v>1686</v>
      </c>
      <c r="DQ1383" s="4" t="s">
        <v>148</v>
      </c>
      <c r="DR1383" s="4"/>
      <c r="DS1383" s="4"/>
      <c r="DT1383" s="4"/>
      <c r="DU1383" s="4" t="s">
        <v>178</v>
      </c>
      <c r="DV1383" s="4"/>
      <c r="DW1383" s="4"/>
      <c r="DX1383" s="5">
        <v>42410</v>
      </c>
      <c r="DY1383" s="5">
        <v>42331</v>
      </c>
      <c r="DZ1383" s="5">
        <v>42333</v>
      </c>
      <c r="EA1383" s="5">
        <v>42293</v>
      </c>
      <c r="EB1383" s="5">
        <v>42293</v>
      </c>
      <c r="EC1383" s="5">
        <v>42326</v>
      </c>
      <c r="ED1383" s="5">
        <v>42328</v>
      </c>
      <c r="EE1383" s="5">
        <v>42361</v>
      </c>
      <c r="EF1383" s="5">
        <v>42381</v>
      </c>
      <c r="EG1383" s="4"/>
      <c r="EH1383" s="4"/>
      <c r="EI1383" s="5">
        <v>42306</v>
      </c>
    </row>
    <row r="1384" spans="1:139" hidden="1" x14ac:dyDescent="0.2">
      <c r="A1384">
        <f>VLOOKUP(B1384,Sheet1!$A$1:$B$18,2,FALSE)</f>
        <v>0</v>
      </c>
      <c r="B1384" t="str">
        <f>LEFT(D1384,3)</f>
        <v>WKT</v>
      </c>
      <c r="C1384" s="2">
        <v>1383</v>
      </c>
      <c r="D1384" s="3" t="str">
        <f>HYPERLINK("https://sitebase.nzcomms.co.nz/spm/spmnominalview/WKT-012-010/","WKT-012-010")</f>
        <v>WKT-012-010</v>
      </c>
      <c r="E1384" s="4" t="s">
        <v>4121</v>
      </c>
      <c r="F1384" s="3" t="str">
        <f>HYPERLINK("https://sitebase.nzcomms.co.nz/spm/spmcandidateview/WKT-012-010-A/","WKT-012-010-A")</f>
        <v>WKT-012-010-A</v>
      </c>
      <c r="G1384" s="4" t="s">
        <v>4122</v>
      </c>
      <c r="H1384" s="4" t="s">
        <v>4096</v>
      </c>
      <c r="I1384" s="4"/>
      <c r="J1384" s="4" t="s">
        <v>722</v>
      </c>
      <c r="K1384" s="4" t="s">
        <v>141</v>
      </c>
      <c r="L1384" s="4"/>
      <c r="M1384" s="4"/>
      <c r="N1384" s="4"/>
      <c r="O1384" s="4"/>
      <c r="P1384" s="4"/>
      <c r="Q1384" s="4"/>
      <c r="R1384" s="4"/>
      <c r="S1384" s="4"/>
      <c r="T1384" s="4"/>
      <c r="U1384" s="4"/>
      <c r="V1384" s="4"/>
      <c r="W1384" s="4"/>
      <c r="X1384" s="4"/>
      <c r="Y1384" s="4"/>
      <c r="Z1384" s="4"/>
      <c r="AA1384" s="4"/>
      <c r="AB1384" s="4"/>
      <c r="AC1384" s="4" t="b">
        <v>0</v>
      </c>
      <c r="AD1384" s="4" t="b">
        <v>0</v>
      </c>
      <c r="AE1384" s="4"/>
      <c r="AF1384" s="4"/>
      <c r="AG1384" s="4" t="b">
        <v>0</v>
      </c>
      <c r="AH1384" s="4"/>
      <c r="AI1384" s="4"/>
      <c r="AJ1384" s="4"/>
      <c r="AK1384" s="4"/>
      <c r="AL1384" s="4"/>
      <c r="AM1384" s="4"/>
      <c r="AN1384" s="4"/>
      <c r="AO1384" s="4"/>
      <c r="AP1384" s="4"/>
      <c r="AQ1384" s="4"/>
      <c r="AR1384" s="4"/>
      <c r="AS1384" s="4"/>
      <c r="AT1384" s="4"/>
      <c r="AU1384" s="4"/>
      <c r="AV1384" s="4"/>
      <c r="AW1384" s="4"/>
      <c r="AX1384" s="4"/>
      <c r="AY1384" s="4"/>
      <c r="AZ1384" s="4"/>
      <c r="BA1384" s="4"/>
      <c r="BB1384" s="4"/>
      <c r="BC1384" s="4"/>
      <c r="BD1384" s="4"/>
      <c r="BE1384" s="4"/>
      <c r="BF1384" s="4"/>
      <c r="BG1384" s="4"/>
      <c r="BH1384" s="4"/>
      <c r="BI1384" s="4"/>
      <c r="BJ1384" s="4"/>
      <c r="BK1384" s="4"/>
      <c r="BL1384" s="4"/>
      <c r="BM1384" s="4"/>
      <c r="BN1384" s="4"/>
      <c r="BO1384" s="4"/>
      <c r="BP1384" s="4"/>
      <c r="BQ1384" s="4"/>
      <c r="BR1384" s="4"/>
      <c r="BS1384" s="4"/>
      <c r="BT1384" s="4"/>
      <c r="BU1384" s="4"/>
      <c r="BV1384" s="4"/>
      <c r="BW1384" s="4"/>
      <c r="BX1384" s="4"/>
      <c r="BY1384" s="4"/>
      <c r="BZ1384" s="4"/>
      <c r="CA1384" s="4"/>
      <c r="CB1384" s="4"/>
      <c r="CC1384" s="4"/>
      <c r="CD1384" s="4"/>
      <c r="CE1384" s="4"/>
      <c r="CF1384" s="4"/>
      <c r="CG1384" s="4"/>
      <c r="CH1384" s="4"/>
      <c r="CI1384" s="4"/>
      <c r="CJ1384" s="4"/>
      <c r="CK1384" s="4"/>
      <c r="CL1384" s="4"/>
      <c r="CM1384" s="4"/>
      <c r="CN1384" s="4"/>
      <c r="CO1384" s="4"/>
      <c r="CP1384" s="4"/>
      <c r="CQ1384" s="4"/>
      <c r="CR1384" s="4"/>
      <c r="CS1384" s="4"/>
      <c r="CT1384" s="4"/>
      <c r="CU1384" s="4"/>
      <c r="CV1384" s="4"/>
      <c r="CW1384" s="4"/>
      <c r="CX1384" s="4"/>
      <c r="CY1384" s="4"/>
      <c r="CZ1384" s="4"/>
      <c r="DA1384" s="4"/>
      <c r="DB1384" s="4"/>
      <c r="DC1384" s="4"/>
      <c r="DD1384" s="4"/>
      <c r="DE1384" s="4"/>
      <c r="DF1384" s="4"/>
      <c r="DG1384" s="4"/>
      <c r="DH1384" s="4"/>
      <c r="DI1384" s="4"/>
      <c r="DJ1384" s="4"/>
      <c r="DK1384" s="4"/>
      <c r="DL1384" s="4"/>
      <c r="DM1384" s="4"/>
      <c r="DN1384" s="4"/>
      <c r="DO1384" s="4"/>
      <c r="DP1384" s="4"/>
      <c r="DQ1384" s="4"/>
      <c r="DR1384" s="4"/>
      <c r="DS1384" s="4"/>
      <c r="DT1384" s="4"/>
      <c r="DU1384" s="4"/>
      <c r="DV1384" s="4"/>
      <c r="DW1384" s="4"/>
      <c r="DX1384" s="4"/>
      <c r="DY1384" s="4"/>
      <c r="DZ1384" s="4"/>
      <c r="EA1384" s="4"/>
      <c r="EB1384" s="4"/>
      <c r="EC1384" s="4"/>
      <c r="ED1384" s="4"/>
      <c r="EE1384" s="4"/>
      <c r="EF1384" s="4"/>
      <c r="EG1384" s="4"/>
      <c r="EH1384" s="4"/>
      <c r="EI1384" s="4"/>
    </row>
    <row r="1385" spans="1:139" hidden="1" x14ac:dyDescent="0.2">
      <c r="A1385">
        <f>VLOOKUP(B1385,Sheet1!$A$1:$B$18,2,FALSE)</f>
        <v>0</v>
      </c>
      <c r="B1385" t="str">
        <f>LEFT(D1385,3)</f>
        <v>WKT</v>
      </c>
      <c r="C1385" s="2">
        <v>1384</v>
      </c>
      <c r="D1385" s="3" t="str">
        <f>HYPERLINK("https://sitebase.nzcomms.co.nz/spm/spmnominalview/WKT-012-011/","WKT-012-011")</f>
        <v>WKT-012-011</v>
      </c>
      <c r="E1385" s="4" t="s">
        <v>4123</v>
      </c>
      <c r="F1385" s="3" t="str">
        <f>HYPERLINK("https://sitebase.nzcomms.co.nz/spm/spmcandidateview/WKT-012-011-B/","WKT-012-011-B")</f>
        <v>WKT-012-011-B</v>
      </c>
      <c r="G1385" s="4" t="s">
        <v>4123</v>
      </c>
      <c r="H1385" s="4" t="s">
        <v>4096</v>
      </c>
      <c r="I1385" s="4">
        <v>1</v>
      </c>
      <c r="J1385" s="4" t="s">
        <v>180</v>
      </c>
      <c r="K1385" s="4" t="s">
        <v>141</v>
      </c>
      <c r="L1385" s="4" t="s">
        <v>150</v>
      </c>
      <c r="M1385" s="4" t="s">
        <v>190</v>
      </c>
      <c r="N1385" s="4" t="s">
        <v>167</v>
      </c>
      <c r="O1385" s="4"/>
      <c r="P1385" s="4" t="s">
        <v>169</v>
      </c>
      <c r="Q1385" s="4" t="s">
        <v>170</v>
      </c>
      <c r="R1385" s="4"/>
      <c r="S1385" s="4"/>
      <c r="T1385" s="4">
        <v>1</v>
      </c>
      <c r="U1385" s="4">
        <v>-37.360529249999999</v>
      </c>
      <c r="V1385" s="4">
        <v>175.41632912</v>
      </c>
      <c r="W1385" s="4"/>
      <c r="X1385" s="4"/>
      <c r="Y1385" s="4"/>
      <c r="Z1385" s="4"/>
      <c r="AA1385" s="4" t="s">
        <v>171</v>
      </c>
      <c r="AB1385" s="3" t="str">
        <f>HYPERLINK("https://sitebase.nzcomms.co.nz/spm/spmcandidateview/WKT-012-002-A/","WKT-012-002-A")</f>
        <v>WKT-012-002-A</v>
      </c>
      <c r="AC1385" s="4" t="b">
        <v>0</v>
      </c>
      <c r="AD1385" s="4" t="b">
        <v>0</v>
      </c>
      <c r="AE1385" s="4"/>
      <c r="AF1385" s="4"/>
      <c r="AG1385" s="4" t="b">
        <v>0</v>
      </c>
      <c r="AH1385" s="4" t="s">
        <v>4098</v>
      </c>
      <c r="AI1385" s="5">
        <v>40990</v>
      </c>
      <c r="AJ1385" s="5">
        <v>40990</v>
      </c>
      <c r="AK1385" s="5">
        <v>40995</v>
      </c>
      <c r="AL1385" s="5">
        <v>40995</v>
      </c>
      <c r="AM1385" s="5">
        <v>41025</v>
      </c>
      <c r="AN1385" s="5">
        <v>41033</v>
      </c>
      <c r="AO1385" s="4">
        <v>2</v>
      </c>
      <c r="AP1385" s="5">
        <v>41059</v>
      </c>
      <c r="AQ1385" s="5">
        <v>41092</v>
      </c>
      <c r="AR1385" s="5">
        <v>41078</v>
      </c>
      <c r="AS1385" s="5">
        <v>41052</v>
      </c>
      <c r="AT1385" s="5">
        <v>41124</v>
      </c>
      <c r="AU1385" s="5">
        <v>41124</v>
      </c>
      <c r="AV1385" s="4"/>
      <c r="AW1385" s="5">
        <v>41131</v>
      </c>
      <c r="AX1385" s="5">
        <v>41124</v>
      </c>
      <c r="AY1385" s="4" t="s">
        <v>172</v>
      </c>
      <c r="AZ1385" s="5">
        <v>41078</v>
      </c>
      <c r="BA1385" s="5">
        <v>41086</v>
      </c>
      <c r="BB1385" s="5">
        <v>41124</v>
      </c>
      <c r="BC1385" s="5">
        <v>41114</v>
      </c>
      <c r="BD1385" s="4">
        <v>1</v>
      </c>
      <c r="BE1385" s="5">
        <v>41131</v>
      </c>
      <c r="BF1385" s="5">
        <v>41120</v>
      </c>
      <c r="BG1385" s="5">
        <v>41137</v>
      </c>
      <c r="BH1385" s="4"/>
      <c r="BI1385" s="5">
        <v>41193</v>
      </c>
      <c r="BJ1385" s="5">
        <v>41200</v>
      </c>
      <c r="BK1385" s="4">
        <v>1</v>
      </c>
      <c r="BL1385" s="4"/>
      <c r="BM1385" s="5">
        <v>41193</v>
      </c>
      <c r="BN1385" s="5">
        <v>41200</v>
      </c>
      <c r="BO1385" s="5">
        <v>41225</v>
      </c>
      <c r="BP1385" s="4"/>
      <c r="BQ1385" s="4"/>
      <c r="BR1385" s="4"/>
      <c r="BS1385" s="4"/>
      <c r="BT1385" s="5">
        <v>41205</v>
      </c>
      <c r="BU1385" s="5">
        <v>41205</v>
      </c>
      <c r="BV1385" s="5">
        <v>41229</v>
      </c>
      <c r="BW1385" s="5">
        <v>41229</v>
      </c>
      <c r="BX1385" s="5">
        <v>41226</v>
      </c>
      <c r="BY1385" s="5">
        <v>41237</v>
      </c>
      <c r="BZ1385" s="5">
        <v>41237</v>
      </c>
      <c r="CA1385" s="4"/>
      <c r="CB1385" s="4"/>
      <c r="CC1385" s="4"/>
      <c r="CD1385" s="4"/>
      <c r="CE1385" s="4"/>
      <c r="CF1385" s="4"/>
      <c r="CG1385" s="4"/>
      <c r="CH1385" s="4"/>
      <c r="CI1385" s="5">
        <v>41238</v>
      </c>
      <c r="CJ1385" s="5">
        <v>41250</v>
      </c>
      <c r="CK1385" s="5">
        <v>41248</v>
      </c>
      <c r="CL1385" s="5">
        <v>41262</v>
      </c>
      <c r="CM1385" s="5">
        <v>41255</v>
      </c>
      <c r="CN1385" s="5">
        <v>41467</v>
      </c>
      <c r="CO1385" s="5">
        <v>41453</v>
      </c>
      <c r="CP1385" s="4" t="s">
        <v>4124</v>
      </c>
      <c r="CQ1385" s="4"/>
      <c r="CR1385" s="5">
        <v>41237</v>
      </c>
      <c r="CS1385" s="5">
        <v>41188</v>
      </c>
      <c r="CT1385" s="5">
        <v>41188</v>
      </c>
      <c r="CU1385" s="5">
        <v>41197</v>
      </c>
      <c r="CV1385" s="5">
        <v>41225</v>
      </c>
      <c r="CW1385" s="5">
        <v>41206</v>
      </c>
      <c r="CX1385" s="5">
        <v>41225</v>
      </c>
      <c r="CY1385" s="5">
        <v>41233</v>
      </c>
      <c r="CZ1385" s="5">
        <v>41233</v>
      </c>
      <c r="DA1385" s="5">
        <v>41241</v>
      </c>
      <c r="DB1385" s="5">
        <v>41246</v>
      </c>
      <c r="DC1385" s="4"/>
      <c r="DD1385" s="4"/>
      <c r="DE1385" s="4" t="s">
        <v>4100</v>
      </c>
      <c r="DF1385" s="4"/>
      <c r="DG1385" s="4"/>
      <c r="DH1385" s="4" t="s">
        <v>174</v>
      </c>
      <c r="DI1385" s="5">
        <v>41226</v>
      </c>
      <c r="DJ1385" s="4" t="b">
        <v>0</v>
      </c>
      <c r="DK1385" s="4"/>
      <c r="DL1385" s="4">
        <v>2724312</v>
      </c>
      <c r="DM1385" s="4">
        <v>6423987</v>
      </c>
      <c r="DN1385" s="4" t="s">
        <v>4125</v>
      </c>
      <c r="DO1385" s="4"/>
      <c r="DP1385" s="4" t="s">
        <v>4126</v>
      </c>
      <c r="DQ1385" s="4" t="s">
        <v>148</v>
      </c>
      <c r="DR1385" s="4"/>
      <c r="DS1385" s="4"/>
      <c r="DT1385" s="4"/>
      <c r="DU1385" s="4"/>
      <c r="DV1385" s="4"/>
      <c r="DW1385" s="4"/>
      <c r="DX1385" s="4"/>
      <c r="DY1385" s="4"/>
      <c r="DZ1385" s="4"/>
      <c r="EA1385" s="4"/>
      <c r="EB1385" s="4"/>
      <c r="EC1385" s="4"/>
      <c r="ED1385" s="4"/>
      <c r="EE1385" s="4"/>
      <c r="EF1385" s="4"/>
      <c r="EG1385" s="5">
        <v>41246</v>
      </c>
      <c r="EH1385" s="5">
        <v>41247</v>
      </c>
      <c r="EI1385" s="5">
        <v>40995</v>
      </c>
    </row>
    <row r="1386" spans="1:139" hidden="1" x14ac:dyDescent="0.2">
      <c r="A1386">
        <f>VLOOKUP(B1386,Sheet1!$A$1:$B$18,2,FALSE)</f>
        <v>0</v>
      </c>
      <c r="B1386" t="str">
        <f>LEFT(D1386,3)</f>
        <v>WKT</v>
      </c>
      <c r="C1386" s="2">
        <v>1385</v>
      </c>
      <c r="D1386" s="3" t="str">
        <f>HYPERLINK("https://sitebase.nzcomms.co.nz/spm/spmnominalview/WKT-012-012/","WKT-012-012")</f>
        <v>WKT-012-012</v>
      </c>
      <c r="E1386" s="4" t="s">
        <v>4127</v>
      </c>
      <c r="F1386" s="3" t="str">
        <f>HYPERLINK("https://sitebase.nzcomms.co.nz/spm/spmcandidateview/WKT-012-012-A/","WKT-012-012-A")</f>
        <v>WKT-012-012-A</v>
      </c>
      <c r="G1386" s="4" t="s">
        <v>3275</v>
      </c>
      <c r="H1386" s="4" t="s">
        <v>4096</v>
      </c>
      <c r="I1386" s="4">
        <v>24</v>
      </c>
      <c r="J1386" s="4" t="s">
        <v>196</v>
      </c>
      <c r="K1386" s="4" t="s">
        <v>141</v>
      </c>
      <c r="L1386" s="4"/>
      <c r="M1386" s="4" t="s">
        <v>166</v>
      </c>
      <c r="N1386" s="4"/>
      <c r="O1386" s="4"/>
      <c r="P1386" s="4" t="s">
        <v>169</v>
      </c>
      <c r="Q1386" s="4"/>
      <c r="R1386" s="4"/>
      <c r="S1386" s="4"/>
      <c r="T1386" s="4"/>
      <c r="U1386" s="4"/>
      <c r="V1386" s="4"/>
      <c r="W1386" s="4"/>
      <c r="X1386" s="4"/>
      <c r="Y1386" s="4"/>
      <c r="Z1386" s="4"/>
      <c r="AA1386" s="4"/>
      <c r="AB1386" s="4"/>
      <c r="AC1386" s="4" t="b">
        <v>0</v>
      </c>
      <c r="AD1386" s="4" t="b">
        <v>0</v>
      </c>
      <c r="AE1386" s="4"/>
      <c r="AF1386" s="4"/>
      <c r="AG1386" s="4" t="b">
        <v>0</v>
      </c>
      <c r="AH1386" s="4"/>
      <c r="AI1386" s="5">
        <v>42311</v>
      </c>
      <c r="AJ1386" s="4"/>
      <c r="AK1386" s="4"/>
      <c r="AL1386" s="4"/>
      <c r="AM1386" s="4"/>
      <c r="AN1386" s="4"/>
      <c r="AO1386" s="4"/>
      <c r="AP1386" s="4"/>
      <c r="AQ1386" s="4"/>
      <c r="AR1386" s="4"/>
      <c r="AS1386" s="4"/>
      <c r="AT1386" s="4"/>
      <c r="AU1386" s="4"/>
      <c r="AV1386" s="4"/>
      <c r="AW1386" s="4"/>
      <c r="AX1386" s="4"/>
      <c r="AY1386" s="4"/>
      <c r="AZ1386" s="4"/>
      <c r="BA1386" s="4"/>
      <c r="BB1386" s="4"/>
      <c r="BC1386" s="4"/>
      <c r="BD1386" s="4"/>
      <c r="BE1386" s="4"/>
      <c r="BF1386" s="4"/>
      <c r="BG1386" s="4"/>
      <c r="BH1386" s="4"/>
      <c r="BI1386" s="4"/>
      <c r="BJ1386" s="4"/>
      <c r="BK1386" s="4"/>
      <c r="BL1386" s="4"/>
      <c r="BM1386" s="4"/>
      <c r="BN1386" s="4"/>
      <c r="BO1386" s="4"/>
      <c r="BP1386" s="4"/>
      <c r="BQ1386" s="4"/>
      <c r="BR1386" s="4"/>
      <c r="BS1386" s="4"/>
      <c r="BT1386" s="4"/>
      <c r="BU1386" s="4"/>
      <c r="BV1386" s="4"/>
      <c r="BW1386" s="4"/>
      <c r="BX1386" s="4"/>
      <c r="BY1386" s="4"/>
      <c r="BZ1386" s="4"/>
      <c r="CA1386" s="4"/>
      <c r="CB1386" s="4"/>
      <c r="CC1386" s="4"/>
      <c r="CD1386" s="4"/>
      <c r="CE1386" s="4"/>
      <c r="CF1386" s="4"/>
      <c r="CG1386" s="4"/>
      <c r="CH1386" s="4"/>
      <c r="CI1386" s="4"/>
      <c r="CJ1386" s="4"/>
      <c r="CK1386" s="4"/>
      <c r="CL1386" s="4"/>
      <c r="CM1386" s="4"/>
      <c r="CN1386" s="4"/>
      <c r="CO1386" s="4"/>
      <c r="CP1386" s="4"/>
      <c r="CQ1386" s="4"/>
      <c r="CR1386" s="4"/>
      <c r="CS1386" s="4"/>
      <c r="CT1386" s="4"/>
      <c r="CU1386" s="4"/>
      <c r="CV1386" s="4"/>
      <c r="CW1386" s="4"/>
      <c r="CX1386" s="4"/>
      <c r="CY1386" s="4"/>
      <c r="CZ1386" s="4"/>
      <c r="DA1386" s="4"/>
      <c r="DB1386" s="4"/>
      <c r="DC1386" s="4"/>
      <c r="DD1386" s="4"/>
      <c r="DE1386" s="4"/>
      <c r="DF1386" s="4"/>
      <c r="DG1386" s="4"/>
      <c r="DH1386" s="4" t="s">
        <v>174</v>
      </c>
      <c r="DI1386" s="4"/>
      <c r="DJ1386" s="4" t="b">
        <v>0</v>
      </c>
      <c r="DK1386" s="4"/>
      <c r="DL1386" s="4"/>
      <c r="DM1386" s="4"/>
      <c r="DN1386" s="4"/>
      <c r="DO1386" s="4"/>
      <c r="DP1386" s="4"/>
      <c r="DQ1386" s="4" t="s">
        <v>148</v>
      </c>
      <c r="DR1386" s="4"/>
      <c r="DS1386" s="4"/>
      <c r="DT1386" s="4"/>
      <c r="DU1386" s="4" t="s">
        <v>178</v>
      </c>
      <c r="DV1386" s="4"/>
      <c r="DW1386" s="4"/>
      <c r="DX1386" s="4"/>
      <c r="DY1386" s="4"/>
      <c r="DZ1386" s="4"/>
      <c r="EA1386" s="4"/>
      <c r="EB1386" s="4"/>
      <c r="EC1386" s="4"/>
      <c r="ED1386" s="4"/>
      <c r="EE1386" s="4"/>
      <c r="EF1386" s="4"/>
      <c r="EG1386" s="4"/>
      <c r="EH1386" s="4"/>
      <c r="EI1386" s="4"/>
    </row>
    <row r="1387" spans="1:139" hidden="1" x14ac:dyDescent="0.2">
      <c r="A1387">
        <f>VLOOKUP(B1387,Sheet1!$A$1:$B$18,2,FALSE)</f>
        <v>0</v>
      </c>
      <c r="B1387" t="str">
        <f>LEFT(D1387,3)</f>
        <v>WKT</v>
      </c>
      <c r="C1387" s="2">
        <v>1386</v>
      </c>
      <c r="D1387" s="3" t="str">
        <f>HYPERLINK("https://sitebase.nzcomms.co.nz/spm/spmnominalview/WKT-013-001/","WKT-013-001")</f>
        <v>WKT-013-001</v>
      </c>
      <c r="E1387" s="4"/>
      <c r="F1387" s="4"/>
      <c r="G1387" s="4"/>
      <c r="H1387" s="4" t="s">
        <v>4128</v>
      </c>
      <c r="I1387" s="4"/>
      <c r="J1387" s="4" t="s">
        <v>196</v>
      </c>
      <c r="K1387" s="4"/>
      <c r="L1387" s="4"/>
      <c r="M1387" s="4"/>
      <c r="N1387" s="4"/>
      <c r="O1387" s="4"/>
      <c r="P1387" s="4"/>
      <c r="Q1387" s="4"/>
      <c r="R1387" s="4"/>
      <c r="S1387" s="4"/>
      <c r="T1387" s="4"/>
      <c r="U1387" s="4"/>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4"/>
      <c r="BB1387" s="4"/>
      <c r="BC1387" s="4"/>
      <c r="BD1387" s="4"/>
      <c r="BE1387" s="4"/>
      <c r="BF1387" s="4"/>
      <c r="BG1387" s="4"/>
      <c r="BH1387" s="4"/>
      <c r="BI1387" s="4"/>
      <c r="BJ1387" s="4"/>
      <c r="BK1387" s="4"/>
      <c r="BL1387" s="4"/>
      <c r="BM1387" s="4"/>
      <c r="BN1387" s="4"/>
      <c r="BO1387" s="4"/>
      <c r="BP1387" s="4"/>
      <c r="BQ1387" s="4"/>
      <c r="BR1387" s="4"/>
      <c r="BS1387" s="4"/>
      <c r="BT1387" s="4"/>
      <c r="BU1387" s="4"/>
      <c r="BV1387" s="4"/>
      <c r="BW1387" s="4"/>
      <c r="BX1387" s="4"/>
      <c r="BY1387" s="4"/>
      <c r="BZ1387" s="4"/>
      <c r="CA1387" s="4"/>
      <c r="CB1387" s="4"/>
      <c r="CC1387" s="4"/>
      <c r="CD1387" s="4"/>
      <c r="CE1387" s="4"/>
      <c r="CF1387" s="4"/>
      <c r="CG1387" s="4"/>
      <c r="CH1387" s="4"/>
      <c r="CI1387" s="4"/>
      <c r="CJ1387" s="4"/>
      <c r="CK1387" s="4"/>
      <c r="CL1387" s="4"/>
      <c r="CM1387" s="4"/>
      <c r="CN1387" s="4"/>
      <c r="CO1387" s="4"/>
      <c r="CP1387" s="4"/>
      <c r="CQ1387" s="4"/>
      <c r="CR1387" s="4"/>
      <c r="CS1387" s="4"/>
      <c r="CT1387" s="4"/>
      <c r="CU1387" s="4"/>
      <c r="CV1387" s="4"/>
      <c r="CW1387" s="4"/>
      <c r="CX1387" s="4"/>
      <c r="CY1387" s="4"/>
      <c r="CZ1387" s="4"/>
      <c r="DA1387" s="4"/>
      <c r="DB1387" s="4"/>
      <c r="DC1387" s="4"/>
      <c r="DD1387" s="4"/>
      <c r="DE1387" s="4"/>
      <c r="DF1387" s="4"/>
      <c r="DG1387" s="4"/>
      <c r="DH1387" s="4"/>
      <c r="DI1387" s="4"/>
      <c r="DJ1387" s="4"/>
      <c r="DK1387" s="4"/>
      <c r="DL1387" s="4"/>
      <c r="DM1387" s="4"/>
      <c r="DN1387" s="4"/>
      <c r="DO1387" s="4"/>
      <c r="DP1387" s="4"/>
      <c r="DQ1387" s="4"/>
      <c r="DR1387" s="4"/>
      <c r="DS1387" s="4"/>
      <c r="DT1387" s="4"/>
      <c r="DU1387" s="4"/>
      <c r="DV1387" s="4"/>
      <c r="DW1387" s="4"/>
      <c r="DX1387" s="4"/>
      <c r="DY1387" s="4"/>
      <c r="DZ1387" s="4"/>
      <c r="EA1387" s="4"/>
      <c r="EB1387" s="4"/>
      <c r="EC1387" s="4"/>
      <c r="ED1387" s="4"/>
      <c r="EE1387" s="4"/>
      <c r="EF1387" s="4"/>
      <c r="EG1387" s="4"/>
      <c r="EH1387" s="4"/>
      <c r="EI1387" s="4"/>
    </row>
    <row r="1388" spans="1:139" hidden="1" x14ac:dyDescent="0.2">
      <c r="A1388">
        <f>VLOOKUP(B1388,Sheet1!$A$1:$B$18,2,FALSE)</f>
        <v>0</v>
      </c>
      <c r="B1388" t="str">
        <f>LEFT(D1388,3)</f>
        <v>WKT</v>
      </c>
      <c r="C1388" s="2">
        <v>1387</v>
      </c>
      <c r="D1388" s="3" t="str">
        <f>HYPERLINK("https://sitebase.nzcomms.co.nz/spm/spmnominalview/WKT-013-002/","WKT-013-002")</f>
        <v>WKT-013-002</v>
      </c>
      <c r="E1388" s="4" t="s">
        <v>4129</v>
      </c>
      <c r="F1388" s="4"/>
      <c r="G1388" s="4"/>
      <c r="H1388" s="4" t="s">
        <v>4128</v>
      </c>
      <c r="I1388" s="4"/>
      <c r="J1388" s="4" t="s">
        <v>196</v>
      </c>
      <c r="K1388" s="4"/>
      <c r="L1388" s="4"/>
      <c r="M1388" s="4"/>
      <c r="N1388" s="4"/>
      <c r="O1388" s="4"/>
      <c r="P1388" s="4"/>
      <c r="Q1388" s="4"/>
      <c r="R1388" s="4"/>
      <c r="S1388" s="4"/>
      <c r="T1388" s="4"/>
      <c r="U1388" s="4"/>
      <c r="V1388" s="4"/>
      <c r="W1388" s="4"/>
      <c r="X1388" s="4"/>
      <c r="Y1388" s="4"/>
      <c r="Z1388" s="4"/>
      <c r="AA1388" s="4"/>
      <c r="AB1388" s="4"/>
      <c r="AC1388" s="4"/>
      <c r="AD1388" s="4"/>
      <c r="AE1388" s="4"/>
      <c r="AF1388" s="4"/>
      <c r="AG1388" s="4" t="b">
        <v>0</v>
      </c>
      <c r="AH1388" s="4"/>
      <c r="AI1388" s="4"/>
      <c r="AJ1388" s="4"/>
      <c r="AK1388" s="4"/>
      <c r="AL1388" s="4"/>
      <c r="AM1388" s="4"/>
      <c r="AN1388" s="4"/>
      <c r="AO1388" s="4"/>
      <c r="AP1388" s="4"/>
      <c r="AQ1388" s="4"/>
      <c r="AR1388" s="4"/>
      <c r="AS1388" s="4"/>
      <c r="AT1388" s="4"/>
      <c r="AU1388" s="4"/>
      <c r="AV1388" s="4"/>
      <c r="AW1388" s="4"/>
      <c r="AX1388" s="4"/>
      <c r="AY1388" s="4"/>
      <c r="AZ1388" s="4"/>
      <c r="BA1388" s="4"/>
      <c r="BB1388" s="4"/>
      <c r="BC1388" s="4"/>
      <c r="BD1388" s="4"/>
      <c r="BE1388" s="4"/>
      <c r="BF1388" s="4"/>
      <c r="BG1388" s="4"/>
      <c r="BH1388" s="4"/>
      <c r="BI1388" s="4"/>
      <c r="BJ1388" s="4"/>
      <c r="BK1388" s="4"/>
      <c r="BL1388" s="4"/>
      <c r="BM1388" s="4"/>
      <c r="BN1388" s="4"/>
      <c r="BO1388" s="4"/>
      <c r="BP1388" s="4"/>
      <c r="BQ1388" s="4"/>
      <c r="BR1388" s="4"/>
      <c r="BS1388" s="4"/>
      <c r="BT1388" s="4"/>
      <c r="BU1388" s="4"/>
      <c r="BV1388" s="4"/>
      <c r="BW1388" s="4"/>
      <c r="BX1388" s="4"/>
      <c r="BY1388" s="4"/>
      <c r="BZ1388" s="4"/>
      <c r="CA1388" s="4"/>
      <c r="CB1388" s="4"/>
      <c r="CC1388" s="4"/>
      <c r="CD1388" s="4"/>
      <c r="CE1388" s="4"/>
      <c r="CF1388" s="4"/>
      <c r="CG1388" s="4"/>
      <c r="CH1388" s="4"/>
      <c r="CI1388" s="4"/>
      <c r="CJ1388" s="4"/>
      <c r="CK1388" s="4"/>
      <c r="CL1388" s="4"/>
      <c r="CM1388" s="4"/>
      <c r="CN1388" s="4"/>
      <c r="CO1388" s="4"/>
      <c r="CP1388" s="4"/>
      <c r="CQ1388" s="4"/>
      <c r="CR1388" s="4"/>
      <c r="CS1388" s="4"/>
      <c r="CT1388" s="4"/>
      <c r="CU1388" s="4"/>
      <c r="CV1388" s="4"/>
      <c r="CW1388" s="4"/>
      <c r="CX1388" s="4"/>
      <c r="CY1388" s="4"/>
      <c r="CZ1388" s="4"/>
      <c r="DA1388" s="4"/>
      <c r="DB1388" s="4"/>
      <c r="DC1388" s="4"/>
      <c r="DD1388" s="4"/>
      <c r="DE1388" s="4"/>
      <c r="DF1388" s="4"/>
      <c r="DG1388" s="4"/>
      <c r="DH1388" s="4"/>
      <c r="DI1388" s="4"/>
      <c r="DJ1388" s="4"/>
      <c r="DK1388" s="4"/>
      <c r="DL1388" s="4"/>
      <c r="DM1388" s="4"/>
      <c r="DN1388" s="4"/>
      <c r="DO1388" s="4"/>
      <c r="DP1388" s="4"/>
      <c r="DQ1388" s="4"/>
      <c r="DR1388" s="4"/>
      <c r="DS1388" s="4"/>
      <c r="DT1388" s="4"/>
      <c r="DU1388" s="4"/>
      <c r="DV1388" s="4"/>
      <c r="DW1388" s="4"/>
      <c r="DX1388" s="4"/>
      <c r="DY1388" s="4"/>
      <c r="DZ1388" s="4"/>
      <c r="EA1388" s="4"/>
      <c r="EB1388" s="4"/>
      <c r="EC1388" s="4"/>
      <c r="ED1388" s="4"/>
      <c r="EE1388" s="4"/>
      <c r="EF1388" s="4"/>
      <c r="EG1388" s="4"/>
      <c r="EH1388" s="4"/>
      <c r="EI1388" s="4"/>
    </row>
    <row r="1389" spans="1:139" hidden="1" x14ac:dyDescent="0.2">
      <c r="A1389">
        <f>VLOOKUP(B1389,Sheet1!$A$1:$B$18,2,FALSE)</f>
        <v>0</v>
      </c>
      <c r="B1389" t="str">
        <f>LEFT(D1389,3)</f>
        <v>WKT</v>
      </c>
      <c r="C1389" s="2">
        <v>1388</v>
      </c>
      <c r="D1389" s="3" t="str">
        <f>HYPERLINK("https://sitebase.nzcomms.co.nz/spm/spmnominalview/WKT-013-004/","WKT-013-004")</f>
        <v>WKT-013-004</v>
      </c>
      <c r="E1389" s="4" t="s">
        <v>4130</v>
      </c>
      <c r="F1389" s="3" t="str">
        <f>HYPERLINK("https://sitebase.nzcomms.co.nz/spm/spmcandidateview/WKT-013-004-A/","WKT-013-004-A")</f>
        <v>WKT-013-004-A</v>
      </c>
      <c r="G1389" s="4" t="s">
        <v>4131</v>
      </c>
      <c r="H1389" s="4" t="s">
        <v>4128</v>
      </c>
      <c r="I1389" s="4">
        <v>22</v>
      </c>
      <c r="J1389" s="4" t="s">
        <v>165</v>
      </c>
      <c r="K1389" s="4" t="s">
        <v>141</v>
      </c>
      <c r="L1389" s="4" t="s">
        <v>142</v>
      </c>
      <c r="M1389" s="4" t="s">
        <v>190</v>
      </c>
      <c r="N1389" s="4" t="s">
        <v>142</v>
      </c>
      <c r="O1389" s="4"/>
      <c r="P1389" s="4" t="s">
        <v>169</v>
      </c>
      <c r="Q1389" s="4" t="s">
        <v>142</v>
      </c>
      <c r="R1389" s="4">
        <v>16.600000000000001</v>
      </c>
      <c r="S1389" s="4">
        <v>18</v>
      </c>
      <c r="T1389" s="4"/>
      <c r="U1389" s="4">
        <v>-37.414216860000003</v>
      </c>
      <c r="V1389" s="4">
        <v>175.13089959999999</v>
      </c>
      <c r="W1389" s="4"/>
      <c r="X1389" s="4"/>
      <c r="Y1389" s="4"/>
      <c r="Z1389" s="4"/>
      <c r="AA1389" s="4" t="s">
        <v>145</v>
      </c>
      <c r="AB1389" s="3" t="str">
        <f>HYPERLINK("https://sitebase.nzcomms.co.nz/spm/spmcandidateview/WKT-016-023-B/","WKT-016-023-B")</f>
        <v>WKT-016-023-B</v>
      </c>
      <c r="AC1389" s="4" t="b">
        <v>0</v>
      </c>
      <c r="AD1389" s="4" t="b">
        <v>0</v>
      </c>
      <c r="AE1389" s="4"/>
      <c r="AF1389" s="4"/>
      <c r="AG1389" s="4" t="b">
        <v>0</v>
      </c>
      <c r="AH1389" s="4"/>
      <c r="AI1389" s="5">
        <v>40975</v>
      </c>
      <c r="AJ1389" s="5">
        <v>40975</v>
      </c>
      <c r="AK1389" s="5">
        <v>40981</v>
      </c>
      <c r="AL1389" s="5">
        <v>40981</v>
      </c>
      <c r="AM1389" s="5">
        <v>41017</v>
      </c>
      <c r="AN1389" s="5">
        <v>41026</v>
      </c>
      <c r="AO1389" s="4">
        <v>5</v>
      </c>
      <c r="AP1389" s="5">
        <v>41061</v>
      </c>
      <c r="AQ1389" s="5">
        <v>42230</v>
      </c>
      <c r="AR1389" s="5">
        <v>42124</v>
      </c>
      <c r="AS1389" s="5">
        <v>42109</v>
      </c>
      <c r="AT1389" s="5">
        <v>42429</v>
      </c>
      <c r="AU1389" s="4"/>
      <c r="AV1389" s="4"/>
      <c r="AW1389" s="5">
        <v>42429</v>
      </c>
      <c r="AX1389" s="4"/>
      <c r="AY1389" s="4" t="s">
        <v>203</v>
      </c>
      <c r="AZ1389" s="5">
        <v>41068</v>
      </c>
      <c r="BA1389" s="5">
        <v>41075</v>
      </c>
      <c r="BB1389" s="5">
        <v>41117</v>
      </c>
      <c r="BC1389" s="5">
        <v>41103</v>
      </c>
      <c r="BD1389" s="4">
        <v>2</v>
      </c>
      <c r="BE1389" s="5">
        <v>41110</v>
      </c>
      <c r="BF1389" s="5">
        <v>41109</v>
      </c>
      <c r="BG1389" s="5">
        <v>42170</v>
      </c>
      <c r="BH1389" s="5">
        <v>42114</v>
      </c>
      <c r="BI1389" s="5">
        <v>42149</v>
      </c>
      <c r="BJ1389" s="5">
        <v>42153</v>
      </c>
      <c r="BK1389" s="4">
        <v>1</v>
      </c>
      <c r="BL1389" s="4"/>
      <c r="BM1389" s="5">
        <v>42149</v>
      </c>
      <c r="BN1389" s="5">
        <v>42153</v>
      </c>
      <c r="BO1389" s="4"/>
      <c r="BP1389" s="4"/>
      <c r="BQ1389" s="4"/>
      <c r="BR1389" s="5">
        <v>42382</v>
      </c>
      <c r="BS1389" s="4"/>
      <c r="BT1389" s="5">
        <v>42436</v>
      </c>
      <c r="BU1389" s="4"/>
      <c r="BV1389" s="5">
        <v>42450</v>
      </c>
      <c r="BW1389" s="4"/>
      <c r="BX1389" s="4"/>
      <c r="BY1389" s="5">
        <v>42457</v>
      </c>
      <c r="BZ1389" s="4"/>
      <c r="CA1389" s="5">
        <v>42444</v>
      </c>
      <c r="CB1389" s="4"/>
      <c r="CC1389" s="4"/>
      <c r="CD1389" s="4"/>
      <c r="CE1389" s="4"/>
      <c r="CF1389" s="4"/>
      <c r="CG1389" s="4"/>
      <c r="CH1389" s="4"/>
      <c r="CI1389" s="4"/>
      <c r="CJ1389" s="5">
        <v>42485</v>
      </c>
      <c r="CK1389" s="4"/>
      <c r="CL1389" s="4"/>
      <c r="CM1389" s="4"/>
      <c r="CN1389" s="4"/>
      <c r="CO1389" s="4"/>
      <c r="CP1389" s="4" t="s">
        <v>4132</v>
      </c>
      <c r="CQ1389" s="4" t="s">
        <v>230</v>
      </c>
      <c r="CR1389" s="4"/>
      <c r="CS1389" s="4"/>
      <c r="CT1389" s="4"/>
      <c r="CU1389" s="4"/>
      <c r="CV1389" s="4"/>
      <c r="CW1389" s="4"/>
      <c r="CX1389" s="4"/>
      <c r="CY1389" s="4"/>
      <c r="CZ1389" s="4"/>
      <c r="DA1389" s="5">
        <v>42471</v>
      </c>
      <c r="DB1389" s="4"/>
      <c r="DC1389" s="4"/>
      <c r="DD1389" s="4"/>
      <c r="DE1389" s="4" t="s">
        <v>4133</v>
      </c>
      <c r="DF1389" s="5">
        <v>42444</v>
      </c>
      <c r="DG1389" s="4"/>
      <c r="DH1389" s="4" t="s">
        <v>174</v>
      </c>
      <c r="DI1389" s="4"/>
      <c r="DJ1389" s="4" t="b">
        <v>1</v>
      </c>
      <c r="DK1389" s="5">
        <v>42394</v>
      </c>
      <c r="DL1389" s="4">
        <v>2698892</v>
      </c>
      <c r="DM1389" s="4">
        <v>6418685</v>
      </c>
      <c r="DN1389" s="4" t="s">
        <v>4134</v>
      </c>
      <c r="DO1389" s="4"/>
      <c r="DP1389" s="4" t="s">
        <v>4135</v>
      </c>
      <c r="DQ1389" s="4" t="s">
        <v>148</v>
      </c>
      <c r="DR1389" s="4" t="s">
        <v>255</v>
      </c>
      <c r="DS1389" s="4"/>
      <c r="DT1389" s="4"/>
      <c r="DU1389" s="4" t="s">
        <v>178</v>
      </c>
      <c r="DV1389" s="4"/>
      <c r="DW1389" s="4"/>
      <c r="DX1389" s="5">
        <v>42137</v>
      </c>
      <c r="DY1389" s="5">
        <v>42160</v>
      </c>
      <c r="DZ1389" s="5">
        <v>42131</v>
      </c>
      <c r="EA1389" s="4"/>
      <c r="EB1389" s="5">
        <v>42107</v>
      </c>
      <c r="EC1389" s="5">
        <v>42124</v>
      </c>
      <c r="ED1389" s="5">
        <v>42116</v>
      </c>
      <c r="EE1389" s="5">
        <v>42213</v>
      </c>
      <c r="EF1389" s="5">
        <v>42198</v>
      </c>
      <c r="EG1389" s="4"/>
      <c r="EH1389" s="4"/>
      <c r="EI1389" s="5">
        <v>40981</v>
      </c>
    </row>
    <row r="1390" spans="1:139" hidden="1" x14ac:dyDescent="0.2">
      <c r="A1390">
        <f>VLOOKUP(B1390,Sheet1!$A$1:$B$18,2,FALSE)</f>
        <v>0</v>
      </c>
      <c r="B1390" t="str">
        <f>LEFT(D1390,3)</f>
        <v>WKT</v>
      </c>
      <c r="C1390" s="2">
        <v>1389</v>
      </c>
      <c r="D1390" s="3" t="str">
        <f>HYPERLINK("https://sitebase.nzcomms.co.nz/spm/spmnominalview/WKT-013-006/","WKT-013-006")</f>
        <v>WKT-013-006</v>
      </c>
      <c r="E1390" s="4" t="s">
        <v>4136</v>
      </c>
      <c r="F1390" s="3" t="str">
        <f>HYPERLINK("https://sitebase.nzcomms.co.nz/spm/spmcandidateview/WKT-013-006-A/","WKT-013-006-A")</f>
        <v>WKT-013-006-A</v>
      </c>
      <c r="G1390" s="4" t="s">
        <v>4136</v>
      </c>
      <c r="H1390" s="4" t="s">
        <v>4128</v>
      </c>
      <c r="I1390" s="4">
        <v>1</v>
      </c>
      <c r="J1390" s="4" t="s">
        <v>180</v>
      </c>
      <c r="K1390" s="4" t="s">
        <v>141</v>
      </c>
      <c r="L1390" s="4" t="s">
        <v>150</v>
      </c>
      <c r="M1390" s="4" t="s">
        <v>190</v>
      </c>
      <c r="N1390" s="4" t="s">
        <v>1661</v>
      </c>
      <c r="O1390" s="4"/>
      <c r="P1390" s="4"/>
      <c r="Q1390" s="4" t="s">
        <v>170</v>
      </c>
      <c r="R1390" s="4">
        <v>10</v>
      </c>
      <c r="S1390" s="4">
        <v>10</v>
      </c>
      <c r="T1390" s="4">
        <v>1</v>
      </c>
      <c r="U1390" s="4">
        <v>-37.515798949999997</v>
      </c>
      <c r="V1390" s="4">
        <v>175.22532652000001</v>
      </c>
      <c r="W1390" s="4"/>
      <c r="X1390" s="4"/>
      <c r="Y1390" s="4"/>
      <c r="Z1390" s="4"/>
      <c r="AA1390" s="4" t="s">
        <v>171</v>
      </c>
      <c r="AB1390" s="3" t="str">
        <f>HYPERLINK("https://sitebase.nzcomms.co.nz/spm/spmcandidateview/WKT-015-001-A/","WKT-015-001-A")</f>
        <v>WKT-015-001-A</v>
      </c>
      <c r="AC1390" s="4" t="b">
        <v>0</v>
      </c>
      <c r="AD1390" s="4" t="b">
        <v>0</v>
      </c>
      <c r="AE1390" s="4"/>
      <c r="AF1390" s="4"/>
      <c r="AG1390" s="4" t="b">
        <v>0</v>
      </c>
      <c r="AH1390" s="4"/>
      <c r="AI1390" s="5">
        <v>41094</v>
      </c>
      <c r="AJ1390" s="5">
        <v>41094</v>
      </c>
      <c r="AK1390" s="5">
        <v>41099</v>
      </c>
      <c r="AL1390" s="5">
        <v>41101</v>
      </c>
      <c r="AM1390" s="5">
        <v>41131</v>
      </c>
      <c r="AN1390" s="5">
        <v>41127</v>
      </c>
      <c r="AO1390" s="4">
        <v>4</v>
      </c>
      <c r="AP1390" s="5">
        <v>41131</v>
      </c>
      <c r="AQ1390" s="5">
        <v>41621</v>
      </c>
      <c r="AR1390" s="5">
        <v>41145</v>
      </c>
      <c r="AS1390" s="5">
        <v>41143</v>
      </c>
      <c r="AT1390" s="5">
        <v>41235</v>
      </c>
      <c r="AU1390" s="5">
        <v>41243</v>
      </c>
      <c r="AV1390" s="4"/>
      <c r="AW1390" s="5">
        <v>41243</v>
      </c>
      <c r="AX1390" s="5">
        <v>41243</v>
      </c>
      <c r="AY1390" s="4" t="s">
        <v>247</v>
      </c>
      <c r="AZ1390" s="5">
        <v>41208</v>
      </c>
      <c r="BA1390" s="5">
        <v>41213</v>
      </c>
      <c r="BB1390" s="5">
        <v>41310</v>
      </c>
      <c r="BC1390" s="5">
        <v>41310</v>
      </c>
      <c r="BD1390" s="4">
        <v>2</v>
      </c>
      <c r="BE1390" s="5">
        <v>41317</v>
      </c>
      <c r="BF1390" s="5">
        <v>41319</v>
      </c>
      <c r="BG1390" s="4"/>
      <c r="BH1390" s="4"/>
      <c r="BI1390" s="4"/>
      <c r="BJ1390" s="5">
        <v>41396</v>
      </c>
      <c r="BK1390" s="4">
        <v>1</v>
      </c>
      <c r="BL1390" s="4"/>
      <c r="BM1390" s="4"/>
      <c r="BN1390" s="5">
        <v>41396</v>
      </c>
      <c r="BO1390" s="4"/>
      <c r="BP1390" s="4"/>
      <c r="BQ1390" s="4"/>
      <c r="BR1390" s="4"/>
      <c r="BS1390" s="4"/>
      <c r="BT1390" s="5">
        <v>41456</v>
      </c>
      <c r="BU1390" s="5">
        <v>41450</v>
      </c>
      <c r="BV1390" s="5">
        <v>41492</v>
      </c>
      <c r="BW1390" s="5">
        <v>41492</v>
      </c>
      <c r="BX1390" s="5">
        <v>41501</v>
      </c>
      <c r="BY1390" s="5">
        <v>41505</v>
      </c>
      <c r="BZ1390" s="5">
        <v>41510</v>
      </c>
      <c r="CA1390" s="4"/>
      <c r="CB1390" s="4"/>
      <c r="CC1390" s="4"/>
      <c r="CD1390" s="4"/>
      <c r="CE1390" s="4"/>
      <c r="CF1390" s="4"/>
      <c r="CG1390" s="4"/>
      <c r="CH1390" s="4"/>
      <c r="CI1390" s="5">
        <v>41510</v>
      </c>
      <c r="CJ1390" s="5">
        <v>41509</v>
      </c>
      <c r="CK1390" s="5">
        <v>41515</v>
      </c>
      <c r="CL1390" s="5">
        <v>41516</v>
      </c>
      <c r="CM1390" s="5">
        <v>41516</v>
      </c>
      <c r="CN1390" s="5">
        <v>41591</v>
      </c>
      <c r="CO1390" s="5">
        <v>41626</v>
      </c>
      <c r="CP1390" s="4" t="s">
        <v>4137</v>
      </c>
      <c r="CQ1390" s="4"/>
      <c r="CR1390" s="5">
        <v>41508</v>
      </c>
      <c r="CS1390" s="4"/>
      <c r="CT1390" s="4"/>
      <c r="CU1390" s="4"/>
      <c r="CV1390" s="4"/>
      <c r="CW1390" s="4"/>
      <c r="CX1390" s="4"/>
      <c r="CY1390" s="5">
        <v>41500</v>
      </c>
      <c r="CZ1390" s="5">
        <v>41505</v>
      </c>
      <c r="DA1390" s="5">
        <v>41505</v>
      </c>
      <c r="DB1390" s="5">
        <v>41510</v>
      </c>
      <c r="DC1390" s="4"/>
      <c r="DD1390" s="4"/>
      <c r="DE1390" s="4" t="s">
        <v>4133</v>
      </c>
      <c r="DF1390" s="4"/>
      <c r="DG1390" s="4"/>
      <c r="DH1390" s="4" t="s">
        <v>174</v>
      </c>
      <c r="DI1390" s="5">
        <v>41492</v>
      </c>
      <c r="DJ1390" s="4" t="b">
        <v>0</v>
      </c>
      <c r="DK1390" s="4"/>
      <c r="DL1390" s="4">
        <v>2706962</v>
      </c>
      <c r="DM1390" s="4">
        <v>6407208</v>
      </c>
      <c r="DN1390" s="4" t="s">
        <v>4138</v>
      </c>
      <c r="DO1390" s="4"/>
      <c r="DP1390" s="4" t="s">
        <v>4139</v>
      </c>
      <c r="DQ1390" s="4" t="s">
        <v>148</v>
      </c>
      <c r="DR1390" s="4"/>
      <c r="DS1390" s="4"/>
      <c r="DT1390" s="5">
        <v>42292</v>
      </c>
      <c r="DU1390" s="4"/>
      <c r="DV1390" s="4"/>
      <c r="DW1390" s="4"/>
      <c r="DX1390" s="4"/>
      <c r="DY1390" s="4"/>
      <c r="DZ1390" s="4"/>
      <c r="EA1390" s="4"/>
      <c r="EB1390" s="4"/>
      <c r="EC1390" s="4"/>
      <c r="ED1390" s="4"/>
      <c r="EE1390" s="4"/>
      <c r="EF1390" s="4"/>
      <c r="EG1390" s="5">
        <v>41514</v>
      </c>
      <c r="EH1390" s="5">
        <v>41513</v>
      </c>
      <c r="EI1390" s="5">
        <v>41101</v>
      </c>
    </row>
    <row r="1391" spans="1:139" hidden="1" x14ac:dyDescent="0.2">
      <c r="A1391">
        <f>VLOOKUP(B1391,Sheet1!$A$1:$B$18,2,FALSE)</f>
        <v>0</v>
      </c>
      <c r="B1391" t="str">
        <f>LEFT(D1391,3)</f>
        <v>WKT</v>
      </c>
      <c r="C1391" s="2">
        <v>1390</v>
      </c>
      <c r="D1391" s="3" t="str">
        <f>HYPERLINK("https://sitebase.nzcomms.co.nz/spm/spmnominalview/WKT-013-007/","WKT-013-007")</f>
        <v>WKT-013-007</v>
      </c>
      <c r="E1391" s="4" t="s">
        <v>4140</v>
      </c>
      <c r="F1391" s="3" t="str">
        <f>HYPERLINK("https://sitebase.nzcomms.co.nz/spm/spmcandidateview/WKT-013-007-F/","WKT-013-007-F")</f>
        <v>WKT-013-007-F</v>
      </c>
      <c r="G1391" s="4" t="s">
        <v>4140</v>
      </c>
      <c r="H1391" s="4" t="s">
        <v>4128</v>
      </c>
      <c r="I1391" s="4">
        <v>1</v>
      </c>
      <c r="J1391" s="4" t="s">
        <v>180</v>
      </c>
      <c r="K1391" s="4" t="s">
        <v>141</v>
      </c>
      <c r="L1391" s="4" t="s">
        <v>150</v>
      </c>
      <c r="M1391" s="4" t="s">
        <v>190</v>
      </c>
      <c r="N1391" s="4" t="s">
        <v>216</v>
      </c>
      <c r="O1391" s="4"/>
      <c r="P1391" s="4"/>
      <c r="Q1391" s="4" t="s">
        <v>170</v>
      </c>
      <c r="R1391" s="4"/>
      <c r="S1391" s="4"/>
      <c r="T1391" s="4">
        <v>1</v>
      </c>
      <c r="U1391" s="4">
        <v>-37.58240146</v>
      </c>
      <c r="V1391" s="4">
        <v>175.15236594000001</v>
      </c>
      <c r="W1391" s="4"/>
      <c r="X1391" s="4"/>
      <c r="Y1391" s="4"/>
      <c r="Z1391" s="4"/>
      <c r="AA1391" s="4" t="s">
        <v>145</v>
      </c>
      <c r="AB1391" s="3" t="str">
        <f>HYPERLINK("https://sitebase.nzcomms.co.nz/spm/spmcandidateview/WKT-016-023-B/","WKT-016-023-B")</f>
        <v>WKT-016-023-B</v>
      </c>
      <c r="AC1391" s="4" t="b">
        <v>0</v>
      </c>
      <c r="AD1391" s="4" t="b">
        <v>0</v>
      </c>
      <c r="AE1391" s="4"/>
      <c r="AF1391" s="4"/>
      <c r="AG1391" s="4" t="b">
        <v>0</v>
      </c>
      <c r="AH1391" s="4"/>
      <c r="AI1391" s="5">
        <v>40975</v>
      </c>
      <c r="AJ1391" s="5">
        <v>40975</v>
      </c>
      <c r="AK1391" s="5">
        <v>40981</v>
      </c>
      <c r="AL1391" s="5">
        <v>40981</v>
      </c>
      <c r="AM1391" s="5">
        <v>41022</v>
      </c>
      <c r="AN1391" s="5">
        <v>41025</v>
      </c>
      <c r="AO1391" s="4">
        <v>4</v>
      </c>
      <c r="AP1391" s="5">
        <v>41071</v>
      </c>
      <c r="AQ1391" s="5">
        <v>41436</v>
      </c>
      <c r="AR1391" s="5">
        <v>41145</v>
      </c>
      <c r="AS1391" s="5">
        <v>41143</v>
      </c>
      <c r="AT1391" s="5">
        <v>41229</v>
      </c>
      <c r="AU1391" s="5">
        <v>41235</v>
      </c>
      <c r="AV1391" s="4">
        <v>2</v>
      </c>
      <c r="AW1391" s="5">
        <v>41229</v>
      </c>
      <c r="AX1391" s="5">
        <v>41235</v>
      </c>
      <c r="AY1391" s="4" t="s">
        <v>247</v>
      </c>
      <c r="AZ1391" s="5">
        <v>41138</v>
      </c>
      <c r="BA1391" s="5">
        <v>41141</v>
      </c>
      <c r="BB1391" s="5">
        <v>41180</v>
      </c>
      <c r="BC1391" s="5">
        <v>41172</v>
      </c>
      <c r="BD1391" s="4">
        <v>2</v>
      </c>
      <c r="BE1391" s="5">
        <v>41187</v>
      </c>
      <c r="BF1391" s="5">
        <v>41177</v>
      </c>
      <c r="BG1391" s="4"/>
      <c r="BH1391" s="4"/>
      <c r="BI1391" s="4"/>
      <c r="BJ1391" s="5">
        <v>41396</v>
      </c>
      <c r="BK1391" s="4">
        <v>1</v>
      </c>
      <c r="BL1391" s="4"/>
      <c r="BM1391" s="4"/>
      <c r="BN1391" s="5">
        <v>41396</v>
      </c>
      <c r="BO1391" s="4"/>
      <c r="BP1391" s="4"/>
      <c r="BQ1391" s="4"/>
      <c r="BR1391" s="5">
        <v>41388</v>
      </c>
      <c r="BS1391" s="4"/>
      <c r="BT1391" s="5">
        <v>41430</v>
      </c>
      <c r="BU1391" s="5">
        <v>41430</v>
      </c>
      <c r="BV1391" s="5">
        <v>41466</v>
      </c>
      <c r="BW1391" s="5">
        <v>41466</v>
      </c>
      <c r="BX1391" s="5">
        <v>41470</v>
      </c>
      <c r="BY1391" s="5">
        <v>41500</v>
      </c>
      <c r="BZ1391" s="5">
        <v>41500</v>
      </c>
      <c r="CA1391" s="4"/>
      <c r="CB1391" s="4"/>
      <c r="CC1391" s="4"/>
      <c r="CD1391" s="4"/>
      <c r="CE1391" s="4"/>
      <c r="CF1391" s="4"/>
      <c r="CG1391" s="4"/>
      <c r="CH1391" s="4"/>
      <c r="CI1391" s="5">
        <v>41500</v>
      </c>
      <c r="CJ1391" s="5">
        <v>41501</v>
      </c>
      <c r="CK1391" s="5">
        <v>41515</v>
      </c>
      <c r="CL1391" s="5">
        <v>41516</v>
      </c>
      <c r="CM1391" s="5">
        <v>41516</v>
      </c>
      <c r="CN1391" s="5">
        <v>41591</v>
      </c>
      <c r="CO1391" s="5">
        <v>41614</v>
      </c>
      <c r="CP1391" s="4" t="s">
        <v>4141</v>
      </c>
      <c r="CQ1391" s="4"/>
      <c r="CR1391" s="5">
        <v>41500</v>
      </c>
      <c r="CS1391" s="4"/>
      <c r="CT1391" s="4"/>
      <c r="CU1391" s="4"/>
      <c r="CV1391" s="4"/>
      <c r="CW1391" s="4"/>
      <c r="CX1391" s="4"/>
      <c r="CY1391" s="5">
        <v>41499</v>
      </c>
      <c r="CZ1391" s="5">
        <v>41499</v>
      </c>
      <c r="DA1391" s="5">
        <v>41498</v>
      </c>
      <c r="DB1391" s="5">
        <v>41502</v>
      </c>
      <c r="DC1391" s="4"/>
      <c r="DD1391" s="4"/>
      <c r="DE1391" s="4" t="s">
        <v>4133</v>
      </c>
      <c r="DF1391" s="5">
        <v>41467</v>
      </c>
      <c r="DG1391" s="5">
        <v>41467</v>
      </c>
      <c r="DH1391" s="4" t="s">
        <v>174</v>
      </c>
      <c r="DI1391" s="5">
        <v>41470</v>
      </c>
      <c r="DJ1391" s="4" t="b">
        <v>1</v>
      </c>
      <c r="DK1391" s="5">
        <v>41388</v>
      </c>
      <c r="DL1391" s="4">
        <v>2700333</v>
      </c>
      <c r="DM1391" s="4">
        <v>6399980</v>
      </c>
      <c r="DN1391" s="4" t="s">
        <v>4142</v>
      </c>
      <c r="DO1391" s="4"/>
      <c r="DP1391" s="4" t="s">
        <v>4143</v>
      </c>
      <c r="DQ1391" s="4" t="s">
        <v>148</v>
      </c>
      <c r="DR1391" s="4"/>
      <c r="DS1391" s="4"/>
      <c r="DT1391" s="5">
        <v>42292</v>
      </c>
      <c r="DU1391" s="4"/>
      <c r="DV1391" s="4"/>
      <c r="DW1391" s="4"/>
      <c r="DX1391" s="4"/>
      <c r="DY1391" s="4"/>
      <c r="DZ1391" s="4"/>
      <c r="EA1391" s="4"/>
      <c r="EB1391" s="4"/>
      <c r="EC1391" s="4"/>
      <c r="ED1391" s="4"/>
      <c r="EE1391" s="4"/>
      <c r="EF1391" s="4"/>
      <c r="EG1391" s="5">
        <v>41506</v>
      </c>
      <c r="EH1391" s="5">
        <v>41502</v>
      </c>
      <c r="EI1391" s="5">
        <v>40981</v>
      </c>
    </row>
    <row r="1392" spans="1:139" hidden="1" x14ac:dyDescent="0.2">
      <c r="A1392">
        <f>VLOOKUP(B1392,Sheet1!$A$1:$B$18,2,FALSE)</f>
        <v>0</v>
      </c>
      <c r="B1392" t="str">
        <f>LEFT(D1392,3)</f>
        <v>WKT</v>
      </c>
      <c r="C1392" s="2">
        <v>1391</v>
      </c>
      <c r="D1392" s="3" t="str">
        <f>HYPERLINK("https://sitebase.nzcomms.co.nz/spm/spmnominalview/WKT-013-008/","WKT-013-008")</f>
        <v>WKT-013-008</v>
      </c>
      <c r="E1392" s="4" t="s">
        <v>4144</v>
      </c>
      <c r="F1392" s="3" t="str">
        <f>HYPERLINK("https://sitebase.nzcomms.co.nz/spm/spmcandidateview/WKT-013-008-D/","WKT-013-008-D")</f>
        <v>WKT-013-008-D</v>
      </c>
      <c r="G1392" s="4" t="s">
        <v>4145</v>
      </c>
      <c r="H1392" s="4" t="s">
        <v>4128</v>
      </c>
      <c r="I1392" s="4">
        <v>1</v>
      </c>
      <c r="J1392" s="4" t="s">
        <v>180</v>
      </c>
      <c r="K1392" s="4" t="s">
        <v>141</v>
      </c>
      <c r="L1392" s="4" t="s">
        <v>142</v>
      </c>
      <c r="M1392" s="4" t="s">
        <v>190</v>
      </c>
      <c r="N1392" s="4" t="s">
        <v>142</v>
      </c>
      <c r="O1392" s="4"/>
      <c r="P1392" s="4" t="s">
        <v>169</v>
      </c>
      <c r="Q1392" s="4" t="s">
        <v>142</v>
      </c>
      <c r="R1392" s="4"/>
      <c r="S1392" s="4"/>
      <c r="T1392" s="4">
        <v>1</v>
      </c>
      <c r="U1392" s="4">
        <v>-37.78795727</v>
      </c>
      <c r="V1392" s="4">
        <v>175.16856371</v>
      </c>
      <c r="W1392" s="4"/>
      <c r="X1392" s="5">
        <v>40695</v>
      </c>
      <c r="Y1392" s="4"/>
      <c r="Z1392" s="5">
        <v>40695</v>
      </c>
      <c r="AA1392" s="4" t="s">
        <v>145</v>
      </c>
      <c r="AB1392" s="3" t="str">
        <f>HYPERLINK("https://sitebase.nzcomms.co.nz/spm/spmcandidateview/WKT-016-023-B/","WKT-016-023-B")</f>
        <v>WKT-016-023-B</v>
      </c>
      <c r="AC1392" s="4" t="b">
        <v>1</v>
      </c>
      <c r="AD1392" s="4" t="b">
        <v>1</v>
      </c>
      <c r="AE1392" s="5">
        <v>40695</v>
      </c>
      <c r="AF1392" s="4"/>
      <c r="AG1392" s="4" t="b">
        <v>1</v>
      </c>
      <c r="AH1392" s="4"/>
      <c r="AI1392" s="5">
        <v>40739</v>
      </c>
      <c r="AJ1392" s="5">
        <v>40739</v>
      </c>
      <c r="AK1392" s="5">
        <v>40732</v>
      </c>
      <c r="AL1392" s="5">
        <v>40732</v>
      </c>
      <c r="AM1392" s="5">
        <v>40750</v>
      </c>
      <c r="AN1392" s="5">
        <v>40749</v>
      </c>
      <c r="AO1392" s="4">
        <v>1</v>
      </c>
      <c r="AP1392" s="5">
        <v>40750</v>
      </c>
      <c r="AQ1392" s="5">
        <v>40749</v>
      </c>
      <c r="AR1392" s="5">
        <v>40767</v>
      </c>
      <c r="AS1392" s="5">
        <v>40759</v>
      </c>
      <c r="AT1392" s="5">
        <v>40886</v>
      </c>
      <c r="AU1392" s="5">
        <v>40947</v>
      </c>
      <c r="AV1392" s="4"/>
      <c r="AW1392" s="5">
        <v>40893</v>
      </c>
      <c r="AX1392" s="5">
        <v>40947</v>
      </c>
      <c r="AY1392" s="4" t="s">
        <v>247</v>
      </c>
      <c r="AZ1392" s="5">
        <v>40760</v>
      </c>
      <c r="BA1392" s="5">
        <v>40758</v>
      </c>
      <c r="BB1392" s="5">
        <v>40858</v>
      </c>
      <c r="BC1392" s="5">
        <v>40857</v>
      </c>
      <c r="BD1392" s="4">
        <v>1</v>
      </c>
      <c r="BE1392" s="5">
        <v>40864</v>
      </c>
      <c r="BF1392" s="5">
        <v>40861</v>
      </c>
      <c r="BG1392" s="4"/>
      <c r="BH1392" s="4"/>
      <c r="BI1392" s="5">
        <v>41018</v>
      </c>
      <c r="BJ1392" s="5">
        <v>41019</v>
      </c>
      <c r="BK1392" s="4">
        <v>2</v>
      </c>
      <c r="BL1392" s="4"/>
      <c r="BM1392" s="5">
        <v>41018</v>
      </c>
      <c r="BN1392" s="5">
        <v>41043</v>
      </c>
      <c r="BO1392" s="5">
        <v>41053</v>
      </c>
      <c r="BP1392" s="4"/>
      <c r="BQ1392" s="4"/>
      <c r="BR1392" s="4"/>
      <c r="BS1392" s="4"/>
      <c r="BT1392" s="5">
        <v>41046</v>
      </c>
      <c r="BU1392" s="5">
        <v>41037</v>
      </c>
      <c r="BV1392" s="5">
        <v>41058</v>
      </c>
      <c r="BW1392" s="5">
        <v>41040</v>
      </c>
      <c r="BX1392" s="5">
        <v>41052</v>
      </c>
      <c r="BY1392" s="5">
        <v>41061</v>
      </c>
      <c r="BZ1392" s="5">
        <v>41065</v>
      </c>
      <c r="CA1392" s="5">
        <v>41070</v>
      </c>
      <c r="CB1392" s="5">
        <v>41070</v>
      </c>
      <c r="CC1392" s="4"/>
      <c r="CD1392" s="4"/>
      <c r="CE1392" s="4"/>
      <c r="CF1392" s="4"/>
      <c r="CG1392" s="4"/>
      <c r="CH1392" s="4"/>
      <c r="CI1392" s="5">
        <v>41061</v>
      </c>
      <c r="CJ1392" s="4"/>
      <c r="CK1392" s="5">
        <v>41072</v>
      </c>
      <c r="CL1392" s="5">
        <v>41083</v>
      </c>
      <c r="CM1392" s="5">
        <v>41081</v>
      </c>
      <c r="CN1392" s="5">
        <v>41404</v>
      </c>
      <c r="CO1392" s="5">
        <v>41395</v>
      </c>
      <c r="CP1392" s="4" t="s">
        <v>4146</v>
      </c>
      <c r="CQ1392" s="4" t="s">
        <v>230</v>
      </c>
      <c r="CR1392" s="5">
        <v>41062</v>
      </c>
      <c r="CS1392" s="5">
        <v>41030</v>
      </c>
      <c r="CT1392" s="5">
        <v>41030</v>
      </c>
      <c r="CU1392" s="5">
        <v>41053</v>
      </c>
      <c r="CV1392" s="5">
        <v>41053</v>
      </c>
      <c r="CW1392" s="5">
        <v>41054</v>
      </c>
      <c r="CX1392" s="5">
        <v>41053</v>
      </c>
      <c r="CY1392" s="5">
        <v>41059</v>
      </c>
      <c r="CZ1392" s="5">
        <v>41057</v>
      </c>
      <c r="DA1392" s="4"/>
      <c r="DB1392" s="5">
        <v>41072</v>
      </c>
      <c r="DC1392" s="4"/>
      <c r="DD1392" s="4"/>
      <c r="DE1392" s="4" t="s">
        <v>4147</v>
      </c>
      <c r="DF1392" s="5">
        <v>41070</v>
      </c>
      <c r="DG1392" s="5">
        <v>41070</v>
      </c>
      <c r="DH1392" s="4" t="s">
        <v>174</v>
      </c>
      <c r="DI1392" s="5">
        <v>41051</v>
      </c>
      <c r="DJ1392" s="4" t="b">
        <v>0</v>
      </c>
      <c r="DK1392" s="4"/>
      <c r="DL1392" s="4">
        <v>2701199</v>
      </c>
      <c r="DM1392" s="4">
        <v>6377140</v>
      </c>
      <c r="DN1392" s="4" t="s">
        <v>4148</v>
      </c>
      <c r="DO1392" s="4"/>
      <c r="DP1392" s="4" t="s">
        <v>4149</v>
      </c>
      <c r="DQ1392" s="4" t="s">
        <v>148</v>
      </c>
      <c r="DR1392" s="4"/>
      <c r="DS1392" s="4"/>
      <c r="DT1392" s="4"/>
      <c r="DU1392" s="4"/>
      <c r="DV1392" s="4"/>
      <c r="DW1392" s="4"/>
      <c r="DX1392" s="4"/>
      <c r="DY1392" s="4"/>
      <c r="DZ1392" s="4"/>
      <c r="EA1392" s="4"/>
      <c r="EB1392" s="4"/>
      <c r="EC1392" s="4"/>
      <c r="ED1392" s="4"/>
      <c r="EE1392" s="4"/>
      <c r="EF1392" s="4"/>
      <c r="EG1392" s="5">
        <v>41071</v>
      </c>
      <c r="EH1392" s="5">
        <v>41072</v>
      </c>
      <c r="EI1392" s="5">
        <v>40732</v>
      </c>
    </row>
    <row r="1393" spans="1:139" hidden="1" x14ac:dyDescent="0.2">
      <c r="A1393">
        <f>VLOOKUP(B1393,Sheet1!$A$1:$B$18,2,FALSE)</f>
        <v>0</v>
      </c>
      <c r="B1393" t="str">
        <f>LEFT(D1393,3)</f>
        <v>WKT</v>
      </c>
      <c r="C1393" s="2">
        <v>1392</v>
      </c>
      <c r="D1393" s="3" t="str">
        <f>HYPERLINK("https://sitebase.nzcomms.co.nz/spm/spmnominalview/WKT-013-009/","WKT-013-009")</f>
        <v>WKT-013-009</v>
      </c>
      <c r="E1393" s="4" t="s">
        <v>4150</v>
      </c>
      <c r="F1393" s="3" t="str">
        <f>HYPERLINK("https://sitebase.nzcomms.co.nz/spm/spmcandidateview/WKT-013-009-C/","WKT-013-009-C")</f>
        <v>WKT-013-009-C</v>
      </c>
      <c r="G1393" s="4" t="s">
        <v>4150</v>
      </c>
      <c r="H1393" s="4" t="s">
        <v>4128</v>
      </c>
      <c r="I1393" s="4">
        <v>6</v>
      </c>
      <c r="J1393" s="4" t="s">
        <v>584</v>
      </c>
      <c r="K1393" s="4" t="s">
        <v>141</v>
      </c>
      <c r="L1393" s="4" t="s">
        <v>150</v>
      </c>
      <c r="M1393" s="4" t="s">
        <v>190</v>
      </c>
      <c r="N1393" s="4" t="s">
        <v>1572</v>
      </c>
      <c r="O1393" s="4" t="s">
        <v>168</v>
      </c>
      <c r="P1393" s="4" t="s">
        <v>169</v>
      </c>
      <c r="Q1393" s="4" t="s">
        <v>170</v>
      </c>
      <c r="R1393" s="4"/>
      <c r="S1393" s="4"/>
      <c r="T1393" s="4">
        <v>1</v>
      </c>
      <c r="U1393" s="4">
        <v>-37.829903719999997</v>
      </c>
      <c r="V1393" s="4">
        <v>174.85022239</v>
      </c>
      <c r="W1393" s="4"/>
      <c r="X1393" s="4"/>
      <c r="Y1393" s="4"/>
      <c r="Z1393" s="4"/>
      <c r="AA1393" s="4" t="s">
        <v>171</v>
      </c>
      <c r="AB1393" s="3" t="str">
        <f>HYPERLINK("https://sitebase.nzcomms.co.nz/spm/spmcandidateview/WKT-013-032-A/","WKT-013-032-A")</f>
        <v>WKT-013-032-A</v>
      </c>
      <c r="AC1393" s="4" t="b">
        <v>0</v>
      </c>
      <c r="AD1393" s="4" t="b">
        <v>0</v>
      </c>
      <c r="AE1393" s="4"/>
      <c r="AF1393" s="4"/>
      <c r="AG1393" s="4" t="b">
        <v>0</v>
      </c>
      <c r="AH1393" s="4"/>
      <c r="AI1393" s="5">
        <v>41074</v>
      </c>
      <c r="AJ1393" s="5">
        <v>41038</v>
      </c>
      <c r="AK1393" s="5">
        <v>41080</v>
      </c>
      <c r="AL1393" s="5">
        <v>41078</v>
      </c>
      <c r="AM1393" s="5">
        <v>41110</v>
      </c>
      <c r="AN1393" s="5">
        <v>41123</v>
      </c>
      <c r="AO1393" s="4">
        <v>1</v>
      </c>
      <c r="AP1393" s="5">
        <v>41110</v>
      </c>
      <c r="AQ1393" s="5">
        <v>41123</v>
      </c>
      <c r="AR1393" s="5">
        <v>41141</v>
      </c>
      <c r="AS1393" s="5">
        <v>41137</v>
      </c>
      <c r="AT1393" s="5">
        <v>41180</v>
      </c>
      <c r="AU1393" s="5">
        <v>41173</v>
      </c>
      <c r="AV1393" s="4">
        <v>1</v>
      </c>
      <c r="AW1393" s="5">
        <v>41187</v>
      </c>
      <c r="AX1393" s="5">
        <v>41227</v>
      </c>
      <c r="AY1393" s="4" t="s">
        <v>247</v>
      </c>
      <c r="AZ1393" s="5">
        <v>41179</v>
      </c>
      <c r="BA1393" s="5">
        <v>41183</v>
      </c>
      <c r="BB1393" s="5">
        <v>41220</v>
      </c>
      <c r="BC1393" s="5">
        <v>41218</v>
      </c>
      <c r="BD1393" s="4">
        <v>1</v>
      </c>
      <c r="BE1393" s="5">
        <v>41227</v>
      </c>
      <c r="BF1393" s="5">
        <v>41225</v>
      </c>
      <c r="BG1393" s="5">
        <v>41775</v>
      </c>
      <c r="BH1393" s="4"/>
      <c r="BI1393" s="5">
        <v>41817</v>
      </c>
      <c r="BJ1393" s="5">
        <v>41813</v>
      </c>
      <c r="BK1393" s="4">
        <v>1</v>
      </c>
      <c r="BL1393" s="4"/>
      <c r="BM1393" s="5">
        <v>41817</v>
      </c>
      <c r="BN1393" s="5">
        <v>41813</v>
      </c>
      <c r="BO1393" s="4"/>
      <c r="BP1393" s="4"/>
      <c r="BQ1393" s="4"/>
      <c r="BR1393" s="4"/>
      <c r="BS1393" s="4"/>
      <c r="BT1393" s="5">
        <v>41841</v>
      </c>
      <c r="BU1393" s="5">
        <v>41841</v>
      </c>
      <c r="BV1393" s="5">
        <v>41866</v>
      </c>
      <c r="BW1393" s="5">
        <v>41873</v>
      </c>
      <c r="BX1393" s="5">
        <v>41873</v>
      </c>
      <c r="BY1393" s="4"/>
      <c r="BZ1393" s="5">
        <v>41883</v>
      </c>
      <c r="CA1393" s="4"/>
      <c r="CB1393" s="5">
        <v>41883</v>
      </c>
      <c r="CC1393" s="4"/>
      <c r="CD1393" s="4"/>
      <c r="CE1393" s="4"/>
      <c r="CF1393" s="4"/>
      <c r="CG1393" s="4"/>
      <c r="CH1393" s="4"/>
      <c r="CI1393" s="4"/>
      <c r="CJ1393" s="5">
        <v>41908</v>
      </c>
      <c r="CK1393" s="5">
        <v>41904</v>
      </c>
      <c r="CL1393" s="4"/>
      <c r="CM1393" s="4"/>
      <c r="CN1393" s="4"/>
      <c r="CO1393" s="4"/>
      <c r="CP1393" s="4" t="s">
        <v>4151</v>
      </c>
      <c r="CQ1393" s="4"/>
      <c r="CR1393" s="4"/>
      <c r="CS1393" s="4"/>
      <c r="CT1393" s="4"/>
      <c r="CU1393" s="4"/>
      <c r="CV1393" s="4"/>
      <c r="CW1393" s="4"/>
      <c r="CX1393" s="4"/>
      <c r="CY1393" s="4"/>
      <c r="CZ1393" s="4"/>
      <c r="DA1393" s="5">
        <v>41898</v>
      </c>
      <c r="DB1393" s="5">
        <v>41898</v>
      </c>
      <c r="DC1393" s="4"/>
      <c r="DD1393" s="4"/>
      <c r="DE1393" s="4" t="s">
        <v>4152</v>
      </c>
      <c r="DF1393" s="4"/>
      <c r="DG1393" s="4"/>
      <c r="DH1393" s="4" t="s">
        <v>174</v>
      </c>
      <c r="DI1393" s="4"/>
      <c r="DJ1393" s="4" t="b">
        <v>0</v>
      </c>
      <c r="DK1393" s="4"/>
      <c r="DL1393" s="4">
        <v>2673070</v>
      </c>
      <c r="DM1393" s="4">
        <v>6373131</v>
      </c>
      <c r="DN1393" s="4" t="s">
        <v>4153</v>
      </c>
      <c r="DO1393" s="4"/>
      <c r="DP1393" s="4" t="s">
        <v>4154</v>
      </c>
      <c r="DQ1393" s="4" t="s">
        <v>148</v>
      </c>
      <c r="DR1393" s="4"/>
      <c r="DS1393" s="4"/>
      <c r="DT1393" s="4"/>
      <c r="DU1393" s="4"/>
      <c r="DV1393" s="4"/>
      <c r="DW1393" s="4"/>
      <c r="DX1393" s="4"/>
      <c r="DY1393" s="5">
        <v>41834</v>
      </c>
      <c r="DZ1393" s="5">
        <v>41834</v>
      </c>
      <c r="EA1393" s="4"/>
      <c r="EB1393" s="4"/>
      <c r="EC1393" s="4"/>
      <c r="ED1393" s="4"/>
      <c r="EE1393" s="4"/>
      <c r="EF1393" s="4"/>
      <c r="EG1393" s="4"/>
      <c r="EH1393" s="4"/>
      <c r="EI1393" s="5">
        <v>41078</v>
      </c>
    </row>
    <row r="1394" spans="1:139" hidden="1" x14ac:dyDescent="0.2">
      <c r="A1394">
        <f>VLOOKUP(B1394,Sheet1!$A$1:$B$18,2,FALSE)</f>
        <v>0</v>
      </c>
      <c r="B1394" t="str">
        <f>LEFT(D1394,3)</f>
        <v>WKT</v>
      </c>
      <c r="C1394" s="2">
        <v>1393</v>
      </c>
      <c r="D1394" s="3" t="str">
        <f>HYPERLINK("https://sitebase.nzcomms.co.nz/spm/spmnominalview/WKT-013-010/","WKT-013-010")</f>
        <v>WKT-013-010</v>
      </c>
      <c r="E1394" s="4" t="s">
        <v>4155</v>
      </c>
      <c r="F1394" s="3" t="str">
        <f>HYPERLINK("https://sitebase.nzcomms.co.nz/spm/spmcandidateview/WKT-013-010-A/","WKT-013-010-A")</f>
        <v>WKT-013-010-A</v>
      </c>
      <c r="G1394" s="4" t="s">
        <v>4156</v>
      </c>
      <c r="H1394" s="4" t="s">
        <v>4128</v>
      </c>
      <c r="I1394" s="4">
        <v>22</v>
      </c>
      <c r="J1394" s="4" t="s">
        <v>165</v>
      </c>
      <c r="K1394" s="4" t="s">
        <v>141</v>
      </c>
      <c r="L1394" s="4" t="s">
        <v>150</v>
      </c>
      <c r="M1394" s="4" t="s">
        <v>190</v>
      </c>
      <c r="N1394" s="4" t="s">
        <v>224</v>
      </c>
      <c r="O1394" s="4"/>
      <c r="P1394" s="4"/>
      <c r="Q1394" s="4" t="s">
        <v>170</v>
      </c>
      <c r="R1394" s="4">
        <v>10</v>
      </c>
      <c r="S1394" s="4">
        <v>10</v>
      </c>
      <c r="T1394" s="4">
        <v>1</v>
      </c>
      <c r="U1394" s="4">
        <v>-37.614798759999999</v>
      </c>
      <c r="V1394" s="4">
        <v>175.17613101000001</v>
      </c>
      <c r="W1394" s="4"/>
      <c r="X1394" s="4"/>
      <c r="Y1394" s="4"/>
      <c r="Z1394" s="4"/>
      <c r="AA1394" s="4" t="s">
        <v>171</v>
      </c>
      <c r="AB1394" s="3" t="str">
        <f>HYPERLINK("https://sitebase.nzcomms.co.nz/spm/spmcandidateview/WKT-016-023-B/","WKT-016-023-B")</f>
        <v>WKT-016-023-B</v>
      </c>
      <c r="AC1394" s="4" t="b">
        <v>0</v>
      </c>
      <c r="AD1394" s="4" t="b">
        <v>0</v>
      </c>
      <c r="AE1394" s="4"/>
      <c r="AF1394" s="4"/>
      <c r="AG1394" s="4" t="b">
        <v>0</v>
      </c>
      <c r="AH1394" s="4"/>
      <c r="AI1394" s="5">
        <v>40975</v>
      </c>
      <c r="AJ1394" s="5">
        <v>40975</v>
      </c>
      <c r="AK1394" s="5">
        <v>40981</v>
      </c>
      <c r="AL1394" s="5">
        <v>40981</v>
      </c>
      <c r="AM1394" s="5">
        <v>40995</v>
      </c>
      <c r="AN1394" s="5">
        <v>39741</v>
      </c>
      <c r="AO1394" s="4">
        <v>3</v>
      </c>
      <c r="AP1394" s="5">
        <v>40996</v>
      </c>
      <c r="AQ1394" s="5">
        <v>41016</v>
      </c>
      <c r="AR1394" s="5">
        <v>39888</v>
      </c>
      <c r="AS1394" s="5">
        <v>39888</v>
      </c>
      <c r="AT1394" s="5">
        <v>39888</v>
      </c>
      <c r="AU1394" s="5">
        <v>39888</v>
      </c>
      <c r="AV1394" s="4">
        <v>2</v>
      </c>
      <c r="AW1394" s="5">
        <v>41089</v>
      </c>
      <c r="AX1394" s="5">
        <v>41143</v>
      </c>
      <c r="AY1394" s="4" t="s">
        <v>247</v>
      </c>
      <c r="AZ1394" s="5">
        <v>41038</v>
      </c>
      <c r="BA1394" s="5">
        <v>41045</v>
      </c>
      <c r="BB1394" s="5">
        <v>41095</v>
      </c>
      <c r="BC1394" s="5">
        <v>41075</v>
      </c>
      <c r="BD1394" s="4">
        <v>3</v>
      </c>
      <c r="BE1394" s="5">
        <v>41102</v>
      </c>
      <c r="BF1394" s="5">
        <v>41075</v>
      </c>
      <c r="BG1394" s="5">
        <v>42025</v>
      </c>
      <c r="BH1394" s="5">
        <v>42025</v>
      </c>
      <c r="BI1394" s="5">
        <v>42076</v>
      </c>
      <c r="BJ1394" s="5">
        <v>42086</v>
      </c>
      <c r="BK1394" s="4">
        <v>1</v>
      </c>
      <c r="BL1394" s="4"/>
      <c r="BM1394" s="5">
        <v>42083</v>
      </c>
      <c r="BN1394" s="5">
        <v>42086</v>
      </c>
      <c r="BO1394" s="4"/>
      <c r="BP1394" s="4"/>
      <c r="BQ1394" s="4"/>
      <c r="BR1394" s="4"/>
      <c r="BS1394" s="4"/>
      <c r="BT1394" s="5">
        <v>42135</v>
      </c>
      <c r="BU1394" s="5">
        <v>42143</v>
      </c>
      <c r="BV1394" s="5">
        <v>42209</v>
      </c>
      <c r="BW1394" s="5">
        <v>42209</v>
      </c>
      <c r="BX1394" s="5">
        <v>42179</v>
      </c>
      <c r="BY1394" s="5">
        <v>42195</v>
      </c>
      <c r="BZ1394" s="5">
        <v>42201</v>
      </c>
      <c r="CA1394" s="4"/>
      <c r="CB1394" s="4"/>
      <c r="CC1394" s="4"/>
      <c r="CD1394" s="4"/>
      <c r="CE1394" s="4"/>
      <c r="CF1394" s="4"/>
      <c r="CG1394" s="4"/>
      <c r="CH1394" s="4"/>
      <c r="CI1394" s="5">
        <v>42215</v>
      </c>
      <c r="CJ1394" s="5">
        <v>42230</v>
      </c>
      <c r="CK1394" s="5">
        <v>42222</v>
      </c>
      <c r="CL1394" s="4"/>
      <c r="CM1394" s="5">
        <v>42244</v>
      </c>
      <c r="CN1394" s="4"/>
      <c r="CO1394" s="4"/>
      <c r="CP1394" s="4" t="s">
        <v>4157</v>
      </c>
      <c r="CQ1394" s="4"/>
      <c r="CR1394" s="5">
        <v>42193</v>
      </c>
      <c r="CS1394" s="4"/>
      <c r="CT1394" s="4"/>
      <c r="CU1394" s="4"/>
      <c r="CV1394" s="4"/>
      <c r="CW1394" s="4"/>
      <c r="CX1394" s="4"/>
      <c r="CY1394" s="4"/>
      <c r="CZ1394" s="4"/>
      <c r="DA1394" s="5">
        <v>42219</v>
      </c>
      <c r="DB1394" s="5">
        <v>42214</v>
      </c>
      <c r="DC1394" s="4"/>
      <c r="DD1394" s="4"/>
      <c r="DE1394" s="4" t="s">
        <v>4133</v>
      </c>
      <c r="DF1394" s="4"/>
      <c r="DG1394" s="4"/>
      <c r="DH1394" s="4" t="s">
        <v>174</v>
      </c>
      <c r="DI1394" s="5">
        <v>42181</v>
      </c>
      <c r="DJ1394" s="4" t="b">
        <v>0</v>
      </c>
      <c r="DK1394" s="4"/>
      <c r="DL1394" s="4">
        <v>2702342</v>
      </c>
      <c r="DM1394" s="4">
        <v>6396334</v>
      </c>
      <c r="DN1394" s="4" t="s">
        <v>4158</v>
      </c>
      <c r="DO1394" s="4"/>
      <c r="DP1394" s="4" t="s">
        <v>4159</v>
      </c>
      <c r="DQ1394" s="4" t="s">
        <v>148</v>
      </c>
      <c r="DR1394" s="4"/>
      <c r="DS1394" s="4"/>
      <c r="DT1394" s="4"/>
      <c r="DU1394" s="4" t="s">
        <v>178</v>
      </c>
      <c r="DV1394" s="4"/>
      <c r="DW1394" s="5">
        <v>42076</v>
      </c>
      <c r="DX1394" s="5">
        <v>42072</v>
      </c>
      <c r="DY1394" s="5">
        <v>42089</v>
      </c>
      <c r="DZ1394" s="5">
        <v>42093</v>
      </c>
      <c r="EA1394" s="4"/>
      <c r="EB1394" s="4"/>
      <c r="EC1394" s="4"/>
      <c r="ED1394" s="4"/>
      <c r="EE1394" s="4"/>
      <c r="EF1394" s="5">
        <v>42131</v>
      </c>
      <c r="EG1394" s="5">
        <v>42209</v>
      </c>
      <c r="EH1394" s="4"/>
      <c r="EI1394" s="5">
        <v>40981</v>
      </c>
    </row>
    <row r="1395" spans="1:139" hidden="1" x14ac:dyDescent="0.2">
      <c r="A1395">
        <f>VLOOKUP(B1395,Sheet1!$A$1:$B$18,2,FALSE)</f>
        <v>0</v>
      </c>
      <c r="B1395" t="str">
        <f>LEFT(D1395,3)</f>
        <v>WKT</v>
      </c>
      <c r="C1395" s="2">
        <v>1394</v>
      </c>
      <c r="D1395" s="3" t="str">
        <f>HYPERLINK("https://sitebase.nzcomms.co.nz/spm/spmnominalview/WKT-013-011/","WKT-013-011")</f>
        <v>WKT-013-011</v>
      </c>
      <c r="E1395" s="4"/>
      <c r="F1395" s="4"/>
      <c r="G1395" s="4"/>
      <c r="H1395" s="4" t="s">
        <v>4128</v>
      </c>
      <c r="I1395" s="4"/>
      <c r="J1395" s="4" t="s">
        <v>196</v>
      </c>
      <c r="K1395" s="4"/>
      <c r="L1395" s="4"/>
      <c r="M1395" s="4"/>
      <c r="N1395" s="4"/>
      <c r="O1395" s="4"/>
      <c r="P1395" s="4"/>
      <c r="Q1395" s="4"/>
      <c r="R1395" s="4"/>
      <c r="S1395" s="4"/>
      <c r="T1395" s="4"/>
      <c r="U1395" s="4"/>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c r="AT1395" s="4"/>
      <c r="AU1395" s="4"/>
      <c r="AV1395" s="4"/>
      <c r="AW1395" s="4"/>
      <c r="AX1395" s="4"/>
      <c r="AY1395" s="4"/>
      <c r="AZ1395" s="4"/>
      <c r="BA1395" s="4"/>
      <c r="BB1395" s="4"/>
      <c r="BC1395" s="4"/>
      <c r="BD1395" s="4"/>
      <c r="BE1395" s="4"/>
      <c r="BF1395" s="4"/>
      <c r="BG1395" s="4"/>
      <c r="BH1395" s="4"/>
      <c r="BI1395" s="4"/>
      <c r="BJ1395" s="4"/>
      <c r="BK1395" s="4"/>
      <c r="BL1395" s="4"/>
      <c r="BM1395" s="4"/>
      <c r="BN1395" s="4"/>
      <c r="BO1395" s="4"/>
      <c r="BP1395" s="4"/>
      <c r="BQ1395" s="4"/>
      <c r="BR1395" s="4"/>
      <c r="BS1395" s="4"/>
      <c r="BT1395" s="4"/>
      <c r="BU1395" s="4"/>
      <c r="BV1395" s="4"/>
      <c r="BW1395" s="4"/>
      <c r="BX1395" s="4"/>
      <c r="BY1395" s="4"/>
      <c r="BZ1395" s="4"/>
      <c r="CA1395" s="4"/>
      <c r="CB1395" s="4"/>
      <c r="CC1395" s="4"/>
      <c r="CD1395" s="4"/>
      <c r="CE1395" s="4"/>
      <c r="CF1395" s="4"/>
      <c r="CG1395" s="4"/>
      <c r="CH1395" s="4"/>
      <c r="CI1395" s="4"/>
      <c r="CJ1395" s="4"/>
      <c r="CK1395" s="4"/>
      <c r="CL1395" s="4"/>
      <c r="CM1395" s="4"/>
      <c r="CN1395" s="4"/>
      <c r="CO1395" s="4"/>
      <c r="CP1395" s="4"/>
      <c r="CQ1395" s="4"/>
      <c r="CR1395" s="4"/>
      <c r="CS1395" s="4"/>
      <c r="CT1395" s="4"/>
      <c r="CU1395" s="4"/>
      <c r="CV1395" s="4"/>
      <c r="CW1395" s="4"/>
      <c r="CX1395" s="4"/>
      <c r="CY1395" s="4"/>
      <c r="CZ1395" s="4"/>
      <c r="DA1395" s="4"/>
      <c r="DB1395" s="4"/>
      <c r="DC1395" s="4"/>
      <c r="DD1395" s="4"/>
      <c r="DE1395" s="4"/>
      <c r="DF1395" s="4"/>
      <c r="DG1395" s="4"/>
      <c r="DH1395" s="4"/>
      <c r="DI1395" s="4"/>
      <c r="DJ1395" s="4"/>
      <c r="DK1395" s="4"/>
      <c r="DL1395" s="4"/>
      <c r="DM1395" s="4"/>
      <c r="DN1395" s="4"/>
      <c r="DO1395" s="4"/>
      <c r="DP1395" s="4"/>
      <c r="DQ1395" s="4"/>
      <c r="DR1395" s="4"/>
      <c r="DS1395" s="4"/>
      <c r="DT1395" s="4"/>
      <c r="DU1395" s="4"/>
      <c r="DV1395" s="4"/>
      <c r="DW1395" s="4"/>
      <c r="DX1395" s="4"/>
      <c r="DY1395" s="4"/>
      <c r="DZ1395" s="4"/>
      <c r="EA1395" s="4"/>
      <c r="EB1395" s="4"/>
      <c r="EC1395" s="4"/>
      <c r="ED1395" s="4"/>
      <c r="EE1395" s="4"/>
      <c r="EF1395" s="4"/>
      <c r="EG1395" s="4"/>
      <c r="EH1395" s="4"/>
      <c r="EI1395" s="4"/>
    </row>
    <row r="1396" spans="1:139" hidden="1" x14ac:dyDescent="0.2">
      <c r="A1396">
        <f>VLOOKUP(B1396,Sheet1!$A$1:$B$18,2,FALSE)</f>
        <v>0</v>
      </c>
      <c r="B1396" t="str">
        <f>LEFT(D1396,3)</f>
        <v>WKT</v>
      </c>
      <c r="C1396" s="2">
        <v>1395</v>
      </c>
      <c r="D1396" s="3" t="str">
        <f>HYPERLINK("https://sitebase.nzcomms.co.nz/spm/spmnominalview/WKT-013-012/","WKT-013-012")</f>
        <v>WKT-013-012</v>
      </c>
      <c r="E1396" s="4" t="s">
        <v>4160</v>
      </c>
      <c r="F1396" s="3" t="str">
        <f>HYPERLINK("https://sitebase.nzcomms.co.nz/spm/spmcandidateview/WKT-013-012-A/","WKT-013-012-A")</f>
        <v>WKT-013-012-A</v>
      </c>
      <c r="G1396" s="4" t="s">
        <v>4161</v>
      </c>
      <c r="H1396" s="4" t="s">
        <v>4128</v>
      </c>
      <c r="I1396" s="4"/>
      <c r="J1396" s="4" t="s">
        <v>331</v>
      </c>
      <c r="K1396" s="4" t="s">
        <v>141</v>
      </c>
      <c r="L1396" s="4" t="s">
        <v>150</v>
      </c>
      <c r="M1396" s="4" t="s">
        <v>190</v>
      </c>
      <c r="N1396" s="4" t="s">
        <v>730</v>
      </c>
      <c r="O1396" s="4"/>
      <c r="P1396" s="4" t="s">
        <v>169</v>
      </c>
      <c r="Q1396" s="4" t="s">
        <v>192</v>
      </c>
      <c r="R1396" s="4">
        <v>25</v>
      </c>
      <c r="S1396" s="4">
        <v>25</v>
      </c>
      <c r="T1396" s="4">
        <v>1</v>
      </c>
      <c r="U1396" s="4">
        <v>-37.703509449999999</v>
      </c>
      <c r="V1396" s="4">
        <v>175.19810902</v>
      </c>
      <c r="W1396" s="4"/>
      <c r="X1396" s="4"/>
      <c r="Y1396" s="4"/>
      <c r="Z1396" s="4"/>
      <c r="AA1396" s="4" t="s">
        <v>171</v>
      </c>
      <c r="AB1396" s="3" t="str">
        <f>HYPERLINK("https://sitebase.nzcomms.co.nz/spm/spmcandidateview/WKT-016-023-B/","WKT-016-023-B")</f>
        <v>WKT-016-023-B</v>
      </c>
      <c r="AC1396" s="4" t="b">
        <v>0</v>
      </c>
      <c r="AD1396" s="4" t="b">
        <v>0</v>
      </c>
      <c r="AE1396" s="4"/>
      <c r="AF1396" s="4"/>
      <c r="AG1396" s="4" t="b">
        <v>0</v>
      </c>
      <c r="AH1396" s="4"/>
      <c r="AI1396" s="5">
        <v>41074</v>
      </c>
      <c r="AJ1396" s="5">
        <v>41074</v>
      </c>
      <c r="AK1396" s="5">
        <v>41078</v>
      </c>
      <c r="AL1396" s="5">
        <v>41078</v>
      </c>
      <c r="AM1396" s="5">
        <v>41106</v>
      </c>
      <c r="AN1396" s="5">
        <v>41128</v>
      </c>
      <c r="AO1396" s="4">
        <v>2</v>
      </c>
      <c r="AP1396" s="5">
        <v>41106</v>
      </c>
      <c r="AQ1396" s="5">
        <v>41150</v>
      </c>
      <c r="AR1396" s="5">
        <v>41152</v>
      </c>
      <c r="AS1396" s="5">
        <v>41164</v>
      </c>
      <c r="AT1396" s="5">
        <v>41222</v>
      </c>
      <c r="AU1396" s="5">
        <v>41221</v>
      </c>
      <c r="AV1396" s="4">
        <v>1</v>
      </c>
      <c r="AW1396" s="5">
        <v>41222</v>
      </c>
      <c r="AX1396" s="5">
        <v>41221</v>
      </c>
      <c r="AY1396" s="4" t="s">
        <v>183</v>
      </c>
      <c r="AZ1396" s="5">
        <v>41184</v>
      </c>
      <c r="BA1396" s="5">
        <v>41187</v>
      </c>
      <c r="BB1396" s="5">
        <v>41213</v>
      </c>
      <c r="BC1396" s="5">
        <v>41219</v>
      </c>
      <c r="BD1396" s="4">
        <v>2</v>
      </c>
      <c r="BE1396" s="5">
        <v>41215</v>
      </c>
      <c r="BF1396" s="5">
        <v>41225</v>
      </c>
      <c r="BG1396" s="5">
        <v>42270</v>
      </c>
      <c r="BH1396" s="5">
        <v>42270</v>
      </c>
      <c r="BI1396" s="4"/>
      <c r="BJ1396" s="4"/>
      <c r="BK1396" s="4"/>
      <c r="BL1396" s="4"/>
      <c r="BM1396" s="4"/>
      <c r="BN1396" s="4"/>
      <c r="BO1396" s="4"/>
      <c r="BP1396" s="4"/>
      <c r="BQ1396" s="4"/>
      <c r="BR1396" s="4"/>
      <c r="BS1396" s="4"/>
      <c r="BT1396" s="4"/>
      <c r="BU1396" s="4"/>
      <c r="BV1396" s="4"/>
      <c r="BW1396" s="4"/>
      <c r="BX1396" s="4"/>
      <c r="BY1396" s="4"/>
      <c r="BZ1396" s="4"/>
      <c r="CA1396" s="4"/>
      <c r="CB1396" s="4"/>
      <c r="CC1396" s="4"/>
      <c r="CD1396" s="4"/>
      <c r="CE1396" s="4"/>
      <c r="CF1396" s="4"/>
      <c r="CG1396" s="4"/>
      <c r="CH1396" s="4"/>
      <c r="CI1396" s="4"/>
      <c r="CJ1396" s="4"/>
      <c r="CK1396" s="4"/>
      <c r="CL1396" s="4"/>
      <c r="CM1396" s="4"/>
      <c r="CN1396" s="4"/>
      <c r="CO1396" s="4"/>
      <c r="CP1396" s="4" t="s">
        <v>4162</v>
      </c>
      <c r="CQ1396" s="4"/>
      <c r="CR1396" s="4"/>
      <c r="CS1396" s="4"/>
      <c r="CT1396" s="4"/>
      <c r="CU1396" s="4"/>
      <c r="CV1396" s="4"/>
      <c r="CW1396" s="4"/>
      <c r="CX1396" s="4"/>
      <c r="CY1396" s="4"/>
      <c r="CZ1396" s="4"/>
      <c r="DA1396" s="4"/>
      <c r="DB1396" s="4"/>
      <c r="DC1396" s="4"/>
      <c r="DD1396" s="4"/>
      <c r="DE1396" s="4" t="s">
        <v>4133</v>
      </c>
      <c r="DF1396" s="4"/>
      <c r="DG1396" s="4"/>
      <c r="DH1396" s="4" t="s">
        <v>1521</v>
      </c>
      <c r="DI1396" s="4"/>
      <c r="DJ1396" s="4" t="b">
        <v>1</v>
      </c>
      <c r="DK1396" s="4"/>
      <c r="DL1396" s="4">
        <v>2704035</v>
      </c>
      <c r="DM1396" s="4">
        <v>6386444</v>
      </c>
      <c r="DN1396" s="4" t="s">
        <v>4163</v>
      </c>
      <c r="DO1396" s="4"/>
      <c r="DP1396" s="4" t="s">
        <v>4164</v>
      </c>
      <c r="DQ1396" s="4" t="s">
        <v>148</v>
      </c>
      <c r="DR1396" s="4" t="s">
        <v>255</v>
      </c>
      <c r="DS1396" s="4"/>
      <c r="DT1396" s="4"/>
      <c r="DU1396" s="4"/>
      <c r="DV1396" s="4"/>
      <c r="DW1396" s="4"/>
      <c r="DX1396" s="4"/>
      <c r="DY1396" s="4"/>
      <c r="DZ1396" s="4"/>
      <c r="EA1396" s="4"/>
      <c r="EB1396" s="4"/>
      <c r="EC1396" s="4"/>
      <c r="ED1396" s="4"/>
      <c r="EE1396" s="4"/>
      <c r="EF1396" s="4"/>
      <c r="EG1396" s="4"/>
      <c r="EH1396" s="4"/>
      <c r="EI1396" s="5">
        <v>39654</v>
      </c>
    </row>
    <row r="1397" spans="1:139" hidden="1" x14ac:dyDescent="0.2">
      <c r="A1397">
        <f>VLOOKUP(B1397,Sheet1!$A$1:$B$18,2,FALSE)</f>
        <v>0</v>
      </c>
      <c r="B1397" t="str">
        <f>LEFT(D1397,3)</f>
        <v>WKT</v>
      </c>
      <c r="C1397" s="2">
        <v>1396</v>
      </c>
      <c r="D1397" s="3" t="str">
        <f>HYPERLINK("https://sitebase.nzcomms.co.nz/spm/spmnominalview/WKT-013-013/","WKT-013-013")</f>
        <v>WKT-013-013</v>
      </c>
      <c r="E1397" s="4" t="s">
        <v>4165</v>
      </c>
      <c r="F1397" s="3" t="str">
        <f>HYPERLINK("https://sitebase.nzcomms.co.nz/spm/spmcandidateview/WKT-013-013-D/","WKT-013-013-D")</f>
        <v>WKT-013-013-D</v>
      </c>
      <c r="G1397" s="4" t="s">
        <v>4166</v>
      </c>
      <c r="H1397" s="4" t="s">
        <v>4128</v>
      </c>
      <c r="I1397" s="4">
        <v>1</v>
      </c>
      <c r="J1397" s="4" t="s">
        <v>180</v>
      </c>
      <c r="K1397" s="4" t="s">
        <v>141</v>
      </c>
      <c r="L1397" s="4" t="s">
        <v>142</v>
      </c>
      <c r="M1397" s="4" t="s">
        <v>190</v>
      </c>
      <c r="N1397" s="4" t="s">
        <v>142</v>
      </c>
      <c r="O1397" s="4"/>
      <c r="P1397" s="4" t="s">
        <v>169</v>
      </c>
      <c r="Q1397" s="4" t="s">
        <v>142</v>
      </c>
      <c r="R1397" s="4"/>
      <c r="S1397" s="4"/>
      <c r="T1397" s="4">
        <v>1</v>
      </c>
      <c r="U1397" s="4">
        <v>-37.684375770000003</v>
      </c>
      <c r="V1397" s="4">
        <v>175.28071206000001</v>
      </c>
      <c r="W1397" s="4"/>
      <c r="X1397" s="5">
        <v>40695</v>
      </c>
      <c r="Y1397" s="4"/>
      <c r="Z1397" s="5">
        <v>40695</v>
      </c>
      <c r="AA1397" s="4" t="s">
        <v>145</v>
      </c>
      <c r="AB1397" s="3" t="str">
        <f>HYPERLINK("https://sitebase.nzcomms.co.nz/spm/spmcandidateview/WKT-016-023-B/","WKT-016-023-B")</f>
        <v>WKT-016-023-B</v>
      </c>
      <c r="AC1397" s="4" t="b">
        <v>1</v>
      </c>
      <c r="AD1397" s="4" t="b">
        <v>1</v>
      </c>
      <c r="AE1397" s="5">
        <v>40695</v>
      </c>
      <c r="AF1397" s="4"/>
      <c r="AG1397" s="4" t="b">
        <v>1</v>
      </c>
      <c r="AH1397" s="4"/>
      <c r="AI1397" s="5">
        <v>40739</v>
      </c>
      <c r="AJ1397" s="5">
        <v>40732</v>
      </c>
      <c r="AK1397" s="5">
        <v>40732</v>
      </c>
      <c r="AL1397" s="5">
        <v>40732</v>
      </c>
      <c r="AM1397" s="5">
        <v>40750</v>
      </c>
      <c r="AN1397" s="5">
        <v>40749</v>
      </c>
      <c r="AO1397" s="4">
        <v>1</v>
      </c>
      <c r="AP1397" s="5">
        <v>40750</v>
      </c>
      <c r="AQ1397" s="5">
        <v>40749</v>
      </c>
      <c r="AR1397" s="5">
        <v>40778</v>
      </c>
      <c r="AS1397" s="5">
        <v>40780</v>
      </c>
      <c r="AT1397" s="5">
        <v>40816</v>
      </c>
      <c r="AU1397" s="5">
        <v>40778</v>
      </c>
      <c r="AV1397" s="4"/>
      <c r="AW1397" s="5">
        <v>40878</v>
      </c>
      <c r="AX1397" s="5">
        <v>40826</v>
      </c>
      <c r="AY1397" s="4" t="s">
        <v>247</v>
      </c>
      <c r="AZ1397" s="5">
        <v>40759</v>
      </c>
      <c r="BA1397" s="5">
        <v>40757</v>
      </c>
      <c r="BB1397" s="5">
        <v>40795</v>
      </c>
      <c r="BC1397" s="5">
        <v>40792</v>
      </c>
      <c r="BD1397" s="4">
        <v>1</v>
      </c>
      <c r="BE1397" s="5">
        <v>40799</v>
      </c>
      <c r="BF1397" s="5">
        <v>40795</v>
      </c>
      <c r="BG1397" s="4"/>
      <c r="BH1397" s="4"/>
      <c r="BI1397" s="5">
        <v>41018</v>
      </c>
      <c r="BJ1397" s="5">
        <v>41019</v>
      </c>
      <c r="BK1397" s="4">
        <v>2</v>
      </c>
      <c r="BL1397" s="4"/>
      <c r="BM1397" s="5">
        <v>41018</v>
      </c>
      <c r="BN1397" s="5">
        <v>41397</v>
      </c>
      <c r="BO1397" s="5">
        <v>41053</v>
      </c>
      <c r="BP1397" s="4"/>
      <c r="BQ1397" s="4"/>
      <c r="BR1397" s="4"/>
      <c r="BS1397" s="4"/>
      <c r="BT1397" s="5">
        <v>41050</v>
      </c>
      <c r="BU1397" s="5">
        <v>41044</v>
      </c>
      <c r="BV1397" s="5">
        <v>41051</v>
      </c>
      <c r="BW1397" s="5">
        <v>41053</v>
      </c>
      <c r="BX1397" s="5">
        <v>41055</v>
      </c>
      <c r="BY1397" s="5">
        <v>41064</v>
      </c>
      <c r="BZ1397" s="5">
        <v>41061</v>
      </c>
      <c r="CA1397" s="5">
        <v>41070</v>
      </c>
      <c r="CB1397" s="5">
        <v>41070</v>
      </c>
      <c r="CC1397" s="4"/>
      <c r="CD1397" s="4"/>
      <c r="CE1397" s="4"/>
      <c r="CF1397" s="4"/>
      <c r="CG1397" s="4"/>
      <c r="CH1397" s="4"/>
      <c r="CI1397" s="5">
        <v>41065</v>
      </c>
      <c r="CJ1397" s="5">
        <v>41072</v>
      </c>
      <c r="CK1397" s="5">
        <v>41072</v>
      </c>
      <c r="CL1397" s="5">
        <v>41083</v>
      </c>
      <c r="CM1397" s="5">
        <v>41081</v>
      </c>
      <c r="CN1397" s="5">
        <v>41411</v>
      </c>
      <c r="CO1397" s="5">
        <v>41410</v>
      </c>
      <c r="CP1397" s="4" t="s">
        <v>4167</v>
      </c>
      <c r="CQ1397" s="4" t="s">
        <v>230</v>
      </c>
      <c r="CR1397" s="5">
        <v>41064</v>
      </c>
      <c r="CS1397" s="5">
        <v>41053</v>
      </c>
      <c r="CT1397" s="5">
        <v>41053</v>
      </c>
      <c r="CU1397" s="5">
        <v>41053</v>
      </c>
      <c r="CV1397" s="5">
        <v>41053</v>
      </c>
      <c r="CW1397" s="5">
        <v>41045</v>
      </c>
      <c r="CX1397" s="5">
        <v>41053</v>
      </c>
      <c r="CY1397" s="5">
        <v>41064</v>
      </c>
      <c r="CZ1397" s="5">
        <v>41054</v>
      </c>
      <c r="DA1397" s="4"/>
      <c r="DB1397" s="5">
        <v>41072</v>
      </c>
      <c r="DC1397" s="4"/>
      <c r="DD1397" s="4"/>
      <c r="DE1397" s="4" t="s">
        <v>4147</v>
      </c>
      <c r="DF1397" s="5">
        <v>41070</v>
      </c>
      <c r="DG1397" s="5">
        <v>41070</v>
      </c>
      <c r="DH1397" s="4" t="s">
        <v>174</v>
      </c>
      <c r="DI1397" s="5">
        <v>41058</v>
      </c>
      <c r="DJ1397" s="4" t="b">
        <v>0</v>
      </c>
      <c r="DK1397" s="4"/>
      <c r="DL1397" s="4">
        <v>2711371</v>
      </c>
      <c r="DM1397" s="4">
        <v>6388381</v>
      </c>
      <c r="DN1397" s="4" t="s">
        <v>4168</v>
      </c>
      <c r="DO1397" s="4"/>
      <c r="DP1397" s="4" t="s">
        <v>4169</v>
      </c>
      <c r="DQ1397" s="4" t="s">
        <v>148</v>
      </c>
      <c r="DR1397" s="4"/>
      <c r="DS1397" s="4"/>
      <c r="DT1397" s="4"/>
      <c r="DU1397" s="4"/>
      <c r="DV1397" s="4"/>
      <c r="DW1397" s="4"/>
      <c r="DX1397" s="4"/>
      <c r="DY1397" s="4"/>
      <c r="DZ1397" s="4"/>
      <c r="EA1397" s="4"/>
      <c r="EB1397" s="4"/>
      <c r="EC1397" s="4"/>
      <c r="ED1397" s="4"/>
      <c r="EE1397" s="4"/>
      <c r="EF1397" s="4"/>
      <c r="EG1397" s="5">
        <v>41071</v>
      </c>
      <c r="EH1397" s="5">
        <v>41072</v>
      </c>
      <c r="EI1397" s="5">
        <v>40732</v>
      </c>
    </row>
    <row r="1398" spans="1:139" hidden="1" x14ac:dyDescent="0.2">
      <c r="A1398">
        <f>VLOOKUP(B1398,Sheet1!$A$1:$B$18,2,FALSE)</f>
        <v>0</v>
      </c>
      <c r="B1398" t="str">
        <f>LEFT(D1398,3)</f>
        <v>WKT</v>
      </c>
      <c r="C1398" s="2">
        <v>1397</v>
      </c>
      <c r="D1398" s="3" t="str">
        <f>HYPERLINK("https://sitebase.nzcomms.co.nz/spm/spmnominalview/WKT-013-014/","WKT-013-014")</f>
        <v>WKT-013-014</v>
      </c>
      <c r="E1398" s="4" t="s">
        <v>4170</v>
      </c>
      <c r="F1398" s="3" t="str">
        <f>HYPERLINK("https://sitebase.nzcomms.co.nz/spm/spmcandidateview/WKT-013-014-A/","WKT-013-014-A")</f>
        <v>WKT-013-014-A</v>
      </c>
      <c r="G1398" s="4" t="s">
        <v>4170</v>
      </c>
      <c r="H1398" s="4" t="s">
        <v>4128</v>
      </c>
      <c r="I1398" s="4">
        <v>22</v>
      </c>
      <c r="J1398" s="4" t="s">
        <v>331</v>
      </c>
      <c r="K1398" s="4" t="s">
        <v>141</v>
      </c>
      <c r="L1398" s="4" t="s">
        <v>181</v>
      </c>
      <c r="M1398" s="4" t="s">
        <v>166</v>
      </c>
      <c r="N1398" s="4" t="s">
        <v>364</v>
      </c>
      <c r="O1398" s="4"/>
      <c r="P1398" s="4" t="s">
        <v>182</v>
      </c>
      <c r="Q1398" s="4" t="s">
        <v>170</v>
      </c>
      <c r="R1398" s="4">
        <v>25</v>
      </c>
      <c r="S1398" s="4">
        <v>25</v>
      </c>
      <c r="T1398" s="4"/>
      <c r="U1398" s="4">
        <v>-37.804706639999999</v>
      </c>
      <c r="V1398" s="4">
        <v>175.39607533</v>
      </c>
      <c r="W1398" s="4"/>
      <c r="X1398" s="4"/>
      <c r="Y1398" s="4"/>
      <c r="Z1398" s="4"/>
      <c r="AA1398" s="4" t="s">
        <v>145</v>
      </c>
      <c r="AB1398" s="3" t="str">
        <f>HYPERLINK("https://sitebase.nzcomms.co.nz/spm/spmcandidateview/WKT-016-044-A/","WKT-016-044-A")</f>
        <v>WKT-016-044-A</v>
      </c>
      <c r="AC1398" s="4" t="b">
        <v>0</v>
      </c>
      <c r="AD1398" s="4" t="b">
        <v>0</v>
      </c>
      <c r="AE1398" s="4"/>
      <c r="AF1398" s="4"/>
      <c r="AG1398" s="4" t="b">
        <v>0</v>
      </c>
      <c r="AH1398" s="4"/>
      <c r="AI1398" s="5">
        <v>42268</v>
      </c>
      <c r="AJ1398" s="5">
        <v>42268</v>
      </c>
      <c r="AK1398" s="5">
        <v>42271</v>
      </c>
      <c r="AL1398" s="5">
        <v>42271</v>
      </c>
      <c r="AM1398" s="5">
        <v>42296</v>
      </c>
      <c r="AN1398" s="5">
        <v>42291</v>
      </c>
      <c r="AO1398" s="4">
        <v>1</v>
      </c>
      <c r="AP1398" s="5">
        <v>42300</v>
      </c>
      <c r="AQ1398" s="5">
        <v>42291</v>
      </c>
      <c r="AR1398" s="5">
        <v>42338</v>
      </c>
      <c r="AS1398" s="5">
        <v>42311</v>
      </c>
      <c r="AT1398" s="5">
        <v>42359</v>
      </c>
      <c r="AU1398" s="5">
        <v>42353</v>
      </c>
      <c r="AV1398" s="4"/>
      <c r="AW1398" s="5">
        <v>42422</v>
      </c>
      <c r="AX1398" s="4"/>
      <c r="AY1398" s="4" t="s">
        <v>183</v>
      </c>
      <c r="AZ1398" s="5">
        <v>42324</v>
      </c>
      <c r="BA1398" s="5">
        <v>42324</v>
      </c>
      <c r="BB1398" s="5">
        <v>42359</v>
      </c>
      <c r="BC1398" s="5">
        <v>42349</v>
      </c>
      <c r="BD1398" s="4">
        <v>1</v>
      </c>
      <c r="BE1398" s="5">
        <v>42359</v>
      </c>
      <c r="BF1398" s="5">
        <v>42349</v>
      </c>
      <c r="BG1398" s="5">
        <v>42324</v>
      </c>
      <c r="BH1398" s="5">
        <v>42313</v>
      </c>
      <c r="BI1398" s="5">
        <v>42391</v>
      </c>
      <c r="BJ1398" s="5">
        <v>42391</v>
      </c>
      <c r="BK1398" s="4">
        <v>1</v>
      </c>
      <c r="BL1398" s="4"/>
      <c r="BM1398" s="5">
        <v>42394</v>
      </c>
      <c r="BN1398" s="5">
        <v>42391</v>
      </c>
      <c r="BO1398" s="4"/>
      <c r="BP1398" s="4"/>
      <c r="BQ1398" s="4"/>
      <c r="BR1398" s="4"/>
      <c r="BS1398" s="4"/>
      <c r="BT1398" s="5">
        <v>42459</v>
      </c>
      <c r="BU1398" s="4"/>
      <c r="BV1398" s="5">
        <v>42487</v>
      </c>
      <c r="BW1398" s="4"/>
      <c r="BX1398" s="4"/>
      <c r="BY1398" s="5">
        <v>42502</v>
      </c>
      <c r="BZ1398" s="4"/>
      <c r="CA1398" s="5">
        <v>42460</v>
      </c>
      <c r="CB1398" s="4"/>
      <c r="CC1398" s="4"/>
      <c r="CD1398" s="4"/>
      <c r="CE1398" s="4"/>
      <c r="CF1398" s="4"/>
      <c r="CG1398" s="4"/>
      <c r="CH1398" s="4"/>
      <c r="CI1398" s="4"/>
      <c r="CJ1398" s="5">
        <v>42522</v>
      </c>
      <c r="CK1398" s="4"/>
      <c r="CL1398" s="4"/>
      <c r="CM1398" s="4"/>
      <c r="CN1398" s="4"/>
      <c r="CO1398" s="4"/>
      <c r="CP1398" s="4" t="s">
        <v>4171</v>
      </c>
      <c r="CQ1398" s="4"/>
      <c r="CR1398" s="4"/>
      <c r="CS1398" s="4"/>
      <c r="CT1398" s="4"/>
      <c r="CU1398" s="4"/>
      <c r="CV1398" s="4"/>
      <c r="CW1398" s="4"/>
      <c r="CX1398" s="4"/>
      <c r="CY1398" s="4"/>
      <c r="CZ1398" s="4"/>
      <c r="DA1398" s="5">
        <v>42513</v>
      </c>
      <c r="DB1398" s="4"/>
      <c r="DC1398" s="4"/>
      <c r="DD1398" s="4"/>
      <c r="DE1398" s="4"/>
      <c r="DF1398" s="5">
        <v>42460</v>
      </c>
      <c r="DG1398" s="4"/>
      <c r="DH1398" s="4" t="s">
        <v>174</v>
      </c>
      <c r="DI1398" s="4"/>
      <c r="DJ1398" s="4" t="b">
        <v>1</v>
      </c>
      <c r="DK1398" s="5">
        <v>42416</v>
      </c>
      <c r="DL1398" s="4">
        <v>2721179</v>
      </c>
      <c r="DM1398" s="4">
        <v>6374762</v>
      </c>
      <c r="DN1398" s="4" t="s">
        <v>4172</v>
      </c>
      <c r="DO1398" s="4"/>
      <c r="DP1398" s="4"/>
      <c r="DQ1398" s="4" t="s">
        <v>148</v>
      </c>
      <c r="DR1398" s="4" t="s">
        <v>255</v>
      </c>
      <c r="DS1398" s="4"/>
      <c r="DT1398" s="4"/>
      <c r="DU1398" s="4" t="s">
        <v>178</v>
      </c>
      <c r="DV1398" s="4"/>
      <c r="DW1398" s="4"/>
      <c r="DX1398" s="5">
        <v>42383</v>
      </c>
      <c r="DY1398" s="5">
        <v>42416</v>
      </c>
      <c r="DZ1398" s="4"/>
      <c r="EA1398" s="4"/>
      <c r="EB1398" s="5">
        <v>42327</v>
      </c>
      <c r="EC1398" s="4"/>
      <c r="ED1398" s="5">
        <v>42352</v>
      </c>
      <c r="EE1398" s="5">
        <v>42444</v>
      </c>
      <c r="EF1398" s="4"/>
      <c r="EG1398" s="4"/>
      <c r="EH1398" s="4"/>
      <c r="EI1398" s="5">
        <v>42270</v>
      </c>
    </row>
    <row r="1399" spans="1:139" hidden="1" x14ac:dyDescent="0.2">
      <c r="A1399">
        <f>VLOOKUP(B1399,Sheet1!$A$1:$B$18,2,FALSE)</f>
        <v>0</v>
      </c>
      <c r="B1399" t="str">
        <f>LEFT(D1399,3)</f>
        <v>WKT</v>
      </c>
      <c r="C1399" s="2">
        <v>1398</v>
      </c>
      <c r="D1399" s="3" t="str">
        <f>HYPERLINK("https://sitebase.nzcomms.co.nz/spm/spmnominalview/WKT-013-015/","WKT-013-015")</f>
        <v>WKT-013-015</v>
      </c>
      <c r="E1399" s="4" t="s">
        <v>4173</v>
      </c>
      <c r="F1399" s="3" t="str">
        <f>HYPERLINK("https://sitebase.nzcomms.co.nz/spm/spmcandidateview/WKT-013-015-F/","WKT-013-015-F")</f>
        <v>WKT-013-015-F</v>
      </c>
      <c r="G1399" s="4" t="s">
        <v>150</v>
      </c>
      <c r="H1399" s="4" t="s">
        <v>4128</v>
      </c>
      <c r="I1399" s="4">
        <v>22</v>
      </c>
      <c r="J1399" s="4" t="s">
        <v>331</v>
      </c>
      <c r="K1399" s="4" t="s">
        <v>141</v>
      </c>
      <c r="L1399" s="4" t="s">
        <v>150</v>
      </c>
      <c r="M1399" s="4" t="s">
        <v>190</v>
      </c>
      <c r="N1399" s="4" t="s">
        <v>269</v>
      </c>
      <c r="O1399" s="4"/>
      <c r="P1399" s="4" t="s">
        <v>169</v>
      </c>
      <c r="Q1399" s="4" t="s">
        <v>192</v>
      </c>
      <c r="R1399" s="4">
        <v>19.5</v>
      </c>
      <c r="S1399" s="4">
        <v>20</v>
      </c>
      <c r="T1399" s="4">
        <v>1</v>
      </c>
      <c r="U1399" s="4">
        <v>-37.829748260000002</v>
      </c>
      <c r="V1399" s="4">
        <v>175.35816724</v>
      </c>
      <c r="W1399" s="4"/>
      <c r="X1399" s="4"/>
      <c r="Y1399" s="4"/>
      <c r="Z1399" s="4"/>
      <c r="AA1399" s="4" t="s">
        <v>145</v>
      </c>
      <c r="AB1399" s="3" t="str">
        <f>HYPERLINK("https://sitebase.nzcomms.co.nz/spm/spmcandidateview/WKT-016-023-B/","WKT-016-023-B")</f>
        <v>WKT-016-023-B</v>
      </c>
      <c r="AC1399" s="4" t="b">
        <v>0</v>
      </c>
      <c r="AD1399" s="4" t="b">
        <v>0</v>
      </c>
      <c r="AE1399" s="4"/>
      <c r="AF1399" s="4"/>
      <c r="AG1399" s="4" t="b">
        <v>0</v>
      </c>
      <c r="AH1399" s="4"/>
      <c r="AI1399" s="5">
        <v>40976</v>
      </c>
      <c r="AJ1399" s="5">
        <v>40976</v>
      </c>
      <c r="AK1399" s="5">
        <v>40981</v>
      </c>
      <c r="AL1399" s="5">
        <v>40981</v>
      </c>
      <c r="AM1399" s="5">
        <v>41022</v>
      </c>
      <c r="AN1399" s="5">
        <v>41036</v>
      </c>
      <c r="AO1399" s="4">
        <v>2</v>
      </c>
      <c r="AP1399" s="5">
        <v>41054</v>
      </c>
      <c r="AQ1399" s="5">
        <v>41092</v>
      </c>
      <c r="AR1399" s="5">
        <v>41057</v>
      </c>
      <c r="AS1399" s="5">
        <v>41052</v>
      </c>
      <c r="AT1399" s="5">
        <v>41089</v>
      </c>
      <c r="AU1399" s="5">
        <v>41075</v>
      </c>
      <c r="AV1399" s="4"/>
      <c r="AW1399" s="5">
        <v>41092</v>
      </c>
      <c r="AX1399" s="5">
        <v>41092</v>
      </c>
      <c r="AY1399" s="4" t="s">
        <v>247</v>
      </c>
      <c r="AZ1399" s="5">
        <v>41043</v>
      </c>
      <c r="BA1399" s="5">
        <v>41050</v>
      </c>
      <c r="BB1399" s="5">
        <v>41099</v>
      </c>
      <c r="BC1399" s="5">
        <v>41086</v>
      </c>
      <c r="BD1399" s="4">
        <v>1</v>
      </c>
      <c r="BE1399" s="5">
        <v>41108</v>
      </c>
      <c r="BF1399" s="5">
        <v>41089</v>
      </c>
      <c r="BG1399" s="5">
        <v>42270</v>
      </c>
      <c r="BH1399" s="5">
        <v>42270</v>
      </c>
      <c r="BI1399" s="5">
        <v>42338</v>
      </c>
      <c r="BJ1399" s="5">
        <v>42339</v>
      </c>
      <c r="BK1399" s="4">
        <v>1</v>
      </c>
      <c r="BL1399" s="4"/>
      <c r="BM1399" s="5">
        <v>42342</v>
      </c>
      <c r="BN1399" s="5">
        <v>42339</v>
      </c>
      <c r="BO1399" s="4"/>
      <c r="BP1399" s="4"/>
      <c r="BQ1399" s="4"/>
      <c r="BR1399" s="5">
        <v>42382</v>
      </c>
      <c r="BS1399" s="4"/>
      <c r="BT1399" s="5">
        <v>42415</v>
      </c>
      <c r="BU1399" s="4"/>
      <c r="BV1399" s="5">
        <v>42443</v>
      </c>
      <c r="BW1399" s="4"/>
      <c r="BX1399" s="4"/>
      <c r="BY1399" s="5">
        <v>42460</v>
      </c>
      <c r="BZ1399" s="4"/>
      <c r="CA1399" s="5">
        <v>42429</v>
      </c>
      <c r="CB1399" s="4"/>
      <c r="CC1399" s="4"/>
      <c r="CD1399" s="4"/>
      <c r="CE1399" s="4"/>
      <c r="CF1399" s="4"/>
      <c r="CG1399" s="4"/>
      <c r="CH1399" s="4"/>
      <c r="CI1399" s="4"/>
      <c r="CJ1399" s="5">
        <v>42485</v>
      </c>
      <c r="CK1399" s="4"/>
      <c r="CL1399" s="4"/>
      <c r="CM1399" s="4"/>
      <c r="CN1399" s="4"/>
      <c r="CO1399" s="4"/>
      <c r="CP1399" s="4" t="s">
        <v>4174</v>
      </c>
      <c r="CQ1399" s="4"/>
      <c r="CR1399" s="4"/>
      <c r="CS1399" s="4"/>
      <c r="CT1399" s="4"/>
      <c r="CU1399" s="4"/>
      <c r="CV1399" s="4"/>
      <c r="CW1399" s="4"/>
      <c r="CX1399" s="4"/>
      <c r="CY1399" s="4"/>
      <c r="CZ1399" s="4"/>
      <c r="DA1399" s="5">
        <v>42471</v>
      </c>
      <c r="DB1399" s="4"/>
      <c r="DC1399" s="4"/>
      <c r="DD1399" s="4"/>
      <c r="DE1399" s="4" t="s">
        <v>4175</v>
      </c>
      <c r="DF1399" s="5">
        <v>42429</v>
      </c>
      <c r="DG1399" s="4"/>
      <c r="DH1399" s="4" t="s">
        <v>174</v>
      </c>
      <c r="DI1399" s="4"/>
      <c r="DJ1399" s="4" t="b">
        <v>1</v>
      </c>
      <c r="DK1399" s="5">
        <v>42380</v>
      </c>
      <c r="DL1399" s="4">
        <v>2717768</v>
      </c>
      <c r="DM1399" s="4">
        <v>6372074</v>
      </c>
      <c r="DN1399" s="4" t="s">
        <v>4176</v>
      </c>
      <c r="DO1399" s="4"/>
      <c r="DP1399" s="4" t="s">
        <v>4177</v>
      </c>
      <c r="DQ1399" s="4" t="s">
        <v>148</v>
      </c>
      <c r="DR1399" s="4" t="s">
        <v>255</v>
      </c>
      <c r="DS1399" s="4"/>
      <c r="DT1399" s="4"/>
      <c r="DU1399" s="4" t="s">
        <v>178</v>
      </c>
      <c r="DV1399" s="4"/>
      <c r="DW1399" s="5">
        <v>42339</v>
      </c>
      <c r="DX1399" s="5">
        <v>42383</v>
      </c>
      <c r="DY1399" s="5">
        <v>42347</v>
      </c>
      <c r="DZ1399" s="5">
        <v>42346</v>
      </c>
      <c r="EA1399" s="4"/>
      <c r="EB1399" s="4"/>
      <c r="EC1399" s="4"/>
      <c r="ED1399" s="5">
        <v>42333</v>
      </c>
      <c r="EE1399" s="5">
        <v>42401</v>
      </c>
      <c r="EF1399" s="5">
        <v>42404</v>
      </c>
      <c r="EG1399" s="4"/>
      <c r="EH1399" s="4"/>
      <c r="EI1399" s="5">
        <v>40981</v>
      </c>
    </row>
    <row r="1400" spans="1:139" hidden="1" x14ac:dyDescent="0.2">
      <c r="A1400">
        <f>VLOOKUP(B1400,Sheet1!$A$1:$B$18,2,FALSE)</f>
        <v>0</v>
      </c>
      <c r="B1400" t="str">
        <f>LEFT(D1400,3)</f>
        <v>WKT</v>
      </c>
      <c r="C1400" s="2">
        <v>1399</v>
      </c>
      <c r="D1400" s="3" t="str">
        <f>HYPERLINK("https://sitebase.nzcomms.co.nz/spm/spmnominalview/WKT-013-016/","WKT-013-016")</f>
        <v>WKT-013-016</v>
      </c>
      <c r="E1400" s="4" t="s">
        <v>1611</v>
      </c>
      <c r="F1400" s="4"/>
      <c r="G1400" s="4"/>
      <c r="H1400" s="4" t="s">
        <v>4128</v>
      </c>
      <c r="I1400" s="4"/>
      <c r="J1400" s="4" t="s">
        <v>196</v>
      </c>
      <c r="K1400" s="4"/>
      <c r="L1400" s="4"/>
      <c r="M1400" s="4"/>
      <c r="N1400" s="4"/>
      <c r="O1400" s="4"/>
      <c r="P1400" s="4"/>
      <c r="Q1400" s="4"/>
      <c r="R1400" s="4"/>
      <c r="S1400" s="4"/>
      <c r="T1400" s="4"/>
      <c r="U1400" s="4"/>
      <c r="V1400" s="4"/>
      <c r="W1400" s="4"/>
      <c r="X1400" s="4"/>
      <c r="Y1400" s="4"/>
      <c r="Z1400" s="4"/>
      <c r="AA1400" s="4"/>
      <c r="AB1400" s="4"/>
      <c r="AC1400" s="4"/>
      <c r="AD1400" s="4"/>
      <c r="AE1400" s="4"/>
      <c r="AF1400" s="4"/>
      <c r="AG1400" s="4" t="b">
        <v>0</v>
      </c>
      <c r="AH1400" s="4"/>
      <c r="AI1400" s="4"/>
      <c r="AJ1400" s="4"/>
      <c r="AK1400" s="4"/>
      <c r="AL1400" s="4"/>
      <c r="AM1400" s="4"/>
      <c r="AN1400" s="4"/>
      <c r="AO1400" s="4"/>
      <c r="AP1400" s="4"/>
      <c r="AQ1400" s="4"/>
      <c r="AR1400" s="4"/>
      <c r="AS1400" s="4"/>
      <c r="AT1400" s="4"/>
      <c r="AU1400" s="4"/>
      <c r="AV1400" s="4"/>
      <c r="AW1400" s="4"/>
      <c r="AX1400" s="4"/>
      <c r="AY1400" s="4"/>
      <c r="AZ1400" s="4"/>
      <c r="BA1400" s="4"/>
      <c r="BB1400" s="4"/>
      <c r="BC1400" s="4"/>
      <c r="BD1400" s="4"/>
      <c r="BE1400" s="4"/>
      <c r="BF1400" s="4"/>
      <c r="BG1400" s="4"/>
      <c r="BH1400" s="4"/>
      <c r="BI1400" s="4"/>
      <c r="BJ1400" s="4"/>
      <c r="BK1400" s="4"/>
      <c r="BL1400" s="4"/>
      <c r="BM1400" s="4"/>
      <c r="BN1400" s="4"/>
      <c r="BO1400" s="4"/>
      <c r="BP1400" s="4"/>
      <c r="BQ1400" s="4"/>
      <c r="BR1400" s="4"/>
      <c r="BS1400" s="4"/>
      <c r="BT1400" s="4"/>
      <c r="BU1400" s="4"/>
      <c r="BV1400" s="4"/>
      <c r="BW1400" s="4"/>
      <c r="BX1400" s="4"/>
      <c r="BY1400" s="4"/>
      <c r="BZ1400" s="4"/>
      <c r="CA1400" s="4"/>
      <c r="CB1400" s="4"/>
      <c r="CC1400" s="4"/>
      <c r="CD1400" s="4"/>
      <c r="CE1400" s="4"/>
      <c r="CF1400" s="4"/>
      <c r="CG1400" s="4"/>
      <c r="CH1400" s="4"/>
      <c r="CI1400" s="4"/>
      <c r="CJ1400" s="4"/>
      <c r="CK1400" s="4"/>
      <c r="CL1400" s="4"/>
      <c r="CM1400" s="4"/>
      <c r="CN1400" s="4"/>
      <c r="CO1400" s="4"/>
      <c r="CP1400" s="4"/>
      <c r="CQ1400" s="4"/>
      <c r="CR1400" s="4"/>
      <c r="CS1400" s="4"/>
      <c r="CT1400" s="4"/>
      <c r="CU1400" s="4"/>
      <c r="CV1400" s="4"/>
      <c r="CW1400" s="4"/>
      <c r="CX1400" s="4"/>
      <c r="CY1400" s="4"/>
      <c r="CZ1400" s="4"/>
      <c r="DA1400" s="4"/>
      <c r="DB1400" s="4"/>
      <c r="DC1400" s="4"/>
      <c r="DD1400" s="4"/>
      <c r="DE1400" s="4"/>
      <c r="DF1400" s="4"/>
      <c r="DG1400" s="4"/>
      <c r="DH1400" s="4"/>
      <c r="DI1400" s="4"/>
      <c r="DJ1400" s="4"/>
      <c r="DK1400" s="4"/>
      <c r="DL1400" s="4"/>
      <c r="DM1400" s="4"/>
      <c r="DN1400" s="4"/>
      <c r="DO1400" s="4"/>
      <c r="DP1400" s="4"/>
      <c r="DQ1400" s="4"/>
      <c r="DR1400" s="4"/>
      <c r="DS1400" s="4"/>
      <c r="DT1400" s="4"/>
      <c r="DU1400" s="4"/>
      <c r="DV1400" s="4"/>
      <c r="DW1400" s="4"/>
      <c r="DX1400" s="4"/>
      <c r="DY1400" s="4"/>
      <c r="DZ1400" s="4"/>
      <c r="EA1400" s="4"/>
      <c r="EB1400" s="4"/>
      <c r="EC1400" s="4"/>
      <c r="ED1400" s="4"/>
      <c r="EE1400" s="4"/>
      <c r="EF1400" s="4"/>
      <c r="EG1400" s="4"/>
      <c r="EH1400" s="4"/>
      <c r="EI1400" s="4"/>
    </row>
    <row r="1401" spans="1:139" hidden="1" x14ac:dyDescent="0.2">
      <c r="A1401">
        <f>VLOOKUP(B1401,Sheet1!$A$1:$B$18,2,FALSE)</f>
        <v>0</v>
      </c>
      <c r="B1401" t="str">
        <f>LEFT(D1401,3)</f>
        <v>WKT</v>
      </c>
      <c r="C1401" s="2">
        <v>1400</v>
      </c>
      <c r="D1401" s="3" t="str">
        <f>HYPERLINK("https://sitebase.nzcomms.co.nz/spm/spmnominalview/WKT-013-017/","WKT-013-017")</f>
        <v>WKT-013-017</v>
      </c>
      <c r="E1401" s="4" t="s">
        <v>4178</v>
      </c>
      <c r="F1401" s="4"/>
      <c r="G1401" s="4"/>
      <c r="H1401" s="4" t="s">
        <v>4128</v>
      </c>
      <c r="I1401" s="4"/>
      <c r="J1401" s="4" t="s">
        <v>196</v>
      </c>
      <c r="K1401" s="4"/>
      <c r="L1401" s="4"/>
      <c r="M1401" s="4"/>
      <c r="N1401" s="4"/>
      <c r="O1401" s="4"/>
      <c r="P1401" s="4"/>
      <c r="Q1401" s="4"/>
      <c r="R1401" s="4"/>
      <c r="S1401" s="4"/>
      <c r="T1401" s="4"/>
      <c r="U1401" s="4"/>
      <c r="V1401" s="4"/>
      <c r="W1401" s="4"/>
      <c r="X1401" s="4"/>
      <c r="Y1401" s="4"/>
      <c r="Z1401" s="4"/>
      <c r="AA1401" s="4"/>
      <c r="AB1401" s="4"/>
      <c r="AC1401" s="4"/>
      <c r="AD1401" s="4"/>
      <c r="AE1401" s="4"/>
      <c r="AF1401" s="4"/>
      <c r="AG1401" s="4" t="b">
        <v>0</v>
      </c>
      <c r="AH1401" s="4"/>
      <c r="AI1401" s="4"/>
      <c r="AJ1401" s="4"/>
      <c r="AK1401" s="4"/>
      <c r="AL1401" s="4"/>
      <c r="AM1401" s="4"/>
      <c r="AN1401" s="4"/>
      <c r="AO1401" s="4"/>
      <c r="AP1401" s="4"/>
      <c r="AQ1401" s="4"/>
      <c r="AR1401" s="4"/>
      <c r="AS1401" s="4"/>
      <c r="AT1401" s="4"/>
      <c r="AU1401" s="4"/>
      <c r="AV1401" s="4"/>
      <c r="AW1401" s="4"/>
      <c r="AX1401" s="4"/>
      <c r="AY1401" s="4"/>
      <c r="AZ1401" s="4"/>
      <c r="BA1401" s="4"/>
      <c r="BB1401" s="4"/>
      <c r="BC1401" s="4"/>
      <c r="BD1401" s="4"/>
      <c r="BE1401" s="4"/>
      <c r="BF1401" s="4"/>
      <c r="BG1401" s="4"/>
      <c r="BH1401" s="4"/>
      <c r="BI1401" s="4"/>
      <c r="BJ1401" s="4"/>
      <c r="BK1401" s="4"/>
      <c r="BL1401" s="4"/>
      <c r="BM1401" s="4"/>
      <c r="BN1401" s="4"/>
      <c r="BO1401" s="4"/>
      <c r="BP1401" s="4"/>
      <c r="BQ1401" s="4"/>
      <c r="BR1401" s="4"/>
      <c r="BS1401" s="4"/>
      <c r="BT1401" s="4"/>
      <c r="BU1401" s="4"/>
      <c r="BV1401" s="4"/>
      <c r="BW1401" s="4"/>
      <c r="BX1401" s="4"/>
      <c r="BY1401" s="4"/>
      <c r="BZ1401" s="4"/>
      <c r="CA1401" s="4"/>
      <c r="CB1401" s="4"/>
      <c r="CC1401" s="4"/>
      <c r="CD1401" s="4"/>
      <c r="CE1401" s="4"/>
      <c r="CF1401" s="4"/>
      <c r="CG1401" s="4"/>
      <c r="CH1401" s="4"/>
      <c r="CI1401" s="4"/>
      <c r="CJ1401" s="4"/>
      <c r="CK1401" s="4"/>
      <c r="CL1401" s="4"/>
      <c r="CM1401" s="4"/>
      <c r="CN1401" s="4"/>
      <c r="CO1401" s="4"/>
      <c r="CP1401" s="4"/>
      <c r="CQ1401" s="4"/>
      <c r="CR1401" s="4"/>
      <c r="CS1401" s="4"/>
      <c r="CT1401" s="4"/>
      <c r="CU1401" s="4"/>
      <c r="CV1401" s="4"/>
      <c r="CW1401" s="4"/>
      <c r="CX1401" s="4"/>
      <c r="CY1401" s="4"/>
      <c r="CZ1401" s="4"/>
      <c r="DA1401" s="4"/>
      <c r="DB1401" s="4"/>
      <c r="DC1401" s="4"/>
      <c r="DD1401" s="4"/>
      <c r="DE1401" s="4"/>
      <c r="DF1401" s="4"/>
      <c r="DG1401" s="4"/>
      <c r="DH1401" s="4"/>
      <c r="DI1401" s="4"/>
      <c r="DJ1401" s="4"/>
      <c r="DK1401" s="4"/>
      <c r="DL1401" s="4"/>
      <c r="DM1401" s="4"/>
      <c r="DN1401" s="4"/>
      <c r="DO1401" s="4"/>
      <c r="DP1401" s="4"/>
      <c r="DQ1401" s="4"/>
      <c r="DR1401" s="4"/>
      <c r="DS1401" s="4"/>
      <c r="DT1401" s="4"/>
      <c r="DU1401" s="4"/>
      <c r="DV1401" s="4"/>
      <c r="DW1401" s="4"/>
      <c r="DX1401" s="4"/>
      <c r="DY1401" s="4"/>
      <c r="DZ1401" s="4"/>
      <c r="EA1401" s="4"/>
      <c r="EB1401" s="4"/>
      <c r="EC1401" s="4"/>
      <c r="ED1401" s="4"/>
      <c r="EE1401" s="4"/>
      <c r="EF1401" s="4"/>
      <c r="EG1401" s="4"/>
      <c r="EH1401" s="4"/>
      <c r="EI1401" s="4"/>
    </row>
    <row r="1402" spans="1:139" hidden="1" x14ac:dyDescent="0.2">
      <c r="A1402">
        <f>VLOOKUP(B1402,Sheet1!$A$1:$B$18,2,FALSE)</f>
        <v>0</v>
      </c>
      <c r="B1402" t="str">
        <f>LEFT(D1402,3)</f>
        <v>WKT</v>
      </c>
      <c r="C1402" s="2">
        <v>1401</v>
      </c>
      <c r="D1402" s="3" t="str">
        <f>HYPERLINK("https://sitebase.nzcomms.co.nz/spm/spmnominalview/WKT-013-018/","WKT-013-018")</f>
        <v>WKT-013-018</v>
      </c>
      <c r="E1402" s="4" t="s">
        <v>4179</v>
      </c>
      <c r="F1402" s="3" t="str">
        <f>HYPERLINK("https://sitebase.nzcomms.co.nz/spm/spmcandidateview/WKT-013-018-A/","WKT-013-018-A")</f>
        <v>WKT-013-018-A</v>
      </c>
      <c r="G1402" s="4" t="s">
        <v>4180</v>
      </c>
      <c r="H1402" s="4" t="s">
        <v>4128</v>
      </c>
      <c r="I1402" s="4">
        <v>22</v>
      </c>
      <c r="J1402" s="4" t="s">
        <v>165</v>
      </c>
      <c r="K1402" s="4" t="s">
        <v>141</v>
      </c>
      <c r="L1402" s="4" t="s">
        <v>142</v>
      </c>
      <c r="M1402" s="4" t="s">
        <v>190</v>
      </c>
      <c r="N1402" s="4" t="s">
        <v>142</v>
      </c>
      <c r="O1402" s="4"/>
      <c r="P1402" s="4" t="s">
        <v>169</v>
      </c>
      <c r="Q1402" s="4" t="s">
        <v>142</v>
      </c>
      <c r="R1402" s="4"/>
      <c r="S1402" s="4"/>
      <c r="T1402" s="4">
        <v>1</v>
      </c>
      <c r="U1402" s="4">
        <v>-37.661726760000001</v>
      </c>
      <c r="V1402" s="4">
        <v>175.13963523000001</v>
      </c>
      <c r="W1402" s="4"/>
      <c r="X1402" s="4"/>
      <c r="Y1402" s="4"/>
      <c r="Z1402" s="4"/>
      <c r="AA1402" s="4" t="s">
        <v>145</v>
      </c>
      <c r="AB1402" s="3" t="str">
        <f>HYPERLINK("https://sitebase.nzcomms.co.nz/spm/spmcandidateview/WKT-016-044-A/","WKT-016-044-A")</f>
        <v>WKT-016-044-A</v>
      </c>
      <c r="AC1402" s="4" t="b">
        <v>0</v>
      </c>
      <c r="AD1402" s="4" t="b">
        <v>0</v>
      </c>
      <c r="AE1402" s="4"/>
      <c r="AF1402" s="4"/>
      <c r="AG1402" s="4" t="b">
        <v>0</v>
      </c>
      <c r="AH1402" s="4"/>
      <c r="AI1402" s="5">
        <v>41970</v>
      </c>
      <c r="AJ1402" s="5">
        <v>41962</v>
      </c>
      <c r="AK1402" s="5">
        <v>41974</v>
      </c>
      <c r="AL1402" s="5">
        <v>41961</v>
      </c>
      <c r="AM1402" s="5">
        <v>41971</v>
      </c>
      <c r="AN1402" s="5">
        <v>41025</v>
      </c>
      <c r="AO1402" s="4">
        <v>5</v>
      </c>
      <c r="AP1402" s="5">
        <v>41982</v>
      </c>
      <c r="AQ1402" s="5">
        <v>42124</v>
      </c>
      <c r="AR1402" s="5">
        <v>42108</v>
      </c>
      <c r="AS1402" s="5">
        <v>42054</v>
      </c>
      <c r="AT1402" s="5">
        <v>42443</v>
      </c>
      <c r="AU1402" s="4"/>
      <c r="AV1402" s="4"/>
      <c r="AW1402" s="5">
        <v>42450</v>
      </c>
      <c r="AX1402" s="4"/>
      <c r="AY1402" s="4" t="s">
        <v>247</v>
      </c>
      <c r="AZ1402" s="5">
        <v>42124</v>
      </c>
      <c r="BA1402" s="5">
        <v>42125</v>
      </c>
      <c r="BB1402" s="5">
        <v>42166</v>
      </c>
      <c r="BC1402" s="5">
        <v>42153</v>
      </c>
      <c r="BD1402" s="4">
        <v>5</v>
      </c>
      <c r="BE1402" s="5">
        <v>42173</v>
      </c>
      <c r="BF1402" s="5">
        <v>42173</v>
      </c>
      <c r="BG1402" s="5">
        <v>42128</v>
      </c>
      <c r="BH1402" s="5">
        <v>42061</v>
      </c>
      <c r="BI1402" s="5">
        <v>42132</v>
      </c>
      <c r="BJ1402" s="5">
        <v>42144</v>
      </c>
      <c r="BK1402" s="4">
        <v>1</v>
      </c>
      <c r="BL1402" s="4"/>
      <c r="BM1402" s="5">
        <v>42139</v>
      </c>
      <c r="BN1402" s="5">
        <v>42144</v>
      </c>
      <c r="BO1402" s="4"/>
      <c r="BP1402" s="4"/>
      <c r="BQ1402" s="4"/>
      <c r="BR1402" s="4"/>
      <c r="BS1402" s="4"/>
      <c r="BT1402" s="5">
        <v>42450</v>
      </c>
      <c r="BU1402" s="4"/>
      <c r="BV1402" s="5">
        <v>42471</v>
      </c>
      <c r="BW1402" s="4"/>
      <c r="BX1402" s="4"/>
      <c r="BY1402" s="5">
        <v>42485</v>
      </c>
      <c r="BZ1402" s="4"/>
      <c r="CA1402" s="5">
        <v>42444</v>
      </c>
      <c r="CB1402" s="4"/>
      <c r="CC1402" s="4"/>
      <c r="CD1402" s="4"/>
      <c r="CE1402" s="4"/>
      <c r="CF1402" s="4"/>
      <c r="CG1402" s="4"/>
      <c r="CH1402" s="4"/>
      <c r="CI1402" s="4"/>
      <c r="CJ1402" s="5">
        <v>42508</v>
      </c>
      <c r="CK1402" s="4"/>
      <c r="CL1402" s="4"/>
      <c r="CM1402" s="4"/>
      <c r="CN1402" s="4"/>
      <c r="CO1402" s="4"/>
      <c r="CP1402" s="4" t="s">
        <v>4181</v>
      </c>
      <c r="CQ1402" s="4" t="s">
        <v>230</v>
      </c>
      <c r="CR1402" s="4"/>
      <c r="CS1402" s="4"/>
      <c r="CT1402" s="4"/>
      <c r="CU1402" s="4"/>
      <c r="CV1402" s="4"/>
      <c r="CW1402" s="4"/>
      <c r="CX1402" s="4"/>
      <c r="CY1402" s="4"/>
      <c r="CZ1402" s="4"/>
      <c r="DA1402" s="5">
        <v>42499</v>
      </c>
      <c r="DB1402" s="4"/>
      <c r="DC1402" s="4"/>
      <c r="DD1402" s="4"/>
      <c r="DE1402" s="4" t="s">
        <v>4133</v>
      </c>
      <c r="DF1402" s="5">
        <v>42444</v>
      </c>
      <c r="DG1402" s="4"/>
      <c r="DH1402" s="4" t="s">
        <v>174</v>
      </c>
      <c r="DI1402" s="4"/>
      <c r="DJ1402" s="4" t="b">
        <v>0</v>
      </c>
      <c r="DK1402" s="4"/>
      <c r="DL1402" s="4">
        <v>2698994</v>
      </c>
      <c r="DM1402" s="4">
        <v>6391207</v>
      </c>
      <c r="DN1402" s="4" t="s">
        <v>4182</v>
      </c>
      <c r="DO1402" s="4"/>
      <c r="DP1402" s="4"/>
      <c r="DQ1402" s="4" t="s">
        <v>148</v>
      </c>
      <c r="DR1402" s="4" t="s">
        <v>255</v>
      </c>
      <c r="DS1402" s="4"/>
      <c r="DT1402" s="4"/>
      <c r="DU1402" s="4" t="s">
        <v>178</v>
      </c>
      <c r="DV1402" s="4"/>
      <c r="DW1402" s="4"/>
      <c r="DX1402" s="5">
        <v>42118</v>
      </c>
      <c r="DY1402" s="5">
        <v>42165</v>
      </c>
      <c r="DZ1402" s="5">
        <v>42131</v>
      </c>
      <c r="EA1402" s="4"/>
      <c r="EB1402" s="5">
        <v>42166</v>
      </c>
      <c r="EC1402" s="4"/>
      <c r="ED1402" s="5">
        <v>42207</v>
      </c>
      <c r="EE1402" s="5">
        <v>42240</v>
      </c>
      <c r="EF1402" s="5">
        <v>42228</v>
      </c>
      <c r="EG1402" s="4"/>
      <c r="EH1402" s="4"/>
      <c r="EI1402" s="5">
        <v>41961</v>
      </c>
    </row>
    <row r="1403" spans="1:139" hidden="1" x14ac:dyDescent="0.2">
      <c r="A1403">
        <f>VLOOKUP(B1403,Sheet1!$A$1:$B$18,2,FALSE)</f>
        <v>0</v>
      </c>
      <c r="B1403" t="str">
        <f>LEFT(D1403,3)</f>
        <v>WKT</v>
      </c>
      <c r="C1403" s="2">
        <v>1402</v>
      </c>
      <c r="D1403" s="3" t="str">
        <f>HYPERLINK("https://sitebase.nzcomms.co.nz/spm/spmnominalview/WKT-013-019/","WKT-013-019")</f>
        <v>WKT-013-019</v>
      </c>
      <c r="E1403" s="4" t="s">
        <v>4183</v>
      </c>
      <c r="F1403" s="4"/>
      <c r="G1403" s="4"/>
      <c r="H1403" s="4" t="s">
        <v>4128</v>
      </c>
      <c r="I1403" s="4"/>
      <c r="J1403" s="4" t="s">
        <v>196</v>
      </c>
      <c r="K1403" s="4"/>
      <c r="L1403" s="4"/>
      <c r="M1403" s="4"/>
      <c r="N1403" s="4"/>
      <c r="O1403" s="4"/>
      <c r="P1403" s="4"/>
      <c r="Q1403" s="4"/>
      <c r="R1403" s="4"/>
      <c r="S1403" s="4"/>
      <c r="T1403" s="4"/>
      <c r="U1403" s="4"/>
      <c r="V1403" s="4"/>
      <c r="W1403" s="4"/>
      <c r="X1403" s="4"/>
      <c r="Y1403" s="4"/>
      <c r="Z1403" s="4"/>
      <c r="AA1403" s="4"/>
      <c r="AB1403" s="4"/>
      <c r="AC1403" s="4"/>
      <c r="AD1403" s="4"/>
      <c r="AE1403" s="4"/>
      <c r="AF1403" s="4"/>
      <c r="AG1403" s="4" t="b">
        <v>0</v>
      </c>
      <c r="AH1403" s="4"/>
      <c r="AI1403" s="4"/>
      <c r="AJ1403" s="4"/>
      <c r="AK1403" s="4"/>
      <c r="AL1403" s="4"/>
      <c r="AM1403" s="4"/>
      <c r="AN1403" s="4"/>
      <c r="AO1403" s="4"/>
      <c r="AP1403" s="4"/>
      <c r="AQ1403" s="4"/>
      <c r="AR1403" s="4"/>
      <c r="AS1403" s="4"/>
      <c r="AT1403" s="4"/>
      <c r="AU1403" s="4"/>
      <c r="AV1403" s="4"/>
      <c r="AW1403" s="4"/>
      <c r="AX1403" s="4"/>
      <c r="AY1403" s="4"/>
      <c r="AZ1403" s="4"/>
      <c r="BA1403" s="4"/>
      <c r="BB1403" s="4"/>
      <c r="BC1403" s="4"/>
      <c r="BD1403" s="4"/>
      <c r="BE1403" s="4"/>
      <c r="BF1403" s="4"/>
      <c r="BG1403" s="4"/>
      <c r="BH1403" s="4"/>
      <c r="BI1403" s="4"/>
      <c r="BJ1403" s="4"/>
      <c r="BK1403" s="4"/>
      <c r="BL1403" s="4"/>
      <c r="BM1403" s="4"/>
      <c r="BN1403" s="4"/>
      <c r="BO1403" s="4"/>
      <c r="BP1403" s="4"/>
      <c r="BQ1403" s="4"/>
      <c r="BR1403" s="4"/>
      <c r="BS1403" s="4"/>
      <c r="BT1403" s="4"/>
      <c r="BU1403" s="4"/>
      <c r="BV1403" s="4"/>
      <c r="BW1403" s="4"/>
      <c r="BX1403" s="4"/>
      <c r="BY1403" s="4"/>
      <c r="BZ1403" s="4"/>
      <c r="CA1403" s="4"/>
      <c r="CB1403" s="4"/>
      <c r="CC1403" s="4"/>
      <c r="CD1403" s="4"/>
      <c r="CE1403" s="4"/>
      <c r="CF1403" s="4"/>
      <c r="CG1403" s="4"/>
      <c r="CH1403" s="4"/>
      <c r="CI1403" s="4"/>
      <c r="CJ1403" s="4"/>
      <c r="CK1403" s="4"/>
      <c r="CL1403" s="4"/>
      <c r="CM1403" s="4"/>
      <c r="CN1403" s="4"/>
      <c r="CO1403" s="4"/>
      <c r="CP1403" s="4"/>
      <c r="CQ1403" s="4"/>
      <c r="CR1403" s="4"/>
      <c r="CS1403" s="4"/>
      <c r="CT1403" s="4"/>
      <c r="CU1403" s="4"/>
      <c r="CV1403" s="4"/>
      <c r="CW1403" s="4"/>
      <c r="CX1403" s="4"/>
      <c r="CY1403" s="4"/>
      <c r="CZ1403" s="4"/>
      <c r="DA1403" s="4"/>
      <c r="DB1403" s="4"/>
      <c r="DC1403" s="4"/>
      <c r="DD1403" s="4"/>
      <c r="DE1403" s="4"/>
      <c r="DF1403" s="4"/>
      <c r="DG1403" s="4"/>
      <c r="DH1403" s="4"/>
      <c r="DI1403" s="4"/>
      <c r="DJ1403" s="4"/>
      <c r="DK1403" s="4"/>
      <c r="DL1403" s="4"/>
      <c r="DM1403" s="4"/>
      <c r="DN1403" s="4"/>
      <c r="DO1403" s="4"/>
      <c r="DP1403" s="4"/>
      <c r="DQ1403" s="4"/>
      <c r="DR1403" s="4"/>
      <c r="DS1403" s="4"/>
      <c r="DT1403" s="4"/>
      <c r="DU1403" s="4"/>
      <c r="DV1403" s="4"/>
      <c r="DW1403" s="4"/>
      <c r="DX1403" s="4"/>
      <c r="DY1403" s="4"/>
      <c r="DZ1403" s="4"/>
      <c r="EA1403" s="4"/>
      <c r="EB1403" s="4"/>
      <c r="EC1403" s="4"/>
      <c r="ED1403" s="4"/>
      <c r="EE1403" s="4"/>
      <c r="EF1403" s="4"/>
      <c r="EG1403" s="4"/>
      <c r="EH1403" s="4"/>
      <c r="EI1403" s="4"/>
    </row>
    <row r="1404" spans="1:139" hidden="1" x14ac:dyDescent="0.2">
      <c r="A1404">
        <f>VLOOKUP(B1404,Sheet1!$A$1:$B$18,2,FALSE)</f>
        <v>0</v>
      </c>
      <c r="B1404" t="str">
        <f>LEFT(D1404,3)</f>
        <v>WKT</v>
      </c>
      <c r="C1404" s="2">
        <v>1403</v>
      </c>
      <c r="D1404" s="3" t="str">
        <f>HYPERLINK("https://sitebase.nzcomms.co.nz/spm/spmnominalview/WKT-013-020/","WKT-013-020")</f>
        <v>WKT-013-020</v>
      </c>
      <c r="E1404" s="4" t="s">
        <v>4184</v>
      </c>
      <c r="F1404" s="3" t="str">
        <f>HYPERLINK("https://sitebase.nzcomms.co.nz/spm/spmcandidateview/WKT-013-020-B/","WKT-013-020-B")</f>
        <v>WKT-013-020-B</v>
      </c>
      <c r="G1404" s="4" t="s">
        <v>4184</v>
      </c>
      <c r="H1404" s="4" t="s">
        <v>4128</v>
      </c>
      <c r="I1404" s="4">
        <v>1</v>
      </c>
      <c r="J1404" s="4" t="s">
        <v>180</v>
      </c>
      <c r="K1404" s="4" t="s">
        <v>141</v>
      </c>
      <c r="L1404" s="4" t="s">
        <v>150</v>
      </c>
      <c r="M1404" s="4" t="s">
        <v>190</v>
      </c>
      <c r="N1404" s="4" t="s">
        <v>1572</v>
      </c>
      <c r="O1404" s="4"/>
      <c r="P1404" s="4" t="s">
        <v>169</v>
      </c>
      <c r="Q1404" s="4" t="s">
        <v>170</v>
      </c>
      <c r="R1404" s="4"/>
      <c r="S1404" s="4"/>
      <c r="T1404" s="4">
        <v>1</v>
      </c>
      <c r="U1404" s="4">
        <v>-37.237400010000002</v>
      </c>
      <c r="V1404" s="4">
        <v>175.30093932</v>
      </c>
      <c r="W1404" s="4"/>
      <c r="X1404" s="4"/>
      <c r="Y1404" s="4"/>
      <c r="Z1404" s="4"/>
      <c r="AA1404" s="4" t="s">
        <v>171</v>
      </c>
      <c r="AB1404" s="3" t="str">
        <f>HYPERLINK("https://sitebase.nzcomms.co.nz/spm/spmcandidateview/WKT-012-002-A/","WKT-012-002-A")</f>
        <v>WKT-012-002-A</v>
      </c>
      <c r="AC1404" s="4" t="b">
        <v>0</v>
      </c>
      <c r="AD1404" s="4" t="b">
        <v>0</v>
      </c>
      <c r="AE1404" s="4"/>
      <c r="AF1404" s="4"/>
      <c r="AG1404" s="4" t="b">
        <v>0</v>
      </c>
      <c r="AH1404" s="4"/>
      <c r="AI1404" s="5">
        <v>40990</v>
      </c>
      <c r="AJ1404" s="5">
        <v>40990</v>
      </c>
      <c r="AK1404" s="5">
        <v>40995</v>
      </c>
      <c r="AL1404" s="5">
        <v>40995</v>
      </c>
      <c r="AM1404" s="5">
        <v>41030</v>
      </c>
      <c r="AN1404" s="5">
        <v>41038</v>
      </c>
      <c r="AO1404" s="4">
        <v>2</v>
      </c>
      <c r="AP1404" s="5">
        <v>41030</v>
      </c>
      <c r="AQ1404" s="5">
        <v>41096</v>
      </c>
      <c r="AR1404" s="5">
        <v>41057</v>
      </c>
      <c r="AS1404" s="5">
        <v>41052</v>
      </c>
      <c r="AT1404" s="5">
        <v>41159</v>
      </c>
      <c r="AU1404" s="5">
        <v>41165</v>
      </c>
      <c r="AV1404" s="4">
        <v>1</v>
      </c>
      <c r="AW1404" s="5">
        <v>41159</v>
      </c>
      <c r="AX1404" s="5">
        <v>41165</v>
      </c>
      <c r="AY1404" s="4" t="s">
        <v>247</v>
      </c>
      <c r="AZ1404" s="5">
        <v>41113</v>
      </c>
      <c r="BA1404" s="5">
        <v>41124</v>
      </c>
      <c r="BB1404" s="5">
        <v>41157</v>
      </c>
      <c r="BC1404" s="5">
        <v>41155</v>
      </c>
      <c r="BD1404" s="4">
        <v>2</v>
      </c>
      <c r="BE1404" s="5">
        <v>41159</v>
      </c>
      <c r="BF1404" s="5">
        <v>41159</v>
      </c>
      <c r="BG1404" s="5">
        <v>41138</v>
      </c>
      <c r="BH1404" s="4"/>
      <c r="BI1404" s="5">
        <v>41194</v>
      </c>
      <c r="BJ1404" s="5">
        <v>41207</v>
      </c>
      <c r="BK1404" s="4">
        <v>1</v>
      </c>
      <c r="BL1404" s="4"/>
      <c r="BM1404" s="5">
        <v>41194</v>
      </c>
      <c r="BN1404" s="5">
        <v>41207</v>
      </c>
      <c r="BO1404" s="5">
        <v>41225</v>
      </c>
      <c r="BP1404" s="4"/>
      <c r="BQ1404" s="4"/>
      <c r="BR1404" s="4"/>
      <c r="BS1404" s="4"/>
      <c r="BT1404" s="5">
        <v>41212</v>
      </c>
      <c r="BU1404" s="5">
        <v>41212</v>
      </c>
      <c r="BV1404" s="5">
        <v>41233</v>
      </c>
      <c r="BW1404" s="5">
        <v>41233</v>
      </c>
      <c r="BX1404" s="5">
        <v>41227</v>
      </c>
      <c r="BY1404" s="5">
        <v>41240</v>
      </c>
      <c r="BZ1404" s="5">
        <v>41240</v>
      </c>
      <c r="CA1404" s="4"/>
      <c r="CB1404" s="4"/>
      <c r="CC1404" s="4"/>
      <c r="CD1404" s="4"/>
      <c r="CE1404" s="4"/>
      <c r="CF1404" s="4"/>
      <c r="CG1404" s="4"/>
      <c r="CH1404" s="4"/>
      <c r="CI1404" s="5">
        <v>41242</v>
      </c>
      <c r="CJ1404" s="5">
        <v>41250</v>
      </c>
      <c r="CK1404" s="5">
        <v>41249</v>
      </c>
      <c r="CL1404" s="5">
        <v>41262</v>
      </c>
      <c r="CM1404" s="5">
        <v>41255</v>
      </c>
      <c r="CN1404" s="5">
        <v>41460</v>
      </c>
      <c r="CO1404" s="5">
        <v>41464</v>
      </c>
      <c r="CP1404" s="4" t="s">
        <v>4185</v>
      </c>
      <c r="CQ1404" s="4"/>
      <c r="CR1404" s="5">
        <v>41242</v>
      </c>
      <c r="CS1404" s="5">
        <v>41188</v>
      </c>
      <c r="CT1404" s="5">
        <v>41188</v>
      </c>
      <c r="CU1404" s="5">
        <v>41211</v>
      </c>
      <c r="CV1404" s="5">
        <v>41225</v>
      </c>
      <c r="CW1404" s="5">
        <v>41201</v>
      </c>
      <c r="CX1404" s="5">
        <v>41225</v>
      </c>
      <c r="CY1404" s="5">
        <v>41248</v>
      </c>
      <c r="CZ1404" s="5">
        <v>41248</v>
      </c>
      <c r="DA1404" s="5">
        <v>41243</v>
      </c>
      <c r="DB1404" s="5">
        <v>41246</v>
      </c>
      <c r="DC1404" s="4"/>
      <c r="DD1404" s="4"/>
      <c r="DE1404" s="4" t="s">
        <v>4100</v>
      </c>
      <c r="DF1404" s="4"/>
      <c r="DG1404" s="4"/>
      <c r="DH1404" s="4" t="s">
        <v>174</v>
      </c>
      <c r="DI1404" s="5">
        <v>41228</v>
      </c>
      <c r="DJ1404" s="4" t="b">
        <v>0</v>
      </c>
      <c r="DK1404" s="4"/>
      <c r="DL1404" s="4">
        <v>2714452</v>
      </c>
      <c r="DM1404" s="4">
        <v>6437920</v>
      </c>
      <c r="DN1404" s="4" t="s">
        <v>4186</v>
      </c>
      <c r="DO1404" s="4"/>
      <c r="DP1404" s="4" t="s">
        <v>4187</v>
      </c>
      <c r="DQ1404" s="4" t="s">
        <v>148</v>
      </c>
      <c r="DR1404" s="4"/>
      <c r="DS1404" s="4"/>
      <c r="DT1404" s="4"/>
      <c r="DU1404" s="4"/>
      <c r="DV1404" s="4"/>
      <c r="DW1404" s="4"/>
      <c r="DX1404" s="4"/>
      <c r="DY1404" s="4"/>
      <c r="DZ1404" s="4"/>
      <c r="EA1404" s="4"/>
      <c r="EB1404" s="4"/>
      <c r="EC1404" s="4"/>
      <c r="ED1404" s="4"/>
      <c r="EE1404" s="4"/>
      <c r="EF1404" s="4"/>
      <c r="EG1404" s="5">
        <v>41250</v>
      </c>
      <c r="EH1404" s="5">
        <v>41250</v>
      </c>
      <c r="EI1404" s="5">
        <v>40995</v>
      </c>
    </row>
    <row r="1405" spans="1:139" hidden="1" x14ac:dyDescent="0.2">
      <c r="A1405">
        <f>VLOOKUP(B1405,Sheet1!$A$1:$B$18,2,FALSE)</f>
        <v>0</v>
      </c>
      <c r="B1405" t="str">
        <f>LEFT(D1405,3)</f>
        <v>WKT</v>
      </c>
      <c r="C1405" s="2">
        <v>1404</v>
      </c>
      <c r="D1405" s="3" t="str">
        <f>HYPERLINK("https://sitebase.nzcomms.co.nz/spm/spmnominalview/WKT-013-021/","WKT-013-021")</f>
        <v>WKT-013-021</v>
      </c>
      <c r="E1405" s="4" t="s">
        <v>4188</v>
      </c>
      <c r="F1405" s="4"/>
      <c r="G1405" s="4"/>
      <c r="H1405" s="4" t="s">
        <v>4128</v>
      </c>
      <c r="I1405" s="4"/>
      <c r="J1405" s="4" t="s">
        <v>196</v>
      </c>
      <c r="K1405" s="4"/>
      <c r="L1405" s="4"/>
      <c r="M1405" s="4"/>
      <c r="N1405" s="4"/>
      <c r="O1405" s="4"/>
      <c r="P1405" s="4"/>
      <c r="Q1405" s="4"/>
      <c r="R1405" s="4"/>
      <c r="S1405" s="4"/>
      <c r="T1405" s="4"/>
      <c r="U1405" s="4"/>
      <c r="V1405" s="4"/>
      <c r="W1405" s="4"/>
      <c r="X1405" s="4"/>
      <c r="Y1405" s="4"/>
      <c r="Z1405" s="4"/>
      <c r="AA1405" s="4"/>
      <c r="AB1405" s="4"/>
      <c r="AC1405" s="4"/>
      <c r="AD1405" s="4"/>
      <c r="AE1405" s="4"/>
      <c r="AF1405" s="4"/>
      <c r="AG1405" s="4" t="b">
        <v>0</v>
      </c>
      <c r="AH1405" s="4"/>
      <c r="AI1405" s="4"/>
      <c r="AJ1405" s="4"/>
      <c r="AK1405" s="4"/>
      <c r="AL1405" s="4"/>
      <c r="AM1405" s="4"/>
      <c r="AN1405" s="4"/>
      <c r="AO1405" s="4"/>
      <c r="AP1405" s="4"/>
      <c r="AQ1405" s="4"/>
      <c r="AR1405" s="4"/>
      <c r="AS1405" s="4"/>
      <c r="AT1405" s="4"/>
      <c r="AU1405" s="4"/>
      <c r="AV1405" s="4"/>
      <c r="AW1405" s="4"/>
      <c r="AX1405" s="4"/>
      <c r="AY1405" s="4"/>
      <c r="AZ1405" s="4"/>
      <c r="BA1405" s="4"/>
      <c r="BB1405" s="4"/>
      <c r="BC1405" s="4"/>
      <c r="BD1405" s="4"/>
      <c r="BE1405" s="4"/>
      <c r="BF1405" s="4"/>
      <c r="BG1405" s="4"/>
      <c r="BH1405" s="4"/>
      <c r="BI1405" s="4"/>
      <c r="BJ1405" s="4"/>
      <c r="BK1405" s="4"/>
      <c r="BL1405" s="4"/>
      <c r="BM1405" s="4"/>
      <c r="BN1405" s="4"/>
      <c r="BO1405" s="4"/>
      <c r="BP1405" s="4"/>
      <c r="BQ1405" s="4"/>
      <c r="BR1405" s="4"/>
      <c r="BS1405" s="4"/>
      <c r="BT1405" s="4"/>
      <c r="BU1405" s="4"/>
      <c r="BV1405" s="4"/>
      <c r="BW1405" s="4"/>
      <c r="BX1405" s="4"/>
      <c r="BY1405" s="4"/>
      <c r="BZ1405" s="4"/>
      <c r="CA1405" s="4"/>
      <c r="CB1405" s="4"/>
      <c r="CC1405" s="4"/>
      <c r="CD1405" s="4"/>
      <c r="CE1405" s="4"/>
      <c r="CF1405" s="4"/>
      <c r="CG1405" s="4"/>
      <c r="CH1405" s="4"/>
      <c r="CI1405" s="4"/>
      <c r="CJ1405" s="4"/>
      <c r="CK1405" s="4"/>
      <c r="CL1405" s="4"/>
      <c r="CM1405" s="4"/>
      <c r="CN1405" s="4"/>
      <c r="CO1405" s="4"/>
      <c r="CP1405" s="4"/>
      <c r="CQ1405" s="4"/>
      <c r="CR1405" s="4"/>
      <c r="CS1405" s="4"/>
      <c r="CT1405" s="4"/>
      <c r="CU1405" s="4"/>
      <c r="CV1405" s="4"/>
      <c r="CW1405" s="4"/>
      <c r="CX1405" s="4"/>
      <c r="CY1405" s="4"/>
      <c r="CZ1405" s="4"/>
      <c r="DA1405" s="4"/>
      <c r="DB1405" s="4"/>
      <c r="DC1405" s="4"/>
      <c r="DD1405" s="4"/>
      <c r="DE1405" s="4" t="s">
        <v>4100</v>
      </c>
      <c r="DF1405" s="4"/>
      <c r="DG1405" s="4"/>
      <c r="DH1405" s="4"/>
      <c r="DI1405" s="4"/>
      <c r="DJ1405" s="4"/>
      <c r="DK1405" s="4"/>
      <c r="DL1405" s="4"/>
      <c r="DM1405" s="4"/>
      <c r="DN1405" s="4"/>
      <c r="DO1405" s="4"/>
      <c r="DP1405" s="4"/>
      <c r="DQ1405" s="4"/>
      <c r="DR1405" s="4"/>
      <c r="DS1405" s="4"/>
      <c r="DT1405" s="4"/>
      <c r="DU1405" s="4"/>
      <c r="DV1405" s="4"/>
      <c r="DW1405" s="4"/>
      <c r="DX1405" s="4"/>
      <c r="DY1405" s="4"/>
      <c r="DZ1405" s="4"/>
      <c r="EA1405" s="4"/>
      <c r="EB1405" s="4"/>
      <c r="EC1405" s="4"/>
      <c r="ED1405" s="4"/>
      <c r="EE1405" s="4"/>
      <c r="EF1405" s="4"/>
      <c r="EG1405" s="4"/>
      <c r="EH1405" s="4"/>
      <c r="EI1405" s="4"/>
    </row>
    <row r="1406" spans="1:139" hidden="1" x14ac:dyDescent="0.2">
      <c r="A1406">
        <f>VLOOKUP(B1406,Sheet1!$A$1:$B$18,2,FALSE)</f>
        <v>0</v>
      </c>
      <c r="B1406" t="str">
        <f>LEFT(D1406,3)</f>
        <v>WKT</v>
      </c>
      <c r="C1406" s="2">
        <v>1405</v>
      </c>
      <c r="D1406" s="3" t="str">
        <f>HYPERLINK("https://sitebase.nzcomms.co.nz/spm/spmnominalview/WKT-013-023/","WKT-013-023")</f>
        <v>WKT-013-023</v>
      </c>
      <c r="E1406" s="4" t="s">
        <v>4189</v>
      </c>
      <c r="F1406" s="4"/>
      <c r="G1406" s="4"/>
      <c r="H1406" s="4" t="s">
        <v>4128</v>
      </c>
      <c r="I1406" s="4">
        <v>1</v>
      </c>
      <c r="J1406" s="4" t="s">
        <v>180</v>
      </c>
      <c r="K1406" s="4"/>
      <c r="L1406" s="4"/>
      <c r="M1406" s="4"/>
      <c r="N1406" s="4"/>
      <c r="O1406" s="4"/>
      <c r="P1406" s="4"/>
      <c r="Q1406" s="4"/>
      <c r="R1406" s="4"/>
      <c r="S1406" s="4"/>
      <c r="T1406" s="4"/>
      <c r="U1406" s="4"/>
      <c r="V1406" s="4"/>
      <c r="W1406" s="4"/>
      <c r="X1406" s="4"/>
      <c r="Y1406" s="4"/>
      <c r="Z1406" s="4"/>
      <c r="AA1406" s="4"/>
      <c r="AB1406" s="4"/>
      <c r="AC1406" s="4"/>
      <c r="AD1406" s="4"/>
      <c r="AE1406" s="4"/>
      <c r="AF1406" s="4"/>
      <c r="AG1406" s="4" t="b">
        <v>0</v>
      </c>
      <c r="AH1406" s="4"/>
      <c r="AI1406" s="4"/>
      <c r="AJ1406" s="4"/>
      <c r="AK1406" s="4"/>
      <c r="AL1406" s="4"/>
      <c r="AM1406" s="4"/>
      <c r="AN1406" s="4"/>
      <c r="AO1406" s="4"/>
      <c r="AP1406" s="4"/>
      <c r="AQ1406" s="4"/>
      <c r="AR1406" s="4"/>
      <c r="AS1406" s="4"/>
      <c r="AT1406" s="4"/>
      <c r="AU1406" s="4"/>
      <c r="AV1406" s="4"/>
      <c r="AW1406" s="4"/>
      <c r="AX1406" s="4"/>
      <c r="AY1406" s="4"/>
      <c r="AZ1406" s="4"/>
      <c r="BA1406" s="4"/>
      <c r="BB1406" s="4"/>
      <c r="BC1406" s="4"/>
      <c r="BD1406" s="4"/>
      <c r="BE1406" s="4"/>
      <c r="BF1406" s="4"/>
      <c r="BG1406" s="4"/>
      <c r="BH1406" s="4"/>
      <c r="BI1406" s="4"/>
      <c r="BJ1406" s="4"/>
      <c r="BK1406" s="4"/>
      <c r="BL1406" s="4"/>
      <c r="BM1406" s="4"/>
      <c r="BN1406" s="4"/>
      <c r="BO1406" s="4"/>
      <c r="BP1406" s="4"/>
      <c r="BQ1406" s="4"/>
      <c r="BR1406" s="4"/>
      <c r="BS1406" s="4"/>
      <c r="BT1406" s="4"/>
      <c r="BU1406" s="4"/>
      <c r="BV1406" s="4"/>
      <c r="BW1406" s="4"/>
      <c r="BX1406" s="4"/>
      <c r="BY1406" s="4"/>
      <c r="BZ1406" s="4"/>
      <c r="CA1406" s="4"/>
      <c r="CB1406" s="4"/>
      <c r="CC1406" s="4"/>
      <c r="CD1406" s="4"/>
      <c r="CE1406" s="4"/>
      <c r="CF1406" s="4"/>
      <c r="CG1406" s="4"/>
      <c r="CH1406" s="4"/>
      <c r="CI1406" s="4"/>
      <c r="CJ1406" s="4"/>
      <c r="CK1406" s="4"/>
      <c r="CL1406" s="4"/>
      <c r="CM1406" s="4"/>
      <c r="CN1406" s="4"/>
      <c r="CO1406" s="4"/>
      <c r="CP1406" s="4"/>
      <c r="CQ1406" s="4"/>
      <c r="CR1406" s="4"/>
      <c r="CS1406" s="4"/>
      <c r="CT1406" s="4"/>
      <c r="CU1406" s="4"/>
      <c r="CV1406" s="4"/>
      <c r="CW1406" s="4"/>
      <c r="CX1406" s="4"/>
      <c r="CY1406" s="4"/>
      <c r="CZ1406" s="4"/>
      <c r="DA1406" s="4"/>
      <c r="DB1406" s="4"/>
      <c r="DC1406" s="4"/>
      <c r="DD1406" s="4"/>
      <c r="DE1406" s="4" t="s">
        <v>4175</v>
      </c>
      <c r="DF1406" s="4"/>
      <c r="DG1406" s="4"/>
      <c r="DH1406" s="4"/>
      <c r="DI1406" s="4"/>
      <c r="DJ1406" s="4"/>
      <c r="DK1406" s="4"/>
      <c r="DL1406" s="4"/>
      <c r="DM1406" s="4"/>
      <c r="DN1406" s="4"/>
      <c r="DO1406" s="4"/>
      <c r="DP1406" s="4"/>
      <c r="DQ1406" s="4"/>
      <c r="DR1406" s="4"/>
      <c r="DS1406" s="4"/>
      <c r="DT1406" s="4"/>
      <c r="DU1406" s="4"/>
      <c r="DV1406" s="4"/>
      <c r="DW1406" s="4"/>
      <c r="DX1406" s="4"/>
      <c r="DY1406" s="4"/>
      <c r="DZ1406" s="4"/>
      <c r="EA1406" s="4"/>
      <c r="EB1406" s="4"/>
      <c r="EC1406" s="4"/>
      <c r="ED1406" s="4"/>
      <c r="EE1406" s="4"/>
      <c r="EF1406" s="4"/>
      <c r="EG1406" s="4"/>
      <c r="EH1406" s="4"/>
      <c r="EI1406" s="4"/>
    </row>
    <row r="1407" spans="1:139" hidden="1" x14ac:dyDescent="0.2">
      <c r="A1407">
        <f>VLOOKUP(B1407,Sheet1!$A$1:$B$18,2,FALSE)</f>
        <v>0</v>
      </c>
      <c r="B1407" t="str">
        <f>LEFT(D1407,3)</f>
        <v>WKT</v>
      </c>
      <c r="C1407" s="2">
        <v>1406</v>
      </c>
      <c r="D1407" s="3" t="str">
        <f>HYPERLINK("https://sitebase.nzcomms.co.nz/spm/spmnominalview/WKT-013-024/","WKT-013-024")</f>
        <v>WKT-013-024</v>
      </c>
      <c r="E1407" s="4" t="s">
        <v>4190</v>
      </c>
      <c r="F1407" s="3" t="str">
        <f>HYPERLINK("https://sitebase.nzcomms.co.nz/spm/spmcandidateview/WKT-013-024-A/","WKT-013-024-A")</f>
        <v>WKT-013-024-A</v>
      </c>
      <c r="G1407" s="4" t="s">
        <v>4191</v>
      </c>
      <c r="H1407" s="4" t="s">
        <v>4128</v>
      </c>
      <c r="I1407" s="4">
        <v>1</v>
      </c>
      <c r="J1407" s="4" t="s">
        <v>180</v>
      </c>
      <c r="K1407" s="4" t="s">
        <v>141</v>
      </c>
      <c r="L1407" s="4" t="s">
        <v>722</v>
      </c>
      <c r="M1407" s="4" t="s">
        <v>190</v>
      </c>
      <c r="N1407" s="4" t="s">
        <v>2063</v>
      </c>
      <c r="O1407" s="4"/>
      <c r="P1407" s="4" t="s">
        <v>169</v>
      </c>
      <c r="Q1407" s="4" t="s">
        <v>142</v>
      </c>
      <c r="R1407" s="4"/>
      <c r="S1407" s="4"/>
      <c r="T1407" s="4">
        <v>1</v>
      </c>
      <c r="U1407" s="4">
        <v>-37.716726360000003</v>
      </c>
      <c r="V1407" s="4">
        <v>175.44570752000001</v>
      </c>
      <c r="W1407" s="4"/>
      <c r="X1407" s="4"/>
      <c r="Y1407" s="4"/>
      <c r="Z1407" s="4"/>
      <c r="AA1407" s="4" t="s">
        <v>145</v>
      </c>
      <c r="AB1407" s="3" t="str">
        <f>HYPERLINK("https://sitebase.nzcomms.co.nz/spm/spmcandidateview/WKT-016-023-B/","WKT-016-023-B")</f>
        <v>WKT-016-023-B</v>
      </c>
      <c r="AC1407" s="4" t="b">
        <v>0</v>
      </c>
      <c r="AD1407" s="4" t="b">
        <v>0</v>
      </c>
      <c r="AE1407" s="4"/>
      <c r="AF1407" s="4"/>
      <c r="AG1407" s="4" t="b">
        <v>0</v>
      </c>
      <c r="AH1407" s="4"/>
      <c r="AI1407" s="4"/>
      <c r="AJ1407" s="5">
        <v>40952</v>
      </c>
      <c r="AK1407" s="4"/>
      <c r="AL1407" s="5">
        <v>40952</v>
      </c>
      <c r="AM1407" s="4"/>
      <c r="AN1407" s="5">
        <v>40952</v>
      </c>
      <c r="AO1407" s="4">
        <v>1</v>
      </c>
      <c r="AP1407" s="5">
        <v>40952</v>
      </c>
      <c r="AQ1407" s="5">
        <v>40952</v>
      </c>
      <c r="AR1407" s="4"/>
      <c r="AS1407" s="5">
        <v>40952</v>
      </c>
      <c r="AT1407" s="4"/>
      <c r="AU1407" s="5">
        <v>40952</v>
      </c>
      <c r="AV1407" s="4"/>
      <c r="AW1407" s="4"/>
      <c r="AX1407" s="5">
        <v>41366</v>
      </c>
      <c r="AY1407" s="4" t="s">
        <v>172</v>
      </c>
      <c r="AZ1407" s="5">
        <v>40952</v>
      </c>
      <c r="BA1407" s="5">
        <v>40952</v>
      </c>
      <c r="BB1407" s="5">
        <v>40952</v>
      </c>
      <c r="BC1407" s="5">
        <v>40952</v>
      </c>
      <c r="BD1407" s="4">
        <v>1</v>
      </c>
      <c r="BE1407" s="5">
        <v>40952</v>
      </c>
      <c r="BF1407" s="5">
        <v>40952</v>
      </c>
      <c r="BG1407" s="5">
        <v>41065</v>
      </c>
      <c r="BH1407" s="5">
        <v>41065</v>
      </c>
      <c r="BI1407" s="5">
        <v>41065</v>
      </c>
      <c r="BJ1407" s="5">
        <v>41065</v>
      </c>
      <c r="BK1407" s="4">
        <v>1</v>
      </c>
      <c r="BL1407" s="4"/>
      <c r="BM1407" s="5">
        <v>41065</v>
      </c>
      <c r="BN1407" s="5">
        <v>41065</v>
      </c>
      <c r="BO1407" s="4"/>
      <c r="BP1407" s="4"/>
      <c r="BQ1407" s="4"/>
      <c r="BR1407" s="4"/>
      <c r="BS1407" s="4"/>
      <c r="BT1407" s="5">
        <v>41143</v>
      </c>
      <c r="BU1407" s="5">
        <v>41137</v>
      </c>
      <c r="BV1407" s="5">
        <v>41145</v>
      </c>
      <c r="BW1407" s="5">
        <v>41137</v>
      </c>
      <c r="BX1407" s="5">
        <v>41137</v>
      </c>
      <c r="BY1407" s="5">
        <v>41164</v>
      </c>
      <c r="BZ1407" s="5">
        <v>41164</v>
      </c>
      <c r="CA1407" s="5">
        <v>41148</v>
      </c>
      <c r="CB1407" s="5">
        <v>41145</v>
      </c>
      <c r="CC1407" s="4"/>
      <c r="CD1407" s="4"/>
      <c r="CE1407" s="4"/>
      <c r="CF1407" s="4"/>
      <c r="CG1407" s="4"/>
      <c r="CH1407" s="4"/>
      <c r="CI1407" s="5">
        <v>41169</v>
      </c>
      <c r="CJ1407" s="5">
        <v>41185</v>
      </c>
      <c r="CK1407" s="5">
        <v>41177</v>
      </c>
      <c r="CL1407" s="5">
        <v>41190</v>
      </c>
      <c r="CM1407" s="5">
        <v>41178</v>
      </c>
      <c r="CN1407" s="5">
        <v>41381</v>
      </c>
      <c r="CO1407" s="5">
        <v>41374</v>
      </c>
      <c r="CP1407" s="4" t="s">
        <v>4192</v>
      </c>
      <c r="CQ1407" s="4" t="s">
        <v>230</v>
      </c>
      <c r="CR1407" s="5">
        <v>41169</v>
      </c>
      <c r="CS1407" s="5">
        <v>41122</v>
      </c>
      <c r="CT1407" s="5">
        <v>41122</v>
      </c>
      <c r="CU1407" s="5">
        <v>41152</v>
      </c>
      <c r="CV1407" s="5">
        <v>41152</v>
      </c>
      <c r="CW1407" s="4"/>
      <c r="CX1407" s="4"/>
      <c r="CY1407" s="5">
        <v>41155</v>
      </c>
      <c r="CZ1407" s="5">
        <v>41151</v>
      </c>
      <c r="DA1407" s="5">
        <v>41166</v>
      </c>
      <c r="DB1407" s="5">
        <v>41173</v>
      </c>
      <c r="DC1407" s="4"/>
      <c r="DD1407" s="4"/>
      <c r="DE1407" s="4" t="s">
        <v>722</v>
      </c>
      <c r="DF1407" s="5">
        <v>41145</v>
      </c>
      <c r="DG1407" s="5">
        <v>41145</v>
      </c>
      <c r="DH1407" s="4" t="s">
        <v>174</v>
      </c>
      <c r="DI1407" s="5">
        <v>41150</v>
      </c>
      <c r="DJ1407" s="4" t="b">
        <v>0</v>
      </c>
      <c r="DK1407" s="4"/>
      <c r="DL1407" s="4">
        <v>2725818</v>
      </c>
      <c r="DM1407" s="4">
        <v>6384402</v>
      </c>
      <c r="DN1407" s="4" t="s">
        <v>4193</v>
      </c>
      <c r="DO1407" s="4"/>
      <c r="DP1407" s="4" t="s">
        <v>4194</v>
      </c>
      <c r="DQ1407" s="4" t="s">
        <v>148</v>
      </c>
      <c r="DR1407" s="4"/>
      <c r="DS1407" s="4"/>
      <c r="DT1407" s="4"/>
      <c r="DU1407" s="4"/>
      <c r="DV1407" s="4"/>
      <c r="DW1407" s="4"/>
      <c r="DX1407" s="4"/>
      <c r="DY1407" s="4"/>
      <c r="DZ1407" s="4"/>
      <c r="EA1407" s="4"/>
      <c r="EB1407" s="4"/>
      <c r="EC1407" s="4"/>
      <c r="ED1407" s="4"/>
      <c r="EE1407" s="4"/>
      <c r="EF1407" s="4"/>
      <c r="EG1407" s="5">
        <v>41173</v>
      </c>
      <c r="EH1407" s="5">
        <v>41172</v>
      </c>
      <c r="EI1407" s="5">
        <v>40952</v>
      </c>
    </row>
    <row r="1408" spans="1:139" hidden="1" x14ac:dyDescent="0.2">
      <c r="A1408">
        <f>VLOOKUP(B1408,Sheet1!$A$1:$B$18,2,FALSE)</f>
        <v>0</v>
      </c>
      <c r="B1408" t="str">
        <f>LEFT(D1408,3)</f>
        <v>WKT</v>
      </c>
      <c r="C1408" s="2">
        <v>1407</v>
      </c>
      <c r="D1408" s="3" t="str">
        <f>HYPERLINK("https://sitebase.nzcomms.co.nz/spm/spmnominalview/WKT-013-025/","WKT-013-025")</f>
        <v>WKT-013-025</v>
      </c>
      <c r="E1408" s="4" t="s">
        <v>4195</v>
      </c>
      <c r="F1408" s="3" t="str">
        <f>HYPERLINK("https://sitebase.nzcomms.co.nz/spm/spmcandidateview/WKT-013-025-A/","WKT-013-025-A")</f>
        <v>WKT-013-025-A</v>
      </c>
      <c r="G1408" s="4" t="s">
        <v>4196</v>
      </c>
      <c r="H1408" s="4" t="s">
        <v>4128</v>
      </c>
      <c r="I1408" s="4">
        <v>1</v>
      </c>
      <c r="J1408" s="4" t="s">
        <v>180</v>
      </c>
      <c r="K1408" s="4" t="s">
        <v>141</v>
      </c>
      <c r="L1408" s="4" t="s">
        <v>722</v>
      </c>
      <c r="M1408" s="4" t="s">
        <v>190</v>
      </c>
      <c r="N1408" s="4" t="s">
        <v>2063</v>
      </c>
      <c r="O1408" s="4"/>
      <c r="P1408" s="4" t="s">
        <v>169</v>
      </c>
      <c r="Q1408" s="4" t="s">
        <v>142</v>
      </c>
      <c r="R1408" s="4"/>
      <c r="S1408" s="4"/>
      <c r="T1408" s="4">
        <v>1</v>
      </c>
      <c r="U1408" s="4">
        <v>-37.712342700000001</v>
      </c>
      <c r="V1408" s="4">
        <v>175.33580594</v>
      </c>
      <c r="W1408" s="4"/>
      <c r="X1408" s="4"/>
      <c r="Y1408" s="4"/>
      <c r="Z1408" s="4"/>
      <c r="AA1408" s="4" t="s">
        <v>145</v>
      </c>
      <c r="AB1408" s="3" t="str">
        <f>HYPERLINK("https://sitebase.nzcomms.co.nz/spm/spmcandidateview/WKT-016-023-B/","WKT-016-023-B")</f>
        <v>WKT-016-023-B</v>
      </c>
      <c r="AC1408" s="4" t="b">
        <v>0</v>
      </c>
      <c r="AD1408" s="4" t="b">
        <v>0</v>
      </c>
      <c r="AE1408" s="4"/>
      <c r="AF1408" s="4"/>
      <c r="AG1408" s="4" t="b">
        <v>0</v>
      </c>
      <c r="AH1408" s="4"/>
      <c r="AI1408" s="4"/>
      <c r="AJ1408" s="5">
        <v>40952</v>
      </c>
      <c r="AK1408" s="4"/>
      <c r="AL1408" s="5">
        <v>40952</v>
      </c>
      <c r="AM1408" s="4"/>
      <c r="AN1408" s="5">
        <v>40851</v>
      </c>
      <c r="AO1408" s="4">
        <v>1</v>
      </c>
      <c r="AP1408" s="5">
        <v>40952</v>
      </c>
      <c r="AQ1408" s="5">
        <v>40851</v>
      </c>
      <c r="AR1408" s="4"/>
      <c r="AS1408" s="5">
        <v>40952</v>
      </c>
      <c r="AT1408" s="4"/>
      <c r="AU1408" s="5">
        <v>40952</v>
      </c>
      <c r="AV1408" s="4"/>
      <c r="AW1408" s="4"/>
      <c r="AX1408" s="5">
        <v>40952</v>
      </c>
      <c r="AY1408" s="4"/>
      <c r="AZ1408" s="4"/>
      <c r="BA1408" s="5">
        <v>40952</v>
      </c>
      <c r="BB1408" s="5">
        <v>40952</v>
      </c>
      <c r="BC1408" s="5">
        <v>40952</v>
      </c>
      <c r="BD1408" s="4">
        <v>1</v>
      </c>
      <c r="BE1408" s="4"/>
      <c r="BF1408" s="5">
        <v>40952</v>
      </c>
      <c r="BG1408" s="5">
        <v>41065</v>
      </c>
      <c r="BH1408" s="5">
        <v>41065</v>
      </c>
      <c r="BI1408" s="5">
        <v>41065</v>
      </c>
      <c r="BJ1408" s="5">
        <v>41065</v>
      </c>
      <c r="BK1408" s="4">
        <v>1</v>
      </c>
      <c r="BL1408" s="4"/>
      <c r="BM1408" s="5">
        <v>41065</v>
      </c>
      <c r="BN1408" s="5">
        <v>41065</v>
      </c>
      <c r="BO1408" s="4"/>
      <c r="BP1408" s="4"/>
      <c r="BQ1408" s="4"/>
      <c r="BR1408" s="4"/>
      <c r="BS1408" s="4"/>
      <c r="BT1408" s="5">
        <v>41143</v>
      </c>
      <c r="BU1408" s="5">
        <v>41142</v>
      </c>
      <c r="BV1408" s="5">
        <v>41145</v>
      </c>
      <c r="BW1408" s="5">
        <v>41144</v>
      </c>
      <c r="BX1408" s="5">
        <v>41144</v>
      </c>
      <c r="BY1408" s="5">
        <v>41172</v>
      </c>
      <c r="BZ1408" s="5">
        <v>41163</v>
      </c>
      <c r="CA1408" s="5">
        <v>41148</v>
      </c>
      <c r="CB1408" s="5">
        <v>41145</v>
      </c>
      <c r="CC1408" s="4"/>
      <c r="CD1408" s="4"/>
      <c r="CE1408" s="4"/>
      <c r="CF1408" s="4"/>
      <c r="CG1408" s="4"/>
      <c r="CH1408" s="4"/>
      <c r="CI1408" s="5">
        <v>41173</v>
      </c>
      <c r="CJ1408" s="5">
        <v>41185</v>
      </c>
      <c r="CK1408" s="5">
        <v>41185</v>
      </c>
      <c r="CL1408" s="5">
        <v>41199</v>
      </c>
      <c r="CM1408" s="5">
        <v>41185</v>
      </c>
      <c r="CN1408" s="5">
        <v>41467</v>
      </c>
      <c r="CO1408" s="5">
        <v>41487</v>
      </c>
      <c r="CP1408" s="4" t="s">
        <v>4197</v>
      </c>
      <c r="CQ1408" s="4" t="s">
        <v>230</v>
      </c>
      <c r="CR1408" s="5">
        <v>41173</v>
      </c>
      <c r="CS1408" s="5">
        <v>41092</v>
      </c>
      <c r="CT1408" s="5">
        <v>41128</v>
      </c>
      <c r="CU1408" s="5">
        <v>41145</v>
      </c>
      <c r="CV1408" s="5">
        <v>41163</v>
      </c>
      <c r="CW1408" s="4"/>
      <c r="CX1408" s="4"/>
      <c r="CY1408" s="5">
        <v>41155</v>
      </c>
      <c r="CZ1408" s="5">
        <v>41151</v>
      </c>
      <c r="DA1408" s="5">
        <v>41166</v>
      </c>
      <c r="DB1408" s="5">
        <v>41178</v>
      </c>
      <c r="DC1408" s="4"/>
      <c r="DD1408" s="4"/>
      <c r="DE1408" s="4" t="s">
        <v>722</v>
      </c>
      <c r="DF1408" s="5">
        <v>41145</v>
      </c>
      <c r="DG1408" s="5">
        <v>41145</v>
      </c>
      <c r="DH1408" s="4" t="s">
        <v>174</v>
      </c>
      <c r="DI1408" s="5">
        <v>41144</v>
      </c>
      <c r="DJ1408" s="4" t="b">
        <v>0</v>
      </c>
      <c r="DK1408" s="4"/>
      <c r="DL1408" s="4">
        <v>2716146</v>
      </c>
      <c r="DM1408" s="4">
        <v>6385151</v>
      </c>
      <c r="DN1408" s="4" t="s">
        <v>4198</v>
      </c>
      <c r="DO1408" s="4"/>
      <c r="DP1408" s="4"/>
      <c r="DQ1408" s="4" t="s">
        <v>148</v>
      </c>
      <c r="DR1408" s="4"/>
      <c r="DS1408" s="4"/>
      <c r="DT1408" s="4"/>
      <c r="DU1408" s="4"/>
      <c r="DV1408" s="4"/>
      <c r="DW1408" s="4"/>
      <c r="DX1408" s="4"/>
      <c r="DY1408" s="4"/>
      <c r="DZ1408" s="4"/>
      <c r="EA1408" s="4"/>
      <c r="EB1408" s="4"/>
      <c r="EC1408" s="4"/>
      <c r="ED1408" s="4"/>
      <c r="EE1408" s="4"/>
      <c r="EF1408" s="4"/>
      <c r="EG1408" s="5">
        <v>41179</v>
      </c>
      <c r="EH1408" s="5">
        <v>41178</v>
      </c>
      <c r="EI1408" s="5">
        <v>40952</v>
      </c>
    </row>
    <row r="1409" spans="1:139" hidden="1" x14ac:dyDescent="0.2">
      <c r="A1409">
        <f>VLOOKUP(B1409,Sheet1!$A$1:$B$18,2,FALSE)</f>
        <v>0</v>
      </c>
      <c r="B1409" t="str">
        <f>LEFT(D1409,3)</f>
        <v>WKT</v>
      </c>
      <c r="C1409" s="2">
        <v>1408</v>
      </c>
      <c r="D1409" s="3" t="str">
        <f>HYPERLINK("https://sitebase.nzcomms.co.nz/spm/spmnominalview/WKT-013-026/","WKT-013-026")</f>
        <v>WKT-013-026</v>
      </c>
      <c r="E1409" s="4" t="s">
        <v>4199</v>
      </c>
      <c r="F1409" s="3" t="str">
        <f>HYPERLINK("https://sitebase.nzcomms.co.nz/spm/spmcandidateview/WKT-013-026-A/","WKT-013-026-A")</f>
        <v>WKT-013-026-A</v>
      </c>
      <c r="G1409" s="4" t="s">
        <v>4200</v>
      </c>
      <c r="H1409" s="4" t="s">
        <v>4128</v>
      </c>
      <c r="I1409" s="4">
        <v>25</v>
      </c>
      <c r="J1409" s="4" t="s">
        <v>331</v>
      </c>
      <c r="K1409" s="4" t="s">
        <v>141</v>
      </c>
      <c r="L1409" s="4" t="s">
        <v>722</v>
      </c>
      <c r="M1409" s="4" t="s">
        <v>166</v>
      </c>
      <c r="N1409" s="4" t="s">
        <v>1689</v>
      </c>
      <c r="O1409" s="4"/>
      <c r="P1409" s="4" t="s">
        <v>169</v>
      </c>
      <c r="Q1409" s="4" t="s">
        <v>142</v>
      </c>
      <c r="R1409" s="4">
        <v>23</v>
      </c>
      <c r="S1409" s="4">
        <v>25</v>
      </c>
      <c r="T1409" s="4"/>
      <c r="U1409" s="4">
        <v>-37.736044120000003</v>
      </c>
      <c r="V1409" s="4">
        <v>175.1447469</v>
      </c>
      <c r="W1409" s="4"/>
      <c r="X1409" s="4"/>
      <c r="Y1409" s="4"/>
      <c r="Z1409" s="4"/>
      <c r="AA1409" s="4" t="s">
        <v>145</v>
      </c>
      <c r="AB1409" s="3" t="str">
        <f>HYPERLINK("https://sitebase.nzcomms.co.nz/spm/spmcandidateview/WKT-016-044-A/","WKT-016-044-A")</f>
        <v>WKT-016-044-A</v>
      </c>
      <c r="AC1409" s="4" t="b">
        <v>0</v>
      </c>
      <c r="AD1409" s="4" t="b">
        <v>0</v>
      </c>
      <c r="AE1409" s="4"/>
      <c r="AF1409" s="4"/>
      <c r="AG1409" s="4" t="b">
        <v>0</v>
      </c>
      <c r="AH1409" s="4"/>
      <c r="AI1409" s="5">
        <v>42293</v>
      </c>
      <c r="AJ1409" s="5">
        <v>42293</v>
      </c>
      <c r="AK1409" s="5">
        <v>42298</v>
      </c>
      <c r="AL1409" s="5">
        <v>42298</v>
      </c>
      <c r="AM1409" s="5">
        <v>42298</v>
      </c>
      <c r="AN1409" s="5">
        <v>42310</v>
      </c>
      <c r="AO1409" s="4">
        <v>1</v>
      </c>
      <c r="AP1409" s="5">
        <v>42307</v>
      </c>
      <c r="AQ1409" s="5">
        <v>42310</v>
      </c>
      <c r="AR1409" s="5">
        <v>42416</v>
      </c>
      <c r="AS1409" s="4"/>
      <c r="AT1409" s="5">
        <v>42429</v>
      </c>
      <c r="AU1409" s="4"/>
      <c r="AV1409" s="4"/>
      <c r="AW1409" s="5">
        <v>42429</v>
      </c>
      <c r="AX1409" s="4"/>
      <c r="AY1409" s="4" t="s">
        <v>172</v>
      </c>
      <c r="AZ1409" s="5">
        <v>42353</v>
      </c>
      <c r="BA1409" s="5">
        <v>42353</v>
      </c>
      <c r="BB1409" s="5">
        <v>42356</v>
      </c>
      <c r="BC1409" s="5">
        <v>42385</v>
      </c>
      <c r="BD1409" s="4">
        <v>1</v>
      </c>
      <c r="BE1409" s="5">
        <v>42356</v>
      </c>
      <c r="BF1409" s="5">
        <v>42354</v>
      </c>
      <c r="BG1409" s="5">
        <v>42325</v>
      </c>
      <c r="BH1409" s="5">
        <v>42325</v>
      </c>
      <c r="BI1409" s="5">
        <v>42409</v>
      </c>
      <c r="BJ1409" s="4"/>
      <c r="BK1409" s="4"/>
      <c r="BL1409" s="4"/>
      <c r="BM1409" s="5">
        <v>42410</v>
      </c>
      <c r="BN1409" s="4"/>
      <c r="BO1409" s="4"/>
      <c r="BP1409" s="4"/>
      <c r="BQ1409" s="4"/>
      <c r="BR1409" s="4"/>
      <c r="BS1409" s="4"/>
      <c r="BT1409" s="5">
        <v>42443</v>
      </c>
      <c r="BU1409" s="4"/>
      <c r="BV1409" s="5">
        <v>42447</v>
      </c>
      <c r="BW1409" s="4"/>
      <c r="BX1409" s="4"/>
      <c r="BY1409" s="5">
        <v>42447</v>
      </c>
      <c r="BZ1409" s="4"/>
      <c r="CA1409" s="5">
        <v>42433</v>
      </c>
      <c r="CB1409" s="4"/>
      <c r="CC1409" s="5">
        <v>42417</v>
      </c>
      <c r="CD1409" s="4"/>
      <c r="CE1409" s="5">
        <v>42431</v>
      </c>
      <c r="CF1409" s="4"/>
      <c r="CG1409" s="5">
        <v>42437</v>
      </c>
      <c r="CH1409" s="4"/>
      <c r="CI1409" s="4"/>
      <c r="CJ1409" s="5">
        <v>42460</v>
      </c>
      <c r="CK1409" s="4"/>
      <c r="CL1409" s="4"/>
      <c r="CM1409" s="4"/>
      <c r="CN1409" s="4"/>
      <c r="CO1409" s="4"/>
      <c r="CP1409" s="4" t="s">
        <v>4201</v>
      </c>
      <c r="CQ1409" s="4" t="s">
        <v>230</v>
      </c>
      <c r="CR1409" s="4"/>
      <c r="CS1409" s="4"/>
      <c r="CT1409" s="4"/>
      <c r="CU1409" s="4"/>
      <c r="CV1409" s="4"/>
      <c r="CW1409" s="4"/>
      <c r="CX1409" s="4"/>
      <c r="CY1409" s="4"/>
      <c r="CZ1409" s="4"/>
      <c r="DA1409" s="5">
        <v>42454</v>
      </c>
      <c r="DB1409" s="4"/>
      <c r="DC1409" s="5">
        <v>42397</v>
      </c>
      <c r="DD1409" s="4" t="s">
        <v>586</v>
      </c>
      <c r="DE1409" s="4" t="s">
        <v>4147</v>
      </c>
      <c r="DF1409" s="5">
        <v>42444</v>
      </c>
      <c r="DG1409" s="4"/>
      <c r="DH1409" s="4" t="s">
        <v>174</v>
      </c>
      <c r="DI1409" s="5">
        <v>42443</v>
      </c>
      <c r="DJ1409" s="4" t="b">
        <v>0</v>
      </c>
      <c r="DK1409" s="4"/>
      <c r="DL1409" s="4">
        <v>2699243</v>
      </c>
      <c r="DM1409" s="4">
        <v>6382951</v>
      </c>
      <c r="DN1409" s="4" t="s">
        <v>4202</v>
      </c>
      <c r="DO1409" s="4"/>
      <c r="DP1409" s="4"/>
      <c r="DQ1409" s="4" t="s">
        <v>148</v>
      </c>
      <c r="DR1409" s="4"/>
      <c r="DS1409" s="4"/>
      <c r="DT1409" s="4"/>
      <c r="DU1409" s="4" t="s">
        <v>178</v>
      </c>
      <c r="DV1409" s="4"/>
      <c r="DW1409" s="4"/>
      <c r="DX1409" s="5">
        <v>42410</v>
      </c>
      <c r="DY1409" s="5">
        <v>42327</v>
      </c>
      <c r="DZ1409" s="5">
        <v>42333</v>
      </c>
      <c r="EA1409" s="5">
        <v>42297</v>
      </c>
      <c r="EB1409" s="5">
        <v>42297</v>
      </c>
      <c r="EC1409" s="5">
        <v>42321</v>
      </c>
      <c r="ED1409" s="5">
        <v>42321</v>
      </c>
      <c r="EE1409" s="5">
        <v>42397</v>
      </c>
      <c r="EF1409" s="5">
        <v>42402</v>
      </c>
      <c r="EG1409" s="4"/>
      <c r="EH1409" s="4"/>
      <c r="EI1409" s="5">
        <v>42293</v>
      </c>
    </row>
    <row r="1410" spans="1:139" hidden="1" x14ac:dyDescent="0.2">
      <c r="A1410">
        <f>VLOOKUP(B1410,Sheet1!$A$1:$B$18,2,FALSE)</f>
        <v>0</v>
      </c>
      <c r="B1410" t="str">
        <f>LEFT(D1410,3)</f>
        <v>WKT</v>
      </c>
      <c r="C1410" s="2">
        <v>1409</v>
      </c>
      <c r="D1410" s="3" t="str">
        <f>HYPERLINK("https://sitebase.nzcomms.co.nz/spm/spmnominalview/WKT-013-027/","WKT-013-027")</f>
        <v>WKT-013-027</v>
      </c>
      <c r="E1410" s="4" t="s">
        <v>4203</v>
      </c>
      <c r="F1410" s="3" t="str">
        <f>HYPERLINK("https://sitebase.nzcomms.co.nz/spm/spmcandidateview/WKT-013-027-A/","WKT-013-027-A")</f>
        <v>WKT-013-027-A</v>
      </c>
      <c r="G1410" s="4" t="s">
        <v>4204</v>
      </c>
      <c r="H1410" s="4" t="s">
        <v>4128</v>
      </c>
      <c r="I1410" s="4">
        <v>25</v>
      </c>
      <c r="J1410" s="4" t="s">
        <v>331</v>
      </c>
      <c r="K1410" s="4" t="s">
        <v>141</v>
      </c>
      <c r="L1410" s="4" t="s">
        <v>722</v>
      </c>
      <c r="M1410" s="4" t="s">
        <v>166</v>
      </c>
      <c r="N1410" s="4" t="s">
        <v>142</v>
      </c>
      <c r="O1410" s="4"/>
      <c r="P1410" s="4" t="s">
        <v>169</v>
      </c>
      <c r="Q1410" s="4" t="s">
        <v>142</v>
      </c>
      <c r="R1410" s="4">
        <v>23</v>
      </c>
      <c r="S1410" s="4">
        <v>25</v>
      </c>
      <c r="T1410" s="4"/>
      <c r="U1410" s="4">
        <v>-37.619148580000001</v>
      </c>
      <c r="V1410" s="4">
        <v>175.02335733000001</v>
      </c>
      <c r="W1410" s="4"/>
      <c r="X1410" s="4"/>
      <c r="Y1410" s="4"/>
      <c r="Z1410" s="4"/>
      <c r="AA1410" s="4"/>
      <c r="AB1410" s="4"/>
      <c r="AC1410" s="4" t="b">
        <v>0</v>
      </c>
      <c r="AD1410" s="4" t="b">
        <v>0</v>
      </c>
      <c r="AE1410" s="4"/>
      <c r="AF1410" s="4"/>
      <c r="AG1410" s="4" t="b">
        <v>0</v>
      </c>
      <c r="AH1410" s="4"/>
      <c r="AI1410" s="5">
        <v>42292</v>
      </c>
      <c r="AJ1410" s="5">
        <v>42292</v>
      </c>
      <c r="AK1410" s="5">
        <v>42297</v>
      </c>
      <c r="AL1410" s="5">
        <v>42298</v>
      </c>
      <c r="AM1410" s="5">
        <v>42298</v>
      </c>
      <c r="AN1410" s="5">
        <v>42310</v>
      </c>
      <c r="AO1410" s="4">
        <v>1</v>
      </c>
      <c r="AP1410" s="4"/>
      <c r="AQ1410" s="5">
        <v>42310</v>
      </c>
      <c r="AR1410" s="5">
        <v>42426</v>
      </c>
      <c r="AS1410" s="4"/>
      <c r="AT1410" s="5">
        <v>42454</v>
      </c>
      <c r="AU1410" s="4"/>
      <c r="AV1410" s="4"/>
      <c r="AW1410" s="5">
        <v>42457</v>
      </c>
      <c r="AX1410" s="4"/>
      <c r="AY1410" s="4" t="s">
        <v>172</v>
      </c>
      <c r="AZ1410" s="5">
        <v>42429</v>
      </c>
      <c r="BA1410" s="4"/>
      <c r="BB1410" s="5">
        <v>42431</v>
      </c>
      <c r="BC1410" s="4"/>
      <c r="BD1410" s="4"/>
      <c r="BE1410" s="5">
        <v>42431</v>
      </c>
      <c r="BF1410" s="4"/>
      <c r="BG1410" s="5">
        <v>42429</v>
      </c>
      <c r="BH1410" s="4"/>
      <c r="BI1410" s="5">
        <v>42432</v>
      </c>
      <c r="BJ1410" s="4"/>
      <c r="BK1410" s="4"/>
      <c r="BL1410" s="4"/>
      <c r="BM1410" s="5">
        <v>42433</v>
      </c>
      <c r="BN1410" s="4"/>
      <c r="BO1410" s="4"/>
      <c r="BP1410" s="4"/>
      <c r="BQ1410" s="4"/>
      <c r="BR1410" s="4"/>
      <c r="BS1410" s="4"/>
      <c r="BT1410" s="5">
        <v>42464</v>
      </c>
      <c r="BU1410" s="4"/>
      <c r="BV1410" s="5">
        <v>42468</v>
      </c>
      <c r="BW1410" s="4"/>
      <c r="BX1410" s="4"/>
      <c r="BY1410" s="5">
        <v>42467</v>
      </c>
      <c r="BZ1410" s="4"/>
      <c r="CA1410" s="5">
        <v>42460</v>
      </c>
      <c r="CB1410" s="4"/>
      <c r="CC1410" s="5">
        <v>42459</v>
      </c>
      <c r="CD1410" s="4"/>
      <c r="CE1410" s="5">
        <v>42452</v>
      </c>
      <c r="CF1410" s="4"/>
      <c r="CG1410" s="5">
        <v>42445</v>
      </c>
      <c r="CH1410" s="4"/>
      <c r="CI1410" s="4"/>
      <c r="CJ1410" s="5">
        <v>42486</v>
      </c>
      <c r="CK1410" s="4"/>
      <c r="CL1410" s="4"/>
      <c r="CM1410" s="4"/>
      <c r="CN1410" s="4"/>
      <c r="CO1410" s="4"/>
      <c r="CP1410" s="4" t="s">
        <v>4205</v>
      </c>
      <c r="CQ1410" s="4" t="s">
        <v>230</v>
      </c>
      <c r="CR1410" s="4"/>
      <c r="CS1410" s="4"/>
      <c r="CT1410" s="4"/>
      <c r="CU1410" s="4"/>
      <c r="CV1410" s="4"/>
      <c r="CW1410" s="4"/>
      <c r="CX1410" s="4"/>
      <c r="CY1410" s="4"/>
      <c r="CZ1410" s="4"/>
      <c r="DA1410" s="5">
        <v>42475</v>
      </c>
      <c r="DB1410" s="4"/>
      <c r="DC1410" s="4"/>
      <c r="DD1410" s="4"/>
      <c r="DE1410" s="4"/>
      <c r="DF1410" s="5">
        <v>42465</v>
      </c>
      <c r="DG1410" s="4"/>
      <c r="DH1410" s="4" t="s">
        <v>174</v>
      </c>
      <c r="DI1410" s="5">
        <v>42464</v>
      </c>
      <c r="DJ1410" s="4" t="b">
        <v>0</v>
      </c>
      <c r="DK1410" s="4"/>
      <c r="DL1410" s="4">
        <v>2688848</v>
      </c>
      <c r="DM1410" s="4">
        <v>6396175</v>
      </c>
      <c r="DN1410" s="4" t="s">
        <v>4206</v>
      </c>
      <c r="DO1410" s="4"/>
      <c r="DP1410" s="4"/>
      <c r="DQ1410" s="4" t="s">
        <v>148</v>
      </c>
      <c r="DR1410" s="4"/>
      <c r="DS1410" s="4"/>
      <c r="DT1410" s="4"/>
      <c r="DU1410" s="4" t="s">
        <v>178</v>
      </c>
      <c r="DV1410" s="4"/>
      <c r="DW1410" s="4"/>
      <c r="DX1410" s="4"/>
      <c r="DY1410" s="5">
        <v>42328</v>
      </c>
      <c r="DZ1410" s="5">
        <v>42333</v>
      </c>
      <c r="EA1410" s="5">
        <v>42293</v>
      </c>
      <c r="EB1410" s="5">
        <v>42293</v>
      </c>
      <c r="EC1410" s="5">
        <v>42328</v>
      </c>
      <c r="ED1410" s="5">
        <v>42328</v>
      </c>
      <c r="EE1410" s="5">
        <v>42426</v>
      </c>
      <c r="EF1410" s="4"/>
      <c r="EG1410" s="4"/>
      <c r="EH1410" s="4"/>
      <c r="EI1410" s="5">
        <v>42296</v>
      </c>
    </row>
    <row r="1411" spans="1:139" hidden="1" x14ac:dyDescent="0.2">
      <c r="A1411">
        <f>VLOOKUP(B1411,Sheet1!$A$1:$B$18,2,FALSE)</f>
        <v>0</v>
      </c>
      <c r="B1411" t="str">
        <f>LEFT(D1411,3)</f>
        <v>WKT</v>
      </c>
      <c r="C1411" s="2">
        <v>1410</v>
      </c>
      <c r="D1411" s="3" t="str">
        <f>HYPERLINK("https://sitebase.nzcomms.co.nz/spm/spmnominalview/WKT-013-028/","WKT-013-028")</f>
        <v>WKT-013-028</v>
      </c>
      <c r="E1411" s="4" t="s">
        <v>4207</v>
      </c>
      <c r="F1411" s="3" t="str">
        <f>HYPERLINK("https://sitebase.nzcomms.co.nz/spm/spmcandidateview/WKT-013-028-A/","WKT-013-028-A")</f>
        <v>WKT-013-028-A</v>
      </c>
      <c r="G1411" s="4" t="s">
        <v>4208</v>
      </c>
      <c r="H1411" s="4" t="s">
        <v>4128</v>
      </c>
      <c r="I1411" s="4"/>
      <c r="J1411" s="4" t="s">
        <v>722</v>
      </c>
      <c r="K1411" s="4" t="s">
        <v>141</v>
      </c>
      <c r="L1411" s="4" t="s">
        <v>722</v>
      </c>
      <c r="M1411" s="4" t="s">
        <v>190</v>
      </c>
      <c r="N1411" s="4" t="s">
        <v>1689</v>
      </c>
      <c r="O1411" s="4"/>
      <c r="P1411" s="4"/>
      <c r="Q1411" s="4" t="s">
        <v>142</v>
      </c>
      <c r="R1411" s="4"/>
      <c r="S1411" s="4"/>
      <c r="T1411" s="4"/>
      <c r="U1411" s="4">
        <v>-37.80941207</v>
      </c>
      <c r="V1411" s="4">
        <v>175.13792136000001</v>
      </c>
      <c r="W1411" s="4"/>
      <c r="X1411" s="4"/>
      <c r="Y1411" s="4"/>
      <c r="Z1411" s="4"/>
      <c r="AA1411" s="4"/>
      <c r="AB1411" s="4"/>
      <c r="AC1411" s="4" t="b">
        <v>0</v>
      </c>
      <c r="AD1411" s="4" t="b">
        <v>0</v>
      </c>
      <c r="AE1411" s="4"/>
      <c r="AF1411" s="4"/>
      <c r="AG1411" s="4" t="b">
        <v>0</v>
      </c>
      <c r="AH1411" s="4"/>
      <c r="AI1411" s="4"/>
      <c r="AJ1411" s="4"/>
      <c r="AK1411" s="4"/>
      <c r="AL1411" s="4"/>
      <c r="AM1411" s="4"/>
      <c r="AN1411" s="4"/>
      <c r="AO1411" s="4"/>
      <c r="AP1411" s="4"/>
      <c r="AQ1411" s="4"/>
      <c r="AR1411" s="4"/>
      <c r="AS1411" s="4"/>
      <c r="AT1411" s="4"/>
      <c r="AU1411" s="4"/>
      <c r="AV1411" s="4"/>
      <c r="AW1411" s="4"/>
      <c r="AX1411" s="4"/>
      <c r="AY1411" s="4"/>
      <c r="AZ1411" s="4"/>
      <c r="BA1411" s="4"/>
      <c r="BB1411" s="4"/>
      <c r="BC1411" s="4"/>
      <c r="BD1411" s="4"/>
      <c r="BE1411" s="4"/>
      <c r="BF1411" s="4"/>
      <c r="BG1411" s="4"/>
      <c r="BH1411" s="4"/>
      <c r="BI1411" s="4"/>
      <c r="BJ1411" s="4"/>
      <c r="BK1411" s="4"/>
      <c r="BL1411" s="4"/>
      <c r="BM1411" s="4"/>
      <c r="BN1411" s="4"/>
      <c r="BO1411" s="4"/>
      <c r="BP1411" s="4"/>
      <c r="BQ1411" s="4"/>
      <c r="BR1411" s="4"/>
      <c r="BS1411" s="4"/>
      <c r="BT1411" s="4"/>
      <c r="BU1411" s="4"/>
      <c r="BV1411" s="4"/>
      <c r="BW1411" s="4"/>
      <c r="BX1411" s="4"/>
      <c r="BY1411" s="4"/>
      <c r="BZ1411" s="4"/>
      <c r="CA1411" s="4"/>
      <c r="CB1411" s="4"/>
      <c r="CC1411" s="4"/>
      <c r="CD1411" s="4"/>
      <c r="CE1411" s="4"/>
      <c r="CF1411" s="4"/>
      <c r="CG1411" s="4"/>
      <c r="CH1411" s="4"/>
      <c r="CI1411" s="4"/>
      <c r="CJ1411" s="4"/>
      <c r="CK1411" s="4"/>
      <c r="CL1411" s="4"/>
      <c r="CM1411" s="4"/>
      <c r="CN1411" s="4"/>
      <c r="CO1411" s="4"/>
      <c r="CP1411" s="4" t="s">
        <v>4209</v>
      </c>
      <c r="CQ1411" s="4"/>
      <c r="CR1411" s="4"/>
      <c r="CS1411" s="4"/>
      <c r="CT1411" s="4"/>
      <c r="CU1411" s="4"/>
      <c r="CV1411" s="4"/>
      <c r="CW1411" s="4"/>
      <c r="CX1411" s="4"/>
      <c r="CY1411" s="4"/>
      <c r="CZ1411" s="4"/>
      <c r="DA1411" s="4"/>
      <c r="DB1411" s="4"/>
      <c r="DC1411" s="4"/>
      <c r="DD1411" s="4"/>
      <c r="DE1411" s="4" t="s">
        <v>4147</v>
      </c>
      <c r="DF1411" s="4"/>
      <c r="DG1411" s="4"/>
      <c r="DH1411" s="4"/>
      <c r="DI1411" s="4"/>
      <c r="DJ1411" s="4" t="b">
        <v>0</v>
      </c>
      <c r="DK1411" s="4"/>
      <c r="DL1411" s="4">
        <v>2698443</v>
      </c>
      <c r="DM1411" s="4">
        <v>6374826</v>
      </c>
      <c r="DN1411" s="4"/>
      <c r="DO1411" s="4"/>
      <c r="DP1411" s="4"/>
      <c r="DQ1411" s="4"/>
      <c r="DR1411" s="4"/>
      <c r="DS1411" s="4"/>
      <c r="DT1411" s="4"/>
      <c r="DU1411" s="4"/>
      <c r="DV1411" s="4"/>
      <c r="DW1411" s="4"/>
      <c r="DX1411" s="4"/>
      <c r="DY1411" s="4"/>
      <c r="DZ1411" s="4"/>
      <c r="EA1411" s="4"/>
      <c r="EB1411" s="4"/>
      <c r="EC1411" s="4"/>
      <c r="ED1411" s="4"/>
      <c r="EE1411" s="4"/>
      <c r="EF1411" s="4"/>
      <c r="EG1411" s="4"/>
      <c r="EH1411" s="4"/>
      <c r="EI1411" s="4"/>
    </row>
    <row r="1412" spans="1:139" hidden="1" x14ac:dyDescent="0.2">
      <c r="A1412">
        <f>VLOOKUP(B1412,Sheet1!$A$1:$B$18,2,FALSE)</f>
        <v>0</v>
      </c>
      <c r="B1412" t="str">
        <f>LEFT(D1412,3)</f>
        <v>WKT</v>
      </c>
      <c r="C1412" s="2">
        <v>1411</v>
      </c>
      <c r="D1412" s="3" t="str">
        <f>HYPERLINK("https://sitebase.nzcomms.co.nz/spm/spmnominalview/WKT-013-029/","WKT-013-029")</f>
        <v>WKT-013-029</v>
      </c>
      <c r="E1412" s="4" t="s">
        <v>4188</v>
      </c>
      <c r="F1412" s="4"/>
      <c r="G1412" s="4"/>
      <c r="H1412" s="4" t="s">
        <v>4128</v>
      </c>
      <c r="I1412" s="4"/>
      <c r="J1412" s="4" t="s">
        <v>196</v>
      </c>
      <c r="K1412" s="4"/>
      <c r="L1412" s="4"/>
      <c r="M1412" s="4"/>
      <c r="N1412" s="4"/>
      <c r="O1412" s="4"/>
      <c r="P1412" s="4"/>
      <c r="Q1412" s="4"/>
      <c r="R1412" s="4"/>
      <c r="S1412" s="4"/>
      <c r="T1412" s="4"/>
      <c r="U1412" s="4"/>
      <c r="V1412" s="4"/>
      <c r="W1412" s="4"/>
      <c r="X1412" s="4"/>
      <c r="Y1412" s="4"/>
      <c r="Z1412" s="4"/>
      <c r="AA1412" s="4"/>
      <c r="AB1412" s="4"/>
      <c r="AC1412" s="4"/>
      <c r="AD1412" s="4"/>
      <c r="AE1412" s="4"/>
      <c r="AF1412" s="4"/>
      <c r="AG1412" s="4" t="b">
        <v>0</v>
      </c>
      <c r="AH1412" s="4"/>
      <c r="AI1412" s="4"/>
      <c r="AJ1412" s="4"/>
      <c r="AK1412" s="4"/>
      <c r="AL1412" s="4"/>
      <c r="AM1412" s="4"/>
      <c r="AN1412" s="4"/>
      <c r="AO1412" s="4"/>
      <c r="AP1412" s="4"/>
      <c r="AQ1412" s="4"/>
      <c r="AR1412" s="4"/>
      <c r="AS1412" s="4"/>
      <c r="AT1412" s="4"/>
      <c r="AU1412" s="4"/>
      <c r="AV1412" s="4"/>
      <c r="AW1412" s="4"/>
      <c r="AX1412" s="4"/>
      <c r="AY1412" s="4"/>
      <c r="AZ1412" s="4"/>
      <c r="BA1412" s="4"/>
      <c r="BB1412" s="4"/>
      <c r="BC1412" s="4"/>
      <c r="BD1412" s="4"/>
      <c r="BE1412" s="4"/>
      <c r="BF1412" s="4"/>
      <c r="BG1412" s="4"/>
      <c r="BH1412" s="4"/>
      <c r="BI1412" s="4"/>
      <c r="BJ1412" s="4"/>
      <c r="BK1412" s="4"/>
      <c r="BL1412" s="4"/>
      <c r="BM1412" s="4"/>
      <c r="BN1412" s="4"/>
      <c r="BO1412" s="4"/>
      <c r="BP1412" s="4"/>
      <c r="BQ1412" s="4"/>
      <c r="BR1412" s="4"/>
      <c r="BS1412" s="4"/>
      <c r="BT1412" s="4"/>
      <c r="BU1412" s="4"/>
      <c r="BV1412" s="4"/>
      <c r="BW1412" s="4"/>
      <c r="BX1412" s="4"/>
      <c r="BY1412" s="4"/>
      <c r="BZ1412" s="4"/>
      <c r="CA1412" s="4"/>
      <c r="CB1412" s="4"/>
      <c r="CC1412" s="4"/>
      <c r="CD1412" s="4"/>
      <c r="CE1412" s="4"/>
      <c r="CF1412" s="4"/>
      <c r="CG1412" s="4"/>
      <c r="CH1412" s="4"/>
      <c r="CI1412" s="4"/>
      <c r="CJ1412" s="4"/>
      <c r="CK1412" s="4"/>
      <c r="CL1412" s="4"/>
      <c r="CM1412" s="4"/>
      <c r="CN1412" s="4"/>
      <c r="CO1412" s="4"/>
      <c r="CP1412" s="4"/>
      <c r="CQ1412" s="4"/>
      <c r="CR1412" s="4"/>
      <c r="CS1412" s="4"/>
      <c r="CT1412" s="4"/>
      <c r="CU1412" s="4"/>
      <c r="CV1412" s="4"/>
      <c r="CW1412" s="4"/>
      <c r="CX1412" s="4"/>
      <c r="CY1412" s="4"/>
      <c r="CZ1412" s="4"/>
      <c r="DA1412" s="4"/>
      <c r="DB1412" s="4"/>
      <c r="DC1412" s="4"/>
      <c r="DD1412" s="4"/>
      <c r="DE1412" s="4"/>
      <c r="DF1412" s="4"/>
      <c r="DG1412" s="4"/>
      <c r="DH1412" s="4"/>
      <c r="DI1412" s="4"/>
      <c r="DJ1412" s="4"/>
      <c r="DK1412" s="4"/>
      <c r="DL1412" s="4"/>
      <c r="DM1412" s="4"/>
      <c r="DN1412" s="4"/>
      <c r="DO1412" s="4"/>
      <c r="DP1412" s="4"/>
      <c r="DQ1412" s="4"/>
      <c r="DR1412" s="4"/>
      <c r="DS1412" s="4"/>
      <c r="DT1412" s="4"/>
      <c r="DU1412" s="4"/>
      <c r="DV1412" s="4"/>
      <c r="DW1412" s="4"/>
      <c r="DX1412" s="4"/>
      <c r="DY1412" s="4"/>
      <c r="DZ1412" s="4"/>
      <c r="EA1412" s="4"/>
      <c r="EB1412" s="4"/>
      <c r="EC1412" s="4"/>
      <c r="ED1412" s="4"/>
      <c r="EE1412" s="4"/>
      <c r="EF1412" s="4"/>
      <c r="EG1412" s="4"/>
      <c r="EH1412" s="4"/>
      <c r="EI1412" s="4"/>
    </row>
    <row r="1413" spans="1:139" hidden="1" x14ac:dyDescent="0.2">
      <c r="A1413">
        <f>VLOOKUP(B1413,Sheet1!$A$1:$B$18,2,FALSE)</f>
        <v>0</v>
      </c>
      <c r="B1413" t="str">
        <f>LEFT(D1413,3)</f>
        <v>WKT</v>
      </c>
      <c r="C1413" s="2">
        <v>1412</v>
      </c>
      <c r="D1413" s="3" t="str">
        <f>HYPERLINK("https://sitebase.nzcomms.co.nz/spm/spmnominalview/WKT-013-030/","WKT-013-030")</f>
        <v>WKT-013-030</v>
      </c>
      <c r="E1413" s="4" t="s">
        <v>4210</v>
      </c>
      <c r="F1413" s="4"/>
      <c r="G1413" s="4"/>
      <c r="H1413" s="4" t="s">
        <v>4128</v>
      </c>
      <c r="I1413" s="4">
        <v>1</v>
      </c>
      <c r="J1413" s="4" t="s">
        <v>180</v>
      </c>
      <c r="K1413" s="4"/>
      <c r="L1413" s="4"/>
      <c r="M1413" s="4"/>
      <c r="N1413" s="4"/>
      <c r="O1413" s="4"/>
      <c r="P1413" s="4"/>
      <c r="Q1413" s="4"/>
      <c r="R1413" s="4"/>
      <c r="S1413" s="4"/>
      <c r="T1413" s="4"/>
      <c r="U1413" s="4"/>
      <c r="V1413" s="4"/>
      <c r="W1413" s="4"/>
      <c r="X1413" s="4"/>
      <c r="Y1413" s="4"/>
      <c r="Z1413" s="4"/>
      <c r="AA1413" s="4"/>
      <c r="AB1413" s="4"/>
      <c r="AC1413" s="4"/>
      <c r="AD1413" s="4"/>
      <c r="AE1413" s="4"/>
      <c r="AF1413" s="4"/>
      <c r="AG1413" s="4" t="b">
        <v>0</v>
      </c>
      <c r="AH1413" s="4"/>
      <c r="AI1413" s="4"/>
      <c r="AJ1413" s="4"/>
      <c r="AK1413" s="4"/>
      <c r="AL1413" s="4"/>
      <c r="AM1413" s="4"/>
      <c r="AN1413" s="4"/>
      <c r="AO1413" s="4"/>
      <c r="AP1413" s="4"/>
      <c r="AQ1413" s="4"/>
      <c r="AR1413" s="4"/>
      <c r="AS1413" s="4"/>
      <c r="AT1413" s="4"/>
      <c r="AU1413" s="4"/>
      <c r="AV1413" s="4"/>
      <c r="AW1413" s="4"/>
      <c r="AX1413" s="4"/>
      <c r="AY1413" s="4"/>
      <c r="AZ1413" s="4"/>
      <c r="BA1413" s="4"/>
      <c r="BB1413" s="4"/>
      <c r="BC1413" s="4"/>
      <c r="BD1413" s="4"/>
      <c r="BE1413" s="4"/>
      <c r="BF1413" s="4"/>
      <c r="BG1413" s="4"/>
      <c r="BH1413" s="4"/>
      <c r="BI1413" s="4"/>
      <c r="BJ1413" s="4"/>
      <c r="BK1413" s="4"/>
      <c r="BL1413" s="4"/>
      <c r="BM1413" s="4"/>
      <c r="BN1413" s="4"/>
      <c r="BO1413" s="4"/>
      <c r="BP1413" s="4"/>
      <c r="BQ1413" s="4"/>
      <c r="BR1413" s="4"/>
      <c r="BS1413" s="4"/>
      <c r="BT1413" s="4"/>
      <c r="BU1413" s="4"/>
      <c r="BV1413" s="4"/>
      <c r="BW1413" s="4"/>
      <c r="BX1413" s="4"/>
      <c r="BY1413" s="4"/>
      <c r="BZ1413" s="4"/>
      <c r="CA1413" s="4"/>
      <c r="CB1413" s="4"/>
      <c r="CC1413" s="4"/>
      <c r="CD1413" s="4"/>
      <c r="CE1413" s="4"/>
      <c r="CF1413" s="4"/>
      <c r="CG1413" s="4"/>
      <c r="CH1413" s="4"/>
      <c r="CI1413" s="4"/>
      <c r="CJ1413" s="4"/>
      <c r="CK1413" s="4"/>
      <c r="CL1413" s="4"/>
      <c r="CM1413" s="4"/>
      <c r="CN1413" s="4"/>
      <c r="CO1413" s="4"/>
      <c r="CP1413" s="4"/>
      <c r="CQ1413" s="4"/>
      <c r="CR1413" s="4"/>
      <c r="CS1413" s="4"/>
      <c r="CT1413" s="4"/>
      <c r="CU1413" s="4"/>
      <c r="CV1413" s="4"/>
      <c r="CW1413" s="4"/>
      <c r="CX1413" s="4"/>
      <c r="CY1413" s="4"/>
      <c r="CZ1413" s="4"/>
      <c r="DA1413" s="4"/>
      <c r="DB1413" s="4"/>
      <c r="DC1413" s="4"/>
      <c r="DD1413" s="4"/>
      <c r="DE1413" s="4" t="s">
        <v>722</v>
      </c>
      <c r="DF1413" s="4"/>
      <c r="DG1413" s="4"/>
      <c r="DH1413" s="4"/>
      <c r="DI1413" s="4"/>
      <c r="DJ1413" s="4"/>
      <c r="DK1413" s="4"/>
      <c r="DL1413" s="4"/>
      <c r="DM1413" s="4"/>
      <c r="DN1413" s="4"/>
      <c r="DO1413" s="4"/>
      <c r="DP1413" s="4"/>
      <c r="DQ1413" s="4"/>
      <c r="DR1413" s="4"/>
      <c r="DS1413" s="4"/>
      <c r="DT1413" s="4"/>
      <c r="DU1413" s="4"/>
      <c r="DV1413" s="4"/>
      <c r="DW1413" s="4"/>
      <c r="DX1413" s="4"/>
      <c r="DY1413" s="4"/>
      <c r="DZ1413" s="4"/>
      <c r="EA1413" s="4"/>
      <c r="EB1413" s="4"/>
      <c r="EC1413" s="4"/>
      <c r="ED1413" s="4"/>
      <c r="EE1413" s="4"/>
      <c r="EF1413" s="4"/>
      <c r="EG1413" s="4"/>
      <c r="EH1413" s="4"/>
      <c r="EI1413" s="4"/>
    </row>
    <row r="1414" spans="1:139" hidden="1" x14ac:dyDescent="0.2">
      <c r="A1414">
        <f>VLOOKUP(B1414,Sheet1!$A$1:$B$18,2,FALSE)</f>
        <v>0</v>
      </c>
      <c r="B1414" t="str">
        <f>LEFT(D1414,3)</f>
        <v>WKT</v>
      </c>
      <c r="C1414" s="2">
        <v>1413</v>
      </c>
      <c r="D1414" s="3" t="str">
        <f>HYPERLINK("https://sitebase.nzcomms.co.nz/spm/spmnominalview/WKT-013-031/","WKT-013-031")</f>
        <v>WKT-013-031</v>
      </c>
      <c r="E1414" s="4" t="s">
        <v>1603</v>
      </c>
      <c r="F1414" s="3" t="str">
        <f>HYPERLINK("https://sitebase.nzcomms.co.nz/spm/spmcandidateview/WKT-013-031-A/","WKT-013-031-A")</f>
        <v>WKT-013-031-A</v>
      </c>
      <c r="G1414" s="4" t="s">
        <v>1603</v>
      </c>
      <c r="H1414" s="4" t="s">
        <v>4128</v>
      </c>
      <c r="I1414" s="4">
        <v>22</v>
      </c>
      <c r="J1414" s="4" t="s">
        <v>165</v>
      </c>
      <c r="K1414" s="4" t="s">
        <v>141</v>
      </c>
      <c r="L1414" s="4" t="s">
        <v>150</v>
      </c>
      <c r="M1414" s="4" t="s">
        <v>190</v>
      </c>
      <c r="N1414" s="4" t="s">
        <v>1557</v>
      </c>
      <c r="O1414" s="4"/>
      <c r="P1414" s="4" t="s">
        <v>169</v>
      </c>
      <c r="Q1414" s="4" t="s">
        <v>170</v>
      </c>
      <c r="R1414" s="4"/>
      <c r="S1414" s="4"/>
      <c r="T1414" s="4">
        <v>1</v>
      </c>
      <c r="U1414" s="4">
        <v>-37.249319620000001</v>
      </c>
      <c r="V1414" s="4">
        <v>174.9415118</v>
      </c>
      <c r="W1414" s="4"/>
      <c r="X1414" s="4"/>
      <c r="Y1414" s="4"/>
      <c r="Z1414" s="4"/>
      <c r="AA1414" s="4" t="s">
        <v>145</v>
      </c>
      <c r="AB1414" s="3" t="str">
        <f>HYPERLINK("https://sitebase.nzcomms.co.nz/spm/spmcandidateview/WKT-016-023-B/","WKT-016-023-B")</f>
        <v>WKT-016-023-B</v>
      </c>
      <c r="AC1414" s="4" t="b">
        <v>0</v>
      </c>
      <c r="AD1414" s="4" t="b">
        <v>0</v>
      </c>
      <c r="AE1414" s="4"/>
      <c r="AF1414" s="4"/>
      <c r="AG1414" s="4" t="b">
        <v>0</v>
      </c>
      <c r="AH1414" s="4"/>
      <c r="AI1414" s="5">
        <v>41018</v>
      </c>
      <c r="AJ1414" s="5">
        <v>41018</v>
      </c>
      <c r="AK1414" s="5">
        <v>41025</v>
      </c>
      <c r="AL1414" s="5">
        <v>41025</v>
      </c>
      <c r="AM1414" s="5">
        <v>41071</v>
      </c>
      <c r="AN1414" s="5">
        <v>41073</v>
      </c>
      <c r="AO1414" s="4">
        <v>2</v>
      </c>
      <c r="AP1414" s="5">
        <v>41071</v>
      </c>
      <c r="AQ1414" s="5">
        <v>41156</v>
      </c>
      <c r="AR1414" s="5">
        <v>41099</v>
      </c>
      <c r="AS1414" s="5">
        <v>41089</v>
      </c>
      <c r="AT1414" s="5">
        <v>41159</v>
      </c>
      <c r="AU1414" s="5">
        <v>41165</v>
      </c>
      <c r="AV1414" s="4">
        <v>1</v>
      </c>
      <c r="AW1414" s="5">
        <v>41166</v>
      </c>
      <c r="AX1414" s="5">
        <v>41165</v>
      </c>
      <c r="AY1414" s="4" t="s">
        <v>172</v>
      </c>
      <c r="AZ1414" s="5">
        <v>41099</v>
      </c>
      <c r="BA1414" s="5">
        <v>41102</v>
      </c>
      <c r="BB1414" s="5">
        <v>41173</v>
      </c>
      <c r="BC1414" s="5">
        <v>41178</v>
      </c>
      <c r="BD1414" s="4">
        <v>1</v>
      </c>
      <c r="BE1414" s="5">
        <v>41180</v>
      </c>
      <c r="BF1414" s="5">
        <v>41180</v>
      </c>
      <c r="BG1414" s="5">
        <v>41936</v>
      </c>
      <c r="BH1414" s="5">
        <v>41933</v>
      </c>
      <c r="BI1414" s="5">
        <v>42034</v>
      </c>
      <c r="BJ1414" s="5">
        <v>42039</v>
      </c>
      <c r="BK1414" s="4">
        <v>1</v>
      </c>
      <c r="BL1414" s="4"/>
      <c r="BM1414" s="5">
        <v>42048</v>
      </c>
      <c r="BN1414" s="5">
        <v>42039</v>
      </c>
      <c r="BO1414" s="5">
        <v>42081</v>
      </c>
      <c r="BP1414" s="4"/>
      <c r="BQ1414" s="4"/>
      <c r="BR1414" s="4"/>
      <c r="BS1414" s="4"/>
      <c r="BT1414" s="5">
        <v>42102</v>
      </c>
      <c r="BU1414" s="5">
        <v>42102</v>
      </c>
      <c r="BV1414" s="5">
        <v>42173</v>
      </c>
      <c r="BW1414" s="5">
        <v>42173</v>
      </c>
      <c r="BX1414" s="5">
        <v>42128</v>
      </c>
      <c r="BY1414" s="5">
        <v>42135</v>
      </c>
      <c r="BZ1414" s="5">
        <v>42135</v>
      </c>
      <c r="CA1414" s="5">
        <v>42131</v>
      </c>
      <c r="CB1414" s="4"/>
      <c r="CC1414" s="4"/>
      <c r="CD1414" s="4"/>
      <c r="CE1414" s="4"/>
      <c r="CF1414" s="4"/>
      <c r="CG1414" s="4"/>
      <c r="CH1414" s="4"/>
      <c r="CI1414" s="5">
        <v>42143</v>
      </c>
      <c r="CJ1414" s="5">
        <v>42184</v>
      </c>
      <c r="CK1414" s="5">
        <v>42178</v>
      </c>
      <c r="CL1414" s="5">
        <v>42188</v>
      </c>
      <c r="CM1414" s="5">
        <v>42184</v>
      </c>
      <c r="CN1414" s="4"/>
      <c r="CO1414" s="4"/>
      <c r="CP1414" s="4" t="s">
        <v>4211</v>
      </c>
      <c r="CQ1414" s="4"/>
      <c r="CR1414" s="5">
        <v>42138</v>
      </c>
      <c r="CS1414" s="4"/>
      <c r="CT1414" s="4"/>
      <c r="CU1414" s="4"/>
      <c r="CV1414" s="4"/>
      <c r="CW1414" s="5">
        <v>42081</v>
      </c>
      <c r="CX1414" s="5">
        <v>42081</v>
      </c>
      <c r="CY1414" s="5">
        <v>42173</v>
      </c>
      <c r="CZ1414" s="4"/>
      <c r="DA1414" s="5">
        <v>42178</v>
      </c>
      <c r="DB1414" s="5">
        <v>42174</v>
      </c>
      <c r="DC1414" s="4"/>
      <c r="DD1414" s="4"/>
      <c r="DE1414" s="4"/>
      <c r="DF1414" s="5">
        <v>42131</v>
      </c>
      <c r="DG1414" s="5">
        <v>42138</v>
      </c>
      <c r="DH1414" s="4" t="s">
        <v>174</v>
      </c>
      <c r="DI1414" s="5">
        <v>42123</v>
      </c>
      <c r="DJ1414" s="4" t="b">
        <v>0</v>
      </c>
      <c r="DK1414" s="4"/>
      <c r="DL1414" s="4">
        <v>2682541</v>
      </c>
      <c r="DM1414" s="4">
        <v>6437371</v>
      </c>
      <c r="DN1414" s="4" t="s">
        <v>4212</v>
      </c>
      <c r="DO1414" s="4"/>
      <c r="DP1414" s="4" t="s">
        <v>4213</v>
      </c>
      <c r="DQ1414" s="4" t="s">
        <v>148</v>
      </c>
      <c r="DR1414" s="4"/>
      <c r="DS1414" s="4"/>
      <c r="DT1414" s="4"/>
      <c r="DU1414" s="4" t="s">
        <v>178</v>
      </c>
      <c r="DV1414" s="4"/>
      <c r="DW1414" s="5">
        <v>41991</v>
      </c>
      <c r="DX1414" s="5">
        <v>41984</v>
      </c>
      <c r="DY1414" s="4"/>
      <c r="DZ1414" s="5">
        <v>42093</v>
      </c>
      <c r="EA1414" s="4"/>
      <c r="EB1414" s="4"/>
      <c r="EC1414" s="4"/>
      <c r="ED1414" s="5">
        <v>42019</v>
      </c>
      <c r="EE1414" s="4"/>
      <c r="EF1414" s="5">
        <v>42093</v>
      </c>
      <c r="EG1414" s="4"/>
      <c r="EH1414" s="4"/>
      <c r="EI1414" s="5">
        <v>41025</v>
      </c>
    </row>
    <row r="1415" spans="1:139" hidden="1" x14ac:dyDescent="0.2">
      <c r="A1415">
        <f>VLOOKUP(B1415,Sheet1!$A$1:$B$18,2,FALSE)</f>
        <v>0</v>
      </c>
      <c r="B1415" t="str">
        <f>LEFT(D1415,3)</f>
        <v>WKT</v>
      </c>
      <c r="C1415" s="2">
        <v>1414</v>
      </c>
      <c r="D1415" s="3" t="str">
        <f>HYPERLINK("https://sitebase.nzcomms.co.nz/spm/spmnominalview/WKT-013-032/","WKT-013-032")</f>
        <v>WKT-013-032</v>
      </c>
      <c r="E1415" s="4" t="s">
        <v>4214</v>
      </c>
      <c r="F1415" s="3" t="str">
        <f>HYPERLINK("https://sitebase.nzcomms.co.nz/spm/spmcandidateview/WKT-013-032-A/","WKT-013-032-A")</f>
        <v>WKT-013-032-A</v>
      </c>
      <c r="G1415" s="4" t="s">
        <v>4215</v>
      </c>
      <c r="H1415" s="4" t="s">
        <v>4128</v>
      </c>
      <c r="I1415" s="4">
        <v>6</v>
      </c>
      <c r="J1415" s="4" t="s">
        <v>584</v>
      </c>
      <c r="K1415" s="4" t="s">
        <v>141</v>
      </c>
      <c r="L1415" s="4" t="s">
        <v>150</v>
      </c>
      <c r="M1415" s="4" t="s">
        <v>324</v>
      </c>
      <c r="N1415" s="4"/>
      <c r="O1415" s="4"/>
      <c r="P1415" s="4"/>
      <c r="Q1415" s="4" t="s">
        <v>170</v>
      </c>
      <c r="R1415" s="4"/>
      <c r="S1415" s="4"/>
      <c r="T1415" s="4"/>
      <c r="U1415" s="4">
        <v>-37.800739</v>
      </c>
      <c r="V1415" s="4">
        <v>174.86826099999999</v>
      </c>
      <c r="W1415" s="4"/>
      <c r="X1415" s="4"/>
      <c r="Y1415" s="4"/>
      <c r="Z1415" s="4"/>
      <c r="AA1415" s="4"/>
      <c r="AB1415" s="4"/>
      <c r="AC1415" s="4" t="b">
        <v>0</v>
      </c>
      <c r="AD1415" s="4" t="b">
        <v>0</v>
      </c>
      <c r="AE1415" s="4"/>
      <c r="AF1415" s="4"/>
      <c r="AG1415" s="4" t="b">
        <v>0</v>
      </c>
      <c r="AH1415" s="4"/>
      <c r="AI1415" s="5">
        <v>41100</v>
      </c>
      <c r="AJ1415" s="5">
        <v>41100</v>
      </c>
      <c r="AK1415" s="5">
        <v>41101</v>
      </c>
      <c r="AL1415" s="5">
        <v>41101</v>
      </c>
      <c r="AM1415" s="5">
        <v>41155</v>
      </c>
      <c r="AN1415" s="5">
        <v>41164</v>
      </c>
      <c r="AO1415" s="4">
        <v>1</v>
      </c>
      <c r="AP1415" s="5">
        <v>41155</v>
      </c>
      <c r="AQ1415" s="5">
        <v>41164</v>
      </c>
      <c r="AR1415" s="5">
        <v>41849</v>
      </c>
      <c r="AS1415" s="5">
        <v>41849</v>
      </c>
      <c r="AT1415" s="5">
        <v>41850</v>
      </c>
      <c r="AU1415" s="4"/>
      <c r="AV1415" s="4"/>
      <c r="AW1415" s="5">
        <v>41850</v>
      </c>
      <c r="AX1415" s="4"/>
      <c r="AY1415" s="4" t="s">
        <v>172</v>
      </c>
      <c r="AZ1415" s="5">
        <v>41177</v>
      </c>
      <c r="BA1415" s="5">
        <v>41184</v>
      </c>
      <c r="BB1415" s="5">
        <v>41213</v>
      </c>
      <c r="BC1415" s="5">
        <v>41212</v>
      </c>
      <c r="BD1415" s="4">
        <v>1</v>
      </c>
      <c r="BE1415" s="5">
        <v>41220</v>
      </c>
      <c r="BF1415" s="5">
        <v>41218</v>
      </c>
      <c r="BG1415" s="5">
        <v>41856</v>
      </c>
      <c r="BH1415" s="4"/>
      <c r="BI1415" s="5">
        <v>41856</v>
      </c>
      <c r="BJ1415" s="5">
        <v>41859</v>
      </c>
      <c r="BK1415" s="4">
        <v>1</v>
      </c>
      <c r="BL1415" s="4"/>
      <c r="BM1415" s="4"/>
      <c r="BN1415" s="5">
        <v>41859</v>
      </c>
      <c r="BO1415" s="4"/>
      <c r="BP1415" s="4"/>
      <c r="BQ1415" s="4"/>
      <c r="BR1415" s="4"/>
      <c r="BS1415" s="4"/>
      <c r="BT1415" s="5">
        <v>41862</v>
      </c>
      <c r="BU1415" s="5">
        <v>41858</v>
      </c>
      <c r="BV1415" s="5">
        <v>41871</v>
      </c>
      <c r="BW1415" s="5">
        <v>41873</v>
      </c>
      <c r="BX1415" s="5">
        <v>41864</v>
      </c>
      <c r="BY1415" s="5">
        <v>41872</v>
      </c>
      <c r="BZ1415" s="5">
        <v>41883</v>
      </c>
      <c r="CA1415" s="4"/>
      <c r="CB1415" s="4"/>
      <c r="CC1415" s="4"/>
      <c r="CD1415" s="4"/>
      <c r="CE1415" s="4"/>
      <c r="CF1415" s="4"/>
      <c r="CG1415" s="4"/>
      <c r="CH1415" s="4"/>
      <c r="CI1415" s="4"/>
      <c r="CJ1415" s="5">
        <v>41907</v>
      </c>
      <c r="CK1415" s="5">
        <v>41904</v>
      </c>
      <c r="CL1415" s="4"/>
      <c r="CM1415" s="4"/>
      <c r="CN1415" s="4"/>
      <c r="CO1415" s="4"/>
      <c r="CP1415" s="4" t="s">
        <v>4216</v>
      </c>
      <c r="CQ1415" s="4"/>
      <c r="CR1415" s="4"/>
      <c r="CS1415" s="4"/>
      <c r="CT1415" s="4"/>
      <c r="CU1415" s="4"/>
      <c r="CV1415" s="4"/>
      <c r="CW1415" s="4"/>
      <c r="CX1415" s="4"/>
      <c r="CY1415" s="4"/>
      <c r="CZ1415" s="4"/>
      <c r="DA1415" s="5">
        <v>41898</v>
      </c>
      <c r="DB1415" s="5">
        <v>41898</v>
      </c>
      <c r="DC1415" s="4"/>
      <c r="DD1415" s="4"/>
      <c r="DE1415" s="4" t="s">
        <v>1982</v>
      </c>
      <c r="DF1415" s="5">
        <v>41866</v>
      </c>
      <c r="DG1415" s="5">
        <v>41866</v>
      </c>
      <c r="DH1415" s="4" t="s">
        <v>174</v>
      </c>
      <c r="DI1415" s="5">
        <v>41862</v>
      </c>
      <c r="DJ1415" s="4" t="b">
        <v>1</v>
      </c>
      <c r="DK1415" s="4"/>
      <c r="DL1415" s="4">
        <v>2674727</v>
      </c>
      <c r="DM1415" s="4">
        <v>6376333</v>
      </c>
      <c r="DN1415" s="4" t="s">
        <v>4217</v>
      </c>
      <c r="DO1415" s="4"/>
      <c r="DP1415" s="4" t="s">
        <v>4218</v>
      </c>
      <c r="DQ1415" s="4" t="s">
        <v>328</v>
      </c>
      <c r="DR1415" s="4"/>
      <c r="DS1415" s="4"/>
      <c r="DT1415" s="4"/>
      <c r="DU1415" s="4"/>
      <c r="DV1415" s="4"/>
      <c r="DW1415" s="4"/>
      <c r="DX1415" s="4"/>
      <c r="DY1415" s="4"/>
      <c r="DZ1415" s="4"/>
      <c r="EA1415" s="4"/>
      <c r="EB1415" s="4"/>
      <c r="EC1415" s="4"/>
      <c r="ED1415" s="4"/>
      <c r="EE1415" s="4"/>
      <c r="EF1415" s="4"/>
      <c r="EG1415" s="4"/>
      <c r="EH1415" s="4"/>
      <c r="EI1415" s="5">
        <v>41101</v>
      </c>
    </row>
    <row r="1416" spans="1:139" hidden="1" x14ac:dyDescent="0.2">
      <c r="A1416">
        <f>VLOOKUP(B1416,Sheet1!$A$1:$B$18,2,FALSE)</f>
        <v>0</v>
      </c>
      <c r="B1416" t="str">
        <f>LEFT(D1416,3)</f>
        <v>WKT</v>
      </c>
      <c r="C1416" s="2">
        <v>1415</v>
      </c>
      <c r="D1416" s="3" t="str">
        <f>HYPERLINK("https://sitebase.nzcomms.co.nz/spm/spmnominalview/WKT-015-001/","WKT-015-001")</f>
        <v>WKT-015-001</v>
      </c>
      <c r="E1416" s="4" t="s">
        <v>4219</v>
      </c>
      <c r="F1416" s="3" t="str">
        <f>HYPERLINK("https://sitebase.nzcomms.co.nz/spm/spmcandidateview/WKT-015-001-A/","WKT-015-001-A")</f>
        <v>WKT-015-001-A</v>
      </c>
      <c r="G1416" s="4" t="s">
        <v>4219</v>
      </c>
      <c r="H1416" s="4" t="s">
        <v>4220</v>
      </c>
      <c r="I1416" s="4">
        <v>1</v>
      </c>
      <c r="J1416" s="4" t="s">
        <v>180</v>
      </c>
      <c r="K1416" s="4" t="s">
        <v>141</v>
      </c>
      <c r="L1416" s="4" t="s">
        <v>150</v>
      </c>
      <c r="M1416" s="4" t="s">
        <v>190</v>
      </c>
      <c r="N1416" s="4" t="s">
        <v>167</v>
      </c>
      <c r="O1416" s="4"/>
      <c r="P1416" s="4" t="s">
        <v>169</v>
      </c>
      <c r="Q1416" s="4" t="s">
        <v>170</v>
      </c>
      <c r="R1416" s="4"/>
      <c r="S1416" s="4"/>
      <c r="T1416" s="4">
        <v>1</v>
      </c>
      <c r="U1416" s="4">
        <v>-37.537326700000001</v>
      </c>
      <c r="V1416" s="4">
        <v>175.46932602000001</v>
      </c>
      <c r="W1416" s="4"/>
      <c r="X1416" s="4"/>
      <c r="Y1416" s="4"/>
      <c r="Z1416" s="4"/>
      <c r="AA1416" s="4" t="s">
        <v>171</v>
      </c>
      <c r="AB1416" s="3" t="str">
        <f>HYPERLINK("https://sitebase.nzcomms.co.nz/spm/spmcandidateview/WKT-015-003-D/","WKT-015-003-D")</f>
        <v>WKT-015-003-D</v>
      </c>
      <c r="AC1416" s="4" t="b">
        <v>0</v>
      </c>
      <c r="AD1416" s="4" t="b">
        <v>0</v>
      </c>
      <c r="AE1416" s="4"/>
      <c r="AF1416" s="4"/>
      <c r="AG1416" s="4" t="b">
        <v>0</v>
      </c>
      <c r="AH1416" s="4" t="s">
        <v>4098</v>
      </c>
      <c r="AI1416" s="5">
        <v>40990</v>
      </c>
      <c r="AJ1416" s="5">
        <v>40990</v>
      </c>
      <c r="AK1416" s="5">
        <v>40995</v>
      </c>
      <c r="AL1416" s="5">
        <v>40995</v>
      </c>
      <c r="AM1416" s="5">
        <v>41025</v>
      </c>
      <c r="AN1416" s="5">
        <v>41023</v>
      </c>
      <c r="AO1416" s="4">
        <v>2</v>
      </c>
      <c r="AP1416" s="5">
        <v>41025</v>
      </c>
      <c r="AQ1416" s="5">
        <v>41123</v>
      </c>
      <c r="AR1416" s="5">
        <v>41054</v>
      </c>
      <c r="AS1416" s="5">
        <v>41052</v>
      </c>
      <c r="AT1416" s="5">
        <v>41085</v>
      </c>
      <c r="AU1416" s="5">
        <v>41085</v>
      </c>
      <c r="AV1416" s="4"/>
      <c r="AW1416" s="5">
        <v>41096</v>
      </c>
      <c r="AX1416" s="5">
        <v>41143</v>
      </c>
      <c r="AY1416" s="4" t="s">
        <v>172</v>
      </c>
      <c r="AZ1416" s="5">
        <v>41033</v>
      </c>
      <c r="BA1416" s="5">
        <v>41037</v>
      </c>
      <c r="BB1416" s="5">
        <v>41087</v>
      </c>
      <c r="BC1416" s="5">
        <v>41060</v>
      </c>
      <c r="BD1416" s="4">
        <v>2</v>
      </c>
      <c r="BE1416" s="5">
        <v>41075</v>
      </c>
      <c r="BF1416" s="5">
        <v>41067</v>
      </c>
      <c r="BG1416" s="5">
        <v>41138</v>
      </c>
      <c r="BH1416" s="4"/>
      <c r="BI1416" s="5">
        <v>41193</v>
      </c>
      <c r="BJ1416" s="5">
        <v>41197</v>
      </c>
      <c r="BK1416" s="4">
        <v>1</v>
      </c>
      <c r="BL1416" s="4"/>
      <c r="BM1416" s="5">
        <v>41193</v>
      </c>
      <c r="BN1416" s="5">
        <v>41197</v>
      </c>
      <c r="BO1416" s="5">
        <v>41211</v>
      </c>
      <c r="BP1416" s="4"/>
      <c r="BQ1416" s="4"/>
      <c r="BR1416" s="4"/>
      <c r="BS1416" s="4"/>
      <c r="BT1416" s="5">
        <v>41200</v>
      </c>
      <c r="BU1416" s="5">
        <v>41200</v>
      </c>
      <c r="BV1416" s="5">
        <v>41223</v>
      </c>
      <c r="BW1416" s="5">
        <v>41220</v>
      </c>
      <c r="BX1416" s="5">
        <v>41213</v>
      </c>
      <c r="BY1416" s="5">
        <v>41223</v>
      </c>
      <c r="BZ1416" s="5">
        <v>41220</v>
      </c>
      <c r="CA1416" s="4"/>
      <c r="CB1416" s="4"/>
      <c r="CC1416" s="4"/>
      <c r="CD1416" s="4"/>
      <c r="CE1416" s="4"/>
      <c r="CF1416" s="4"/>
      <c r="CG1416" s="4"/>
      <c r="CH1416" s="4"/>
      <c r="CI1416" s="5">
        <v>41229</v>
      </c>
      <c r="CJ1416" s="5">
        <v>41246</v>
      </c>
      <c r="CK1416" s="5">
        <v>41241</v>
      </c>
      <c r="CL1416" s="5">
        <v>41255</v>
      </c>
      <c r="CM1416" s="5">
        <v>41243</v>
      </c>
      <c r="CN1416" s="5">
        <v>41425</v>
      </c>
      <c r="CO1416" s="5">
        <v>41423</v>
      </c>
      <c r="CP1416" s="4" t="s">
        <v>4221</v>
      </c>
      <c r="CQ1416" s="4"/>
      <c r="CR1416" s="5">
        <v>41229</v>
      </c>
      <c r="CS1416" s="5">
        <v>41188</v>
      </c>
      <c r="CT1416" s="5">
        <v>41188</v>
      </c>
      <c r="CU1416" s="5">
        <v>41193</v>
      </c>
      <c r="CV1416" s="5">
        <v>41193</v>
      </c>
      <c r="CW1416" s="5">
        <v>41201</v>
      </c>
      <c r="CX1416" s="5">
        <v>41211</v>
      </c>
      <c r="CY1416" s="5">
        <v>41221</v>
      </c>
      <c r="CZ1416" s="5">
        <v>41221</v>
      </c>
      <c r="DA1416" s="5">
        <v>41232</v>
      </c>
      <c r="DB1416" s="5">
        <v>41233</v>
      </c>
      <c r="DC1416" s="4"/>
      <c r="DD1416" s="4"/>
      <c r="DE1416" s="4" t="s">
        <v>4100</v>
      </c>
      <c r="DF1416" s="4"/>
      <c r="DG1416" s="4"/>
      <c r="DH1416" s="4" t="s">
        <v>174</v>
      </c>
      <c r="DI1416" s="5">
        <v>41215</v>
      </c>
      <c r="DJ1416" s="4" t="b">
        <v>0</v>
      </c>
      <c r="DK1416" s="4"/>
      <c r="DL1416" s="4">
        <v>2728456</v>
      </c>
      <c r="DM1416" s="4">
        <v>6404245</v>
      </c>
      <c r="DN1416" s="4" t="s">
        <v>4222</v>
      </c>
      <c r="DO1416" s="4"/>
      <c r="DP1416" s="4" t="s">
        <v>4223</v>
      </c>
      <c r="DQ1416" s="4" t="s">
        <v>148</v>
      </c>
      <c r="DR1416" s="4"/>
      <c r="DS1416" s="4"/>
      <c r="DT1416" s="4"/>
      <c r="DU1416" s="4"/>
      <c r="DV1416" s="4"/>
      <c r="DW1416" s="4"/>
      <c r="DX1416" s="4"/>
      <c r="DY1416" s="4"/>
      <c r="DZ1416" s="4"/>
      <c r="EA1416" s="4"/>
      <c r="EB1416" s="4"/>
      <c r="EC1416" s="4"/>
      <c r="ED1416" s="4"/>
      <c r="EE1416" s="4"/>
      <c r="EF1416" s="4"/>
      <c r="EG1416" s="5">
        <v>41235</v>
      </c>
      <c r="EH1416" s="5">
        <v>41235</v>
      </c>
      <c r="EI1416" s="5">
        <v>40995</v>
      </c>
    </row>
    <row r="1417" spans="1:139" hidden="1" x14ac:dyDescent="0.2">
      <c r="A1417">
        <f>VLOOKUP(B1417,Sheet1!$A$1:$B$18,2,FALSE)</f>
        <v>0</v>
      </c>
      <c r="B1417" t="str">
        <f>LEFT(D1417,3)</f>
        <v>WKT</v>
      </c>
      <c r="C1417" s="2">
        <v>1416</v>
      </c>
      <c r="D1417" s="3" t="str">
        <f>HYPERLINK("https://sitebase.nzcomms.co.nz/spm/spmnominalview/WKT-015-002/","WKT-015-002")</f>
        <v>WKT-015-002</v>
      </c>
      <c r="E1417" s="4"/>
      <c r="F1417" s="4"/>
      <c r="G1417" s="4"/>
      <c r="H1417" s="4" t="s">
        <v>4220</v>
      </c>
      <c r="I1417" s="4"/>
      <c r="J1417" s="4" t="s">
        <v>196</v>
      </c>
      <c r="K1417" s="4"/>
      <c r="L1417" s="4"/>
      <c r="M1417" s="4"/>
      <c r="N1417" s="4"/>
      <c r="O1417" s="4"/>
      <c r="P1417" s="4"/>
      <c r="Q1417" s="4"/>
      <c r="R1417" s="4"/>
      <c r="S1417" s="4"/>
      <c r="T1417" s="4"/>
      <c r="U1417" s="4"/>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c r="AT1417" s="4"/>
      <c r="AU1417" s="4"/>
      <c r="AV1417" s="4"/>
      <c r="AW1417" s="4"/>
      <c r="AX1417" s="4"/>
      <c r="AY1417" s="4"/>
      <c r="AZ1417" s="4"/>
      <c r="BA1417" s="4"/>
      <c r="BB1417" s="4"/>
      <c r="BC1417" s="4"/>
      <c r="BD1417" s="4"/>
      <c r="BE1417" s="4"/>
      <c r="BF1417" s="4"/>
      <c r="BG1417" s="4"/>
      <c r="BH1417" s="4"/>
      <c r="BI1417" s="4"/>
      <c r="BJ1417" s="4"/>
      <c r="BK1417" s="4"/>
      <c r="BL1417" s="4"/>
      <c r="BM1417" s="4"/>
      <c r="BN1417" s="4"/>
      <c r="BO1417" s="4"/>
      <c r="BP1417" s="4"/>
      <c r="BQ1417" s="4"/>
      <c r="BR1417" s="4"/>
      <c r="BS1417" s="4"/>
      <c r="BT1417" s="4"/>
      <c r="BU1417" s="4"/>
      <c r="BV1417" s="4"/>
      <c r="BW1417" s="4"/>
      <c r="BX1417" s="4"/>
      <c r="BY1417" s="4"/>
      <c r="BZ1417" s="4"/>
      <c r="CA1417" s="4"/>
      <c r="CB1417" s="4"/>
      <c r="CC1417" s="4"/>
      <c r="CD1417" s="4"/>
      <c r="CE1417" s="4"/>
      <c r="CF1417" s="4"/>
      <c r="CG1417" s="4"/>
      <c r="CH1417" s="4"/>
      <c r="CI1417" s="4"/>
      <c r="CJ1417" s="4"/>
      <c r="CK1417" s="4"/>
      <c r="CL1417" s="4"/>
      <c r="CM1417" s="4"/>
      <c r="CN1417" s="4"/>
      <c r="CO1417" s="4"/>
      <c r="CP1417" s="4"/>
      <c r="CQ1417" s="4"/>
      <c r="CR1417" s="4"/>
      <c r="CS1417" s="4"/>
      <c r="CT1417" s="4"/>
      <c r="CU1417" s="4"/>
      <c r="CV1417" s="4"/>
      <c r="CW1417" s="4"/>
      <c r="CX1417" s="4"/>
      <c r="CY1417" s="4"/>
      <c r="CZ1417" s="4"/>
      <c r="DA1417" s="4"/>
      <c r="DB1417" s="4"/>
      <c r="DC1417" s="4"/>
      <c r="DD1417" s="4"/>
      <c r="DE1417" s="4"/>
      <c r="DF1417" s="4"/>
      <c r="DG1417" s="4"/>
      <c r="DH1417" s="4"/>
      <c r="DI1417" s="4"/>
      <c r="DJ1417" s="4"/>
      <c r="DK1417" s="4"/>
      <c r="DL1417" s="4"/>
      <c r="DM1417" s="4"/>
      <c r="DN1417" s="4"/>
      <c r="DO1417" s="4"/>
      <c r="DP1417" s="4"/>
      <c r="DQ1417" s="4"/>
      <c r="DR1417" s="4"/>
      <c r="DS1417" s="4"/>
      <c r="DT1417" s="4"/>
      <c r="DU1417" s="4"/>
      <c r="DV1417" s="4"/>
      <c r="DW1417" s="4"/>
      <c r="DX1417" s="4"/>
      <c r="DY1417" s="4"/>
      <c r="DZ1417" s="4"/>
      <c r="EA1417" s="4"/>
      <c r="EB1417" s="4"/>
      <c r="EC1417" s="4"/>
      <c r="ED1417" s="4"/>
      <c r="EE1417" s="4"/>
      <c r="EF1417" s="4"/>
      <c r="EG1417" s="4"/>
      <c r="EH1417" s="4"/>
      <c r="EI1417" s="4"/>
    </row>
    <row r="1418" spans="1:139" hidden="1" x14ac:dyDescent="0.2">
      <c r="A1418">
        <f>VLOOKUP(B1418,Sheet1!$A$1:$B$18,2,FALSE)</f>
        <v>0</v>
      </c>
      <c r="B1418" t="str">
        <f>LEFT(D1418,3)</f>
        <v>WKT</v>
      </c>
      <c r="C1418" s="2">
        <v>1417</v>
      </c>
      <c r="D1418" s="3" t="str">
        <f>HYPERLINK("https://sitebase.nzcomms.co.nz/spm/spmnominalview/WKT-015-003/","WKT-015-003")</f>
        <v>WKT-015-003</v>
      </c>
      <c r="E1418" s="4" t="s">
        <v>4224</v>
      </c>
      <c r="F1418" s="3" t="str">
        <f>HYPERLINK("https://sitebase.nzcomms.co.nz/spm/spmcandidateview/WKT-015-003-D/","WKT-015-003-D")</f>
        <v>WKT-015-003-D</v>
      </c>
      <c r="G1418" s="4" t="s">
        <v>4224</v>
      </c>
      <c r="H1418" s="4" t="s">
        <v>4220</v>
      </c>
      <c r="I1418" s="4">
        <v>1</v>
      </c>
      <c r="J1418" s="4" t="s">
        <v>180</v>
      </c>
      <c r="K1418" s="4" t="s">
        <v>141</v>
      </c>
      <c r="L1418" s="4" t="s">
        <v>150</v>
      </c>
      <c r="M1418" s="4" t="s">
        <v>190</v>
      </c>
      <c r="N1418" s="4" t="s">
        <v>167</v>
      </c>
      <c r="O1418" s="4"/>
      <c r="P1418" s="4" t="s">
        <v>169</v>
      </c>
      <c r="Q1418" s="4" t="s">
        <v>170</v>
      </c>
      <c r="R1418" s="4">
        <v>20</v>
      </c>
      <c r="S1418" s="4">
        <v>20</v>
      </c>
      <c r="T1418" s="4">
        <v>1</v>
      </c>
      <c r="U1418" s="4">
        <v>-37.677991220000003</v>
      </c>
      <c r="V1418" s="4">
        <v>175.52032614999999</v>
      </c>
      <c r="W1418" s="4"/>
      <c r="X1418" s="4"/>
      <c r="Y1418" s="4"/>
      <c r="Z1418" s="4"/>
      <c r="AA1418" s="4" t="s">
        <v>171</v>
      </c>
      <c r="AB1418" s="3" t="str">
        <f>HYPERLINK("https://sitebase.nzcomms.co.nz/spm/spmcandidateview/WKT-013-024-A/","WKT-013-024-A")</f>
        <v>WKT-013-024-A</v>
      </c>
      <c r="AC1418" s="4" t="b">
        <v>0</v>
      </c>
      <c r="AD1418" s="4" t="b">
        <v>0</v>
      </c>
      <c r="AE1418" s="4"/>
      <c r="AF1418" s="4"/>
      <c r="AG1418" s="4" t="b">
        <v>0</v>
      </c>
      <c r="AH1418" s="4" t="s">
        <v>4098</v>
      </c>
      <c r="AI1418" s="4"/>
      <c r="AJ1418" s="5">
        <v>41001</v>
      </c>
      <c r="AK1418" s="4"/>
      <c r="AL1418" s="5">
        <v>41004</v>
      </c>
      <c r="AM1418" s="5">
        <v>41060</v>
      </c>
      <c r="AN1418" s="5">
        <v>41060</v>
      </c>
      <c r="AO1418" s="4">
        <v>2</v>
      </c>
      <c r="AP1418" s="5">
        <v>41060</v>
      </c>
      <c r="AQ1418" s="5">
        <v>41088</v>
      </c>
      <c r="AR1418" s="5">
        <v>41110</v>
      </c>
      <c r="AS1418" s="5">
        <v>41094</v>
      </c>
      <c r="AT1418" s="5">
        <v>41131</v>
      </c>
      <c r="AU1418" s="5">
        <v>41127</v>
      </c>
      <c r="AV1418" s="4">
        <v>2</v>
      </c>
      <c r="AW1418" s="5">
        <v>41138</v>
      </c>
      <c r="AX1418" s="5">
        <v>41164</v>
      </c>
      <c r="AY1418" s="4" t="s">
        <v>172</v>
      </c>
      <c r="AZ1418" s="5">
        <v>41073</v>
      </c>
      <c r="BA1418" s="5">
        <v>41085</v>
      </c>
      <c r="BB1418" s="5">
        <v>41122</v>
      </c>
      <c r="BC1418" s="5">
        <v>41095</v>
      </c>
      <c r="BD1418" s="4">
        <v>2</v>
      </c>
      <c r="BE1418" s="5">
        <v>41129</v>
      </c>
      <c r="BF1418" s="5">
        <v>41099</v>
      </c>
      <c r="BG1418" s="5">
        <v>41138</v>
      </c>
      <c r="BH1418" s="4"/>
      <c r="BI1418" s="5">
        <v>41193</v>
      </c>
      <c r="BJ1418" s="5">
        <v>41198</v>
      </c>
      <c r="BK1418" s="4">
        <v>1</v>
      </c>
      <c r="BL1418" s="4"/>
      <c r="BM1418" s="5">
        <v>41193</v>
      </c>
      <c r="BN1418" s="5">
        <v>41198</v>
      </c>
      <c r="BO1418" s="5">
        <v>41211</v>
      </c>
      <c r="BP1418" s="4"/>
      <c r="BQ1418" s="4"/>
      <c r="BR1418" s="4"/>
      <c r="BS1418" s="4"/>
      <c r="BT1418" s="5">
        <v>41198</v>
      </c>
      <c r="BU1418" s="5">
        <v>41198</v>
      </c>
      <c r="BV1418" s="5">
        <v>41220</v>
      </c>
      <c r="BW1418" s="5">
        <v>41220</v>
      </c>
      <c r="BX1418" s="5">
        <v>41213</v>
      </c>
      <c r="BY1418" s="5">
        <v>41225</v>
      </c>
      <c r="BZ1418" s="5">
        <v>41220</v>
      </c>
      <c r="CA1418" s="4"/>
      <c r="CB1418" s="4"/>
      <c r="CC1418" s="4"/>
      <c r="CD1418" s="4"/>
      <c r="CE1418" s="4"/>
      <c r="CF1418" s="4"/>
      <c r="CG1418" s="4"/>
      <c r="CH1418" s="4"/>
      <c r="CI1418" s="5">
        <v>41228</v>
      </c>
      <c r="CJ1418" s="5">
        <v>41246</v>
      </c>
      <c r="CK1418" s="5">
        <v>41242</v>
      </c>
      <c r="CL1418" s="5">
        <v>41255</v>
      </c>
      <c r="CM1418" s="5">
        <v>41243</v>
      </c>
      <c r="CN1418" s="5">
        <v>41411</v>
      </c>
      <c r="CO1418" s="5">
        <v>41411</v>
      </c>
      <c r="CP1418" s="4" t="s">
        <v>4225</v>
      </c>
      <c r="CQ1418" s="4"/>
      <c r="CR1418" s="5">
        <v>41228</v>
      </c>
      <c r="CS1418" s="5">
        <v>41188</v>
      </c>
      <c r="CT1418" s="5">
        <v>41188</v>
      </c>
      <c r="CU1418" s="5">
        <v>41193</v>
      </c>
      <c r="CV1418" s="5">
        <v>41193</v>
      </c>
      <c r="CW1418" s="5">
        <v>41200</v>
      </c>
      <c r="CX1418" s="5">
        <v>41211</v>
      </c>
      <c r="CY1418" s="5">
        <v>41221</v>
      </c>
      <c r="CZ1418" s="5">
        <v>41221</v>
      </c>
      <c r="DA1418" s="5">
        <v>41232</v>
      </c>
      <c r="DB1418" s="5">
        <v>41233</v>
      </c>
      <c r="DC1418" s="4"/>
      <c r="DD1418" s="4"/>
      <c r="DE1418" s="4" t="s">
        <v>4100</v>
      </c>
      <c r="DF1418" s="4"/>
      <c r="DG1418" s="4"/>
      <c r="DH1418" s="4" t="s">
        <v>174</v>
      </c>
      <c r="DI1418" s="5">
        <v>41215</v>
      </c>
      <c r="DJ1418" s="4" t="b">
        <v>0</v>
      </c>
      <c r="DK1418" s="4"/>
      <c r="DL1418" s="4">
        <v>2732516</v>
      </c>
      <c r="DM1418" s="4">
        <v>6388514</v>
      </c>
      <c r="DN1418" s="4" t="s">
        <v>4226</v>
      </c>
      <c r="DO1418" s="4"/>
      <c r="DP1418" s="4" t="s">
        <v>4227</v>
      </c>
      <c r="DQ1418" s="4" t="s">
        <v>148</v>
      </c>
      <c r="DR1418" s="4"/>
      <c r="DS1418" s="4"/>
      <c r="DT1418" s="4"/>
      <c r="DU1418" s="4"/>
      <c r="DV1418" s="4"/>
      <c r="DW1418" s="4"/>
      <c r="DX1418" s="4"/>
      <c r="DY1418" s="4"/>
      <c r="DZ1418" s="4"/>
      <c r="EA1418" s="4"/>
      <c r="EB1418" s="4"/>
      <c r="EC1418" s="4"/>
      <c r="ED1418" s="4"/>
      <c r="EE1418" s="4"/>
      <c r="EF1418" s="4"/>
      <c r="EG1418" s="5">
        <v>41234</v>
      </c>
      <c r="EH1418" s="5">
        <v>41234</v>
      </c>
      <c r="EI1418" s="5">
        <v>39758</v>
      </c>
    </row>
    <row r="1419" spans="1:139" hidden="1" x14ac:dyDescent="0.2">
      <c r="A1419">
        <f>VLOOKUP(B1419,Sheet1!$A$1:$B$18,2,FALSE)</f>
        <v>0</v>
      </c>
      <c r="B1419" t="str">
        <f>LEFT(D1419,3)</f>
        <v>WKT</v>
      </c>
      <c r="C1419" s="2">
        <v>1418</v>
      </c>
      <c r="D1419" s="3" t="str">
        <f>HYPERLINK("https://sitebase.nzcomms.co.nz/spm/spmnominalview/WKT-015-004/","WKT-015-004")</f>
        <v>WKT-015-004</v>
      </c>
      <c r="E1419" s="4"/>
      <c r="F1419" s="4"/>
      <c r="G1419" s="4"/>
      <c r="H1419" s="4" t="s">
        <v>4220</v>
      </c>
      <c r="I1419" s="4"/>
      <c r="J1419" s="4" t="s">
        <v>196</v>
      </c>
      <c r="K1419" s="4"/>
      <c r="L1419" s="4"/>
      <c r="M1419" s="4"/>
      <c r="N1419" s="4"/>
      <c r="O1419" s="4"/>
      <c r="P1419" s="4"/>
      <c r="Q1419" s="4"/>
      <c r="R1419" s="4"/>
      <c r="S1419" s="4"/>
      <c r="T1419" s="4"/>
      <c r="U1419" s="4"/>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c r="AT1419" s="4"/>
      <c r="AU1419" s="4"/>
      <c r="AV1419" s="4"/>
      <c r="AW1419" s="4"/>
      <c r="AX1419" s="4"/>
      <c r="AY1419" s="4"/>
      <c r="AZ1419" s="4"/>
      <c r="BA1419" s="4"/>
      <c r="BB1419" s="4"/>
      <c r="BC1419" s="4"/>
      <c r="BD1419" s="4"/>
      <c r="BE1419" s="4"/>
      <c r="BF1419" s="4"/>
      <c r="BG1419" s="4"/>
      <c r="BH1419" s="4"/>
      <c r="BI1419" s="4"/>
      <c r="BJ1419" s="4"/>
      <c r="BK1419" s="4"/>
      <c r="BL1419" s="4"/>
      <c r="BM1419" s="4"/>
      <c r="BN1419" s="4"/>
      <c r="BO1419" s="4"/>
      <c r="BP1419" s="4"/>
      <c r="BQ1419" s="4"/>
      <c r="BR1419" s="4"/>
      <c r="BS1419" s="4"/>
      <c r="BT1419" s="4"/>
      <c r="BU1419" s="4"/>
      <c r="BV1419" s="4"/>
      <c r="BW1419" s="4"/>
      <c r="BX1419" s="4"/>
      <c r="BY1419" s="4"/>
      <c r="BZ1419" s="4"/>
      <c r="CA1419" s="4"/>
      <c r="CB1419" s="4"/>
      <c r="CC1419" s="4"/>
      <c r="CD1419" s="4"/>
      <c r="CE1419" s="4"/>
      <c r="CF1419" s="4"/>
      <c r="CG1419" s="4"/>
      <c r="CH1419" s="4"/>
      <c r="CI1419" s="4"/>
      <c r="CJ1419" s="4"/>
      <c r="CK1419" s="4"/>
      <c r="CL1419" s="4"/>
      <c r="CM1419" s="4"/>
      <c r="CN1419" s="4"/>
      <c r="CO1419" s="4"/>
      <c r="CP1419" s="4"/>
      <c r="CQ1419" s="4"/>
      <c r="CR1419" s="4"/>
      <c r="CS1419" s="4"/>
      <c r="CT1419" s="4"/>
      <c r="CU1419" s="4"/>
      <c r="CV1419" s="4"/>
      <c r="CW1419" s="4"/>
      <c r="CX1419" s="4"/>
      <c r="CY1419" s="4"/>
      <c r="CZ1419" s="4"/>
      <c r="DA1419" s="4"/>
      <c r="DB1419" s="4"/>
      <c r="DC1419" s="4"/>
      <c r="DD1419" s="4"/>
      <c r="DE1419" s="4"/>
      <c r="DF1419" s="4"/>
      <c r="DG1419" s="4"/>
      <c r="DH1419" s="4"/>
      <c r="DI1419" s="4"/>
      <c r="DJ1419" s="4"/>
      <c r="DK1419" s="4"/>
      <c r="DL1419" s="4"/>
      <c r="DM1419" s="4"/>
      <c r="DN1419" s="4"/>
      <c r="DO1419" s="4"/>
      <c r="DP1419" s="4"/>
      <c r="DQ1419" s="4"/>
      <c r="DR1419" s="4"/>
      <c r="DS1419" s="4"/>
      <c r="DT1419" s="4"/>
      <c r="DU1419" s="4"/>
      <c r="DV1419" s="4"/>
      <c r="DW1419" s="4"/>
      <c r="DX1419" s="4"/>
      <c r="DY1419" s="4"/>
      <c r="DZ1419" s="4"/>
      <c r="EA1419" s="4"/>
      <c r="EB1419" s="4"/>
      <c r="EC1419" s="4"/>
      <c r="ED1419" s="4"/>
      <c r="EE1419" s="4"/>
      <c r="EF1419" s="4"/>
      <c r="EG1419" s="4"/>
      <c r="EH1419" s="4"/>
      <c r="EI1419" s="4"/>
    </row>
    <row r="1420" spans="1:139" hidden="1" x14ac:dyDescent="0.2">
      <c r="A1420">
        <f>VLOOKUP(B1420,Sheet1!$A$1:$B$18,2,FALSE)</f>
        <v>0</v>
      </c>
      <c r="B1420" t="str">
        <f>LEFT(D1420,3)</f>
        <v>WKT</v>
      </c>
      <c r="C1420" s="2">
        <v>1419</v>
      </c>
      <c r="D1420" s="3" t="str">
        <f>HYPERLINK("https://sitebase.nzcomms.co.nz/spm/spmnominalview/WKT-015-005/","WKT-015-005")</f>
        <v>WKT-015-005</v>
      </c>
      <c r="E1420" s="4" t="s">
        <v>4228</v>
      </c>
      <c r="F1420" s="3" t="str">
        <f>HYPERLINK("https://sitebase.nzcomms.co.nz/spm/spmcandidateview/WKT-015-005-A/","WKT-015-005-A")</f>
        <v>WKT-015-005-A</v>
      </c>
      <c r="G1420" s="4" t="s">
        <v>4229</v>
      </c>
      <c r="H1420" s="4" t="s">
        <v>4220</v>
      </c>
      <c r="I1420" s="4">
        <v>22</v>
      </c>
      <c r="J1420" s="4" t="s">
        <v>165</v>
      </c>
      <c r="K1420" s="4" t="s">
        <v>141</v>
      </c>
      <c r="L1420" s="4" t="s">
        <v>150</v>
      </c>
      <c r="M1420" s="4" t="s">
        <v>190</v>
      </c>
      <c r="N1420" s="4" t="s">
        <v>291</v>
      </c>
      <c r="O1420" s="4"/>
      <c r="P1420" s="4" t="s">
        <v>169</v>
      </c>
      <c r="Q1420" s="4" t="s">
        <v>192</v>
      </c>
      <c r="R1420" s="4">
        <v>25</v>
      </c>
      <c r="S1420" s="4">
        <v>25.5</v>
      </c>
      <c r="T1420" s="4">
        <v>1</v>
      </c>
      <c r="U1420" s="4">
        <v>-37.81237204</v>
      </c>
      <c r="V1420" s="4">
        <v>175.77148093</v>
      </c>
      <c r="W1420" s="4"/>
      <c r="X1420" s="4"/>
      <c r="Y1420" s="4"/>
      <c r="Z1420" s="4"/>
      <c r="AA1420" s="4" t="s">
        <v>145</v>
      </c>
      <c r="AB1420" s="3" t="str">
        <f>HYPERLINK("https://sitebase.nzcomms.co.nz/spm/spmcandidateview/WKT-016-023-B/","WKT-016-023-B")</f>
        <v>WKT-016-023-B</v>
      </c>
      <c r="AC1420" s="4" t="b">
        <v>0</v>
      </c>
      <c r="AD1420" s="4" t="b">
        <v>0</v>
      </c>
      <c r="AE1420" s="4"/>
      <c r="AF1420" s="4"/>
      <c r="AG1420" s="4" t="b">
        <v>0</v>
      </c>
      <c r="AH1420" s="4"/>
      <c r="AI1420" s="5">
        <v>41100</v>
      </c>
      <c r="AJ1420" s="5">
        <v>41100</v>
      </c>
      <c r="AK1420" s="5">
        <v>41101</v>
      </c>
      <c r="AL1420" s="5">
        <v>41101</v>
      </c>
      <c r="AM1420" s="5">
        <v>41131</v>
      </c>
      <c r="AN1420" s="5">
        <v>41135</v>
      </c>
      <c r="AO1420" s="4">
        <v>1</v>
      </c>
      <c r="AP1420" s="5">
        <v>41131</v>
      </c>
      <c r="AQ1420" s="5">
        <v>41135</v>
      </c>
      <c r="AR1420" s="5">
        <v>41155</v>
      </c>
      <c r="AS1420" s="5">
        <v>41150</v>
      </c>
      <c r="AT1420" s="5">
        <v>41166</v>
      </c>
      <c r="AU1420" s="5">
        <v>41162</v>
      </c>
      <c r="AV1420" s="4">
        <v>1</v>
      </c>
      <c r="AW1420" s="5">
        <v>41173</v>
      </c>
      <c r="AX1420" s="5">
        <v>41162</v>
      </c>
      <c r="AY1420" s="4" t="s">
        <v>172</v>
      </c>
      <c r="AZ1420" s="5">
        <v>41150</v>
      </c>
      <c r="BA1420" s="5">
        <v>41152</v>
      </c>
      <c r="BB1420" s="5">
        <v>41180</v>
      </c>
      <c r="BC1420" s="5">
        <v>41165</v>
      </c>
      <c r="BD1420" s="4">
        <v>1</v>
      </c>
      <c r="BE1420" s="5">
        <v>41187</v>
      </c>
      <c r="BF1420" s="5">
        <v>41169</v>
      </c>
      <c r="BG1420" s="4"/>
      <c r="BH1420" s="5">
        <v>42249</v>
      </c>
      <c r="BI1420" s="5">
        <v>42285</v>
      </c>
      <c r="BJ1420" s="5">
        <v>42292</v>
      </c>
      <c r="BK1420" s="4">
        <v>1</v>
      </c>
      <c r="BL1420" s="4"/>
      <c r="BM1420" s="5">
        <v>42285</v>
      </c>
      <c r="BN1420" s="5">
        <v>42292</v>
      </c>
      <c r="BO1420" s="4"/>
      <c r="BP1420" s="4"/>
      <c r="BQ1420" s="4"/>
      <c r="BR1420" s="5">
        <v>42279</v>
      </c>
      <c r="BS1420" s="4"/>
      <c r="BT1420" s="5">
        <v>42307</v>
      </c>
      <c r="BU1420" s="5">
        <v>42300</v>
      </c>
      <c r="BV1420" s="5">
        <v>42328</v>
      </c>
      <c r="BW1420" s="5">
        <v>42331</v>
      </c>
      <c r="BX1420" s="4"/>
      <c r="BY1420" s="5">
        <v>42333</v>
      </c>
      <c r="BZ1420" s="5">
        <v>42333</v>
      </c>
      <c r="CA1420" s="5">
        <v>42332</v>
      </c>
      <c r="CB1420" s="5">
        <v>42333</v>
      </c>
      <c r="CC1420" s="4"/>
      <c r="CD1420" s="4"/>
      <c r="CE1420" s="4"/>
      <c r="CF1420" s="4"/>
      <c r="CG1420" s="4"/>
      <c r="CH1420" s="4"/>
      <c r="CI1420" s="4"/>
      <c r="CJ1420" s="5">
        <v>42345</v>
      </c>
      <c r="CK1420" s="5">
        <v>42345</v>
      </c>
      <c r="CL1420" s="5">
        <v>42356</v>
      </c>
      <c r="CM1420" s="5">
        <v>42356</v>
      </c>
      <c r="CN1420" s="4"/>
      <c r="CO1420" s="4"/>
      <c r="CP1420" s="4"/>
      <c r="CQ1420" s="4"/>
      <c r="CR1420" s="4"/>
      <c r="CS1420" s="4"/>
      <c r="CT1420" s="4"/>
      <c r="CU1420" s="4"/>
      <c r="CV1420" s="4"/>
      <c r="CW1420" s="4"/>
      <c r="CX1420" s="4"/>
      <c r="CY1420" s="4"/>
      <c r="CZ1420" s="4"/>
      <c r="DA1420" s="5">
        <v>42342</v>
      </c>
      <c r="DB1420" s="5">
        <v>42341</v>
      </c>
      <c r="DC1420" s="4"/>
      <c r="DD1420" s="4"/>
      <c r="DE1420" s="4" t="s">
        <v>4175</v>
      </c>
      <c r="DF1420" s="5">
        <v>42324</v>
      </c>
      <c r="DG1420" s="5">
        <v>42328</v>
      </c>
      <c r="DH1420" s="4" t="s">
        <v>174</v>
      </c>
      <c r="DI1420" s="4"/>
      <c r="DJ1420" s="4" t="b">
        <v>1</v>
      </c>
      <c r="DK1420" s="4"/>
      <c r="DL1420" s="4">
        <v>2754193</v>
      </c>
      <c r="DM1420" s="4">
        <v>6372947</v>
      </c>
      <c r="DN1420" s="4" t="s">
        <v>4230</v>
      </c>
      <c r="DO1420" s="4"/>
      <c r="DP1420" s="4" t="s">
        <v>4231</v>
      </c>
      <c r="DQ1420" s="4" t="s">
        <v>148</v>
      </c>
      <c r="DR1420" s="4"/>
      <c r="DS1420" s="4"/>
      <c r="DT1420" s="4"/>
      <c r="DU1420" s="4" t="s">
        <v>178</v>
      </c>
      <c r="DV1420" s="4"/>
      <c r="DW1420" s="5">
        <v>42275</v>
      </c>
      <c r="DX1420" s="5">
        <v>42283</v>
      </c>
      <c r="DY1420" s="5">
        <v>42258</v>
      </c>
      <c r="DZ1420" s="5">
        <v>42256</v>
      </c>
      <c r="EA1420" s="4"/>
      <c r="EB1420" s="5">
        <v>42255</v>
      </c>
      <c r="EC1420" s="5">
        <v>42269</v>
      </c>
      <c r="ED1420" s="5">
        <v>42269</v>
      </c>
      <c r="EE1420" s="5">
        <v>42293</v>
      </c>
      <c r="EF1420" s="5">
        <v>42289</v>
      </c>
      <c r="EG1420" s="4"/>
      <c r="EH1420" s="4"/>
      <c r="EI1420" s="5">
        <v>41101</v>
      </c>
    </row>
    <row r="1421" spans="1:139" hidden="1" x14ac:dyDescent="0.2">
      <c r="A1421">
        <f>VLOOKUP(B1421,Sheet1!$A$1:$B$18,2,FALSE)</f>
        <v>0</v>
      </c>
      <c r="B1421" t="str">
        <f>LEFT(D1421,3)</f>
        <v>WKT</v>
      </c>
      <c r="C1421" s="2">
        <v>1420</v>
      </c>
      <c r="D1421" s="3" t="str">
        <f>HYPERLINK("https://sitebase.nzcomms.co.nz/spm/spmnominalview/WKT-015-006/","WKT-015-006")</f>
        <v>WKT-015-006</v>
      </c>
      <c r="E1421" s="4"/>
      <c r="F1421" s="4"/>
      <c r="G1421" s="4"/>
      <c r="H1421" s="4" t="s">
        <v>4220</v>
      </c>
      <c r="I1421" s="4"/>
      <c r="J1421" s="4" t="s">
        <v>196</v>
      </c>
      <c r="K1421" s="4"/>
      <c r="L1421" s="4"/>
      <c r="M1421" s="4"/>
      <c r="N1421" s="4"/>
      <c r="O1421" s="4"/>
      <c r="P1421" s="4"/>
      <c r="Q1421" s="4"/>
      <c r="R1421" s="4"/>
      <c r="S1421" s="4"/>
      <c r="T1421" s="4"/>
      <c r="U1421" s="4"/>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c r="AT1421" s="4"/>
      <c r="AU1421" s="4"/>
      <c r="AV1421" s="4"/>
      <c r="AW1421" s="4"/>
      <c r="AX1421" s="4"/>
      <c r="AY1421" s="4"/>
      <c r="AZ1421" s="4"/>
      <c r="BA1421" s="4"/>
      <c r="BB1421" s="4"/>
      <c r="BC1421" s="4"/>
      <c r="BD1421" s="4"/>
      <c r="BE1421" s="4"/>
      <c r="BF1421" s="4"/>
      <c r="BG1421" s="4"/>
      <c r="BH1421" s="4"/>
      <c r="BI1421" s="4"/>
      <c r="BJ1421" s="4"/>
      <c r="BK1421" s="4"/>
      <c r="BL1421" s="4"/>
      <c r="BM1421" s="4"/>
      <c r="BN1421" s="4"/>
      <c r="BO1421" s="4"/>
      <c r="BP1421" s="4"/>
      <c r="BQ1421" s="4"/>
      <c r="BR1421" s="4"/>
      <c r="BS1421" s="4"/>
      <c r="BT1421" s="4"/>
      <c r="BU1421" s="4"/>
      <c r="BV1421" s="4"/>
      <c r="BW1421" s="4"/>
      <c r="BX1421" s="4"/>
      <c r="BY1421" s="4"/>
      <c r="BZ1421" s="4"/>
      <c r="CA1421" s="4"/>
      <c r="CB1421" s="4"/>
      <c r="CC1421" s="4"/>
      <c r="CD1421" s="4"/>
      <c r="CE1421" s="4"/>
      <c r="CF1421" s="4"/>
      <c r="CG1421" s="4"/>
      <c r="CH1421" s="4"/>
      <c r="CI1421" s="4"/>
      <c r="CJ1421" s="4"/>
      <c r="CK1421" s="4"/>
      <c r="CL1421" s="4"/>
      <c r="CM1421" s="4"/>
      <c r="CN1421" s="4"/>
      <c r="CO1421" s="4"/>
      <c r="CP1421" s="4"/>
      <c r="CQ1421" s="4"/>
      <c r="CR1421" s="4"/>
      <c r="CS1421" s="4"/>
      <c r="CT1421" s="4"/>
      <c r="CU1421" s="4"/>
      <c r="CV1421" s="4"/>
      <c r="CW1421" s="4"/>
      <c r="CX1421" s="4"/>
      <c r="CY1421" s="4"/>
      <c r="CZ1421" s="4"/>
      <c r="DA1421" s="4"/>
      <c r="DB1421" s="4"/>
      <c r="DC1421" s="4"/>
      <c r="DD1421" s="4"/>
      <c r="DE1421" s="4"/>
      <c r="DF1421" s="4"/>
      <c r="DG1421" s="4"/>
      <c r="DH1421" s="4"/>
      <c r="DI1421" s="4"/>
      <c r="DJ1421" s="4"/>
      <c r="DK1421" s="4"/>
      <c r="DL1421" s="4"/>
      <c r="DM1421" s="4"/>
      <c r="DN1421" s="4"/>
      <c r="DO1421" s="4"/>
      <c r="DP1421" s="4"/>
      <c r="DQ1421" s="4"/>
      <c r="DR1421" s="4"/>
      <c r="DS1421" s="4"/>
      <c r="DT1421" s="4"/>
      <c r="DU1421" s="4"/>
      <c r="DV1421" s="4"/>
      <c r="DW1421" s="4"/>
      <c r="DX1421" s="4"/>
      <c r="DY1421" s="4"/>
      <c r="DZ1421" s="4"/>
      <c r="EA1421" s="4"/>
      <c r="EB1421" s="4"/>
      <c r="EC1421" s="4"/>
      <c r="ED1421" s="4"/>
      <c r="EE1421" s="4"/>
      <c r="EF1421" s="4"/>
      <c r="EG1421" s="4"/>
      <c r="EH1421" s="4"/>
      <c r="EI1421" s="4"/>
    </row>
    <row r="1422" spans="1:139" hidden="1" x14ac:dyDescent="0.2">
      <c r="A1422">
        <f>VLOOKUP(B1422,Sheet1!$A$1:$B$18,2,FALSE)</f>
        <v>0</v>
      </c>
      <c r="B1422" t="str">
        <f>LEFT(D1422,3)</f>
        <v>WKT</v>
      </c>
      <c r="C1422" s="2">
        <v>1421</v>
      </c>
      <c r="D1422" s="3" t="str">
        <f>HYPERLINK("https://sitebase.nzcomms.co.nz/spm/spmnominalview/WKT-015-008/","WKT-015-008")</f>
        <v>WKT-015-008</v>
      </c>
      <c r="E1422" s="4" t="s">
        <v>4190</v>
      </c>
      <c r="F1422" s="4"/>
      <c r="G1422" s="4"/>
      <c r="H1422" s="4" t="s">
        <v>4220</v>
      </c>
      <c r="I1422" s="4"/>
      <c r="J1422" s="4" t="s">
        <v>196</v>
      </c>
      <c r="K1422" s="4"/>
      <c r="L1422" s="4"/>
      <c r="M1422" s="4"/>
      <c r="N1422" s="4"/>
      <c r="O1422" s="4"/>
      <c r="P1422" s="4"/>
      <c r="Q1422" s="4"/>
      <c r="R1422" s="4"/>
      <c r="S1422" s="4"/>
      <c r="T1422" s="4"/>
      <c r="U1422" s="4"/>
      <c r="V1422" s="4"/>
      <c r="W1422" s="4"/>
      <c r="X1422" s="4"/>
      <c r="Y1422" s="4"/>
      <c r="Z1422" s="4"/>
      <c r="AA1422" s="4"/>
      <c r="AB1422" s="4"/>
      <c r="AC1422" s="4"/>
      <c r="AD1422" s="4"/>
      <c r="AE1422" s="4"/>
      <c r="AF1422" s="4"/>
      <c r="AG1422" s="4" t="b">
        <v>0</v>
      </c>
      <c r="AH1422" s="4"/>
      <c r="AI1422" s="4"/>
      <c r="AJ1422" s="4"/>
      <c r="AK1422" s="4"/>
      <c r="AL1422" s="4"/>
      <c r="AM1422" s="4"/>
      <c r="AN1422" s="4"/>
      <c r="AO1422" s="4"/>
      <c r="AP1422" s="4"/>
      <c r="AQ1422" s="4"/>
      <c r="AR1422" s="4"/>
      <c r="AS1422" s="4"/>
      <c r="AT1422" s="4"/>
      <c r="AU1422" s="4"/>
      <c r="AV1422" s="4"/>
      <c r="AW1422" s="4"/>
      <c r="AX1422" s="4"/>
      <c r="AY1422" s="4"/>
      <c r="AZ1422" s="4"/>
      <c r="BA1422" s="4"/>
      <c r="BB1422" s="4"/>
      <c r="BC1422" s="4"/>
      <c r="BD1422" s="4"/>
      <c r="BE1422" s="4"/>
      <c r="BF1422" s="4"/>
      <c r="BG1422" s="4"/>
      <c r="BH1422" s="4"/>
      <c r="BI1422" s="4"/>
      <c r="BJ1422" s="4"/>
      <c r="BK1422" s="4"/>
      <c r="BL1422" s="4"/>
      <c r="BM1422" s="4"/>
      <c r="BN1422" s="4"/>
      <c r="BO1422" s="4"/>
      <c r="BP1422" s="4"/>
      <c r="BQ1422" s="4"/>
      <c r="BR1422" s="4"/>
      <c r="BS1422" s="4"/>
      <c r="BT1422" s="4"/>
      <c r="BU1422" s="4"/>
      <c r="BV1422" s="4"/>
      <c r="BW1422" s="4"/>
      <c r="BX1422" s="4"/>
      <c r="BY1422" s="4"/>
      <c r="BZ1422" s="4"/>
      <c r="CA1422" s="4"/>
      <c r="CB1422" s="4"/>
      <c r="CC1422" s="4"/>
      <c r="CD1422" s="4"/>
      <c r="CE1422" s="4"/>
      <c r="CF1422" s="4"/>
      <c r="CG1422" s="4"/>
      <c r="CH1422" s="4"/>
      <c r="CI1422" s="4"/>
      <c r="CJ1422" s="4"/>
      <c r="CK1422" s="4"/>
      <c r="CL1422" s="4"/>
      <c r="CM1422" s="4"/>
      <c r="CN1422" s="4"/>
      <c r="CO1422" s="4"/>
      <c r="CP1422" s="4"/>
      <c r="CQ1422" s="4"/>
      <c r="CR1422" s="4"/>
      <c r="CS1422" s="4"/>
      <c r="CT1422" s="4"/>
      <c r="CU1422" s="4"/>
      <c r="CV1422" s="4"/>
      <c r="CW1422" s="4"/>
      <c r="CX1422" s="4"/>
      <c r="CY1422" s="4"/>
      <c r="CZ1422" s="4"/>
      <c r="DA1422" s="4"/>
      <c r="DB1422" s="4"/>
      <c r="DC1422" s="4"/>
      <c r="DD1422" s="4"/>
      <c r="DE1422" s="4" t="s">
        <v>4100</v>
      </c>
      <c r="DF1422" s="4"/>
      <c r="DG1422" s="4"/>
      <c r="DH1422" s="4"/>
      <c r="DI1422" s="4"/>
      <c r="DJ1422" s="4"/>
      <c r="DK1422" s="4"/>
      <c r="DL1422" s="4"/>
      <c r="DM1422" s="4"/>
      <c r="DN1422" s="4"/>
      <c r="DO1422" s="4"/>
      <c r="DP1422" s="4"/>
      <c r="DQ1422" s="4"/>
      <c r="DR1422" s="4"/>
      <c r="DS1422" s="4"/>
      <c r="DT1422" s="4"/>
      <c r="DU1422" s="4"/>
      <c r="DV1422" s="4"/>
      <c r="DW1422" s="4"/>
      <c r="DX1422" s="4"/>
      <c r="DY1422" s="4"/>
      <c r="DZ1422" s="4"/>
      <c r="EA1422" s="4"/>
      <c r="EB1422" s="4"/>
      <c r="EC1422" s="4"/>
      <c r="ED1422" s="4"/>
      <c r="EE1422" s="4"/>
      <c r="EF1422" s="4"/>
      <c r="EG1422" s="4"/>
      <c r="EH1422" s="4"/>
      <c r="EI1422" s="4"/>
    </row>
    <row r="1423" spans="1:139" hidden="1" x14ac:dyDescent="0.2">
      <c r="A1423">
        <f>VLOOKUP(B1423,Sheet1!$A$1:$B$18,2,FALSE)</f>
        <v>0</v>
      </c>
      <c r="B1423" t="str">
        <f>LEFT(D1423,3)</f>
        <v>WKT</v>
      </c>
      <c r="C1423" s="2">
        <v>1422</v>
      </c>
      <c r="D1423" s="3" t="str">
        <f>HYPERLINK("https://sitebase.nzcomms.co.nz/spm/spmnominalview/WKT-015-009/","WKT-015-009")</f>
        <v>WKT-015-009</v>
      </c>
      <c r="E1423" s="4" t="s">
        <v>4232</v>
      </c>
      <c r="F1423" s="3" t="str">
        <f>HYPERLINK("https://sitebase.nzcomms.co.nz/spm/spmcandidateview/WKT-015-009-A/","WKT-015-009-A")</f>
        <v>WKT-015-009-A</v>
      </c>
      <c r="G1423" s="4" t="s">
        <v>4232</v>
      </c>
      <c r="H1423" s="4" t="s">
        <v>4220</v>
      </c>
      <c r="I1423" s="4">
        <v>1</v>
      </c>
      <c r="J1423" s="4" t="s">
        <v>180</v>
      </c>
      <c r="K1423" s="4" t="s">
        <v>141</v>
      </c>
      <c r="L1423" s="4" t="s">
        <v>181</v>
      </c>
      <c r="M1423" s="4" t="s">
        <v>190</v>
      </c>
      <c r="N1423" s="4" t="s">
        <v>181</v>
      </c>
      <c r="O1423" s="4"/>
      <c r="P1423" s="4" t="s">
        <v>169</v>
      </c>
      <c r="Q1423" s="4" t="s">
        <v>170</v>
      </c>
      <c r="R1423" s="4"/>
      <c r="S1423" s="4"/>
      <c r="T1423" s="4">
        <v>1</v>
      </c>
      <c r="U1423" s="4">
        <v>-37.542756709999999</v>
      </c>
      <c r="V1423" s="4">
        <v>175.70981004000001</v>
      </c>
      <c r="W1423" s="4"/>
      <c r="X1423" s="4"/>
      <c r="Y1423" s="4"/>
      <c r="Z1423" s="4"/>
      <c r="AA1423" s="4" t="s">
        <v>145</v>
      </c>
      <c r="AB1423" s="3" t="str">
        <f>HYPERLINK("https://sitebase.nzcomms.co.nz/spm/spmcandidateview/WKT-016-023-B/","WKT-016-023-B")</f>
        <v>WKT-016-023-B</v>
      </c>
      <c r="AC1423" s="4" t="b">
        <v>0</v>
      </c>
      <c r="AD1423" s="4" t="b">
        <v>0</v>
      </c>
      <c r="AE1423" s="4"/>
      <c r="AF1423" s="4"/>
      <c r="AG1423" s="4" t="b">
        <v>0</v>
      </c>
      <c r="AH1423" s="4"/>
      <c r="AI1423" s="5">
        <v>40976</v>
      </c>
      <c r="AJ1423" s="5">
        <v>41001</v>
      </c>
      <c r="AK1423" s="4"/>
      <c r="AL1423" s="5">
        <v>41004</v>
      </c>
      <c r="AM1423" s="5">
        <v>41060</v>
      </c>
      <c r="AN1423" s="5">
        <v>41060</v>
      </c>
      <c r="AO1423" s="4">
        <v>3</v>
      </c>
      <c r="AP1423" s="5">
        <v>41110</v>
      </c>
      <c r="AQ1423" s="5">
        <v>41176</v>
      </c>
      <c r="AR1423" s="5">
        <v>41089</v>
      </c>
      <c r="AS1423" s="5">
        <v>41092</v>
      </c>
      <c r="AT1423" s="5">
        <v>41197</v>
      </c>
      <c r="AU1423" s="5">
        <v>41200</v>
      </c>
      <c r="AV1423" s="4">
        <v>3</v>
      </c>
      <c r="AW1423" s="5">
        <v>41197</v>
      </c>
      <c r="AX1423" s="5">
        <v>41226</v>
      </c>
      <c r="AY1423" s="4" t="s">
        <v>172</v>
      </c>
      <c r="AZ1423" s="5">
        <v>41101</v>
      </c>
      <c r="BA1423" s="5">
        <v>41096</v>
      </c>
      <c r="BB1423" s="5">
        <v>41136</v>
      </c>
      <c r="BC1423" s="5">
        <v>41107</v>
      </c>
      <c r="BD1423" s="4">
        <v>2</v>
      </c>
      <c r="BE1423" s="5">
        <v>41143</v>
      </c>
      <c r="BF1423" s="5">
        <v>41115</v>
      </c>
      <c r="BG1423" s="5">
        <v>41138</v>
      </c>
      <c r="BH1423" s="5">
        <v>41138</v>
      </c>
      <c r="BI1423" s="5">
        <v>41197</v>
      </c>
      <c r="BJ1423" s="5">
        <v>41229</v>
      </c>
      <c r="BK1423" s="4">
        <v>1</v>
      </c>
      <c r="BL1423" s="4"/>
      <c r="BM1423" s="5">
        <v>41197</v>
      </c>
      <c r="BN1423" s="5">
        <v>41229</v>
      </c>
      <c r="BO1423" s="5">
        <v>41233</v>
      </c>
      <c r="BP1423" s="4"/>
      <c r="BQ1423" s="4"/>
      <c r="BR1423" s="5">
        <v>41201</v>
      </c>
      <c r="BS1423" s="4"/>
      <c r="BT1423" s="5">
        <v>41239</v>
      </c>
      <c r="BU1423" s="5">
        <v>41235</v>
      </c>
      <c r="BV1423" s="5">
        <v>41256</v>
      </c>
      <c r="BW1423" s="5">
        <v>41254</v>
      </c>
      <c r="BX1423" s="5">
        <v>41247</v>
      </c>
      <c r="BY1423" s="5">
        <v>41292</v>
      </c>
      <c r="BZ1423" s="5">
        <v>41257</v>
      </c>
      <c r="CA1423" s="5">
        <v>41250</v>
      </c>
      <c r="CB1423" s="5">
        <v>41250</v>
      </c>
      <c r="CC1423" s="4"/>
      <c r="CD1423" s="4"/>
      <c r="CE1423" s="4"/>
      <c r="CF1423" s="4"/>
      <c r="CG1423" s="4"/>
      <c r="CH1423" s="4"/>
      <c r="CI1423" s="5">
        <v>41257</v>
      </c>
      <c r="CJ1423" s="5">
        <v>41262</v>
      </c>
      <c r="CK1423" s="5">
        <v>41261</v>
      </c>
      <c r="CL1423" s="5">
        <v>41295</v>
      </c>
      <c r="CM1423" s="5">
        <v>41264</v>
      </c>
      <c r="CN1423" s="5">
        <v>41509</v>
      </c>
      <c r="CO1423" s="5">
        <v>41520</v>
      </c>
      <c r="CP1423" s="4" t="s">
        <v>4233</v>
      </c>
      <c r="CQ1423" s="4"/>
      <c r="CR1423" s="5">
        <v>41292</v>
      </c>
      <c r="CS1423" s="5">
        <v>41188</v>
      </c>
      <c r="CT1423" s="5">
        <v>41188</v>
      </c>
      <c r="CU1423" s="5">
        <v>41235</v>
      </c>
      <c r="CV1423" s="5">
        <v>41233</v>
      </c>
      <c r="CW1423" s="5">
        <v>41234</v>
      </c>
      <c r="CX1423" s="5">
        <v>41233</v>
      </c>
      <c r="CY1423" s="5">
        <v>41249</v>
      </c>
      <c r="CZ1423" s="5">
        <v>41250</v>
      </c>
      <c r="DA1423" s="5">
        <v>41260</v>
      </c>
      <c r="DB1423" s="5">
        <v>41260</v>
      </c>
      <c r="DC1423" s="4"/>
      <c r="DD1423" s="4"/>
      <c r="DE1423" s="4" t="s">
        <v>4100</v>
      </c>
      <c r="DF1423" s="5">
        <v>41248</v>
      </c>
      <c r="DG1423" s="5">
        <v>41248</v>
      </c>
      <c r="DH1423" s="4" t="s">
        <v>174</v>
      </c>
      <c r="DI1423" s="5">
        <v>41247</v>
      </c>
      <c r="DJ1423" s="4" t="b">
        <v>1</v>
      </c>
      <c r="DK1423" s="5">
        <v>41197</v>
      </c>
      <c r="DL1423" s="4">
        <v>2749680</v>
      </c>
      <c r="DM1423" s="4">
        <v>6403021</v>
      </c>
      <c r="DN1423" s="4" t="s">
        <v>4234</v>
      </c>
      <c r="DO1423" s="4"/>
      <c r="DP1423" s="4" t="s">
        <v>4235</v>
      </c>
      <c r="DQ1423" s="4" t="s">
        <v>148</v>
      </c>
      <c r="DR1423" s="4"/>
      <c r="DS1423" s="4"/>
      <c r="DT1423" s="4"/>
      <c r="DU1423" s="4"/>
      <c r="DV1423" s="4"/>
      <c r="DW1423" s="4"/>
      <c r="DX1423" s="4"/>
      <c r="DY1423" s="4"/>
      <c r="DZ1423" s="4"/>
      <c r="EA1423" s="4"/>
      <c r="EB1423" s="4"/>
      <c r="EC1423" s="4"/>
      <c r="ED1423" s="4"/>
      <c r="EE1423" s="4"/>
      <c r="EF1423" s="4"/>
      <c r="EG1423" s="5">
        <v>41262</v>
      </c>
      <c r="EH1423" s="5">
        <v>41263</v>
      </c>
      <c r="EI1423" s="4"/>
    </row>
    <row r="1424" spans="1:139" hidden="1" x14ac:dyDescent="0.2">
      <c r="A1424">
        <f>VLOOKUP(B1424,Sheet1!$A$1:$B$18,2,FALSE)</f>
        <v>0</v>
      </c>
      <c r="B1424" t="str">
        <f>LEFT(D1424,3)</f>
        <v>WKT</v>
      </c>
      <c r="C1424" s="2">
        <v>1423</v>
      </c>
      <c r="D1424" s="3" t="str">
        <f>HYPERLINK("https://sitebase.nzcomms.co.nz/spm/spmnominalview/WKT-015-010/","WKT-015-010")</f>
        <v>WKT-015-010</v>
      </c>
      <c r="E1424" s="4" t="s">
        <v>4236</v>
      </c>
      <c r="F1424" s="4"/>
      <c r="G1424" s="4"/>
      <c r="H1424" s="4" t="s">
        <v>4220</v>
      </c>
      <c r="I1424" s="4"/>
      <c r="J1424" s="4" t="s">
        <v>722</v>
      </c>
      <c r="K1424" s="4"/>
      <c r="L1424" s="4"/>
      <c r="M1424" s="4"/>
      <c r="N1424" s="4"/>
      <c r="O1424" s="4"/>
      <c r="P1424" s="4"/>
      <c r="Q1424" s="4"/>
      <c r="R1424" s="4"/>
      <c r="S1424" s="4"/>
      <c r="T1424" s="4"/>
      <c r="U1424" s="4"/>
      <c r="V1424" s="4"/>
      <c r="W1424" s="4"/>
      <c r="X1424" s="4"/>
      <c r="Y1424" s="4"/>
      <c r="Z1424" s="4"/>
      <c r="AA1424" s="4"/>
      <c r="AB1424" s="4"/>
      <c r="AC1424" s="4"/>
      <c r="AD1424" s="4"/>
      <c r="AE1424" s="4"/>
      <c r="AF1424" s="4"/>
      <c r="AG1424" s="4" t="b">
        <v>0</v>
      </c>
      <c r="AH1424" s="4"/>
      <c r="AI1424" s="4"/>
      <c r="AJ1424" s="4"/>
      <c r="AK1424" s="4"/>
      <c r="AL1424" s="4"/>
      <c r="AM1424" s="4"/>
      <c r="AN1424" s="4"/>
      <c r="AO1424" s="4"/>
      <c r="AP1424" s="4"/>
      <c r="AQ1424" s="4"/>
      <c r="AR1424" s="4"/>
      <c r="AS1424" s="4"/>
      <c r="AT1424" s="4"/>
      <c r="AU1424" s="4"/>
      <c r="AV1424" s="4"/>
      <c r="AW1424" s="4"/>
      <c r="AX1424" s="4"/>
      <c r="AY1424" s="4"/>
      <c r="AZ1424" s="4"/>
      <c r="BA1424" s="4"/>
      <c r="BB1424" s="4"/>
      <c r="BC1424" s="4"/>
      <c r="BD1424" s="4"/>
      <c r="BE1424" s="4"/>
      <c r="BF1424" s="4"/>
      <c r="BG1424" s="4"/>
      <c r="BH1424" s="4"/>
      <c r="BI1424" s="4"/>
      <c r="BJ1424" s="4"/>
      <c r="BK1424" s="4"/>
      <c r="BL1424" s="4"/>
      <c r="BM1424" s="4"/>
      <c r="BN1424" s="4"/>
      <c r="BO1424" s="4"/>
      <c r="BP1424" s="4"/>
      <c r="BQ1424" s="4"/>
      <c r="BR1424" s="4"/>
      <c r="BS1424" s="4"/>
      <c r="BT1424" s="4"/>
      <c r="BU1424" s="4"/>
      <c r="BV1424" s="4"/>
      <c r="BW1424" s="4"/>
      <c r="BX1424" s="4"/>
      <c r="BY1424" s="4"/>
      <c r="BZ1424" s="4"/>
      <c r="CA1424" s="4"/>
      <c r="CB1424" s="4"/>
      <c r="CC1424" s="4"/>
      <c r="CD1424" s="4"/>
      <c r="CE1424" s="4"/>
      <c r="CF1424" s="4"/>
      <c r="CG1424" s="4"/>
      <c r="CH1424" s="4"/>
      <c r="CI1424" s="4"/>
      <c r="CJ1424" s="4"/>
      <c r="CK1424" s="4"/>
      <c r="CL1424" s="4"/>
      <c r="CM1424" s="4"/>
      <c r="CN1424" s="4"/>
      <c r="CO1424" s="4"/>
      <c r="CP1424" s="4"/>
      <c r="CQ1424" s="4"/>
      <c r="CR1424" s="4"/>
      <c r="CS1424" s="4"/>
      <c r="CT1424" s="4"/>
      <c r="CU1424" s="4"/>
      <c r="CV1424" s="4"/>
      <c r="CW1424" s="4"/>
      <c r="CX1424" s="4"/>
      <c r="CY1424" s="4"/>
      <c r="CZ1424" s="4"/>
      <c r="DA1424" s="4"/>
      <c r="DB1424" s="4"/>
      <c r="DC1424" s="4"/>
      <c r="DD1424" s="4"/>
      <c r="DE1424" s="4"/>
      <c r="DF1424" s="4"/>
      <c r="DG1424" s="4"/>
      <c r="DH1424" s="4"/>
      <c r="DI1424" s="4"/>
      <c r="DJ1424" s="4"/>
      <c r="DK1424" s="4"/>
      <c r="DL1424" s="4"/>
      <c r="DM1424" s="4"/>
      <c r="DN1424" s="4"/>
      <c r="DO1424" s="4"/>
      <c r="DP1424" s="4"/>
      <c r="DQ1424" s="4"/>
      <c r="DR1424" s="4"/>
      <c r="DS1424" s="4"/>
      <c r="DT1424" s="4"/>
      <c r="DU1424" s="4"/>
      <c r="DV1424" s="4"/>
      <c r="DW1424" s="4"/>
      <c r="DX1424" s="4"/>
      <c r="DY1424" s="4"/>
      <c r="DZ1424" s="4"/>
      <c r="EA1424" s="4"/>
      <c r="EB1424" s="4"/>
      <c r="EC1424" s="4"/>
      <c r="ED1424" s="4"/>
      <c r="EE1424" s="4"/>
      <c r="EF1424" s="4"/>
      <c r="EG1424" s="4"/>
      <c r="EH1424" s="4"/>
      <c r="EI1424" s="4"/>
    </row>
    <row r="1425" spans="1:139" hidden="1" x14ac:dyDescent="0.2">
      <c r="A1425">
        <f>VLOOKUP(B1425,Sheet1!$A$1:$B$18,2,FALSE)</f>
        <v>0</v>
      </c>
      <c r="B1425" t="str">
        <f>LEFT(D1425,3)</f>
        <v>WKT</v>
      </c>
      <c r="C1425" s="2">
        <v>1424</v>
      </c>
      <c r="D1425" s="3" t="str">
        <f>HYPERLINK("https://sitebase.nzcomms.co.nz/spm/spmnominalview/WKT-015-011/","WKT-015-011")</f>
        <v>WKT-015-011</v>
      </c>
      <c r="E1425" s="4" t="s">
        <v>4237</v>
      </c>
      <c r="F1425" s="3" t="str">
        <f>HYPERLINK("https://sitebase.nzcomms.co.nz/spm/spmcandidateview/WKT-015-011-C/","WKT-015-011-C")</f>
        <v>WKT-015-011-C</v>
      </c>
      <c r="G1425" s="4" t="s">
        <v>4237</v>
      </c>
      <c r="H1425" s="4" t="s">
        <v>4220</v>
      </c>
      <c r="I1425" s="4">
        <v>1</v>
      </c>
      <c r="J1425" s="4" t="s">
        <v>180</v>
      </c>
      <c r="K1425" s="4" t="s">
        <v>141</v>
      </c>
      <c r="L1425" s="4" t="s">
        <v>150</v>
      </c>
      <c r="M1425" s="4" t="s">
        <v>190</v>
      </c>
      <c r="N1425" s="4" t="s">
        <v>216</v>
      </c>
      <c r="O1425" s="4"/>
      <c r="P1425" s="4" t="s">
        <v>169</v>
      </c>
      <c r="Q1425" s="4" t="s">
        <v>192</v>
      </c>
      <c r="R1425" s="4"/>
      <c r="S1425" s="4"/>
      <c r="T1425" s="4">
        <v>1</v>
      </c>
      <c r="U1425" s="4">
        <v>-37.755536679999999</v>
      </c>
      <c r="V1425" s="4">
        <v>175.69341754000001</v>
      </c>
      <c r="W1425" s="4"/>
      <c r="X1425" s="4"/>
      <c r="Y1425" s="4"/>
      <c r="Z1425" s="4"/>
      <c r="AA1425" s="4" t="s">
        <v>171</v>
      </c>
      <c r="AB1425" s="3" t="str">
        <f>HYPERLINK("https://sitebase.nzcomms.co.nz/spm/spmcandidateview/WKT-015-003-D/","WKT-015-003-D")</f>
        <v>WKT-015-003-D</v>
      </c>
      <c r="AC1425" s="4" t="b">
        <v>0</v>
      </c>
      <c r="AD1425" s="4" t="b">
        <v>0</v>
      </c>
      <c r="AE1425" s="4"/>
      <c r="AF1425" s="4"/>
      <c r="AG1425" s="4" t="b">
        <v>0</v>
      </c>
      <c r="AH1425" s="4" t="s">
        <v>4098</v>
      </c>
      <c r="AI1425" s="5">
        <v>41039</v>
      </c>
      <c r="AJ1425" s="5">
        <v>41039</v>
      </c>
      <c r="AK1425" s="5">
        <v>41051</v>
      </c>
      <c r="AL1425" s="5">
        <v>41051</v>
      </c>
      <c r="AM1425" s="5">
        <v>41095</v>
      </c>
      <c r="AN1425" s="5">
        <v>41093</v>
      </c>
      <c r="AO1425" s="4">
        <v>1</v>
      </c>
      <c r="AP1425" s="5">
        <v>41095</v>
      </c>
      <c r="AQ1425" s="5">
        <v>41093</v>
      </c>
      <c r="AR1425" s="5">
        <v>41117</v>
      </c>
      <c r="AS1425" s="5">
        <v>41108</v>
      </c>
      <c r="AT1425" s="5">
        <v>41159</v>
      </c>
      <c r="AU1425" s="5">
        <v>41162</v>
      </c>
      <c r="AV1425" s="4">
        <v>1</v>
      </c>
      <c r="AW1425" s="5">
        <v>41166</v>
      </c>
      <c r="AX1425" s="5">
        <v>41162</v>
      </c>
      <c r="AY1425" s="4" t="s">
        <v>172</v>
      </c>
      <c r="AZ1425" s="5">
        <v>41129</v>
      </c>
      <c r="BA1425" s="5">
        <v>41129</v>
      </c>
      <c r="BB1425" s="5">
        <v>41152</v>
      </c>
      <c r="BC1425" s="5">
        <v>41143</v>
      </c>
      <c r="BD1425" s="4">
        <v>1</v>
      </c>
      <c r="BE1425" s="5">
        <v>41159</v>
      </c>
      <c r="BF1425" s="5">
        <v>41144</v>
      </c>
      <c r="BG1425" s="5">
        <v>41155</v>
      </c>
      <c r="BH1425" s="4"/>
      <c r="BI1425" s="5">
        <v>41200</v>
      </c>
      <c r="BJ1425" s="5">
        <v>41207</v>
      </c>
      <c r="BK1425" s="4">
        <v>1</v>
      </c>
      <c r="BL1425" s="4"/>
      <c r="BM1425" s="5">
        <v>41200</v>
      </c>
      <c r="BN1425" s="5">
        <v>41207</v>
      </c>
      <c r="BO1425" s="5">
        <v>41227</v>
      </c>
      <c r="BP1425" s="4"/>
      <c r="BQ1425" s="4"/>
      <c r="BR1425" s="5">
        <v>41179</v>
      </c>
      <c r="BS1425" s="4"/>
      <c r="BT1425" s="5">
        <v>41215</v>
      </c>
      <c r="BU1425" s="5">
        <v>41215</v>
      </c>
      <c r="BV1425" s="5">
        <v>41236</v>
      </c>
      <c r="BW1425" s="5">
        <v>41235</v>
      </c>
      <c r="BX1425" s="5">
        <v>41235</v>
      </c>
      <c r="BY1425" s="5">
        <v>41244</v>
      </c>
      <c r="BZ1425" s="5">
        <v>41244</v>
      </c>
      <c r="CA1425" s="4"/>
      <c r="CB1425" s="4"/>
      <c r="CC1425" s="4"/>
      <c r="CD1425" s="4"/>
      <c r="CE1425" s="4"/>
      <c r="CF1425" s="4"/>
      <c r="CG1425" s="4"/>
      <c r="CH1425" s="4"/>
      <c r="CI1425" s="5">
        <v>41244</v>
      </c>
      <c r="CJ1425" s="5">
        <v>41250</v>
      </c>
      <c r="CK1425" s="5">
        <v>41247</v>
      </c>
      <c r="CL1425" s="5">
        <v>41289</v>
      </c>
      <c r="CM1425" s="5">
        <v>41255</v>
      </c>
      <c r="CN1425" s="5">
        <v>41411</v>
      </c>
      <c r="CO1425" s="5">
        <v>41411</v>
      </c>
      <c r="CP1425" s="4" t="s">
        <v>4238</v>
      </c>
      <c r="CQ1425" s="4"/>
      <c r="CR1425" s="5">
        <v>41244</v>
      </c>
      <c r="CS1425" s="5">
        <v>41188</v>
      </c>
      <c r="CT1425" s="5">
        <v>41188</v>
      </c>
      <c r="CU1425" s="5">
        <v>41218</v>
      </c>
      <c r="CV1425" s="5">
        <v>41227</v>
      </c>
      <c r="CW1425" s="5">
        <v>41220</v>
      </c>
      <c r="CX1425" s="5">
        <v>41227</v>
      </c>
      <c r="CY1425" s="5">
        <v>41236</v>
      </c>
      <c r="CZ1425" s="5">
        <v>41236</v>
      </c>
      <c r="DA1425" s="5">
        <v>41246</v>
      </c>
      <c r="DB1425" s="5">
        <v>41246</v>
      </c>
      <c r="DC1425" s="4"/>
      <c r="DD1425" s="4"/>
      <c r="DE1425" s="4" t="s">
        <v>4100</v>
      </c>
      <c r="DF1425" s="4"/>
      <c r="DG1425" s="4"/>
      <c r="DH1425" s="4" t="s">
        <v>174</v>
      </c>
      <c r="DI1425" s="5">
        <v>41235</v>
      </c>
      <c r="DJ1425" s="4" t="b">
        <v>1</v>
      </c>
      <c r="DK1425" s="5">
        <v>41183</v>
      </c>
      <c r="DL1425" s="4">
        <v>2747515</v>
      </c>
      <c r="DM1425" s="4">
        <v>6379463</v>
      </c>
      <c r="DN1425" s="4" t="s">
        <v>4239</v>
      </c>
      <c r="DO1425" s="4"/>
      <c r="DP1425" s="4" t="s">
        <v>4240</v>
      </c>
      <c r="DQ1425" s="4" t="s">
        <v>148</v>
      </c>
      <c r="DR1425" s="4"/>
      <c r="DS1425" s="4"/>
      <c r="DT1425" s="4"/>
      <c r="DU1425" s="4"/>
      <c r="DV1425" s="4"/>
      <c r="DW1425" s="4"/>
      <c r="DX1425" s="4"/>
      <c r="DY1425" s="4"/>
      <c r="DZ1425" s="4"/>
      <c r="EA1425" s="4"/>
      <c r="EB1425" s="4"/>
      <c r="EC1425" s="4"/>
      <c r="ED1425" s="4"/>
      <c r="EE1425" s="4"/>
      <c r="EF1425" s="4"/>
      <c r="EG1425" s="5">
        <v>41249</v>
      </c>
      <c r="EH1425" s="5">
        <v>41249</v>
      </c>
      <c r="EI1425" s="4"/>
    </row>
    <row r="1426" spans="1:139" hidden="1" x14ac:dyDescent="0.2">
      <c r="A1426">
        <f>VLOOKUP(B1426,Sheet1!$A$1:$B$18,2,FALSE)</f>
        <v>0</v>
      </c>
      <c r="B1426" t="str">
        <f>LEFT(D1426,3)</f>
        <v>WKT</v>
      </c>
      <c r="C1426" s="2">
        <v>1425</v>
      </c>
      <c r="D1426" s="3" t="str">
        <f>HYPERLINK("https://sitebase.nzcomms.co.nz/spm/spmnominalview/WKT-015-012/","WKT-015-012")</f>
        <v>WKT-015-012</v>
      </c>
      <c r="E1426" s="4" t="s">
        <v>4241</v>
      </c>
      <c r="F1426" s="3" t="str">
        <f>HYPERLINK("https://sitebase.nzcomms.co.nz/spm/spmcandidateview/WKT-015-012-C/","WKT-015-012-C")</f>
        <v>WKT-015-012-C</v>
      </c>
      <c r="G1426" s="4" t="s">
        <v>4241</v>
      </c>
      <c r="H1426" s="4" t="s">
        <v>4220</v>
      </c>
      <c r="I1426" s="4">
        <v>22</v>
      </c>
      <c r="J1426" s="4" t="s">
        <v>165</v>
      </c>
      <c r="K1426" s="4" t="s">
        <v>141</v>
      </c>
      <c r="L1426" s="4" t="s">
        <v>150</v>
      </c>
      <c r="M1426" s="4" t="s">
        <v>190</v>
      </c>
      <c r="N1426" s="4" t="s">
        <v>167</v>
      </c>
      <c r="O1426" s="4"/>
      <c r="P1426" s="4" t="s">
        <v>169</v>
      </c>
      <c r="Q1426" s="4" t="s">
        <v>170</v>
      </c>
      <c r="R1426" s="4"/>
      <c r="S1426" s="4"/>
      <c r="T1426" s="4">
        <v>1</v>
      </c>
      <c r="U1426" s="4">
        <v>-37.876889749999997</v>
      </c>
      <c r="V1426" s="4">
        <v>175.93394132</v>
      </c>
      <c r="W1426" s="4"/>
      <c r="X1426" s="4"/>
      <c r="Y1426" s="4"/>
      <c r="Z1426" s="4"/>
      <c r="AA1426" s="4" t="s">
        <v>171</v>
      </c>
      <c r="AB1426" s="3" t="str">
        <f>HYPERLINK("https://sitebase.nzcomms.co.nz/spm/spmcandidateview/WKT-019-002-A/","WKT-019-002-A")</f>
        <v>WKT-019-002-A</v>
      </c>
      <c r="AC1426" s="4" t="b">
        <v>0</v>
      </c>
      <c r="AD1426" s="4" t="b">
        <v>0</v>
      </c>
      <c r="AE1426" s="4"/>
      <c r="AF1426" s="4"/>
      <c r="AG1426" s="4" t="b">
        <v>0</v>
      </c>
      <c r="AH1426" s="4"/>
      <c r="AI1426" s="5">
        <v>41074</v>
      </c>
      <c r="AJ1426" s="5">
        <v>41081</v>
      </c>
      <c r="AK1426" s="5">
        <v>41088</v>
      </c>
      <c r="AL1426" s="5">
        <v>41088</v>
      </c>
      <c r="AM1426" s="5">
        <v>41143</v>
      </c>
      <c r="AN1426" s="5">
        <v>41141</v>
      </c>
      <c r="AO1426" s="4">
        <v>2</v>
      </c>
      <c r="AP1426" s="5">
        <v>41143</v>
      </c>
      <c r="AQ1426" s="5">
        <v>42116</v>
      </c>
      <c r="AR1426" s="5">
        <v>42167</v>
      </c>
      <c r="AS1426" s="5">
        <v>42171</v>
      </c>
      <c r="AT1426" s="5">
        <v>42220</v>
      </c>
      <c r="AU1426" s="5">
        <v>42208</v>
      </c>
      <c r="AV1426" s="4"/>
      <c r="AW1426" s="5">
        <v>42220</v>
      </c>
      <c r="AX1426" s="5">
        <v>42226</v>
      </c>
      <c r="AY1426" s="4" t="s">
        <v>172</v>
      </c>
      <c r="AZ1426" s="5">
        <v>41243</v>
      </c>
      <c r="BA1426" s="5">
        <v>41254</v>
      </c>
      <c r="BB1426" s="5">
        <v>41294</v>
      </c>
      <c r="BC1426" s="5">
        <v>41289</v>
      </c>
      <c r="BD1426" s="4">
        <v>1</v>
      </c>
      <c r="BE1426" s="5">
        <v>41301</v>
      </c>
      <c r="BF1426" s="5">
        <v>41295</v>
      </c>
      <c r="BG1426" s="5">
        <v>42184</v>
      </c>
      <c r="BH1426" s="5">
        <v>42123</v>
      </c>
      <c r="BI1426" s="5">
        <v>42216</v>
      </c>
      <c r="BJ1426" s="5">
        <v>42206</v>
      </c>
      <c r="BK1426" s="4">
        <v>1</v>
      </c>
      <c r="BL1426" s="4"/>
      <c r="BM1426" s="5">
        <v>42216</v>
      </c>
      <c r="BN1426" s="5">
        <v>42206</v>
      </c>
      <c r="BO1426" s="4"/>
      <c r="BP1426" s="4"/>
      <c r="BQ1426" s="4"/>
      <c r="BR1426" s="4"/>
      <c r="BS1426" s="4"/>
      <c r="BT1426" s="5">
        <v>42271</v>
      </c>
      <c r="BU1426" s="5">
        <v>42251</v>
      </c>
      <c r="BV1426" s="5">
        <v>42306</v>
      </c>
      <c r="BW1426" s="5">
        <v>42310</v>
      </c>
      <c r="BX1426" s="4"/>
      <c r="BY1426" s="5">
        <v>42321</v>
      </c>
      <c r="BZ1426" s="5">
        <v>42325</v>
      </c>
      <c r="CA1426" s="4"/>
      <c r="CB1426" s="4"/>
      <c r="CC1426" s="4"/>
      <c r="CD1426" s="4"/>
      <c r="CE1426" s="4"/>
      <c r="CF1426" s="4"/>
      <c r="CG1426" s="4"/>
      <c r="CH1426" s="4"/>
      <c r="CI1426" s="4"/>
      <c r="CJ1426" s="5">
        <v>42345</v>
      </c>
      <c r="CK1426" s="5">
        <v>42345</v>
      </c>
      <c r="CL1426" s="5">
        <v>42352</v>
      </c>
      <c r="CM1426" s="5">
        <v>42352</v>
      </c>
      <c r="CN1426" s="4"/>
      <c r="CO1426" s="4"/>
      <c r="CP1426" s="4" t="s">
        <v>4242</v>
      </c>
      <c r="CQ1426" s="4"/>
      <c r="CR1426" s="4"/>
      <c r="CS1426" s="4"/>
      <c r="CT1426" s="4"/>
      <c r="CU1426" s="4"/>
      <c r="CV1426" s="4"/>
      <c r="CW1426" s="4"/>
      <c r="CX1426" s="4"/>
      <c r="CY1426" s="4"/>
      <c r="CZ1426" s="4"/>
      <c r="DA1426" s="5">
        <v>42345</v>
      </c>
      <c r="DB1426" s="5">
        <v>42340</v>
      </c>
      <c r="DC1426" s="4"/>
      <c r="DD1426" s="4"/>
      <c r="DE1426" s="4" t="s">
        <v>4175</v>
      </c>
      <c r="DF1426" s="4"/>
      <c r="DG1426" s="4"/>
      <c r="DH1426" s="4" t="s">
        <v>174</v>
      </c>
      <c r="DI1426" s="4"/>
      <c r="DJ1426" s="4" t="b">
        <v>0</v>
      </c>
      <c r="DK1426" s="4"/>
      <c r="DL1426" s="4">
        <v>2768253</v>
      </c>
      <c r="DM1426" s="4">
        <v>6365332</v>
      </c>
      <c r="DN1426" s="4" t="s">
        <v>4243</v>
      </c>
      <c r="DO1426" s="4"/>
      <c r="DP1426" s="4" t="s">
        <v>4244</v>
      </c>
      <c r="DQ1426" s="4" t="s">
        <v>148</v>
      </c>
      <c r="DR1426" s="4"/>
      <c r="DS1426" s="4"/>
      <c r="DT1426" s="4"/>
      <c r="DU1426" s="4" t="s">
        <v>178</v>
      </c>
      <c r="DV1426" s="4"/>
      <c r="DW1426" s="5">
        <v>42194</v>
      </c>
      <c r="DX1426" s="5">
        <v>42198</v>
      </c>
      <c r="DY1426" s="5">
        <v>42219</v>
      </c>
      <c r="DZ1426" s="5">
        <v>42202</v>
      </c>
      <c r="EA1426" s="4"/>
      <c r="EB1426" s="4"/>
      <c r="EC1426" s="4"/>
      <c r="ED1426" s="4"/>
      <c r="EE1426" s="5">
        <v>42236</v>
      </c>
      <c r="EF1426" s="5">
        <v>42242</v>
      </c>
      <c r="EG1426" s="4"/>
      <c r="EH1426" s="4"/>
      <c r="EI1426" s="5">
        <v>41088</v>
      </c>
    </row>
    <row r="1427" spans="1:139" hidden="1" x14ac:dyDescent="0.2">
      <c r="A1427">
        <f>VLOOKUP(B1427,Sheet1!$A$1:$B$18,2,FALSE)</f>
        <v>0</v>
      </c>
      <c r="B1427" t="str">
        <f>LEFT(D1427,3)</f>
        <v>WKT</v>
      </c>
      <c r="C1427" s="2">
        <v>1426</v>
      </c>
      <c r="D1427" s="3" t="str">
        <f>HYPERLINK("https://sitebase.nzcomms.co.nz/spm/spmnominalview/WKT-015-013/","WKT-015-013")</f>
        <v>WKT-015-013</v>
      </c>
      <c r="E1427" s="4" t="s">
        <v>4245</v>
      </c>
      <c r="F1427" s="4"/>
      <c r="G1427" s="4"/>
      <c r="H1427" s="4" t="s">
        <v>4220</v>
      </c>
      <c r="I1427" s="4"/>
      <c r="J1427" s="4" t="s">
        <v>317</v>
      </c>
      <c r="K1427" s="4"/>
      <c r="L1427" s="4"/>
      <c r="M1427" s="4"/>
      <c r="N1427" s="4"/>
      <c r="O1427" s="4"/>
      <c r="P1427" s="4"/>
      <c r="Q1427" s="4"/>
      <c r="R1427" s="4"/>
      <c r="S1427" s="4"/>
      <c r="T1427" s="4"/>
      <c r="U1427" s="4"/>
      <c r="V1427" s="4"/>
      <c r="W1427" s="4"/>
      <c r="X1427" s="4"/>
      <c r="Y1427" s="4"/>
      <c r="Z1427" s="4"/>
      <c r="AA1427" s="4"/>
      <c r="AB1427" s="4"/>
      <c r="AC1427" s="4"/>
      <c r="AD1427" s="4"/>
      <c r="AE1427" s="4"/>
      <c r="AF1427" s="4"/>
      <c r="AG1427" s="4" t="b">
        <v>0</v>
      </c>
      <c r="AH1427" s="4"/>
      <c r="AI1427" s="4"/>
      <c r="AJ1427" s="4"/>
      <c r="AK1427" s="4"/>
      <c r="AL1427" s="4"/>
      <c r="AM1427" s="4"/>
      <c r="AN1427" s="4"/>
      <c r="AO1427" s="4"/>
      <c r="AP1427" s="4"/>
      <c r="AQ1427" s="4"/>
      <c r="AR1427" s="4"/>
      <c r="AS1427" s="4"/>
      <c r="AT1427" s="4"/>
      <c r="AU1427" s="4"/>
      <c r="AV1427" s="4"/>
      <c r="AW1427" s="4"/>
      <c r="AX1427" s="4"/>
      <c r="AY1427" s="4"/>
      <c r="AZ1427" s="4"/>
      <c r="BA1427" s="4"/>
      <c r="BB1427" s="4"/>
      <c r="BC1427" s="4"/>
      <c r="BD1427" s="4"/>
      <c r="BE1427" s="4"/>
      <c r="BF1427" s="4"/>
      <c r="BG1427" s="4"/>
      <c r="BH1427" s="4"/>
      <c r="BI1427" s="4"/>
      <c r="BJ1427" s="4"/>
      <c r="BK1427" s="4"/>
      <c r="BL1427" s="4"/>
      <c r="BM1427" s="4"/>
      <c r="BN1427" s="4"/>
      <c r="BO1427" s="4"/>
      <c r="BP1427" s="4"/>
      <c r="BQ1427" s="4"/>
      <c r="BR1427" s="4"/>
      <c r="BS1427" s="4"/>
      <c r="BT1427" s="4"/>
      <c r="BU1427" s="4"/>
      <c r="BV1427" s="4"/>
      <c r="BW1427" s="4"/>
      <c r="BX1427" s="4"/>
      <c r="BY1427" s="4"/>
      <c r="BZ1427" s="4"/>
      <c r="CA1427" s="4"/>
      <c r="CB1427" s="4"/>
      <c r="CC1427" s="4"/>
      <c r="CD1427" s="4"/>
      <c r="CE1427" s="4"/>
      <c r="CF1427" s="4"/>
      <c r="CG1427" s="4"/>
      <c r="CH1427" s="4"/>
      <c r="CI1427" s="4"/>
      <c r="CJ1427" s="4"/>
      <c r="CK1427" s="4"/>
      <c r="CL1427" s="4"/>
      <c r="CM1427" s="4"/>
      <c r="CN1427" s="4"/>
      <c r="CO1427" s="4"/>
      <c r="CP1427" s="4"/>
      <c r="CQ1427" s="4"/>
      <c r="CR1427" s="4"/>
      <c r="CS1427" s="4"/>
      <c r="CT1427" s="4"/>
      <c r="CU1427" s="4"/>
      <c r="CV1427" s="4"/>
      <c r="CW1427" s="4"/>
      <c r="CX1427" s="4"/>
      <c r="CY1427" s="4"/>
      <c r="CZ1427" s="4"/>
      <c r="DA1427" s="4"/>
      <c r="DB1427" s="4"/>
      <c r="DC1427" s="4"/>
      <c r="DD1427" s="4"/>
      <c r="DE1427" s="4"/>
      <c r="DF1427" s="4"/>
      <c r="DG1427" s="4"/>
      <c r="DH1427" s="4"/>
      <c r="DI1427" s="4"/>
      <c r="DJ1427" s="4"/>
      <c r="DK1427" s="4"/>
      <c r="DL1427" s="4"/>
      <c r="DM1427" s="4"/>
      <c r="DN1427" s="4"/>
      <c r="DO1427" s="4"/>
      <c r="DP1427" s="4"/>
      <c r="DQ1427" s="4"/>
      <c r="DR1427" s="4"/>
      <c r="DS1427" s="4"/>
      <c r="DT1427" s="4"/>
      <c r="DU1427" s="4"/>
      <c r="DV1427" s="4"/>
      <c r="DW1427" s="4"/>
      <c r="DX1427" s="4"/>
      <c r="DY1427" s="4"/>
      <c r="DZ1427" s="4"/>
      <c r="EA1427" s="4"/>
      <c r="EB1427" s="4"/>
      <c r="EC1427" s="4"/>
      <c r="ED1427" s="4"/>
      <c r="EE1427" s="4"/>
      <c r="EF1427" s="4"/>
      <c r="EG1427" s="4"/>
      <c r="EH1427" s="4"/>
      <c r="EI1427" s="4"/>
    </row>
    <row r="1428" spans="1:139" hidden="1" x14ac:dyDescent="0.2">
      <c r="A1428">
        <f>VLOOKUP(B1428,Sheet1!$A$1:$B$18,2,FALSE)</f>
        <v>0</v>
      </c>
      <c r="B1428" t="str">
        <f>LEFT(D1428,3)</f>
        <v>WKT</v>
      </c>
      <c r="C1428" s="2">
        <v>1427</v>
      </c>
      <c r="D1428" s="3" t="str">
        <f>HYPERLINK("https://sitebase.nzcomms.co.nz/spm/spmnominalview/WKT-015-014/","WKT-015-014")</f>
        <v>WKT-015-014</v>
      </c>
      <c r="E1428" s="4" t="s">
        <v>4246</v>
      </c>
      <c r="F1428" s="4"/>
      <c r="G1428" s="4"/>
      <c r="H1428" s="4" t="s">
        <v>4220</v>
      </c>
      <c r="I1428" s="4">
        <v>22</v>
      </c>
      <c r="J1428" s="4" t="s">
        <v>165</v>
      </c>
      <c r="K1428" s="4"/>
      <c r="L1428" s="4"/>
      <c r="M1428" s="4"/>
      <c r="N1428" s="4"/>
      <c r="O1428" s="4"/>
      <c r="P1428" s="4"/>
      <c r="Q1428" s="4"/>
      <c r="R1428" s="4"/>
      <c r="S1428" s="4"/>
      <c r="T1428" s="4"/>
      <c r="U1428" s="4"/>
      <c r="V1428" s="4"/>
      <c r="W1428" s="4"/>
      <c r="X1428" s="4"/>
      <c r="Y1428" s="4"/>
      <c r="Z1428" s="4"/>
      <c r="AA1428" s="4"/>
      <c r="AB1428" s="4"/>
      <c r="AC1428" s="4"/>
      <c r="AD1428" s="4"/>
      <c r="AE1428" s="4"/>
      <c r="AF1428" s="4"/>
      <c r="AG1428" s="4" t="b">
        <v>0</v>
      </c>
      <c r="AH1428" s="4"/>
      <c r="AI1428" s="4"/>
      <c r="AJ1428" s="4"/>
      <c r="AK1428" s="4"/>
      <c r="AL1428" s="4"/>
      <c r="AM1428" s="4"/>
      <c r="AN1428" s="4"/>
      <c r="AO1428" s="4"/>
      <c r="AP1428" s="4"/>
      <c r="AQ1428" s="4"/>
      <c r="AR1428" s="4"/>
      <c r="AS1428" s="4"/>
      <c r="AT1428" s="4"/>
      <c r="AU1428" s="4"/>
      <c r="AV1428" s="4"/>
      <c r="AW1428" s="4"/>
      <c r="AX1428" s="4"/>
      <c r="AY1428" s="4"/>
      <c r="AZ1428" s="4"/>
      <c r="BA1428" s="4"/>
      <c r="BB1428" s="4"/>
      <c r="BC1428" s="4"/>
      <c r="BD1428" s="4"/>
      <c r="BE1428" s="4"/>
      <c r="BF1428" s="4"/>
      <c r="BG1428" s="4"/>
      <c r="BH1428" s="4"/>
      <c r="BI1428" s="4"/>
      <c r="BJ1428" s="4"/>
      <c r="BK1428" s="4"/>
      <c r="BL1428" s="4"/>
      <c r="BM1428" s="4"/>
      <c r="BN1428" s="4"/>
      <c r="BO1428" s="4"/>
      <c r="BP1428" s="4"/>
      <c r="BQ1428" s="4"/>
      <c r="BR1428" s="4"/>
      <c r="BS1428" s="4"/>
      <c r="BT1428" s="4"/>
      <c r="BU1428" s="4"/>
      <c r="BV1428" s="4"/>
      <c r="BW1428" s="4"/>
      <c r="BX1428" s="4"/>
      <c r="BY1428" s="4"/>
      <c r="BZ1428" s="4"/>
      <c r="CA1428" s="4"/>
      <c r="CB1428" s="4"/>
      <c r="CC1428" s="4"/>
      <c r="CD1428" s="4"/>
      <c r="CE1428" s="4"/>
      <c r="CF1428" s="4"/>
      <c r="CG1428" s="4"/>
      <c r="CH1428" s="4"/>
      <c r="CI1428" s="4"/>
      <c r="CJ1428" s="4"/>
      <c r="CK1428" s="4"/>
      <c r="CL1428" s="4"/>
      <c r="CM1428" s="4"/>
      <c r="CN1428" s="4"/>
      <c r="CO1428" s="4"/>
      <c r="CP1428" s="4"/>
      <c r="CQ1428" s="4"/>
      <c r="CR1428" s="4"/>
      <c r="CS1428" s="4"/>
      <c r="CT1428" s="4"/>
      <c r="CU1428" s="4"/>
      <c r="CV1428" s="4"/>
      <c r="CW1428" s="4"/>
      <c r="CX1428" s="4"/>
      <c r="CY1428" s="4"/>
      <c r="CZ1428" s="4"/>
      <c r="DA1428" s="4"/>
      <c r="DB1428" s="4"/>
      <c r="DC1428" s="4"/>
      <c r="DD1428" s="4"/>
      <c r="DE1428" s="4"/>
      <c r="DF1428" s="4"/>
      <c r="DG1428" s="4"/>
      <c r="DH1428" s="4"/>
      <c r="DI1428" s="4"/>
      <c r="DJ1428" s="4"/>
      <c r="DK1428" s="4"/>
      <c r="DL1428" s="4"/>
      <c r="DM1428" s="4"/>
      <c r="DN1428" s="4"/>
      <c r="DO1428" s="4"/>
      <c r="DP1428" s="4"/>
      <c r="DQ1428" s="4"/>
      <c r="DR1428" s="4"/>
      <c r="DS1428" s="4"/>
      <c r="DT1428" s="4"/>
      <c r="DU1428" s="4"/>
      <c r="DV1428" s="4"/>
      <c r="DW1428" s="4"/>
      <c r="DX1428" s="4"/>
      <c r="DY1428" s="4"/>
      <c r="DZ1428" s="4"/>
      <c r="EA1428" s="4"/>
      <c r="EB1428" s="4"/>
      <c r="EC1428" s="4"/>
      <c r="ED1428" s="4"/>
      <c r="EE1428" s="4"/>
      <c r="EF1428" s="4"/>
      <c r="EG1428" s="4"/>
      <c r="EH1428" s="4"/>
      <c r="EI1428" s="4"/>
    </row>
    <row r="1429" spans="1:139" hidden="1" x14ac:dyDescent="0.2">
      <c r="A1429">
        <f>VLOOKUP(B1429,Sheet1!$A$1:$B$18,2,FALSE)</f>
        <v>0</v>
      </c>
      <c r="B1429" t="str">
        <f>LEFT(D1429,3)</f>
        <v>WKT</v>
      </c>
      <c r="C1429" s="2">
        <v>1428</v>
      </c>
      <c r="D1429" s="3" t="str">
        <f>HYPERLINK("https://sitebase.nzcomms.co.nz/spm/spmnominalview/WKT-015-015/","WKT-015-015")</f>
        <v>WKT-015-015</v>
      </c>
      <c r="E1429" s="4" t="s">
        <v>4247</v>
      </c>
      <c r="F1429" s="3" t="str">
        <f>HYPERLINK("https://sitebase.nzcomms.co.nz/spm/spmcandidateview/WKT-015-015-A/","WKT-015-015-A")</f>
        <v>WKT-015-015-A</v>
      </c>
      <c r="G1429" s="4" t="s">
        <v>4248</v>
      </c>
      <c r="H1429" s="4" t="s">
        <v>4220</v>
      </c>
      <c r="I1429" s="4"/>
      <c r="J1429" s="4" t="s">
        <v>722</v>
      </c>
      <c r="K1429" s="4" t="s">
        <v>141</v>
      </c>
      <c r="L1429" s="4" t="s">
        <v>722</v>
      </c>
      <c r="M1429" s="4"/>
      <c r="N1429" s="4"/>
      <c r="O1429" s="4"/>
      <c r="P1429" s="4"/>
      <c r="Q1429" s="4" t="s">
        <v>142</v>
      </c>
      <c r="R1429" s="4"/>
      <c r="S1429" s="4"/>
      <c r="T1429" s="4"/>
      <c r="U1429" s="4"/>
      <c r="V1429" s="4"/>
      <c r="W1429" s="4"/>
      <c r="X1429" s="4"/>
      <c r="Y1429" s="4"/>
      <c r="Z1429" s="4"/>
      <c r="AA1429" s="4"/>
      <c r="AB1429" s="4"/>
      <c r="AC1429" s="4" t="b">
        <v>0</v>
      </c>
      <c r="AD1429" s="4" t="b">
        <v>0</v>
      </c>
      <c r="AE1429" s="4"/>
      <c r="AF1429" s="4"/>
      <c r="AG1429" s="4" t="b">
        <v>0</v>
      </c>
      <c r="AH1429" s="4"/>
      <c r="AI1429" s="4"/>
      <c r="AJ1429" s="4"/>
      <c r="AK1429" s="4"/>
      <c r="AL1429" s="4"/>
      <c r="AM1429" s="4"/>
      <c r="AN1429" s="4"/>
      <c r="AO1429" s="4"/>
      <c r="AP1429" s="4"/>
      <c r="AQ1429" s="4"/>
      <c r="AR1429" s="4"/>
      <c r="AS1429" s="4"/>
      <c r="AT1429" s="4"/>
      <c r="AU1429" s="4"/>
      <c r="AV1429" s="4"/>
      <c r="AW1429" s="4"/>
      <c r="AX1429" s="4"/>
      <c r="AY1429" s="4"/>
      <c r="AZ1429" s="4"/>
      <c r="BA1429" s="4"/>
      <c r="BB1429" s="4"/>
      <c r="BC1429" s="4"/>
      <c r="BD1429" s="4"/>
      <c r="BE1429" s="4"/>
      <c r="BF1429" s="4"/>
      <c r="BG1429" s="4"/>
      <c r="BH1429" s="4"/>
      <c r="BI1429" s="4"/>
      <c r="BJ1429" s="4"/>
      <c r="BK1429" s="4"/>
      <c r="BL1429" s="4"/>
      <c r="BM1429" s="4"/>
      <c r="BN1429" s="4"/>
      <c r="BO1429" s="4"/>
      <c r="BP1429" s="4"/>
      <c r="BQ1429" s="4"/>
      <c r="BR1429" s="4"/>
      <c r="BS1429" s="4"/>
      <c r="BT1429" s="4"/>
      <c r="BU1429" s="4"/>
      <c r="BV1429" s="4"/>
      <c r="BW1429" s="4"/>
      <c r="BX1429" s="4"/>
      <c r="BY1429" s="4"/>
      <c r="BZ1429" s="4"/>
      <c r="CA1429" s="4"/>
      <c r="CB1429" s="4"/>
      <c r="CC1429" s="4"/>
      <c r="CD1429" s="4"/>
      <c r="CE1429" s="4"/>
      <c r="CF1429" s="4"/>
      <c r="CG1429" s="4"/>
      <c r="CH1429" s="4"/>
      <c r="CI1429" s="4"/>
      <c r="CJ1429" s="4"/>
      <c r="CK1429" s="4"/>
      <c r="CL1429" s="4"/>
      <c r="CM1429" s="4"/>
      <c r="CN1429" s="4"/>
      <c r="CO1429" s="4"/>
      <c r="CP1429" s="4"/>
      <c r="CQ1429" s="4"/>
      <c r="CR1429" s="4"/>
      <c r="CS1429" s="4"/>
      <c r="CT1429" s="4"/>
      <c r="CU1429" s="4"/>
      <c r="CV1429" s="4"/>
      <c r="CW1429" s="4"/>
      <c r="CX1429" s="4"/>
      <c r="CY1429" s="4"/>
      <c r="CZ1429" s="4"/>
      <c r="DA1429" s="4"/>
      <c r="DB1429" s="4"/>
      <c r="DC1429" s="4"/>
      <c r="DD1429" s="4"/>
      <c r="DE1429" s="4"/>
      <c r="DF1429" s="4"/>
      <c r="DG1429" s="4"/>
      <c r="DH1429" s="4"/>
      <c r="DI1429" s="4"/>
      <c r="DJ1429" s="4"/>
      <c r="DK1429" s="4"/>
      <c r="DL1429" s="4"/>
      <c r="DM1429" s="4"/>
      <c r="DN1429" s="4"/>
      <c r="DO1429" s="4"/>
      <c r="DP1429" s="4"/>
      <c r="DQ1429" s="4"/>
      <c r="DR1429" s="4"/>
      <c r="DS1429" s="4"/>
      <c r="DT1429" s="4"/>
      <c r="DU1429" s="4" t="s">
        <v>178</v>
      </c>
      <c r="DV1429" s="4"/>
      <c r="DW1429" s="4"/>
      <c r="DX1429" s="4"/>
      <c r="DY1429" s="4"/>
      <c r="DZ1429" s="4"/>
      <c r="EA1429" s="4"/>
      <c r="EB1429" s="4"/>
      <c r="EC1429" s="4"/>
      <c r="ED1429" s="4"/>
      <c r="EE1429" s="4"/>
      <c r="EF1429" s="4"/>
      <c r="EG1429" s="4"/>
      <c r="EH1429" s="4"/>
      <c r="EI1429" s="4"/>
    </row>
    <row r="1430" spans="1:139" hidden="1" x14ac:dyDescent="0.2">
      <c r="A1430">
        <f>VLOOKUP(B1430,Sheet1!$A$1:$B$18,2,FALSE)</f>
        <v>0</v>
      </c>
      <c r="B1430" t="str">
        <f>LEFT(D1430,3)</f>
        <v>WKT</v>
      </c>
      <c r="C1430" s="2">
        <v>1429</v>
      </c>
      <c r="D1430" s="3" t="str">
        <f>HYPERLINK("https://sitebase.nzcomms.co.nz/spm/spmnominalview/WKT-016-001/","WKT-016-001")</f>
        <v>WKT-016-001</v>
      </c>
      <c r="E1430" s="4" t="s">
        <v>4249</v>
      </c>
      <c r="F1430" s="3" t="str">
        <f>HYPERLINK("https://sitebase.nzcomms.co.nz/spm/spmcandidateview/WKT-016-001-B/","WKT-016-001-B")</f>
        <v>WKT-016-001-B</v>
      </c>
      <c r="G1430" s="4" t="s">
        <v>4250</v>
      </c>
      <c r="H1430" s="4" t="s">
        <v>4251</v>
      </c>
      <c r="I1430" s="4">
        <v>10</v>
      </c>
      <c r="J1430" s="4" t="s">
        <v>1633</v>
      </c>
      <c r="K1430" s="4" t="s">
        <v>141</v>
      </c>
      <c r="L1430" s="4" t="s">
        <v>142</v>
      </c>
      <c r="M1430" s="4" t="s">
        <v>190</v>
      </c>
      <c r="N1430" s="4" t="s">
        <v>142</v>
      </c>
      <c r="O1430" s="4" t="s">
        <v>144</v>
      </c>
      <c r="P1430" s="4" t="s">
        <v>169</v>
      </c>
      <c r="Q1430" s="4" t="s">
        <v>142</v>
      </c>
      <c r="R1430" s="4">
        <v>18.940000000000001</v>
      </c>
      <c r="S1430" s="4"/>
      <c r="T1430" s="4">
        <v>1</v>
      </c>
      <c r="U1430" s="4">
        <v>-37.733766629999998</v>
      </c>
      <c r="V1430" s="4">
        <v>175.22479314</v>
      </c>
      <c r="W1430" s="4"/>
      <c r="X1430" s="5">
        <v>40140</v>
      </c>
      <c r="Y1430" s="4"/>
      <c r="Z1430" s="5">
        <v>40162</v>
      </c>
      <c r="AA1430" s="4" t="s">
        <v>171</v>
      </c>
      <c r="AB1430" s="3" t="str">
        <f>HYPERLINK("https://sitebase.nzcomms.co.nz/spm/spmcandidateview/WKT-016-012-A/","WKT-016-012-A")</f>
        <v>WKT-016-012-A</v>
      </c>
      <c r="AC1430" s="4" t="b">
        <v>1</v>
      </c>
      <c r="AD1430" s="4" t="b">
        <v>1</v>
      </c>
      <c r="AE1430" s="5">
        <v>40219</v>
      </c>
      <c r="AF1430" s="5">
        <v>40235</v>
      </c>
      <c r="AG1430" s="4" t="b">
        <v>0</v>
      </c>
      <c r="AH1430" s="4" t="s">
        <v>4252</v>
      </c>
      <c r="AI1430" s="5">
        <v>40270</v>
      </c>
      <c r="AJ1430" s="5">
        <v>40219</v>
      </c>
      <c r="AK1430" s="4"/>
      <c r="AL1430" s="4"/>
      <c r="AM1430" s="5">
        <v>40233</v>
      </c>
      <c r="AN1430" s="5">
        <v>40235</v>
      </c>
      <c r="AO1430" s="4">
        <v>3</v>
      </c>
      <c r="AP1430" s="5">
        <v>40233</v>
      </c>
      <c r="AQ1430" s="5">
        <v>40354</v>
      </c>
      <c r="AR1430" s="4"/>
      <c r="AS1430" s="5">
        <v>40267</v>
      </c>
      <c r="AT1430" s="5">
        <v>40403</v>
      </c>
      <c r="AU1430" s="5">
        <v>40395</v>
      </c>
      <c r="AV1430" s="4">
        <v>1</v>
      </c>
      <c r="AW1430" s="5">
        <v>40602</v>
      </c>
      <c r="AX1430" s="5">
        <v>40683</v>
      </c>
      <c r="AY1430" s="4" t="s">
        <v>172</v>
      </c>
      <c r="AZ1430" s="5">
        <v>40276</v>
      </c>
      <c r="BA1430" s="5">
        <v>40276</v>
      </c>
      <c r="BB1430" s="5">
        <v>40308</v>
      </c>
      <c r="BC1430" s="5">
        <v>40303</v>
      </c>
      <c r="BD1430" s="4">
        <v>2</v>
      </c>
      <c r="BE1430" s="5">
        <v>40315</v>
      </c>
      <c r="BF1430" s="5">
        <v>40308</v>
      </c>
      <c r="BG1430" s="4"/>
      <c r="BH1430" s="4"/>
      <c r="BI1430" s="5">
        <v>40637</v>
      </c>
      <c r="BJ1430" s="5">
        <v>40605</v>
      </c>
      <c r="BK1430" s="4">
        <v>2</v>
      </c>
      <c r="BL1430" s="4">
        <v>3</v>
      </c>
      <c r="BM1430" s="5">
        <v>40632</v>
      </c>
      <c r="BN1430" s="5">
        <v>40653</v>
      </c>
      <c r="BO1430" s="5">
        <v>40673</v>
      </c>
      <c r="BP1430" s="4"/>
      <c r="BQ1430" s="4"/>
      <c r="BR1430" s="4"/>
      <c r="BS1430" s="4"/>
      <c r="BT1430" s="5">
        <v>40667</v>
      </c>
      <c r="BU1430" s="5">
        <v>40667</v>
      </c>
      <c r="BV1430" s="5">
        <v>40674</v>
      </c>
      <c r="BW1430" s="5">
        <v>40704</v>
      </c>
      <c r="BX1430" s="5">
        <v>40697</v>
      </c>
      <c r="BY1430" s="5">
        <v>40704</v>
      </c>
      <c r="BZ1430" s="5">
        <v>40717</v>
      </c>
      <c r="CA1430" s="4"/>
      <c r="CB1430" s="4"/>
      <c r="CC1430" s="4"/>
      <c r="CD1430" s="5">
        <v>40581</v>
      </c>
      <c r="CE1430" s="4"/>
      <c r="CF1430" s="4"/>
      <c r="CG1430" s="4"/>
      <c r="CH1430" s="5">
        <v>40675</v>
      </c>
      <c r="CI1430" s="5">
        <v>40721</v>
      </c>
      <c r="CJ1430" s="5">
        <v>40755</v>
      </c>
      <c r="CK1430" s="5">
        <v>40752</v>
      </c>
      <c r="CL1430" s="5">
        <v>40755</v>
      </c>
      <c r="CM1430" s="5">
        <v>40750</v>
      </c>
      <c r="CN1430" s="5">
        <v>40856</v>
      </c>
      <c r="CO1430" s="5">
        <v>40935</v>
      </c>
      <c r="CP1430" s="4" t="s">
        <v>4253</v>
      </c>
      <c r="CQ1430" s="4" t="s">
        <v>230</v>
      </c>
      <c r="CR1430" s="5">
        <v>40706</v>
      </c>
      <c r="CS1430" s="5">
        <v>40666</v>
      </c>
      <c r="CT1430" s="5">
        <v>40666</v>
      </c>
      <c r="CU1430" s="5">
        <v>40672</v>
      </c>
      <c r="CV1430" s="5">
        <v>40673</v>
      </c>
      <c r="CW1430" s="5">
        <v>40672</v>
      </c>
      <c r="CX1430" s="5">
        <v>40673</v>
      </c>
      <c r="CY1430" s="5">
        <v>40704</v>
      </c>
      <c r="CZ1430" s="5">
        <v>40714</v>
      </c>
      <c r="DA1430" s="4"/>
      <c r="DB1430" s="5">
        <v>40737</v>
      </c>
      <c r="DC1430" s="4"/>
      <c r="DD1430" s="4"/>
      <c r="DE1430" s="4"/>
      <c r="DF1430" s="4"/>
      <c r="DG1430" s="4"/>
      <c r="DH1430" s="4"/>
      <c r="DI1430" s="4"/>
      <c r="DJ1430" s="4" t="b">
        <v>0</v>
      </c>
      <c r="DK1430" s="4"/>
      <c r="DL1430" s="4">
        <v>2706302</v>
      </c>
      <c r="DM1430" s="4">
        <v>6383028</v>
      </c>
      <c r="DN1430" s="4" t="s">
        <v>4254</v>
      </c>
      <c r="DO1430" s="4"/>
      <c r="DP1430" s="4"/>
      <c r="DQ1430" s="4" t="s">
        <v>148</v>
      </c>
      <c r="DR1430" s="4"/>
      <c r="DS1430" s="4"/>
      <c r="DT1430" s="5">
        <v>42291</v>
      </c>
      <c r="DU1430" s="4"/>
      <c r="DV1430" s="4"/>
      <c r="DW1430" s="4"/>
      <c r="DX1430" s="4"/>
      <c r="DY1430" s="4"/>
      <c r="DZ1430" s="4"/>
      <c r="EA1430" s="4"/>
      <c r="EB1430" s="4"/>
      <c r="EC1430" s="4"/>
      <c r="ED1430" s="4"/>
      <c r="EE1430" s="4"/>
      <c r="EF1430" s="4"/>
      <c r="EG1430" s="4"/>
      <c r="EH1430" s="5">
        <v>40737</v>
      </c>
      <c r="EI1430" s="5">
        <v>40199</v>
      </c>
    </row>
    <row r="1431" spans="1:139" hidden="1" x14ac:dyDescent="0.2">
      <c r="A1431">
        <f>VLOOKUP(B1431,Sheet1!$A$1:$B$18,2,FALSE)</f>
        <v>0</v>
      </c>
      <c r="B1431" t="str">
        <f>LEFT(D1431,3)</f>
        <v>WKT</v>
      </c>
      <c r="C1431" s="2">
        <v>1430</v>
      </c>
      <c r="D1431" s="3" t="str">
        <f>HYPERLINK("https://sitebase.nzcomms.co.nz/spm/spmnominalview/WKT-016-002/","WKT-016-002")</f>
        <v>WKT-016-002</v>
      </c>
      <c r="E1431" s="4" t="s">
        <v>4255</v>
      </c>
      <c r="F1431" s="3" t="str">
        <f>HYPERLINK("https://sitebase.nzcomms.co.nz/spm/spmcandidateview/WKT-016-002-E/","WKT-016-002-E")</f>
        <v>WKT-016-002-E</v>
      </c>
      <c r="G1431" s="4" t="s">
        <v>1255</v>
      </c>
      <c r="H1431" s="4" t="s">
        <v>4251</v>
      </c>
      <c r="I1431" s="4">
        <v>10</v>
      </c>
      <c r="J1431" s="4" t="s">
        <v>1633</v>
      </c>
      <c r="K1431" s="4" t="s">
        <v>141</v>
      </c>
      <c r="L1431" s="4" t="s">
        <v>189</v>
      </c>
      <c r="M1431" s="4" t="s">
        <v>190</v>
      </c>
      <c r="N1431" s="4" t="s">
        <v>274</v>
      </c>
      <c r="O1431" s="4" t="s">
        <v>144</v>
      </c>
      <c r="P1431" s="4" t="s">
        <v>182</v>
      </c>
      <c r="Q1431" s="4" t="s">
        <v>192</v>
      </c>
      <c r="R1431" s="4">
        <v>15</v>
      </c>
      <c r="S1431" s="4">
        <v>15.5</v>
      </c>
      <c r="T1431" s="4">
        <v>3</v>
      </c>
      <c r="U1431" s="4">
        <v>-37.79497095</v>
      </c>
      <c r="V1431" s="4">
        <v>175.24842063</v>
      </c>
      <c r="W1431" s="4"/>
      <c r="X1431" s="5">
        <v>40140</v>
      </c>
      <c r="Y1431" s="4"/>
      <c r="Z1431" s="5">
        <v>40162</v>
      </c>
      <c r="AA1431" s="4" t="s">
        <v>171</v>
      </c>
      <c r="AB1431" s="3" t="str">
        <f>HYPERLINK("https://sitebase.nzcomms.co.nz/spm/spmcandidateview/WKT-016-027-A/","WKT-016-027-A")</f>
        <v>WKT-016-027-A</v>
      </c>
      <c r="AC1431" s="4" t="b">
        <v>1</v>
      </c>
      <c r="AD1431" s="4" t="b">
        <v>1</v>
      </c>
      <c r="AE1431" s="5">
        <v>40193</v>
      </c>
      <c r="AF1431" s="4"/>
      <c r="AG1431" s="4" t="b">
        <v>0</v>
      </c>
      <c r="AH1431" s="4" t="s">
        <v>4256</v>
      </c>
      <c r="AI1431" s="4"/>
      <c r="AJ1431" s="5">
        <v>40329</v>
      </c>
      <c r="AK1431" s="4"/>
      <c r="AL1431" s="4"/>
      <c r="AM1431" s="5">
        <v>40346</v>
      </c>
      <c r="AN1431" s="5">
        <v>40350</v>
      </c>
      <c r="AO1431" s="4">
        <v>4</v>
      </c>
      <c r="AP1431" s="5">
        <v>40346</v>
      </c>
      <c r="AQ1431" s="5">
        <v>40464</v>
      </c>
      <c r="AR1431" s="5">
        <v>40501</v>
      </c>
      <c r="AS1431" s="5">
        <v>40501</v>
      </c>
      <c r="AT1431" s="5">
        <v>40508</v>
      </c>
      <c r="AU1431" s="5">
        <v>40533</v>
      </c>
      <c r="AV1431" s="4">
        <v>4</v>
      </c>
      <c r="AW1431" s="5">
        <v>40512</v>
      </c>
      <c r="AX1431" s="5">
        <v>40533</v>
      </c>
      <c r="AY1431" s="4" t="s">
        <v>198</v>
      </c>
      <c r="AZ1431" s="5">
        <v>40351</v>
      </c>
      <c r="BA1431" s="5">
        <v>40350</v>
      </c>
      <c r="BB1431" s="5">
        <v>40508</v>
      </c>
      <c r="BC1431" s="5">
        <v>40497</v>
      </c>
      <c r="BD1431" s="4">
        <v>4</v>
      </c>
      <c r="BE1431" s="5">
        <v>40512</v>
      </c>
      <c r="BF1431" s="5">
        <v>40501</v>
      </c>
      <c r="BG1431" s="4"/>
      <c r="BH1431" s="4"/>
      <c r="BI1431" s="5">
        <v>40680</v>
      </c>
      <c r="BJ1431" s="5">
        <v>40676</v>
      </c>
      <c r="BK1431" s="4">
        <v>1</v>
      </c>
      <c r="BL1431" s="4"/>
      <c r="BM1431" s="5">
        <v>40674</v>
      </c>
      <c r="BN1431" s="5">
        <v>40676</v>
      </c>
      <c r="BO1431" s="5">
        <v>40683</v>
      </c>
      <c r="BP1431" s="4"/>
      <c r="BQ1431" s="4"/>
      <c r="BR1431" s="5">
        <v>40609</v>
      </c>
      <c r="BS1431" s="4"/>
      <c r="BT1431" s="5">
        <v>40686</v>
      </c>
      <c r="BU1431" s="5">
        <v>40679</v>
      </c>
      <c r="BV1431" s="5">
        <v>40690</v>
      </c>
      <c r="BW1431" s="5">
        <v>40697</v>
      </c>
      <c r="BX1431" s="5">
        <v>40692</v>
      </c>
      <c r="BY1431" s="5">
        <v>40706</v>
      </c>
      <c r="BZ1431" s="5">
        <v>40697</v>
      </c>
      <c r="CA1431" s="4"/>
      <c r="CB1431" s="4"/>
      <c r="CC1431" s="4"/>
      <c r="CD1431" s="5">
        <v>40581</v>
      </c>
      <c r="CE1431" s="4"/>
      <c r="CF1431" s="4"/>
      <c r="CG1431" s="4"/>
      <c r="CH1431" s="5">
        <v>40675</v>
      </c>
      <c r="CI1431" s="5">
        <v>40714</v>
      </c>
      <c r="CJ1431" s="5">
        <v>40755</v>
      </c>
      <c r="CK1431" s="5">
        <v>40752</v>
      </c>
      <c r="CL1431" s="5">
        <v>40755</v>
      </c>
      <c r="CM1431" s="5">
        <v>40737</v>
      </c>
      <c r="CN1431" s="5">
        <v>40843</v>
      </c>
      <c r="CO1431" s="5">
        <v>40878</v>
      </c>
      <c r="CP1431" s="4" t="s">
        <v>4257</v>
      </c>
      <c r="CQ1431" s="4"/>
      <c r="CR1431" s="5">
        <v>40713</v>
      </c>
      <c r="CS1431" s="5">
        <v>40686</v>
      </c>
      <c r="CT1431" s="5">
        <v>40686</v>
      </c>
      <c r="CU1431" s="5">
        <v>40688</v>
      </c>
      <c r="CV1431" s="5">
        <v>40688</v>
      </c>
      <c r="CW1431" s="5">
        <v>40679</v>
      </c>
      <c r="CX1431" s="5">
        <v>40683</v>
      </c>
      <c r="CY1431" s="5">
        <v>40705</v>
      </c>
      <c r="CZ1431" s="5">
        <v>40695</v>
      </c>
      <c r="DA1431" s="4"/>
      <c r="DB1431" s="5">
        <v>40721</v>
      </c>
      <c r="DC1431" s="4"/>
      <c r="DD1431" s="4"/>
      <c r="DE1431" s="4"/>
      <c r="DF1431" s="4"/>
      <c r="DG1431" s="4"/>
      <c r="DH1431" s="4"/>
      <c r="DI1431" s="4"/>
      <c r="DJ1431" s="4" t="b">
        <v>1</v>
      </c>
      <c r="DK1431" s="4"/>
      <c r="DL1431" s="4">
        <v>2708210</v>
      </c>
      <c r="DM1431" s="4">
        <v>6376185</v>
      </c>
      <c r="DN1431" s="4" t="s">
        <v>4258</v>
      </c>
      <c r="DO1431" s="4"/>
      <c r="DP1431" s="4" t="s">
        <v>4259</v>
      </c>
      <c r="DQ1431" s="4" t="s">
        <v>148</v>
      </c>
      <c r="DR1431" s="4"/>
      <c r="DS1431" s="4"/>
      <c r="DT1431" s="4"/>
      <c r="DU1431" s="4"/>
      <c r="DV1431" s="4"/>
      <c r="DW1431" s="4"/>
      <c r="DX1431" s="4"/>
      <c r="DY1431" s="4"/>
      <c r="DZ1431" s="4"/>
      <c r="EA1431" s="4"/>
      <c r="EB1431" s="4"/>
      <c r="EC1431" s="4"/>
      <c r="ED1431" s="4"/>
      <c r="EE1431" s="4"/>
      <c r="EF1431" s="4"/>
      <c r="EG1431" s="4"/>
      <c r="EH1431" s="5">
        <v>40721</v>
      </c>
      <c r="EI1431" s="5">
        <v>40331</v>
      </c>
    </row>
    <row r="1432" spans="1:139" hidden="1" x14ac:dyDescent="0.2">
      <c r="A1432">
        <f>VLOOKUP(B1432,Sheet1!$A$1:$B$18,2,FALSE)</f>
        <v>0</v>
      </c>
      <c r="B1432" t="str">
        <f>LEFT(D1432,3)</f>
        <v>WKT</v>
      </c>
      <c r="C1432" s="2">
        <v>1431</v>
      </c>
      <c r="D1432" s="3" t="str">
        <f>HYPERLINK("https://sitebase.nzcomms.co.nz/spm/spmnominalview/WKT-016-003/","WKT-016-003")</f>
        <v>WKT-016-003</v>
      </c>
      <c r="E1432" s="4" t="s">
        <v>4260</v>
      </c>
      <c r="F1432" s="3" t="str">
        <f>HYPERLINK("https://sitebase.nzcomms.co.nz/spm/spmcandidateview/WKT-016-003-D/","WKT-016-003-D")</f>
        <v>WKT-016-003-D</v>
      </c>
      <c r="G1432" s="4" t="s">
        <v>4261</v>
      </c>
      <c r="H1432" s="4" t="s">
        <v>4251</v>
      </c>
      <c r="I1432" s="4">
        <v>10</v>
      </c>
      <c r="J1432" s="4" t="s">
        <v>1633</v>
      </c>
      <c r="K1432" s="4" t="s">
        <v>141</v>
      </c>
      <c r="L1432" s="4" t="s">
        <v>142</v>
      </c>
      <c r="M1432" s="4" t="s">
        <v>571</v>
      </c>
      <c r="N1432" s="4" t="s">
        <v>142</v>
      </c>
      <c r="O1432" s="4" t="s">
        <v>144</v>
      </c>
      <c r="P1432" s="4" t="s">
        <v>169</v>
      </c>
      <c r="Q1432" s="4" t="s">
        <v>142</v>
      </c>
      <c r="R1432" s="4">
        <v>20</v>
      </c>
      <c r="S1432" s="4">
        <v>23</v>
      </c>
      <c r="T1432" s="4">
        <v>1</v>
      </c>
      <c r="U1432" s="4">
        <v>-37.748879789999997</v>
      </c>
      <c r="V1432" s="4">
        <v>175.23923844000001</v>
      </c>
      <c r="W1432" s="4"/>
      <c r="X1432" s="5">
        <v>40140</v>
      </c>
      <c r="Y1432" s="4"/>
      <c r="Z1432" s="5">
        <v>40162</v>
      </c>
      <c r="AA1432" s="4" t="s">
        <v>171</v>
      </c>
      <c r="AB1432" s="3" t="str">
        <f>HYPERLINK("https://sitebase.nzcomms.co.nz/spm/spmcandidateview/WKT-016-015-A/","WKT-016-015-A")</f>
        <v>WKT-016-015-A</v>
      </c>
      <c r="AC1432" s="4" t="b">
        <v>1</v>
      </c>
      <c r="AD1432" s="4" t="b">
        <v>1</v>
      </c>
      <c r="AE1432" s="5">
        <v>40219</v>
      </c>
      <c r="AF1432" s="5">
        <v>40235</v>
      </c>
      <c r="AG1432" s="4" t="b">
        <v>0</v>
      </c>
      <c r="AH1432" s="4" t="s">
        <v>4252</v>
      </c>
      <c r="AI1432" s="5">
        <v>40270</v>
      </c>
      <c r="AJ1432" s="5">
        <v>40219</v>
      </c>
      <c r="AK1432" s="4"/>
      <c r="AL1432" s="4"/>
      <c r="AM1432" s="5">
        <v>40235</v>
      </c>
      <c r="AN1432" s="5">
        <v>40233</v>
      </c>
      <c r="AO1432" s="4">
        <v>3</v>
      </c>
      <c r="AP1432" s="5">
        <v>40235</v>
      </c>
      <c r="AQ1432" s="5">
        <v>40354</v>
      </c>
      <c r="AR1432" s="4"/>
      <c r="AS1432" s="5">
        <v>40267</v>
      </c>
      <c r="AT1432" s="5">
        <v>40375</v>
      </c>
      <c r="AU1432" s="5">
        <v>40373</v>
      </c>
      <c r="AV1432" s="4"/>
      <c r="AW1432" s="5">
        <v>40602</v>
      </c>
      <c r="AX1432" s="5">
        <v>40862</v>
      </c>
      <c r="AY1432" s="4" t="s">
        <v>172</v>
      </c>
      <c r="AZ1432" s="5">
        <v>40276</v>
      </c>
      <c r="BA1432" s="5">
        <v>40282</v>
      </c>
      <c r="BB1432" s="5">
        <v>40315</v>
      </c>
      <c r="BC1432" s="5">
        <v>40304</v>
      </c>
      <c r="BD1432" s="4">
        <v>2</v>
      </c>
      <c r="BE1432" s="5">
        <v>40322</v>
      </c>
      <c r="BF1432" s="5">
        <v>40308</v>
      </c>
      <c r="BG1432" s="4"/>
      <c r="BH1432" s="4"/>
      <c r="BI1432" s="5">
        <v>40630</v>
      </c>
      <c r="BJ1432" s="5">
        <v>40669</v>
      </c>
      <c r="BK1432" s="4">
        <v>1</v>
      </c>
      <c r="BL1432" s="4"/>
      <c r="BM1432" s="5">
        <v>40624</v>
      </c>
      <c r="BN1432" s="5">
        <v>40669</v>
      </c>
      <c r="BO1432" s="5">
        <v>40676</v>
      </c>
      <c r="BP1432" s="4"/>
      <c r="BQ1432" s="4"/>
      <c r="BR1432" s="5">
        <v>40645</v>
      </c>
      <c r="BS1432" s="4"/>
      <c r="BT1432" s="5">
        <v>40693</v>
      </c>
      <c r="BU1432" s="5">
        <v>40695</v>
      </c>
      <c r="BV1432" s="5">
        <v>40696</v>
      </c>
      <c r="BW1432" s="5">
        <v>40701</v>
      </c>
      <c r="BX1432" s="5">
        <v>40697</v>
      </c>
      <c r="BY1432" s="5">
        <v>40706</v>
      </c>
      <c r="BZ1432" s="5">
        <v>40705</v>
      </c>
      <c r="CA1432" s="4"/>
      <c r="CB1432" s="4"/>
      <c r="CC1432" s="4"/>
      <c r="CD1432" s="5">
        <v>40581</v>
      </c>
      <c r="CE1432" s="4"/>
      <c r="CF1432" s="4"/>
      <c r="CG1432" s="4"/>
      <c r="CH1432" s="5">
        <v>40675</v>
      </c>
      <c r="CI1432" s="5">
        <v>40724</v>
      </c>
      <c r="CJ1432" s="5">
        <v>40755</v>
      </c>
      <c r="CK1432" s="5">
        <v>40752</v>
      </c>
      <c r="CL1432" s="5">
        <v>40755</v>
      </c>
      <c r="CM1432" s="5">
        <v>40750</v>
      </c>
      <c r="CN1432" s="5">
        <v>40842</v>
      </c>
      <c r="CO1432" s="5">
        <v>40942</v>
      </c>
      <c r="CP1432" s="4"/>
      <c r="CQ1432" s="4" t="s">
        <v>230</v>
      </c>
      <c r="CR1432" s="5">
        <v>40712</v>
      </c>
      <c r="CS1432" s="5">
        <v>40666</v>
      </c>
      <c r="CT1432" s="5">
        <v>40666</v>
      </c>
      <c r="CU1432" s="5">
        <v>40672</v>
      </c>
      <c r="CV1432" s="5">
        <v>40675</v>
      </c>
      <c r="CW1432" s="5">
        <v>40672</v>
      </c>
      <c r="CX1432" s="5">
        <v>40676</v>
      </c>
      <c r="CY1432" s="5">
        <v>40710</v>
      </c>
      <c r="CZ1432" s="5">
        <v>40714</v>
      </c>
      <c r="DA1432" s="4"/>
      <c r="DB1432" s="5">
        <v>40737</v>
      </c>
      <c r="DC1432" s="4"/>
      <c r="DD1432" s="4"/>
      <c r="DE1432" s="4"/>
      <c r="DF1432" s="4"/>
      <c r="DG1432" s="4"/>
      <c r="DH1432" s="4"/>
      <c r="DI1432" s="4"/>
      <c r="DJ1432" s="4" t="b">
        <v>1</v>
      </c>
      <c r="DK1432" s="4"/>
      <c r="DL1432" s="4">
        <v>2707532</v>
      </c>
      <c r="DM1432" s="4">
        <v>6381319</v>
      </c>
      <c r="DN1432" s="4" t="s">
        <v>4262</v>
      </c>
      <c r="DO1432" s="4"/>
      <c r="DP1432" s="4"/>
      <c r="DQ1432" s="4" t="s">
        <v>148</v>
      </c>
      <c r="DR1432" s="4"/>
      <c r="DS1432" s="4"/>
      <c r="DT1432" s="5">
        <v>41906</v>
      </c>
      <c r="DU1432" s="4"/>
      <c r="DV1432" s="4"/>
      <c r="DW1432" s="4"/>
      <c r="DX1432" s="4"/>
      <c r="DY1432" s="4"/>
      <c r="DZ1432" s="4"/>
      <c r="EA1432" s="4"/>
      <c r="EB1432" s="4"/>
      <c r="EC1432" s="4"/>
      <c r="ED1432" s="4"/>
      <c r="EE1432" s="4"/>
      <c r="EF1432" s="4"/>
      <c r="EG1432" s="4"/>
      <c r="EH1432" s="5">
        <v>40737</v>
      </c>
      <c r="EI1432" s="5">
        <v>40199</v>
      </c>
    </row>
    <row r="1433" spans="1:139" hidden="1" x14ac:dyDescent="0.2">
      <c r="A1433">
        <f>VLOOKUP(B1433,Sheet1!$A$1:$B$18,2,FALSE)</f>
        <v>0</v>
      </c>
      <c r="B1433" t="str">
        <f>LEFT(D1433,3)</f>
        <v>WKT</v>
      </c>
      <c r="C1433" s="2">
        <v>1432</v>
      </c>
      <c r="D1433" s="3" t="str">
        <f>HYPERLINK("https://sitebase.nzcomms.co.nz/spm/spmnominalview/WKT-016-004/","WKT-016-004")</f>
        <v>WKT-016-004</v>
      </c>
      <c r="E1433" s="4" t="s">
        <v>4263</v>
      </c>
      <c r="F1433" s="3" t="str">
        <f>HYPERLINK("https://sitebase.nzcomms.co.nz/spm/spmcandidateview/WKT-016-004-A/","WKT-016-004-A")</f>
        <v>WKT-016-004-A</v>
      </c>
      <c r="G1433" s="4" t="s">
        <v>4264</v>
      </c>
      <c r="H1433" s="4" t="s">
        <v>4251</v>
      </c>
      <c r="I1433" s="4">
        <v>10</v>
      </c>
      <c r="J1433" s="4" t="s">
        <v>1633</v>
      </c>
      <c r="K1433" s="4" t="s">
        <v>141</v>
      </c>
      <c r="L1433" s="4" t="s">
        <v>181</v>
      </c>
      <c r="M1433" s="4" t="s">
        <v>1193</v>
      </c>
      <c r="N1433" s="4" t="s">
        <v>364</v>
      </c>
      <c r="O1433" s="4" t="s">
        <v>144</v>
      </c>
      <c r="P1433" s="4" t="s">
        <v>169</v>
      </c>
      <c r="Q1433" s="4" t="s">
        <v>170</v>
      </c>
      <c r="R1433" s="4">
        <v>22.7</v>
      </c>
      <c r="S1433" s="4">
        <v>20.100000000000001</v>
      </c>
      <c r="T1433" s="4">
        <v>1</v>
      </c>
      <c r="U1433" s="4">
        <v>-37.7503569</v>
      </c>
      <c r="V1433" s="4">
        <v>175.27859917000001</v>
      </c>
      <c r="W1433" s="4"/>
      <c r="X1433" s="5">
        <v>40140</v>
      </c>
      <c r="Y1433" s="4"/>
      <c r="Z1433" s="5">
        <v>40162</v>
      </c>
      <c r="AA1433" s="4" t="s">
        <v>171</v>
      </c>
      <c r="AB1433" s="3" t="str">
        <f>HYPERLINK("https://sitebase.nzcomms.co.nz/spm/spmcandidateview/WKT-016-023-B/","WKT-016-023-B")</f>
        <v>WKT-016-023-B</v>
      </c>
      <c r="AC1433" s="4" t="b">
        <v>1</v>
      </c>
      <c r="AD1433" s="4" t="b">
        <v>1</v>
      </c>
      <c r="AE1433" s="5">
        <v>40193</v>
      </c>
      <c r="AF1433" s="4"/>
      <c r="AG1433" s="4" t="b">
        <v>0</v>
      </c>
      <c r="AH1433" s="4" t="s">
        <v>4265</v>
      </c>
      <c r="AI1433" s="5">
        <v>40192</v>
      </c>
      <c r="AJ1433" s="5">
        <v>40192</v>
      </c>
      <c r="AK1433" s="4"/>
      <c r="AL1433" s="4"/>
      <c r="AM1433" s="4"/>
      <c r="AN1433" s="5">
        <v>40225</v>
      </c>
      <c r="AO1433" s="4">
        <v>6</v>
      </c>
      <c r="AP1433" s="5">
        <v>40233</v>
      </c>
      <c r="AQ1433" s="5">
        <v>40422</v>
      </c>
      <c r="AR1433" s="4"/>
      <c r="AS1433" s="5">
        <v>40274</v>
      </c>
      <c r="AT1433" s="5">
        <v>40574</v>
      </c>
      <c r="AU1433" s="5">
        <v>40610</v>
      </c>
      <c r="AV1433" s="4">
        <v>3</v>
      </c>
      <c r="AW1433" s="5">
        <v>40574</v>
      </c>
      <c r="AX1433" s="5">
        <v>40683</v>
      </c>
      <c r="AY1433" s="4" t="s">
        <v>172</v>
      </c>
      <c r="AZ1433" s="5">
        <v>40235</v>
      </c>
      <c r="BA1433" s="5">
        <v>40536</v>
      </c>
      <c r="BB1433" s="5">
        <v>40249</v>
      </c>
      <c r="BC1433" s="5">
        <v>40577</v>
      </c>
      <c r="BD1433" s="4">
        <v>6</v>
      </c>
      <c r="BE1433" s="5">
        <v>40261</v>
      </c>
      <c r="BF1433" s="5">
        <v>40261</v>
      </c>
      <c r="BG1433" s="4"/>
      <c r="BH1433" s="4"/>
      <c r="BI1433" s="5">
        <v>40641</v>
      </c>
      <c r="BJ1433" s="5">
        <v>40669</v>
      </c>
      <c r="BK1433" s="4">
        <v>4</v>
      </c>
      <c r="BL1433" s="4">
        <v>6</v>
      </c>
      <c r="BM1433" s="5">
        <v>40637</v>
      </c>
      <c r="BN1433" s="5">
        <v>40694</v>
      </c>
      <c r="BO1433" s="5">
        <v>40697</v>
      </c>
      <c r="BP1433" s="4"/>
      <c r="BQ1433" s="4"/>
      <c r="BR1433" s="4"/>
      <c r="BS1433" s="4"/>
      <c r="BT1433" s="5">
        <v>40686</v>
      </c>
      <c r="BU1433" s="5">
        <v>40693</v>
      </c>
      <c r="BV1433" s="5">
        <v>40714</v>
      </c>
      <c r="BW1433" s="5">
        <v>40717</v>
      </c>
      <c r="BX1433" s="5">
        <v>40708</v>
      </c>
      <c r="BY1433" s="5">
        <v>40721</v>
      </c>
      <c r="BZ1433" s="5">
        <v>40721</v>
      </c>
      <c r="CA1433" s="4"/>
      <c r="CB1433" s="4"/>
      <c r="CC1433" s="4"/>
      <c r="CD1433" s="5">
        <v>40581</v>
      </c>
      <c r="CE1433" s="4"/>
      <c r="CF1433" s="4"/>
      <c r="CG1433" s="4"/>
      <c r="CH1433" s="5">
        <v>40675</v>
      </c>
      <c r="CI1433" s="5">
        <v>40730</v>
      </c>
      <c r="CJ1433" s="5">
        <v>40755</v>
      </c>
      <c r="CK1433" s="5">
        <v>40752</v>
      </c>
      <c r="CL1433" s="5">
        <v>40755</v>
      </c>
      <c r="CM1433" s="5">
        <v>40751</v>
      </c>
      <c r="CN1433" s="5">
        <v>40843</v>
      </c>
      <c r="CO1433" s="5">
        <v>41082</v>
      </c>
      <c r="CP1433" s="4" t="s">
        <v>4266</v>
      </c>
      <c r="CQ1433" s="4"/>
      <c r="CR1433" s="5">
        <v>40721</v>
      </c>
      <c r="CS1433" s="5">
        <v>40666</v>
      </c>
      <c r="CT1433" s="5">
        <v>40666</v>
      </c>
      <c r="CU1433" s="5">
        <v>40672</v>
      </c>
      <c r="CV1433" s="5">
        <v>40673</v>
      </c>
      <c r="CW1433" s="5">
        <v>40697</v>
      </c>
      <c r="CX1433" s="5">
        <v>40697</v>
      </c>
      <c r="CY1433" s="5">
        <v>40721</v>
      </c>
      <c r="CZ1433" s="5">
        <v>40721</v>
      </c>
      <c r="DA1433" s="4"/>
      <c r="DB1433" s="5">
        <v>40737</v>
      </c>
      <c r="DC1433" s="4"/>
      <c r="DD1433" s="4"/>
      <c r="DE1433" s="4"/>
      <c r="DF1433" s="4"/>
      <c r="DG1433" s="4"/>
      <c r="DH1433" s="4"/>
      <c r="DI1433" s="4"/>
      <c r="DJ1433" s="4" t="b">
        <v>0</v>
      </c>
      <c r="DK1433" s="4"/>
      <c r="DL1433" s="4">
        <v>2710995</v>
      </c>
      <c r="DM1433" s="4">
        <v>6381066</v>
      </c>
      <c r="DN1433" s="4" t="s">
        <v>4267</v>
      </c>
      <c r="DO1433" s="4"/>
      <c r="DP1433" s="4" t="s">
        <v>4268</v>
      </c>
      <c r="DQ1433" s="4" t="s">
        <v>148</v>
      </c>
      <c r="DR1433" s="4"/>
      <c r="DS1433" s="4"/>
      <c r="DT1433" s="5">
        <v>41906</v>
      </c>
      <c r="DU1433" s="4"/>
      <c r="DV1433" s="4"/>
      <c r="DW1433" s="4"/>
      <c r="DX1433" s="4"/>
      <c r="DY1433" s="4"/>
      <c r="DZ1433" s="4"/>
      <c r="EA1433" s="4"/>
      <c r="EB1433" s="4"/>
      <c r="EC1433" s="4"/>
      <c r="ED1433" s="4"/>
      <c r="EE1433" s="4"/>
      <c r="EF1433" s="4"/>
      <c r="EG1433" s="4"/>
      <c r="EH1433" s="5">
        <v>40737</v>
      </c>
      <c r="EI1433" s="5">
        <v>39588</v>
      </c>
    </row>
    <row r="1434" spans="1:139" hidden="1" x14ac:dyDescent="0.2">
      <c r="A1434">
        <f>VLOOKUP(B1434,Sheet1!$A$1:$B$18,2,FALSE)</f>
        <v>0</v>
      </c>
      <c r="B1434" t="str">
        <f>LEFT(D1434,3)</f>
        <v>WKT</v>
      </c>
      <c r="C1434" s="2">
        <v>1433</v>
      </c>
      <c r="D1434" s="3" t="str">
        <f>HYPERLINK("https://sitebase.nzcomms.co.nz/spm/spmnominalview/WKT-016-005/","WKT-016-005")</f>
        <v>WKT-016-005</v>
      </c>
      <c r="E1434" s="4" t="s">
        <v>4269</v>
      </c>
      <c r="F1434" s="3" t="str">
        <f>HYPERLINK("https://sitebase.nzcomms.co.nz/spm/spmcandidateview/WKT-016-005-D/","WKT-016-005-D")</f>
        <v>WKT-016-005-D</v>
      </c>
      <c r="G1434" s="4" t="s">
        <v>4270</v>
      </c>
      <c r="H1434" s="4" t="s">
        <v>4251</v>
      </c>
      <c r="I1434" s="4">
        <v>10</v>
      </c>
      <c r="J1434" s="4" t="s">
        <v>1633</v>
      </c>
      <c r="K1434" s="4" t="s">
        <v>141</v>
      </c>
      <c r="L1434" s="4" t="s">
        <v>142</v>
      </c>
      <c r="M1434" s="4" t="s">
        <v>571</v>
      </c>
      <c r="N1434" s="4" t="s">
        <v>142</v>
      </c>
      <c r="O1434" s="4" t="s">
        <v>144</v>
      </c>
      <c r="P1434" s="4" t="s">
        <v>169</v>
      </c>
      <c r="Q1434" s="4" t="s">
        <v>142</v>
      </c>
      <c r="R1434" s="4">
        <v>20</v>
      </c>
      <c r="S1434" s="4">
        <v>23</v>
      </c>
      <c r="T1434" s="4">
        <v>1</v>
      </c>
      <c r="U1434" s="4">
        <v>-37.773151949999999</v>
      </c>
      <c r="V1434" s="4">
        <v>175.24379945000001</v>
      </c>
      <c r="W1434" s="4"/>
      <c r="X1434" s="5">
        <v>40140</v>
      </c>
      <c r="Y1434" s="4"/>
      <c r="Z1434" s="5">
        <v>40162</v>
      </c>
      <c r="AA1434" s="4" t="s">
        <v>171</v>
      </c>
      <c r="AB1434" s="3" t="str">
        <f>HYPERLINK("https://sitebase.nzcomms.co.nz/spm/spmcandidateview/WKT-016-009-A/","WKT-016-009-A")</f>
        <v>WKT-016-009-A</v>
      </c>
      <c r="AC1434" s="4" t="b">
        <v>1</v>
      </c>
      <c r="AD1434" s="4" t="b">
        <v>1</v>
      </c>
      <c r="AE1434" s="5">
        <v>40219</v>
      </c>
      <c r="AF1434" s="5">
        <v>40235</v>
      </c>
      <c r="AG1434" s="4" t="b">
        <v>0</v>
      </c>
      <c r="AH1434" s="4"/>
      <c r="AI1434" s="5">
        <v>40270</v>
      </c>
      <c r="AJ1434" s="5">
        <v>40219</v>
      </c>
      <c r="AK1434" s="4"/>
      <c r="AL1434" s="4"/>
      <c r="AM1434" s="5">
        <v>40235</v>
      </c>
      <c r="AN1434" s="5">
        <v>40234</v>
      </c>
      <c r="AO1434" s="4">
        <v>3</v>
      </c>
      <c r="AP1434" s="5">
        <v>40235</v>
      </c>
      <c r="AQ1434" s="5">
        <v>40354</v>
      </c>
      <c r="AR1434" s="4"/>
      <c r="AS1434" s="5">
        <v>40267</v>
      </c>
      <c r="AT1434" s="5">
        <v>40396</v>
      </c>
      <c r="AU1434" s="5">
        <v>40520</v>
      </c>
      <c r="AV1434" s="4"/>
      <c r="AW1434" s="5">
        <v>40602</v>
      </c>
      <c r="AX1434" s="5">
        <v>40683</v>
      </c>
      <c r="AY1434" s="4" t="s">
        <v>172</v>
      </c>
      <c r="AZ1434" s="5">
        <v>40283</v>
      </c>
      <c r="BA1434" s="5">
        <v>40283</v>
      </c>
      <c r="BB1434" s="5">
        <v>40318</v>
      </c>
      <c r="BC1434" s="5">
        <v>40308</v>
      </c>
      <c r="BD1434" s="4">
        <v>2</v>
      </c>
      <c r="BE1434" s="5">
        <v>40325</v>
      </c>
      <c r="BF1434" s="5">
        <v>40310</v>
      </c>
      <c r="BG1434" s="4"/>
      <c r="BH1434" s="4"/>
      <c r="BI1434" s="5">
        <v>40630</v>
      </c>
      <c r="BJ1434" s="5">
        <v>40646</v>
      </c>
      <c r="BK1434" s="4">
        <v>2</v>
      </c>
      <c r="BL1434" s="4"/>
      <c r="BM1434" s="5">
        <v>40624</v>
      </c>
      <c r="BN1434" s="5">
        <v>40651</v>
      </c>
      <c r="BO1434" s="5">
        <v>40676</v>
      </c>
      <c r="BP1434" s="4"/>
      <c r="BQ1434" s="4"/>
      <c r="BR1434" s="4"/>
      <c r="BS1434" s="4"/>
      <c r="BT1434" s="5">
        <v>40675</v>
      </c>
      <c r="BU1434" s="5">
        <v>40676</v>
      </c>
      <c r="BV1434" s="5">
        <v>40687</v>
      </c>
      <c r="BW1434" s="5">
        <v>40697</v>
      </c>
      <c r="BX1434" s="5">
        <v>40699</v>
      </c>
      <c r="BY1434" s="5">
        <v>40709</v>
      </c>
      <c r="BZ1434" s="5">
        <v>40717</v>
      </c>
      <c r="CA1434" s="4"/>
      <c r="CB1434" s="4"/>
      <c r="CC1434" s="4"/>
      <c r="CD1434" s="5">
        <v>40581</v>
      </c>
      <c r="CE1434" s="4"/>
      <c r="CF1434" s="4"/>
      <c r="CG1434" s="4"/>
      <c r="CH1434" s="5">
        <v>40675</v>
      </c>
      <c r="CI1434" s="5">
        <v>40724</v>
      </c>
      <c r="CJ1434" s="5">
        <v>40755</v>
      </c>
      <c r="CK1434" s="5">
        <v>40752</v>
      </c>
      <c r="CL1434" s="5">
        <v>40755</v>
      </c>
      <c r="CM1434" s="5">
        <v>40751</v>
      </c>
      <c r="CN1434" s="5">
        <v>40843</v>
      </c>
      <c r="CO1434" s="5">
        <v>41142</v>
      </c>
      <c r="CP1434" s="4" t="s">
        <v>4253</v>
      </c>
      <c r="CQ1434" s="4" t="s">
        <v>230</v>
      </c>
      <c r="CR1434" s="5">
        <v>40715</v>
      </c>
      <c r="CS1434" s="5">
        <v>40679</v>
      </c>
      <c r="CT1434" s="5">
        <v>40681</v>
      </c>
      <c r="CU1434" s="5">
        <v>40681</v>
      </c>
      <c r="CV1434" s="5">
        <v>40682</v>
      </c>
      <c r="CW1434" s="5">
        <v>40676</v>
      </c>
      <c r="CX1434" s="5">
        <v>40676</v>
      </c>
      <c r="CY1434" s="5">
        <v>40711</v>
      </c>
      <c r="CZ1434" s="5">
        <v>40717</v>
      </c>
      <c r="DA1434" s="4"/>
      <c r="DB1434" s="5">
        <v>40742</v>
      </c>
      <c r="DC1434" s="4"/>
      <c r="DD1434" s="4"/>
      <c r="DE1434" s="4"/>
      <c r="DF1434" s="4"/>
      <c r="DG1434" s="4"/>
      <c r="DH1434" s="4"/>
      <c r="DI1434" s="4"/>
      <c r="DJ1434" s="4" t="b">
        <v>0</v>
      </c>
      <c r="DK1434" s="4"/>
      <c r="DL1434" s="4">
        <v>2707865</v>
      </c>
      <c r="DM1434" s="4">
        <v>6378616</v>
      </c>
      <c r="DN1434" s="4" t="s">
        <v>4271</v>
      </c>
      <c r="DO1434" s="4"/>
      <c r="DP1434" s="4" t="s">
        <v>4272</v>
      </c>
      <c r="DQ1434" s="4" t="s">
        <v>148</v>
      </c>
      <c r="DR1434" s="4"/>
      <c r="DS1434" s="4"/>
      <c r="DT1434" s="5">
        <v>41906</v>
      </c>
      <c r="DU1434" s="4"/>
      <c r="DV1434" s="4"/>
      <c r="DW1434" s="4"/>
      <c r="DX1434" s="4"/>
      <c r="DY1434" s="4"/>
      <c r="DZ1434" s="4"/>
      <c r="EA1434" s="4"/>
      <c r="EB1434" s="4"/>
      <c r="EC1434" s="4"/>
      <c r="ED1434" s="4"/>
      <c r="EE1434" s="4"/>
      <c r="EF1434" s="4"/>
      <c r="EG1434" s="4"/>
      <c r="EH1434" s="5">
        <v>40742</v>
      </c>
      <c r="EI1434" s="5">
        <v>40199</v>
      </c>
    </row>
    <row r="1435" spans="1:139" hidden="1" x14ac:dyDescent="0.2">
      <c r="A1435">
        <f>VLOOKUP(B1435,Sheet1!$A$1:$B$18,2,FALSE)</f>
        <v>0</v>
      </c>
      <c r="B1435" t="str">
        <f>LEFT(D1435,3)</f>
        <v>WKT</v>
      </c>
      <c r="C1435" s="2">
        <v>1434</v>
      </c>
      <c r="D1435" s="3" t="str">
        <f>HYPERLINK("https://sitebase.nzcomms.co.nz/spm/spmnominalview/WKT-016-006/","WKT-016-006")</f>
        <v>WKT-016-006</v>
      </c>
      <c r="E1435" s="4" t="s">
        <v>4273</v>
      </c>
      <c r="F1435" s="3" t="str">
        <f>HYPERLINK("https://sitebase.nzcomms.co.nz/spm/spmcandidateview/WKT-016-006-A/","WKT-016-006-A")</f>
        <v>WKT-016-006-A</v>
      </c>
      <c r="G1435" s="4" t="s">
        <v>4274</v>
      </c>
      <c r="H1435" s="4" t="s">
        <v>4251</v>
      </c>
      <c r="I1435" s="4">
        <v>10</v>
      </c>
      <c r="J1435" s="4" t="s">
        <v>1633</v>
      </c>
      <c r="K1435" s="4" t="s">
        <v>141</v>
      </c>
      <c r="L1435" s="4" t="s">
        <v>150</v>
      </c>
      <c r="M1435" s="4" t="s">
        <v>190</v>
      </c>
      <c r="N1435" s="4" t="s">
        <v>246</v>
      </c>
      <c r="O1435" s="4" t="s">
        <v>144</v>
      </c>
      <c r="P1435" s="4" t="s">
        <v>182</v>
      </c>
      <c r="Q1435" s="4" t="s">
        <v>170</v>
      </c>
      <c r="R1435" s="4">
        <v>14.5</v>
      </c>
      <c r="S1435" s="4">
        <v>15</v>
      </c>
      <c r="T1435" s="4">
        <v>1</v>
      </c>
      <c r="U1435" s="4">
        <v>-37.738407019999997</v>
      </c>
      <c r="V1435" s="4">
        <v>175.25293146999999</v>
      </c>
      <c r="W1435" s="4"/>
      <c r="X1435" s="5">
        <v>40140</v>
      </c>
      <c r="Y1435" s="4"/>
      <c r="Z1435" s="5">
        <v>40162</v>
      </c>
      <c r="AA1435" s="4" t="s">
        <v>171</v>
      </c>
      <c r="AB1435" s="3" t="str">
        <f>HYPERLINK("https://sitebase.nzcomms.co.nz/spm/spmcandidateview/WKT-016-016-D/","WKT-016-016-D")</f>
        <v>WKT-016-016-D</v>
      </c>
      <c r="AC1435" s="4" t="b">
        <v>1</v>
      </c>
      <c r="AD1435" s="4" t="b">
        <v>1</v>
      </c>
      <c r="AE1435" s="5">
        <v>40193</v>
      </c>
      <c r="AF1435" s="4"/>
      <c r="AG1435" s="4" t="b">
        <v>0</v>
      </c>
      <c r="AH1435" s="4" t="s">
        <v>4252</v>
      </c>
      <c r="AI1435" s="5">
        <v>40242</v>
      </c>
      <c r="AJ1435" s="5">
        <v>40240</v>
      </c>
      <c r="AK1435" s="4"/>
      <c r="AL1435" s="4"/>
      <c r="AM1435" s="5">
        <v>40256</v>
      </c>
      <c r="AN1435" s="5">
        <v>40260</v>
      </c>
      <c r="AO1435" s="4">
        <v>7</v>
      </c>
      <c r="AP1435" s="5">
        <v>40256</v>
      </c>
      <c r="AQ1435" s="5">
        <v>40630</v>
      </c>
      <c r="AR1435" s="5">
        <v>40305</v>
      </c>
      <c r="AS1435" s="5">
        <v>40305</v>
      </c>
      <c r="AT1435" s="5">
        <v>40340</v>
      </c>
      <c r="AU1435" s="5">
        <v>40340</v>
      </c>
      <c r="AV1435" s="4">
        <v>5</v>
      </c>
      <c r="AW1435" s="5">
        <v>40340</v>
      </c>
      <c r="AX1435" s="5">
        <v>40340</v>
      </c>
      <c r="AY1435" s="4" t="s">
        <v>172</v>
      </c>
      <c r="AZ1435" s="5">
        <v>40266</v>
      </c>
      <c r="BA1435" s="5">
        <v>40536</v>
      </c>
      <c r="BB1435" s="5">
        <v>40296</v>
      </c>
      <c r="BC1435" s="5">
        <v>40578</v>
      </c>
      <c r="BD1435" s="4">
        <v>6</v>
      </c>
      <c r="BE1435" s="5">
        <v>40304</v>
      </c>
      <c r="BF1435" s="5">
        <v>40297</v>
      </c>
      <c r="BG1435" s="4"/>
      <c r="BH1435" s="4"/>
      <c r="BI1435" s="5">
        <v>40732</v>
      </c>
      <c r="BJ1435" s="5">
        <v>40737</v>
      </c>
      <c r="BK1435" s="4">
        <v>1</v>
      </c>
      <c r="BL1435" s="4"/>
      <c r="BM1435" s="5">
        <v>40725</v>
      </c>
      <c r="BN1435" s="5">
        <v>40737</v>
      </c>
      <c r="BO1435" s="5">
        <v>40756</v>
      </c>
      <c r="BP1435" s="4"/>
      <c r="BQ1435" s="4"/>
      <c r="BR1435" s="4"/>
      <c r="BS1435" s="4"/>
      <c r="BT1435" s="5">
        <v>40742</v>
      </c>
      <c r="BU1435" s="5">
        <v>40742</v>
      </c>
      <c r="BV1435" s="5">
        <v>40771</v>
      </c>
      <c r="BW1435" s="5">
        <v>40771</v>
      </c>
      <c r="BX1435" s="5">
        <v>40772</v>
      </c>
      <c r="BY1435" s="5">
        <v>40774</v>
      </c>
      <c r="BZ1435" s="5">
        <v>40774</v>
      </c>
      <c r="CA1435" s="4"/>
      <c r="CB1435" s="4"/>
      <c r="CC1435" s="4"/>
      <c r="CD1435" s="5">
        <v>40581</v>
      </c>
      <c r="CE1435" s="4"/>
      <c r="CF1435" s="4"/>
      <c r="CG1435" s="4"/>
      <c r="CH1435" s="5">
        <v>40675</v>
      </c>
      <c r="CI1435" s="5">
        <v>40780</v>
      </c>
      <c r="CJ1435" s="5">
        <v>40788</v>
      </c>
      <c r="CK1435" s="5">
        <v>40780</v>
      </c>
      <c r="CL1435" s="5">
        <v>40799</v>
      </c>
      <c r="CM1435" s="5">
        <v>40799</v>
      </c>
      <c r="CN1435" s="5">
        <v>40889</v>
      </c>
      <c r="CO1435" s="5">
        <v>40942</v>
      </c>
      <c r="CP1435" s="4"/>
      <c r="CQ1435" s="4"/>
      <c r="CR1435" s="5">
        <v>40777</v>
      </c>
      <c r="CS1435" s="5">
        <v>40728</v>
      </c>
      <c r="CT1435" s="5">
        <v>40728</v>
      </c>
      <c r="CU1435" s="5">
        <v>40756</v>
      </c>
      <c r="CV1435" s="5">
        <v>40756</v>
      </c>
      <c r="CW1435" s="5">
        <v>40756</v>
      </c>
      <c r="CX1435" s="5">
        <v>40756</v>
      </c>
      <c r="CY1435" s="5">
        <v>40779</v>
      </c>
      <c r="CZ1435" s="5">
        <v>40779</v>
      </c>
      <c r="DA1435" s="4"/>
      <c r="DB1435" s="5">
        <v>40784</v>
      </c>
      <c r="DC1435" s="4"/>
      <c r="DD1435" s="4"/>
      <c r="DE1435" s="4"/>
      <c r="DF1435" s="4"/>
      <c r="DG1435" s="4"/>
      <c r="DH1435" s="4"/>
      <c r="DI1435" s="5">
        <v>40772</v>
      </c>
      <c r="DJ1435" s="4" t="b">
        <v>0</v>
      </c>
      <c r="DK1435" s="4"/>
      <c r="DL1435" s="4">
        <v>2708768</v>
      </c>
      <c r="DM1435" s="4">
        <v>6382450</v>
      </c>
      <c r="DN1435" s="4" t="s">
        <v>4275</v>
      </c>
      <c r="DO1435" s="4"/>
      <c r="DP1435" s="4"/>
      <c r="DQ1435" s="4" t="s">
        <v>148</v>
      </c>
      <c r="DR1435" s="4"/>
      <c r="DS1435" s="4"/>
      <c r="DT1435" s="4"/>
      <c r="DU1435" s="4"/>
      <c r="DV1435" s="4"/>
      <c r="DW1435" s="4"/>
      <c r="DX1435" s="4"/>
      <c r="DY1435" s="4"/>
      <c r="DZ1435" s="4"/>
      <c r="EA1435" s="4"/>
      <c r="EB1435" s="4"/>
      <c r="EC1435" s="4"/>
      <c r="ED1435" s="4"/>
      <c r="EE1435" s="4"/>
      <c r="EF1435" s="4"/>
      <c r="EG1435" s="5">
        <v>40777</v>
      </c>
      <c r="EH1435" s="5">
        <v>40780</v>
      </c>
      <c r="EI1435" s="5">
        <v>40247</v>
      </c>
    </row>
    <row r="1436" spans="1:139" hidden="1" x14ac:dyDescent="0.2">
      <c r="A1436">
        <f>VLOOKUP(B1436,Sheet1!$A$1:$B$18,2,FALSE)</f>
        <v>0</v>
      </c>
      <c r="B1436" t="str">
        <f>LEFT(D1436,3)</f>
        <v>WKT</v>
      </c>
      <c r="C1436" s="2">
        <v>1435</v>
      </c>
      <c r="D1436" s="3" t="str">
        <f>HYPERLINK("https://sitebase.nzcomms.co.nz/spm/spmnominalview/WKT-016-007/","WKT-016-007")</f>
        <v>WKT-016-007</v>
      </c>
      <c r="E1436" s="4" t="s">
        <v>4276</v>
      </c>
      <c r="F1436" s="3" t="str">
        <f>HYPERLINK("https://sitebase.nzcomms.co.nz/spm/spmcandidateview/WKT-016-007-D/","WKT-016-007-D")</f>
        <v>WKT-016-007-D</v>
      </c>
      <c r="G1436" s="4" t="s">
        <v>4277</v>
      </c>
      <c r="H1436" s="4" t="s">
        <v>4251</v>
      </c>
      <c r="I1436" s="4">
        <v>10</v>
      </c>
      <c r="J1436" s="4" t="s">
        <v>1633</v>
      </c>
      <c r="K1436" s="4" t="s">
        <v>141</v>
      </c>
      <c r="L1436" s="4" t="s">
        <v>150</v>
      </c>
      <c r="M1436" s="4" t="s">
        <v>571</v>
      </c>
      <c r="N1436" s="4" t="s">
        <v>246</v>
      </c>
      <c r="O1436" s="4" t="s">
        <v>144</v>
      </c>
      <c r="P1436" s="4" t="s">
        <v>169</v>
      </c>
      <c r="Q1436" s="4" t="s">
        <v>192</v>
      </c>
      <c r="R1436" s="4">
        <v>14.9</v>
      </c>
      <c r="S1436" s="4">
        <v>15.4</v>
      </c>
      <c r="T1436" s="4">
        <v>3</v>
      </c>
      <c r="U1436" s="4">
        <v>-37.781002119999997</v>
      </c>
      <c r="V1436" s="4">
        <v>175.28920801000001</v>
      </c>
      <c r="W1436" s="4"/>
      <c r="X1436" s="5">
        <v>40140</v>
      </c>
      <c r="Y1436" s="4"/>
      <c r="Z1436" s="5">
        <v>40162</v>
      </c>
      <c r="AA1436" s="4" t="s">
        <v>171</v>
      </c>
      <c r="AB1436" s="3" t="str">
        <f>HYPERLINK("https://sitebase.nzcomms.co.nz/spm/spmcandidateview/WKT-016-023-B/","WKT-016-023-B")</f>
        <v>WKT-016-023-B</v>
      </c>
      <c r="AC1436" s="4" t="b">
        <v>1</v>
      </c>
      <c r="AD1436" s="4" t="b">
        <v>1</v>
      </c>
      <c r="AE1436" s="5">
        <v>40193</v>
      </c>
      <c r="AF1436" s="4"/>
      <c r="AG1436" s="4" t="b">
        <v>0</v>
      </c>
      <c r="AH1436" s="4" t="s">
        <v>4265</v>
      </c>
      <c r="AI1436" s="5">
        <v>40242</v>
      </c>
      <c r="AJ1436" s="5">
        <v>40240</v>
      </c>
      <c r="AK1436" s="4"/>
      <c r="AL1436" s="4"/>
      <c r="AM1436" s="5">
        <v>40256</v>
      </c>
      <c r="AN1436" s="5">
        <v>40260</v>
      </c>
      <c r="AO1436" s="4">
        <v>2</v>
      </c>
      <c r="AP1436" s="5">
        <v>40256</v>
      </c>
      <c r="AQ1436" s="5">
        <v>40354</v>
      </c>
      <c r="AR1436" s="5">
        <v>40319</v>
      </c>
      <c r="AS1436" s="5">
        <v>40316</v>
      </c>
      <c r="AT1436" s="5">
        <v>40389</v>
      </c>
      <c r="AU1436" s="5">
        <v>40389</v>
      </c>
      <c r="AV1436" s="4">
        <v>2</v>
      </c>
      <c r="AW1436" s="5">
        <v>40393</v>
      </c>
      <c r="AX1436" s="5">
        <v>40393</v>
      </c>
      <c r="AY1436" s="4" t="s">
        <v>172</v>
      </c>
      <c r="AZ1436" s="5">
        <v>40287</v>
      </c>
      <c r="BA1436" s="5">
        <v>40536</v>
      </c>
      <c r="BB1436" s="5">
        <v>40317</v>
      </c>
      <c r="BC1436" s="5">
        <v>40563</v>
      </c>
      <c r="BD1436" s="4">
        <v>2</v>
      </c>
      <c r="BE1436" s="5">
        <v>40324</v>
      </c>
      <c r="BF1436" s="5">
        <v>40322</v>
      </c>
      <c r="BG1436" s="4"/>
      <c r="BH1436" s="4"/>
      <c r="BI1436" s="5">
        <v>40641</v>
      </c>
      <c r="BJ1436" s="5">
        <v>40652</v>
      </c>
      <c r="BK1436" s="4">
        <v>1</v>
      </c>
      <c r="BL1436" s="4"/>
      <c r="BM1436" s="5">
        <v>40637</v>
      </c>
      <c r="BN1436" s="5">
        <v>40652</v>
      </c>
      <c r="BO1436" s="5">
        <v>40682</v>
      </c>
      <c r="BP1436" s="4"/>
      <c r="BQ1436" s="4"/>
      <c r="BR1436" s="4"/>
      <c r="BS1436" s="4"/>
      <c r="BT1436" s="5">
        <v>40684</v>
      </c>
      <c r="BU1436" s="5">
        <v>40675</v>
      </c>
      <c r="BV1436" s="5">
        <v>40699</v>
      </c>
      <c r="BW1436" s="5">
        <v>40695</v>
      </c>
      <c r="BX1436" s="5">
        <v>40689</v>
      </c>
      <c r="BY1436" s="5">
        <v>40699</v>
      </c>
      <c r="BZ1436" s="5">
        <v>40703</v>
      </c>
      <c r="CA1436" s="4"/>
      <c r="CB1436" s="4"/>
      <c r="CC1436" s="4"/>
      <c r="CD1436" s="5">
        <v>40581</v>
      </c>
      <c r="CE1436" s="4"/>
      <c r="CF1436" s="4"/>
      <c r="CG1436" s="4"/>
      <c r="CH1436" s="5">
        <v>40675</v>
      </c>
      <c r="CI1436" s="5">
        <v>40717</v>
      </c>
      <c r="CJ1436" s="5">
        <v>40755</v>
      </c>
      <c r="CK1436" s="5">
        <v>40752</v>
      </c>
      <c r="CL1436" s="5">
        <v>40755</v>
      </c>
      <c r="CM1436" s="5">
        <v>40736</v>
      </c>
      <c r="CN1436" s="5">
        <v>40842</v>
      </c>
      <c r="CO1436" s="5">
        <v>40869</v>
      </c>
      <c r="CP1436" s="4" t="s">
        <v>4278</v>
      </c>
      <c r="CQ1436" s="4"/>
      <c r="CR1436" s="5">
        <v>40705</v>
      </c>
      <c r="CS1436" s="5">
        <v>40666</v>
      </c>
      <c r="CT1436" s="5">
        <v>40666</v>
      </c>
      <c r="CU1436" s="5">
        <v>40672</v>
      </c>
      <c r="CV1436" s="5">
        <v>40675</v>
      </c>
      <c r="CW1436" s="5">
        <v>40679</v>
      </c>
      <c r="CX1436" s="5">
        <v>40682</v>
      </c>
      <c r="CY1436" s="5">
        <v>40699</v>
      </c>
      <c r="CZ1436" s="5">
        <v>40703</v>
      </c>
      <c r="DA1436" s="4"/>
      <c r="DB1436" s="5">
        <v>40718</v>
      </c>
      <c r="DC1436" s="4"/>
      <c r="DD1436" s="4"/>
      <c r="DE1436" s="4"/>
      <c r="DF1436" s="4"/>
      <c r="DG1436" s="4"/>
      <c r="DH1436" s="4"/>
      <c r="DI1436" s="4"/>
      <c r="DJ1436" s="4" t="b">
        <v>0</v>
      </c>
      <c r="DK1436" s="4"/>
      <c r="DL1436" s="4">
        <v>2711841</v>
      </c>
      <c r="DM1436" s="4">
        <v>6377642</v>
      </c>
      <c r="DN1436" s="4" t="s">
        <v>4279</v>
      </c>
      <c r="DO1436" s="4"/>
      <c r="DP1436" s="4" t="s">
        <v>4280</v>
      </c>
      <c r="DQ1436" s="4" t="s">
        <v>148</v>
      </c>
      <c r="DR1436" s="4"/>
      <c r="DS1436" s="4"/>
      <c r="DT1436" s="5">
        <v>41906</v>
      </c>
      <c r="DU1436" s="4"/>
      <c r="DV1436" s="4"/>
      <c r="DW1436" s="4"/>
      <c r="DX1436" s="4"/>
      <c r="DY1436" s="4"/>
      <c r="DZ1436" s="4"/>
      <c r="EA1436" s="4"/>
      <c r="EB1436" s="4"/>
      <c r="EC1436" s="4"/>
      <c r="ED1436" s="4"/>
      <c r="EE1436" s="4"/>
      <c r="EF1436" s="4"/>
      <c r="EG1436" s="4"/>
      <c r="EH1436" s="5">
        <v>40718</v>
      </c>
      <c r="EI1436" s="5">
        <v>40247</v>
      </c>
    </row>
    <row r="1437" spans="1:139" hidden="1" x14ac:dyDescent="0.2">
      <c r="A1437">
        <f>VLOOKUP(B1437,Sheet1!$A$1:$B$18,2,FALSE)</f>
        <v>0</v>
      </c>
      <c r="B1437" t="str">
        <f>LEFT(D1437,3)</f>
        <v>WKT</v>
      </c>
      <c r="C1437" s="2">
        <v>1436</v>
      </c>
      <c r="D1437" s="3" t="str">
        <f>HYPERLINK("https://sitebase.nzcomms.co.nz/spm/spmnominalview/WKT-016-008/","WKT-016-008")</f>
        <v>WKT-016-008</v>
      </c>
      <c r="E1437" s="4" t="s">
        <v>4281</v>
      </c>
      <c r="F1437" s="3" t="str">
        <f>HYPERLINK("https://sitebase.nzcomms.co.nz/spm/spmcandidateview/WKT-016-008-B/","WKT-016-008-B")</f>
        <v>WKT-016-008-B</v>
      </c>
      <c r="G1437" s="4" t="s">
        <v>4282</v>
      </c>
      <c r="H1437" s="4" t="s">
        <v>4251</v>
      </c>
      <c r="I1437" s="4">
        <v>10</v>
      </c>
      <c r="J1437" s="4" t="s">
        <v>1633</v>
      </c>
      <c r="K1437" s="4" t="s">
        <v>141</v>
      </c>
      <c r="L1437" s="4" t="s">
        <v>189</v>
      </c>
      <c r="M1437" s="4" t="s">
        <v>571</v>
      </c>
      <c r="N1437" s="4" t="s">
        <v>274</v>
      </c>
      <c r="O1437" s="4" t="s">
        <v>144</v>
      </c>
      <c r="P1437" s="4" t="s">
        <v>182</v>
      </c>
      <c r="Q1437" s="4" t="s">
        <v>192</v>
      </c>
      <c r="R1437" s="4">
        <v>15</v>
      </c>
      <c r="S1437" s="4">
        <v>15.5</v>
      </c>
      <c r="T1437" s="4">
        <v>3</v>
      </c>
      <c r="U1437" s="4">
        <v>-37.788909689999997</v>
      </c>
      <c r="V1437" s="4">
        <v>175.31902216</v>
      </c>
      <c r="W1437" s="4"/>
      <c r="X1437" s="5">
        <v>40140</v>
      </c>
      <c r="Y1437" s="4"/>
      <c r="Z1437" s="5">
        <v>40162</v>
      </c>
      <c r="AA1437" s="4" t="s">
        <v>171</v>
      </c>
      <c r="AB1437" s="3" t="str">
        <f>HYPERLINK("https://sitebase.nzcomms.co.nz/spm/spmcandidateview/WKT-016-010-C/","WKT-016-010-C")</f>
        <v>WKT-016-010-C</v>
      </c>
      <c r="AC1437" s="4" t="b">
        <v>1</v>
      </c>
      <c r="AD1437" s="4" t="b">
        <v>1</v>
      </c>
      <c r="AE1437" s="5">
        <v>40254</v>
      </c>
      <c r="AF1437" s="5">
        <v>40256</v>
      </c>
      <c r="AG1437" s="4" t="b">
        <v>0</v>
      </c>
      <c r="AH1437" s="4"/>
      <c r="AI1437" s="5">
        <v>40260</v>
      </c>
      <c r="AJ1437" s="5">
        <v>40260</v>
      </c>
      <c r="AK1437" s="4"/>
      <c r="AL1437" s="5">
        <v>40308</v>
      </c>
      <c r="AM1437" s="5">
        <v>40284</v>
      </c>
      <c r="AN1437" s="5">
        <v>40277</v>
      </c>
      <c r="AO1437" s="4">
        <v>5</v>
      </c>
      <c r="AP1437" s="5">
        <v>40304</v>
      </c>
      <c r="AQ1437" s="5">
        <v>40617</v>
      </c>
      <c r="AR1437" s="5">
        <v>40305</v>
      </c>
      <c r="AS1437" s="5">
        <v>40304</v>
      </c>
      <c r="AT1437" s="5">
        <v>40431</v>
      </c>
      <c r="AU1437" s="5">
        <v>40429</v>
      </c>
      <c r="AV1437" s="4">
        <v>3</v>
      </c>
      <c r="AW1437" s="5">
        <v>40431</v>
      </c>
      <c r="AX1437" s="5">
        <v>40429</v>
      </c>
      <c r="AY1437" s="4" t="s">
        <v>198</v>
      </c>
      <c r="AZ1437" s="5">
        <v>40291</v>
      </c>
      <c r="BA1437" s="5">
        <v>40618</v>
      </c>
      <c r="BB1437" s="5">
        <v>40319</v>
      </c>
      <c r="BC1437" s="5">
        <v>40630</v>
      </c>
      <c r="BD1437" s="4">
        <v>5</v>
      </c>
      <c r="BE1437" s="5">
        <v>40326</v>
      </c>
      <c r="BF1437" s="5">
        <v>40630</v>
      </c>
      <c r="BG1437" s="4"/>
      <c r="BH1437" s="4"/>
      <c r="BI1437" s="4"/>
      <c r="BJ1437" s="5">
        <v>40731</v>
      </c>
      <c r="BK1437" s="4">
        <v>1</v>
      </c>
      <c r="BL1437" s="4"/>
      <c r="BM1437" s="5">
        <v>40674</v>
      </c>
      <c r="BN1437" s="5">
        <v>40731</v>
      </c>
      <c r="BO1437" s="5">
        <v>40756</v>
      </c>
      <c r="BP1437" s="4"/>
      <c r="BQ1437" s="4"/>
      <c r="BR1437" s="4"/>
      <c r="BS1437" s="4"/>
      <c r="BT1437" s="5">
        <v>40750</v>
      </c>
      <c r="BU1437" s="5">
        <v>40752</v>
      </c>
      <c r="BV1437" s="5">
        <v>40768</v>
      </c>
      <c r="BW1437" s="5">
        <v>40768</v>
      </c>
      <c r="BX1437" s="5">
        <v>40771</v>
      </c>
      <c r="BY1437" s="5">
        <v>40771</v>
      </c>
      <c r="BZ1437" s="5">
        <v>40774</v>
      </c>
      <c r="CA1437" s="4"/>
      <c r="CB1437" s="4"/>
      <c r="CC1437" s="4"/>
      <c r="CD1437" s="5">
        <v>40581</v>
      </c>
      <c r="CE1437" s="4"/>
      <c r="CF1437" s="4"/>
      <c r="CG1437" s="4"/>
      <c r="CH1437" s="5">
        <v>40675</v>
      </c>
      <c r="CI1437" s="5">
        <v>40775</v>
      </c>
      <c r="CJ1437" s="5">
        <v>40787</v>
      </c>
      <c r="CK1437" s="5">
        <v>40786</v>
      </c>
      <c r="CL1437" s="5">
        <v>40800</v>
      </c>
      <c r="CM1437" s="5">
        <v>40800</v>
      </c>
      <c r="CN1437" s="5">
        <v>40890</v>
      </c>
      <c r="CO1437" s="5">
        <v>40961</v>
      </c>
      <c r="CP1437" s="4" t="s">
        <v>4283</v>
      </c>
      <c r="CQ1437" s="4"/>
      <c r="CR1437" s="5">
        <v>40774</v>
      </c>
      <c r="CS1437" s="5">
        <v>40728</v>
      </c>
      <c r="CT1437" s="5">
        <v>40728</v>
      </c>
      <c r="CU1437" s="5">
        <v>40756</v>
      </c>
      <c r="CV1437" s="5">
        <v>40756</v>
      </c>
      <c r="CW1437" s="5">
        <v>40756</v>
      </c>
      <c r="CX1437" s="5">
        <v>40756</v>
      </c>
      <c r="CY1437" s="5">
        <v>40786</v>
      </c>
      <c r="CZ1437" s="5">
        <v>40786</v>
      </c>
      <c r="DA1437" s="4"/>
      <c r="DB1437" s="5">
        <v>40792</v>
      </c>
      <c r="DC1437" s="4"/>
      <c r="DD1437" s="4"/>
      <c r="DE1437" s="4"/>
      <c r="DF1437" s="4"/>
      <c r="DG1437" s="4"/>
      <c r="DH1437" s="4"/>
      <c r="DI1437" s="5">
        <v>40768</v>
      </c>
      <c r="DJ1437" s="4" t="b">
        <v>0</v>
      </c>
      <c r="DK1437" s="4"/>
      <c r="DL1437" s="4">
        <v>2714443</v>
      </c>
      <c r="DM1437" s="4">
        <v>6376696</v>
      </c>
      <c r="DN1437" s="4" t="s">
        <v>4284</v>
      </c>
      <c r="DO1437" s="4"/>
      <c r="DP1437" s="4" t="s">
        <v>4285</v>
      </c>
      <c r="DQ1437" s="4" t="s">
        <v>148</v>
      </c>
      <c r="DR1437" s="4"/>
      <c r="DS1437" s="4"/>
      <c r="DT1437" s="5">
        <v>41906</v>
      </c>
      <c r="DU1437" s="4"/>
      <c r="DV1437" s="4"/>
      <c r="DW1437" s="4"/>
      <c r="DX1437" s="4"/>
      <c r="DY1437" s="4"/>
      <c r="DZ1437" s="4"/>
      <c r="EA1437" s="4"/>
      <c r="EB1437" s="4"/>
      <c r="EC1437" s="4"/>
      <c r="ED1437" s="4"/>
      <c r="EE1437" s="4"/>
      <c r="EF1437" s="4"/>
      <c r="EG1437" s="5">
        <v>40777</v>
      </c>
      <c r="EH1437" s="5">
        <v>40773</v>
      </c>
      <c r="EI1437" s="5">
        <v>40219</v>
      </c>
    </row>
    <row r="1438" spans="1:139" hidden="1" x14ac:dyDescent="0.2">
      <c r="A1438">
        <f>VLOOKUP(B1438,Sheet1!$A$1:$B$18,2,FALSE)</f>
        <v>0</v>
      </c>
      <c r="B1438" t="str">
        <f>LEFT(D1438,3)</f>
        <v>WKT</v>
      </c>
      <c r="C1438" s="2">
        <v>1437</v>
      </c>
      <c r="D1438" s="3" t="str">
        <f>HYPERLINK("https://sitebase.nzcomms.co.nz/spm/spmnominalview/WKT-016-009/","WKT-016-009")</f>
        <v>WKT-016-009</v>
      </c>
      <c r="E1438" s="4" t="s">
        <v>4286</v>
      </c>
      <c r="F1438" s="3" t="str">
        <f>HYPERLINK("https://sitebase.nzcomms.co.nz/spm/spmcandidateview/WKT-016-009-A/","WKT-016-009-A")</f>
        <v>WKT-016-009-A</v>
      </c>
      <c r="G1438" s="4" t="s">
        <v>4287</v>
      </c>
      <c r="H1438" s="4" t="s">
        <v>4251</v>
      </c>
      <c r="I1438" s="4">
        <v>10</v>
      </c>
      <c r="J1438" s="4" t="s">
        <v>1633</v>
      </c>
      <c r="K1438" s="4" t="s">
        <v>141</v>
      </c>
      <c r="L1438" s="4" t="s">
        <v>150</v>
      </c>
      <c r="M1438" s="4" t="s">
        <v>190</v>
      </c>
      <c r="N1438" s="4" t="s">
        <v>291</v>
      </c>
      <c r="O1438" s="4" t="s">
        <v>144</v>
      </c>
      <c r="P1438" s="4" t="s">
        <v>169</v>
      </c>
      <c r="Q1438" s="4" t="s">
        <v>192</v>
      </c>
      <c r="R1438" s="4">
        <v>17</v>
      </c>
      <c r="S1438" s="4">
        <v>18.600000000000001</v>
      </c>
      <c r="T1438" s="4">
        <v>1</v>
      </c>
      <c r="U1438" s="4">
        <v>-37.781820230000001</v>
      </c>
      <c r="V1438" s="4">
        <v>175.23771837999999</v>
      </c>
      <c r="W1438" s="4"/>
      <c r="X1438" s="5">
        <v>40140</v>
      </c>
      <c r="Y1438" s="4"/>
      <c r="Z1438" s="5">
        <v>40162</v>
      </c>
      <c r="AA1438" s="4" t="s">
        <v>171</v>
      </c>
      <c r="AB1438" s="3" t="str">
        <f>HYPERLINK("https://sitebase.nzcomms.co.nz/spm/spmcandidateview/WKT-016-012-A/","WKT-016-012-A")</f>
        <v>WKT-016-012-A</v>
      </c>
      <c r="AC1438" s="4" t="b">
        <v>1</v>
      </c>
      <c r="AD1438" s="4" t="b">
        <v>1</v>
      </c>
      <c r="AE1438" s="5">
        <v>40193</v>
      </c>
      <c r="AF1438" s="4"/>
      <c r="AG1438" s="4" t="b">
        <v>0</v>
      </c>
      <c r="AH1438" s="4" t="s">
        <v>4288</v>
      </c>
      <c r="AI1438" s="5">
        <v>40192</v>
      </c>
      <c r="AJ1438" s="5">
        <v>40192</v>
      </c>
      <c r="AK1438" s="4"/>
      <c r="AL1438" s="4"/>
      <c r="AM1438" s="4"/>
      <c r="AN1438" s="5">
        <v>39639</v>
      </c>
      <c r="AO1438" s="4">
        <v>6</v>
      </c>
      <c r="AP1438" s="5">
        <v>40283</v>
      </c>
      <c r="AQ1438" s="5">
        <v>40513</v>
      </c>
      <c r="AR1438" s="4"/>
      <c r="AS1438" s="5">
        <v>40226</v>
      </c>
      <c r="AT1438" s="5">
        <v>39874</v>
      </c>
      <c r="AU1438" s="5">
        <v>40226</v>
      </c>
      <c r="AV1438" s="4">
        <v>6</v>
      </c>
      <c r="AW1438" s="5">
        <v>40245</v>
      </c>
      <c r="AX1438" s="5">
        <v>40245</v>
      </c>
      <c r="AY1438" s="4" t="s">
        <v>172</v>
      </c>
      <c r="AZ1438" s="5">
        <v>40235</v>
      </c>
      <c r="BA1438" s="5">
        <v>40567</v>
      </c>
      <c r="BB1438" s="5">
        <v>40315</v>
      </c>
      <c r="BC1438" s="5">
        <v>40589</v>
      </c>
      <c r="BD1438" s="4">
        <v>6</v>
      </c>
      <c r="BE1438" s="5">
        <v>40322</v>
      </c>
      <c r="BF1438" s="5">
        <v>40311</v>
      </c>
      <c r="BG1438" s="4"/>
      <c r="BH1438" s="4"/>
      <c r="BI1438" s="5">
        <v>40639</v>
      </c>
      <c r="BJ1438" s="5">
        <v>39752</v>
      </c>
      <c r="BK1438" s="4">
        <v>2</v>
      </c>
      <c r="BL1438" s="4">
        <v>6</v>
      </c>
      <c r="BM1438" s="5">
        <v>40633</v>
      </c>
      <c r="BN1438" s="5">
        <v>40659</v>
      </c>
      <c r="BO1438" s="5">
        <v>40675</v>
      </c>
      <c r="BP1438" s="4"/>
      <c r="BQ1438" s="4"/>
      <c r="BR1438" s="4"/>
      <c r="BS1438" s="4"/>
      <c r="BT1438" s="5">
        <v>40669</v>
      </c>
      <c r="BU1438" s="5">
        <v>40668</v>
      </c>
      <c r="BV1438" s="5">
        <v>40694</v>
      </c>
      <c r="BW1438" s="5">
        <v>40695</v>
      </c>
      <c r="BX1438" s="5">
        <v>40695</v>
      </c>
      <c r="BY1438" s="5">
        <v>40704</v>
      </c>
      <c r="BZ1438" s="5">
        <v>40695</v>
      </c>
      <c r="CA1438" s="4"/>
      <c r="CB1438" s="4"/>
      <c r="CC1438" s="4"/>
      <c r="CD1438" s="5">
        <v>40581</v>
      </c>
      <c r="CE1438" s="4"/>
      <c r="CF1438" s="4"/>
      <c r="CG1438" s="4"/>
      <c r="CH1438" s="5">
        <v>40675</v>
      </c>
      <c r="CI1438" s="5">
        <v>40705</v>
      </c>
      <c r="CJ1438" s="5">
        <v>40755</v>
      </c>
      <c r="CK1438" s="5">
        <v>40752</v>
      </c>
      <c r="CL1438" s="5">
        <v>40755</v>
      </c>
      <c r="CM1438" s="5">
        <v>40735</v>
      </c>
      <c r="CN1438" s="5">
        <v>40826</v>
      </c>
      <c r="CO1438" s="5">
        <v>40941</v>
      </c>
      <c r="CP1438" s="4" t="s">
        <v>4289</v>
      </c>
      <c r="CQ1438" s="4"/>
      <c r="CR1438" s="5">
        <v>40705</v>
      </c>
      <c r="CS1438" s="5">
        <v>40666</v>
      </c>
      <c r="CT1438" s="5">
        <v>40666</v>
      </c>
      <c r="CU1438" s="5">
        <v>40672</v>
      </c>
      <c r="CV1438" s="5">
        <v>40673</v>
      </c>
      <c r="CW1438" s="5">
        <v>40672</v>
      </c>
      <c r="CX1438" s="5">
        <v>40675</v>
      </c>
      <c r="CY1438" s="5">
        <v>40694</v>
      </c>
      <c r="CZ1438" s="5">
        <v>40703</v>
      </c>
      <c r="DA1438" s="4"/>
      <c r="DB1438" s="5">
        <v>40718</v>
      </c>
      <c r="DC1438" s="4"/>
      <c r="DD1438" s="4"/>
      <c r="DE1438" s="4"/>
      <c r="DF1438" s="4"/>
      <c r="DG1438" s="4"/>
      <c r="DH1438" s="4"/>
      <c r="DI1438" s="4"/>
      <c r="DJ1438" s="4" t="b">
        <v>0</v>
      </c>
      <c r="DK1438" s="4"/>
      <c r="DL1438" s="4">
        <v>2707305</v>
      </c>
      <c r="DM1438" s="4">
        <v>6377668</v>
      </c>
      <c r="DN1438" s="4" t="s">
        <v>4290</v>
      </c>
      <c r="DO1438" s="4"/>
      <c r="DP1438" s="4" t="s">
        <v>4291</v>
      </c>
      <c r="DQ1438" s="4" t="s">
        <v>148</v>
      </c>
      <c r="DR1438" s="4"/>
      <c r="DS1438" s="4"/>
      <c r="DT1438" s="4"/>
      <c r="DU1438" s="4"/>
      <c r="DV1438" s="4"/>
      <c r="DW1438" s="4"/>
      <c r="DX1438" s="4"/>
      <c r="DY1438" s="4"/>
      <c r="DZ1438" s="4"/>
      <c r="EA1438" s="4"/>
      <c r="EB1438" s="4"/>
      <c r="EC1438" s="4"/>
      <c r="ED1438" s="4"/>
      <c r="EE1438" s="4"/>
      <c r="EF1438" s="4"/>
      <c r="EG1438" s="4"/>
      <c r="EH1438" s="5">
        <v>40718</v>
      </c>
      <c r="EI1438" s="5">
        <v>39580</v>
      </c>
    </row>
    <row r="1439" spans="1:139" hidden="1" x14ac:dyDescent="0.2">
      <c r="A1439">
        <f>VLOOKUP(B1439,Sheet1!$A$1:$B$18,2,FALSE)</f>
        <v>0</v>
      </c>
      <c r="B1439" t="str">
        <f>LEFT(D1439,3)</f>
        <v>WKT</v>
      </c>
      <c r="C1439" s="2">
        <v>1438</v>
      </c>
      <c r="D1439" s="3" t="str">
        <f>HYPERLINK("https://sitebase.nzcomms.co.nz/spm/spmnominalview/WKT-016-010/","WKT-016-010")</f>
        <v>WKT-016-010</v>
      </c>
      <c r="E1439" s="4" t="s">
        <v>4292</v>
      </c>
      <c r="F1439" s="3" t="str">
        <f>HYPERLINK("https://sitebase.nzcomms.co.nz/spm/spmcandidateview/WKT-016-010-C/","WKT-016-010-C")</f>
        <v>WKT-016-010-C</v>
      </c>
      <c r="G1439" s="4" t="s">
        <v>4293</v>
      </c>
      <c r="H1439" s="4" t="s">
        <v>4251</v>
      </c>
      <c r="I1439" s="4">
        <v>10</v>
      </c>
      <c r="J1439" s="4" t="s">
        <v>1633</v>
      </c>
      <c r="K1439" s="4" t="s">
        <v>141</v>
      </c>
      <c r="L1439" s="4" t="s">
        <v>181</v>
      </c>
      <c r="M1439" s="4" t="s">
        <v>1193</v>
      </c>
      <c r="N1439" s="4" t="s">
        <v>181</v>
      </c>
      <c r="O1439" s="4" t="s">
        <v>144</v>
      </c>
      <c r="P1439" s="4" t="s">
        <v>182</v>
      </c>
      <c r="Q1439" s="4" t="s">
        <v>192</v>
      </c>
      <c r="R1439" s="4"/>
      <c r="S1439" s="4"/>
      <c r="T1439" s="4">
        <v>2</v>
      </c>
      <c r="U1439" s="4">
        <v>-37.781052469999999</v>
      </c>
      <c r="V1439" s="4">
        <v>175.27538795999999</v>
      </c>
      <c r="W1439" s="4"/>
      <c r="X1439" s="5">
        <v>40140</v>
      </c>
      <c r="Y1439" s="4"/>
      <c r="Z1439" s="5">
        <v>40162</v>
      </c>
      <c r="AA1439" s="4" t="s">
        <v>171</v>
      </c>
      <c r="AB1439" s="3" t="str">
        <f>HYPERLINK("https://sitebase.nzcomms.co.nz/spm/spmcandidateview/WKT-016-012-A/","WKT-016-012-A")</f>
        <v>WKT-016-012-A</v>
      </c>
      <c r="AC1439" s="4" t="b">
        <v>1</v>
      </c>
      <c r="AD1439" s="4" t="b">
        <v>1</v>
      </c>
      <c r="AE1439" s="5">
        <v>40193</v>
      </c>
      <c r="AF1439" s="4"/>
      <c r="AG1439" s="4" t="b">
        <v>0</v>
      </c>
      <c r="AH1439" s="4" t="s">
        <v>4294</v>
      </c>
      <c r="AI1439" s="4"/>
      <c r="AJ1439" s="5">
        <v>40359</v>
      </c>
      <c r="AK1439" s="4"/>
      <c r="AL1439" s="4"/>
      <c r="AM1439" s="5">
        <v>40380</v>
      </c>
      <c r="AN1439" s="5">
        <v>40381</v>
      </c>
      <c r="AO1439" s="4">
        <v>2</v>
      </c>
      <c r="AP1439" s="5">
        <v>40380</v>
      </c>
      <c r="AQ1439" s="5">
        <v>40618</v>
      </c>
      <c r="AR1439" s="5">
        <v>40410</v>
      </c>
      <c r="AS1439" s="5">
        <v>40414</v>
      </c>
      <c r="AT1439" s="5">
        <v>40480</v>
      </c>
      <c r="AU1439" s="5">
        <v>40473</v>
      </c>
      <c r="AV1439" s="4">
        <v>1</v>
      </c>
      <c r="AW1439" s="5">
        <v>40480</v>
      </c>
      <c r="AX1439" s="5">
        <v>40473</v>
      </c>
      <c r="AY1439" s="4" t="s">
        <v>172</v>
      </c>
      <c r="AZ1439" s="5">
        <v>40387</v>
      </c>
      <c r="BA1439" s="5">
        <v>40387</v>
      </c>
      <c r="BB1439" s="5">
        <v>40420</v>
      </c>
      <c r="BC1439" s="5">
        <v>40420</v>
      </c>
      <c r="BD1439" s="4">
        <v>1</v>
      </c>
      <c r="BE1439" s="5">
        <v>40427</v>
      </c>
      <c r="BF1439" s="5">
        <v>40420</v>
      </c>
      <c r="BG1439" s="4"/>
      <c r="BH1439" s="4"/>
      <c r="BI1439" s="5">
        <v>40641</v>
      </c>
      <c r="BJ1439" s="5">
        <v>40686</v>
      </c>
      <c r="BK1439" s="4">
        <v>1</v>
      </c>
      <c r="BL1439" s="4"/>
      <c r="BM1439" s="5">
        <v>40637</v>
      </c>
      <c r="BN1439" s="5">
        <v>40686</v>
      </c>
      <c r="BO1439" s="5">
        <v>40716</v>
      </c>
      <c r="BP1439" s="4"/>
      <c r="BQ1439" s="4"/>
      <c r="BR1439" s="4"/>
      <c r="BS1439" s="4"/>
      <c r="BT1439" s="5">
        <v>40714</v>
      </c>
      <c r="BU1439" s="5">
        <v>40714</v>
      </c>
      <c r="BV1439" s="5">
        <v>40727</v>
      </c>
      <c r="BW1439" s="5">
        <v>40738</v>
      </c>
      <c r="BX1439" s="5">
        <v>40738</v>
      </c>
      <c r="BY1439" s="5">
        <v>40723</v>
      </c>
      <c r="BZ1439" s="5">
        <v>40738</v>
      </c>
      <c r="CA1439" s="4"/>
      <c r="CB1439" s="4"/>
      <c r="CC1439" s="4"/>
      <c r="CD1439" s="5">
        <v>40581</v>
      </c>
      <c r="CE1439" s="4"/>
      <c r="CF1439" s="4"/>
      <c r="CG1439" s="4"/>
      <c r="CH1439" s="5">
        <v>40675</v>
      </c>
      <c r="CI1439" s="5">
        <v>40742</v>
      </c>
      <c r="CJ1439" s="5">
        <v>40755</v>
      </c>
      <c r="CK1439" s="5">
        <v>40752</v>
      </c>
      <c r="CL1439" s="5">
        <v>40755</v>
      </c>
      <c r="CM1439" s="5">
        <v>40751</v>
      </c>
      <c r="CN1439" s="5">
        <v>40857</v>
      </c>
      <c r="CO1439" s="5">
        <v>40899</v>
      </c>
      <c r="CP1439" s="4" t="s">
        <v>4295</v>
      </c>
      <c r="CQ1439" s="4"/>
      <c r="CR1439" s="5">
        <v>40739</v>
      </c>
      <c r="CS1439" s="5">
        <v>40679</v>
      </c>
      <c r="CT1439" s="5">
        <v>40686</v>
      </c>
      <c r="CU1439" s="5">
        <v>40681</v>
      </c>
      <c r="CV1439" s="5">
        <v>40687</v>
      </c>
      <c r="CW1439" s="5">
        <v>40714</v>
      </c>
      <c r="CX1439" s="5">
        <v>40716</v>
      </c>
      <c r="CY1439" s="5">
        <v>40715</v>
      </c>
      <c r="CZ1439" s="5">
        <v>40738</v>
      </c>
      <c r="DA1439" s="4"/>
      <c r="DB1439" s="5">
        <v>40746</v>
      </c>
      <c r="DC1439" s="4"/>
      <c r="DD1439" s="4"/>
      <c r="DE1439" s="4"/>
      <c r="DF1439" s="4"/>
      <c r="DG1439" s="4"/>
      <c r="DH1439" s="4"/>
      <c r="DI1439" s="4"/>
      <c r="DJ1439" s="4" t="b">
        <v>0</v>
      </c>
      <c r="DK1439" s="4"/>
      <c r="DL1439" s="4">
        <v>2710624</v>
      </c>
      <c r="DM1439" s="4">
        <v>6377668</v>
      </c>
      <c r="DN1439" s="4" t="s">
        <v>4296</v>
      </c>
      <c r="DO1439" s="4"/>
      <c r="DP1439" s="4"/>
      <c r="DQ1439" s="4" t="s">
        <v>148</v>
      </c>
      <c r="DR1439" s="4"/>
      <c r="DS1439" s="4"/>
      <c r="DT1439" s="5">
        <v>41906</v>
      </c>
      <c r="DU1439" s="4"/>
      <c r="DV1439" s="4"/>
      <c r="DW1439" s="4"/>
      <c r="DX1439" s="4"/>
      <c r="DY1439" s="4"/>
      <c r="DZ1439" s="4"/>
      <c r="EA1439" s="4"/>
      <c r="EB1439" s="4"/>
      <c r="EC1439" s="4"/>
      <c r="ED1439" s="4"/>
      <c r="EE1439" s="4"/>
      <c r="EF1439" s="4"/>
      <c r="EG1439" s="4"/>
      <c r="EH1439" s="5">
        <v>40742</v>
      </c>
      <c r="EI1439" s="5">
        <v>40360</v>
      </c>
    </row>
    <row r="1440" spans="1:139" hidden="1" x14ac:dyDescent="0.2">
      <c r="A1440">
        <f>VLOOKUP(B1440,Sheet1!$A$1:$B$18,2,FALSE)</f>
        <v>0</v>
      </c>
      <c r="B1440" t="str">
        <f>LEFT(D1440,3)</f>
        <v>WKT</v>
      </c>
      <c r="C1440" s="2">
        <v>1439</v>
      </c>
      <c r="D1440" s="3" t="str">
        <f>HYPERLINK("https://sitebase.nzcomms.co.nz/spm/spmnominalview/WKT-016-011/","WKT-016-011")</f>
        <v>WKT-016-011</v>
      </c>
      <c r="E1440" s="4" t="s">
        <v>4297</v>
      </c>
      <c r="F1440" s="3" t="str">
        <f>HYPERLINK("https://sitebase.nzcomms.co.nz/spm/spmcandidateview/WKT-016-011-B/","WKT-016-011-B")</f>
        <v>WKT-016-011-B</v>
      </c>
      <c r="G1440" s="4" t="s">
        <v>4298</v>
      </c>
      <c r="H1440" s="4" t="s">
        <v>4251</v>
      </c>
      <c r="I1440" s="4">
        <v>10</v>
      </c>
      <c r="J1440" s="4" t="s">
        <v>1633</v>
      </c>
      <c r="K1440" s="4" t="s">
        <v>141</v>
      </c>
      <c r="L1440" s="4" t="s">
        <v>181</v>
      </c>
      <c r="M1440" s="4" t="s">
        <v>571</v>
      </c>
      <c r="N1440" s="4" t="s">
        <v>181</v>
      </c>
      <c r="O1440" s="4" t="s">
        <v>144</v>
      </c>
      <c r="P1440" s="4" t="s">
        <v>182</v>
      </c>
      <c r="Q1440" s="4" t="s">
        <v>192</v>
      </c>
      <c r="R1440" s="4">
        <v>28.15</v>
      </c>
      <c r="S1440" s="4"/>
      <c r="T1440" s="4">
        <v>1</v>
      </c>
      <c r="U1440" s="4">
        <v>-37.791307189999998</v>
      </c>
      <c r="V1440" s="4">
        <v>175.28386662</v>
      </c>
      <c r="W1440" s="4"/>
      <c r="X1440" s="5">
        <v>40140</v>
      </c>
      <c r="Y1440" s="4"/>
      <c r="Z1440" s="5">
        <v>40162</v>
      </c>
      <c r="AA1440" s="4" t="s">
        <v>171</v>
      </c>
      <c r="AB1440" s="3" t="str">
        <f>HYPERLINK("https://sitebase.nzcomms.co.nz/spm/spmcandidateview/WKT-016-012-A/","WKT-016-012-A")</f>
        <v>WKT-016-012-A</v>
      </c>
      <c r="AC1440" s="4" t="b">
        <v>1</v>
      </c>
      <c r="AD1440" s="4" t="b">
        <v>1</v>
      </c>
      <c r="AE1440" s="5">
        <v>40193</v>
      </c>
      <c r="AF1440" s="4"/>
      <c r="AG1440" s="4" t="b">
        <v>0</v>
      </c>
      <c r="AH1440" s="4" t="s">
        <v>4252</v>
      </c>
      <c r="AI1440" s="5">
        <v>40221</v>
      </c>
      <c r="AJ1440" s="5">
        <v>40219</v>
      </c>
      <c r="AK1440" s="4"/>
      <c r="AL1440" s="4"/>
      <c r="AM1440" s="5">
        <v>40252</v>
      </c>
      <c r="AN1440" s="5">
        <v>40252</v>
      </c>
      <c r="AO1440" s="4">
        <v>3</v>
      </c>
      <c r="AP1440" s="5">
        <v>40256</v>
      </c>
      <c r="AQ1440" s="5">
        <v>40354</v>
      </c>
      <c r="AR1440" s="5">
        <v>40358</v>
      </c>
      <c r="AS1440" s="5">
        <v>40352</v>
      </c>
      <c r="AT1440" s="5">
        <v>40508</v>
      </c>
      <c r="AU1440" s="5">
        <v>40514</v>
      </c>
      <c r="AV1440" s="4">
        <v>3</v>
      </c>
      <c r="AW1440" s="5">
        <v>40512</v>
      </c>
      <c r="AX1440" s="5">
        <v>40514</v>
      </c>
      <c r="AY1440" s="4" t="s">
        <v>172</v>
      </c>
      <c r="AZ1440" s="5">
        <v>40263</v>
      </c>
      <c r="BA1440" s="5">
        <v>40262</v>
      </c>
      <c r="BB1440" s="5">
        <v>40297</v>
      </c>
      <c r="BC1440" s="5">
        <v>40295</v>
      </c>
      <c r="BD1440" s="4">
        <v>2</v>
      </c>
      <c r="BE1440" s="5">
        <v>40298</v>
      </c>
      <c r="BF1440" s="5">
        <v>40297</v>
      </c>
      <c r="BG1440" s="4"/>
      <c r="BH1440" s="4"/>
      <c r="BI1440" s="5">
        <v>40641</v>
      </c>
      <c r="BJ1440" s="5">
        <v>40660</v>
      </c>
      <c r="BK1440" s="4">
        <v>1</v>
      </c>
      <c r="BL1440" s="4"/>
      <c r="BM1440" s="5">
        <v>40637</v>
      </c>
      <c r="BN1440" s="5">
        <v>40660</v>
      </c>
      <c r="BO1440" s="5">
        <v>40668</v>
      </c>
      <c r="BP1440" s="4"/>
      <c r="BQ1440" s="4"/>
      <c r="BR1440" s="4"/>
      <c r="BS1440" s="4"/>
      <c r="BT1440" s="5">
        <v>40661</v>
      </c>
      <c r="BU1440" s="5">
        <v>40661</v>
      </c>
      <c r="BV1440" s="5">
        <v>40678</v>
      </c>
      <c r="BW1440" s="5">
        <v>40672</v>
      </c>
      <c r="BX1440" s="5">
        <v>40672</v>
      </c>
      <c r="BY1440" s="5">
        <v>40678</v>
      </c>
      <c r="BZ1440" s="5">
        <v>40695</v>
      </c>
      <c r="CA1440" s="4"/>
      <c r="CB1440" s="4"/>
      <c r="CC1440" s="4"/>
      <c r="CD1440" s="5">
        <v>40581</v>
      </c>
      <c r="CE1440" s="4"/>
      <c r="CF1440" s="4"/>
      <c r="CG1440" s="4"/>
      <c r="CH1440" s="5">
        <v>40675</v>
      </c>
      <c r="CI1440" s="5">
        <v>40694</v>
      </c>
      <c r="CJ1440" s="5">
        <v>40755</v>
      </c>
      <c r="CK1440" s="5">
        <v>40752</v>
      </c>
      <c r="CL1440" s="5">
        <v>40755</v>
      </c>
      <c r="CM1440" s="5">
        <v>40749</v>
      </c>
      <c r="CN1440" s="5">
        <v>40855</v>
      </c>
      <c r="CO1440" s="5">
        <v>40878</v>
      </c>
      <c r="CP1440" s="4" t="s">
        <v>4299</v>
      </c>
      <c r="CQ1440" s="4"/>
      <c r="CR1440" s="5">
        <v>40690</v>
      </c>
      <c r="CS1440" s="5">
        <v>40651</v>
      </c>
      <c r="CT1440" s="5">
        <v>40651</v>
      </c>
      <c r="CU1440" s="5">
        <v>40672</v>
      </c>
      <c r="CV1440" s="5">
        <v>40673</v>
      </c>
      <c r="CW1440" s="5">
        <v>40668</v>
      </c>
      <c r="CX1440" s="5">
        <v>40668</v>
      </c>
      <c r="CY1440" s="5">
        <v>40678</v>
      </c>
      <c r="CZ1440" s="5">
        <v>40689</v>
      </c>
      <c r="DA1440" s="4"/>
      <c r="DB1440" s="5">
        <v>40714</v>
      </c>
      <c r="DC1440" s="4"/>
      <c r="DD1440" s="4"/>
      <c r="DE1440" s="4"/>
      <c r="DF1440" s="4"/>
      <c r="DG1440" s="4"/>
      <c r="DH1440" s="4"/>
      <c r="DI1440" s="4"/>
      <c r="DJ1440" s="4" t="b">
        <v>0</v>
      </c>
      <c r="DK1440" s="4"/>
      <c r="DL1440" s="4">
        <v>2711341</v>
      </c>
      <c r="DM1440" s="4">
        <v>6376511</v>
      </c>
      <c r="DN1440" s="4" t="s">
        <v>4300</v>
      </c>
      <c r="DO1440" s="4"/>
      <c r="DP1440" s="4" t="s">
        <v>4301</v>
      </c>
      <c r="DQ1440" s="4" t="s">
        <v>148</v>
      </c>
      <c r="DR1440" s="4"/>
      <c r="DS1440" s="4"/>
      <c r="DT1440" s="5">
        <v>41906</v>
      </c>
      <c r="DU1440" s="4"/>
      <c r="DV1440" s="4"/>
      <c r="DW1440" s="4"/>
      <c r="DX1440" s="4"/>
      <c r="DY1440" s="4"/>
      <c r="DZ1440" s="4"/>
      <c r="EA1440" s="4"/>
      <c r="EB1440" s="4"/>
      <c r="EC1440" s="4"/>
      <c r="ED1440" s="4"/>
      <c r="EE1440" s="4"/>
      <c r="EF1440" s="4"/>
      <c r="EG1440" s="4"/>
      <c r="EH1440" s="5">
        <v>40714</v>
      </c>
      <c r="EI1440" s="5">
        <v>40219</v>
      </c>
    </row>
    <row r="1441" spans="1:139" hidden="1" x14ac:dyDescent="0.2">
      <c r="A1441">
        <f>VLOOKUP(B1441,Sheet1!$A$1:$B$18,2,FALSE)</f>
        <v>0</v>
      </c>
      <c r="B1441" t="str">
        <f>LEFT(D1441,3)</f>
        <v>WKT</v>
      </c>
      <c r="C1441" s="2">
        <v>1440</v>
      </c>
      <c r="D1441" s="3" t="str">
        <f>HYPERLINK("https://sitebase.nzcomms.co.nz/spm/spmnominalview/WKT-016-012/","WKT-016-012")</f>
        <v>WKT-016-012</v>
      </c>
      <c r="E1441" s="4" t="s">
        <v>4302</v>
      </c>
      <c r="F1441" s="3" t="str">
        <f>HYPERLINK("https://sitebase.nzcomms.co.nz/spm/spmcandidateview/WKT-016-012-A/","WKT-016-012-A")</f>
        <v>WKT-016-012-A</v>
      </c>
      <c r="G1441" s="4" t="s">
        <v>4303</v>
      </c>
      <c r="H1441" s="4" t="s">
        <v>4251</v>
      </c>
      <c r="I1441" s="4">
        <v>10</v>
      </c>
      <c r="J1441" s="4" t="s">
        <v>1633</v>
      </c>
      <c r="K1441" s="4" t="s">
        <v>141</v>
      </c>
      <c r="L1441" s="4" t="s">
        <v>181</v>
      </c>
      <c r="M1441" s="4" t="s">
        <v>1193</v>
      </c>
      <c r="N1441" s="4" t="s">
        <v>364</v>
      </c>
      <c r="O1441" s="4" t="s">
        <v>4304</v>
      </c>
      <c r="P1441" s="4" t="s">
        <v>169</v>
      </c>
      <c r="Q1441" s="4" t="s">
        <v>170</v>
      </c>
      <c r="R1441" s="4">
        <v>43.74</v>
      </c>
      <c r="S1441" s="4">
        <v>45.3</v>
      </c>
      <c r="T1441" s="4">
        <v>1</v>
      </c>
      <c r="U1441" s="4">
        <v>-37.803927979999997</v>
      </c>
      <c r="V1441" s="4">
        <v>175.28162133000001</v>
      </c>
      <c r="W1441" s="4"/>
      <c r="X1441" s="5">
        <v>40140</v>
      </c>
      <c r="Y1441" s="4"/>
      <c r="Z1441" s="5">
        <v>40162</v>
      </c>
      <c r="AA1441" s="4" t="s">
        <v>145</v>
      </c>
      <c r="AB1441" s="3" t="str">
        <f>HYPERLINK("https://sitebase.nzcomms.co.nz/spm/spmcandidateview/WKT-016-023-B/","WKT-016-023-B")</f>
        <v>WKT-016-023-B</v>
      </c>
      <c r="AC1441" s="4" t="b">
        <v>1</v>
      </c>
      <c r="AD1441" s="4" t="b">
        <v>1</v>
      </c>
      <c r="AE1441" s="5">
        <v>40193</v>
      </c>
      <c r="AF1441" s="4"/>
      <c r="AG1441" s="4" t="b">
        <v>0</v>
      </c>
      <c r="AH1441" s="4" t="s">
        <v>4265</v>
      </c>
      <c r="AI1441" s="5">
        <v>40235</v>
      </c>
      <c r="AJ1441" s="5">
        <v>40240</v>
      </c>
      <c r="AK1441" s="4"/>
      <c r="AL1441" s="4"/>
      <c r="AM1441" s="5">
        <v>40263</v>
      </c>
      <c r="AN1441" s="5">
        <v>40263</v>
      </c>
      <c r="AO1441" s="4">
        <v>10</v>
      </c>
      <c r="AP1441" s="5">
        <v>40263</v>
      </c>
      <c r="AQ1441" s="5">
        <v>42172</v>
      </c>
      <c r="AR1441" s="5">
        <v>40436</v>
      </c>
      <c r="AS1441" s="5">
        <v>40445</v>
      </c>
      <c r="AT1441" s="5">
        <v>40508</v>
      </c>
      <c r="AU1441" s="5">
        <v>40497</v>
      </c>
      <c r="AV1441" s="4">
        <v>8</v>
      </c>
      <c r="AW1441" s="5">
        <v>40512</v>
      </c>
      <c r="AX1441" s="5">
        <v>40499</v>
      </c>
      <c r="AY1441" s="4" t="s">
        <v>172</v>
      </c>
      <c r="AZ1441" s="5">
        <v>40269</v>
      </c>
      <c r="BA1441" s="5">
        <v>40415</v>
      </c>
      <c r="BB1441" s="5">
        <v>40303</v>
      </c>
      <c r="BC1441" s="5">
        <v>40430</v>
      </c>
      <c r="BD1441" s="4">
        <v>7</v>
      </c>
      <c r="BE1441" s="5">
        <v>40436</v>
      </c>
      <c r="BF1441" s="5">
        <v>40434</v>
      </c>
      <c r="BG1441" s="4"/>
      <c r="BH1441" s="4"/>
      <c r="BI1441" s="5">
        <v>40623</v>
      </c>
      <c r="BJ1441" s="5">
        <v>40648</v>
      </c>
      <c r="BK1441" s="4">
        <v>2</v>
      </c>
      <c r="BL1441" s="4"/>
      <c r="BM1441" s="5">
        <v>40620</v>
      </c>
      <c r="BN1441" s="5">
        <v>40728</v>
      </c>
      <c r="BO1441" s="5">
        <v>40666</v>
      </c>
      <c r="BP1441" s="4"/>
      <c r="BQ1441" s="4"/>
      <c r="BR1441" s="4"/>
      <c r="BS1441" s="4"/>
      <c r="BT1441" s="5">
        <v>40649</v>
      </c>
      <c r="BU1441" s="5">
        <v>40649</v>
      </c>
      <c r="BV1441" s="5">
        <v>40691</v>
      </c>
      <c r="BW1441" s="5">
        <v>40677</v>
      </c>
      <c r="BX1441" s="5">
        <v>40677</v>
      </c>
      <c r="BY1441" s="5">
        <v>40688</v>
      </c>
      <c r="BZ1441" s="5">
        <v>40694</v>
      </c>
      <c r="CA1441" s="4"/>
      <c r="CB1441" s="4"/>
      <c r="CC1441" s="4"/>
      <c r="CD1441" s="4"/>
      <c r="CE1441" s="4"/>
      <c r="CF1441" s="4"/>
      <c r="CG1441" s="4"/>
      <c r="CH1441" s="5">
        <v>40675</v>
      </c>
      <c r="CI1441" s="5">
        <v>40694</v>
      </c>
      <c r="CJ1441" s="5">
        <v>40755</v>
      </c>
      <c r="CK1441" s="5">
        <v>40752</v>
      </c>
      <c r="CL1441" s="5">
        <v>40755</v>
      </c>
      <c r="CM1441" s="5">
        <v>40735</v>
      </c>
      <c r="CN1441" s="5">
        <v>40826</v>
      </c>
      <c r="CO1441" s="5">
        <v>40982</v>
      </c>
      <c r="CP1441" s="4" t="s">
        <v>4305</v>
      </c>
      <c r="CQ1441" s="4"/>
      <c r="CR1441" s="5">
        <v>40690</v>
      </c>
      <c r="CS1441" s="5">
        <v>40666</v>
      </c>
      <c r="CT1441" s="5">
        <v>40666</v>
      </c>
      <c r="CU1441" s="5">
        <v>40672</v>
      </c>
      <c r="CV1441" s="5">
        <v>40673</v>
      </c>
      <c r="CW1441" s="5">
        <v>40666</v>
      </c>
      <c r="CX1441" s="5">
        <v>40666</v>
      </c>
      <c r="CY1441" s="5">
        <v>40687</v>
      </c>
      <c r="CZ1441" s="5">
        <v>40688</v>
      </c>
      <c r="DA1441" s="4"/>
      <c r="DB1441" s="5">
        <v>40721</v>
      </c>
      <c r="DC1441" s="4"/>
      <c r="DD1441" s="4"/>
      <c r="DE1441" s="4"/>
      <c r="DF1441" s="4"/>
      <c r="DG1441" s="4"/>
      <c r="DH1441" s="4"/>
      <c r="DI1441" s="4"/>
      <c r="DJ1441" s="4" t="b">
        <v>0</v>
      </c>
      <c r="DK1441" s="4"/>
      <c r="DL1441" s="4">
        <v>2711107</v>
      </c>
      <c r="DM1441" s="4">
        <v>6375116</v>
      </c>
      <c r="DN1441" s="4" t="s">
        <v>4306</v>
      </c>
      <c r="DO1441" s="4"/>
      <c r="DP1441" s="4"/>
      <c r="DQ1441" s="4" t="s">
        <v>148</v>
      </c>
      <c r="DR1441" s="4"/>
      <c r="DS1441" s="4"/>
      <c r="DT1441" s="5">
        <v>41906</v>
      </c>
      <c r="DU1441" s="4"/>
      <c r="DV1441" s="4"/>
      <c r="DW1441" s="4"/>
      <c r="DX1441" s="4"/>
      <c r="DY1441" s="4"/>
      <c r="DZ1441" s="4"/>
      <c r="EA1441" s="4"/>
      <c r="EB1441" s="4"/>
      <c r="EC1441" s="4"/>
      <c r="ED1441" s="4"/>
      <c r="EE1441" s="4"/>
      <c r="EF1441" s="4"/>
      <c r="EG1441" s="4"/>
      <c r="EH1441" s="5">
        <v>40721</v>
      </c>
      <c r="EI1441" s="5">
        <v>40247</v>
      </c>
    </row>
    <row r="1442" spans="1:139" hidden="1" x14ac:dyDescent="0.2">
      <c r="A1442">
        <f>VLOOKUP(B1442,Sheet1!$A$1:$B$18,2,FALSE)</f>
        <v>0</v>
      </c>
      <c r="B1442" t="str">
        <f>LEFT(D1442,3)</f>
        <v>WKT</v>
      </c>
      <c r="C1442" s="2">
        <v>1441</v>
      </c>
      <c r="D1442" s="3" t="str">
        <f>HYPERLINK("https://sitebase.nzcomms.co.nz/spm/spmnominalview/WKT-016-013/","WKT-016-013")</f>
        <v>WKT-016-013</v>
      </c>
      <c r="E1442" s="4" t="s">
        <v>4307</v>
      </c>
      <c r="F1442" s="3" t="str">
        <f>HYPERLINK("https://sitebase.nzcomms.co.nz/spm/spmcandidateview/WKT-016-013-C/","WKT-016-013-C")</f>
        <v>WKT-016-013-C</v>
      </c>
      <c r="G1442" s="4" t="s">
        <v>4308</v>
      </c>
      <c r="H1442" s="4" t="s">
        <v>4251</v>
      </c>
      <c r="I1442" s="4">
        <v>10</v>
      </c>
      <c r="J1442" s="4" t="s">
        <v>1633</v>
      </c>
      <c r="K1442" s="4" t="s">
        <v>141</v>
      </c>
      <c r="L1442" s="4" t="s">
        <v>189</v>
      </c>
      <c r="M1442" s="4" t="s">
        <v>571</v>
      </c>
      <c r="N1442" s="4" t="s">
        <v>274</v>
      </c>
      <c r="O1442" s="4" t="s">
        <v>144</v>
      </c>
      <c r="P1442" s="4" t="s">
        <v>182</v>
      </c>
      <c r="Q1442" s="4" t="s">
        <v>192</v>
      </c>
      <c r="R1442" s="4">
        <v>15</v>
      </c>
      <c r="S1442" s="4">
        <v>15.5</v>
      </c>
      <c r="T1442" s="4">
        <v>1</v>
      </c>
      <c r="U1442" s="4">
        <v>-37.77229706</v>
      </c>
      <c r="V1442" s="4">
        <v>175.29301067</v>
      </c>
      <c r="W1442" s="4"/>
      <c r="X1442" s="5">
        <v>40140</v>
      </c>
      <c r="Y1442" s="4"/>
      <c r="Z1442" s="5">
        <v>40162</v>
      </c>
      <c r="AA1442" s="4" t="s">
        <v>171</v>
      </c>
      <c r="AB1442" s="3" t="str">
        <f>HYPERLINK("https://sitebase.nzcomms.co.nz/spm/spmcandidateview/WKT-016-022-A/","WKT-016-022-A")</f>
        <v>WKT-016-022-A</v>
      </c>
      <c r="AC1442" s="4" t="b">
        <v>1</v>
      </c>
      <c r="AD1442" s="4" t="b">
        <v>1</v>
      </c>
      <c r="AE1442" s="5">
        <v>40193</v>
      </c>
      <c r="AF1442" s="4"/>
      <c r="AG1442" s="4" t="b">
        <v>0</v>
      </c>
      <c r="AH1442" s="4"/>
      <c r="AI1442" s="5">
        <v>40228</v>
      </c>
      <c r="AJ1442" s="5">
        <v>40220</v>
      </c>
      <c r="AK1442" s="4"/>
      <c r="AL1442" s="4"/>
      <c r="AM1442" s="5">
        <v>40242</v>
      </c>
      <c r="AN1442" s="5">
        <v>40242</v>
      </c>
      <c r="AO1442" s="4">
        <v>5</v>
      </c>
      <c r="AP1442" s="5">
        <v>40242</v>
      </c>
      <c r="AQ1442" s="5">
        <v>41831</v>
      </c>
      <c r="AR1442" s="5">
        <v>40303</v>
      </c>
      <c r="AS1442" s="5">
        <v>40295</v>
      </c>
      <c r="AT1442" s="5">
        <v>40431</v>
      </c>
      <c r="AU1442" s="5">
        <v>40429</v>
      </c>
      <c r="AV1442" s="4">
        <v>2</v>
      </c>
      <c r="AW1442" s="5">
        <v>40431</v>
      </c>
      <c r="AX1442" s="5">
        <v>40429</v>
      </c>
      <c r="AY1442" s="4" t="s">
        <v>193</v>
      </c>
      <c r="AZ1442" s="5">
        <v>40249</v>
      </c>
      <c r="BA1442" s="5">
        <v>40249</v>
      </c>
      <c r="BB1442" s="5">
        <v>40291</v>
      </c>
      <c r="BC1442" s="5">
        <v>40289</v>
      </c>
      <c r="BD1442" s="4">
        <v>2</v>
      </c>
      <c r="BE1442" s="5">
        <v>40298</v>
      </c>
      <c r="BF1442" s="5">
        <v>40294</v>
      </c>
      <c r="BG1442" s="4"/>
      <c r="BH1442" s="4"/>
      <c r="BI1442" s="5">
        <v>40630</v>
      </c>
      <c r="BJ1442" s="5">
        <v>40669</v>
      </c>
      <c r="BK1442" s="4">
        <v>1</v>
      </c>
      <c r="BL1442" s="4"/>
      <c r="BM1442" s="5">
        <v>40624</v>
      </c>
      <c r="BN1442" s="5">
        <v>40669</v>
      </c>
      <c r="BO1442" s="5">
        <v>40675</v>
      </c>
      <c r="BP1442" s="4"/>
      <c r="BQ1442" s="4"/>
      <c r="BR1442" s="4"/>
      <c r="BS1442" s="4"/>
      <c r="BT1442" s="5">
        <v>40673</v>
      </c>
      <c r="BU1442" s="5">
        <v>40673</v>
      </c>
      <c r="BV1442" s="5">
        <v>40690</v>
      </c>
      <c r="BW1442" s="5">
        <v>40683</v>
      </c>
      <c r="BX1442" s="5">
        <v>40692</v>
      </c>
      <c r="BY1442" s="5">
        <v>40695</v>
      </c>
      <c r="BZ1442" s="5">
        <v>40695</v>
      </c>
      <c r="CA1442" s="4"/>
      <c r="CB1442" s="4"/>
      <c r="CC1442" s="4"/>
      <c r="CD1442" s="5">
        <v>40581</v>
      </c>
      <c r="CE1442" s="4"/>
      <c r="CF1442" s="4"/>
      <c r="CG1442" s="4"/>
      <c r="CH1442" s="5">
        <v>40675</v>
      </c>
      <c r="CI1442" s="5">
        <v>40747</v>
      </c>
      <c r="CJ1442" s="5">
        <v>40755</v>
      </c>
      <c r="CK1442" s="5">
        <v>40752</v>
      </c>
      <c r="CL1442" s="5">
        <v>40755</v>
      </c>
      <c r="CM1442" s="5">
        <v>40751</v>
      </c>
      <c r="CN1442" s="5">
        <v>40857</v>
      </c>
      <c r="CO1442" s="5">
        <v>40878</v>
      </c>
      <c r="CP1442" s="4" t="s">
        <v>4309</v>
      </c>
      <c r="CQ1442" s="4"/>
      <c r="CR1442" s="5">
        <v>40716</v>
      </c>
      <c r="CS1442" s="5">
        <v>40686</v>
      </c>
      <c r="CT1442" s="5">
        <v>40686</v>
      </c>
      <c r="CU1442" s="5">
        <v>40688</v>
      </c>
      <c r="CV1442" s="5">
        <v>40687</v>
      </c>
      <c r="CW1442" s="5">
        <v>40675</v>
      </c>
      <c r="CX1442" s="5">
        <v>40675</v>
      </c>
      <c r="CY1442" s="5">
        <v>40694</v>
      </c>
      <c r="CZ1442" s="5">
        <v>40703</v>
      </c>
      <c r="DA1442" s="4"/>
      <c r="DB1442" s="5">
        <v>40742</v>
      </c>
      <c r="DC1442" s="4"/>
      <c r="DD1442" s="4"/>
      <c r="DE1442" s="4"/>
      <c r="DF1442" s="4"/>
      <c r="DG1442" s="4"/>
      <c r="DH1442" s="4"/>
      <c r="DI1442" s="4"/>
      <c r="DJ1442" s="4" t="b">
        <v>0</v>
      </c>
      <c r="DK1442" s="4"/>
      <c r="DL1442" s="4">
        <v>2712201</v>
      </c>
      <c r="DM1442" s="4">
        <v>6378599</v>
      </c>
      <c r="DN1442" s="4" t="s">
        <v>4310</v>
      </c>
      <c r="DO1442" s="4"/>
      <c r="DP1442" s="4" t="s">
        <v>4311</v>
      </c>
      <c r="DQ1442" s="4" t="s">
        <v>148</v>
      </c>
      <c r="DR1442" s="4"/>
      <c r="DS1442" s="4"/>
      <c r="DT1442" s="5">
        <v>41906</v>
      </c>
      <c r="DU1442" s="4"/>
      <c r="DV1442" s="4"/>
      <c r="DW1442" s="4"/>
      <c r="DX1442" s="4"/>
      <c r="DY1442" s="4"/>
      <c r="DZ1442" s="4"/>
      <c r="EA1442" s="4"/>
      <c r="EB1442" s="4"/>
      <c r="EC1442" s="4"/>
      <c r="ED1442" s="4"/>
      <c r="EE1442" s="4"/>
      <c r="EF1442" s="4"/>
      <c r="EG1442" s="4"/>
      <c r="EH1442" s="5">
        <v>40742</v>
      </c>
      <c r="EI1442" s="5">
        <v>40220</v>
      </c>
    </row>
    <row r="1443" spans="1:139" hidden="1" x14ac:dyDescent="0.2">
      <c r="A1443">
        <f>VLOOKUP(B1443,Sheet1!$A$1:$B$18,2,FALSE)</f>
        <v>0</v>
      </c>
      <c r="B1443" t="str">
        <f>LEFT(D1443,3)</f>
        <v>WKT</v>
      </c>
      <c r="C1443" s="2">
        <v>1442</v>
      </c>
      <c r="D1443" s="3" t="str">
        <f>HYPERLINK("https://sitebase.nzcomms.co.nz/spm/spmnominalview/WKT-016-014/","WKT-016-014")</f>
        <v>WKT-016-014</v>
      </c>
      <c r="E1443" s="4" t="s">
        <v>4312</v>
      </c>
      <c r="F1443" s="3" t="str">
        <f>HYPERLINK("https://sitebase.nzcomms.co.nz/spm/spmcandidateview/WKT-016-014-C/","WKT-016-014-C")</f>
        <v>WKT-016-014-C</v>
      </c>
      <c r="G1443" s="4" t="s">
        <v>1255</v>
      </c>
      <c r="H1443" s="4" t="s">
        <v>4251</v>
      </c>
      <c r="I1443" s="4">
        <v>10</v>
      </c>
      <c r="J1443" s="4" t="s">
        <v>1633</v>
      </c>
      <c r="K1443" s="4" t="s">
        <v>141</v>
      </c>
      <c r="L1443" s="4" t="s">
        <v>189</v>
      </c>
      <c r="M1443" s="4" t="s">
        <v>190</v>
      </c>
      <c r="N1443" s="4" t="s">
        <v>274</v>
      </c>
      <c r="O1443" s="4" t="s">
        <v>144</v>
      </c>
      <c r="P1443" s="4" t="s">
        <v>182</v>
      </c>
      <c r="Q1443" s="4" t="s">
        <v>192</v>
      </c>
      <c r="R1443" s="4">
        <v>15</v>
      </c>
      <c r="S1443" s="4">
        <v>15.5</v>
      </c>
      <c r="T1443" s="4">
        <v>1</v>
      </c>
      <c r="U1443" s="4">
        <v>-37.824198510000002</v>
      </c>
      <c r="V1443" s="4">
        <v>175.29002319</v>
      </c>
      <c r="W1443" s="4"/>
      <c r="X1443" s="5">
        <v>40140</v>
      </c>
      <c r="Y1443" s="4"/>
      <c r="Z1443" s="5">
        <v>40162</v>
      </c>
      <c r="AA1443" s="4" t="s">
        <v>171</v>
      </c>
      <c r="AB1443" s="3" t="str">
        <f>HYPERLINK("https://sitebase.nzcomms.co.nz/spm/spmcandidateview/WKT-016-039-A/","WKT-016-039-A")</f>
        <v>WKT-016-039-A</v>
      </c>
      <c r="AC1443" s="4" t="b">
        <v>1</v>
      </c>
      <c r="AD1443" s="4" t="b">
        <v>1</v>
      </c>
      <c r="AE1443" s="5">
        <v>40219</v>
      </c>
      <c r="AF1443" s="5">
        <v>40228</v>
      </c>
      <c r="AG1443" s="4" t="b">
        <v>0</v>
      </c>
      <c r="AH1443" s="4" t="s">
        <v>4313</v>
      </c>
      <c r="AI1443" s="5">
        <v>40228</v>
      </c>
      <c r="AJ1443" s="5">
        <v>40220</v>
      </c>
      <c r="AK1443" s="4"/>
      <c r="AL1443" s="4"/>
      <c r="AM1443" s="5">
        <v>40245</v>
      </c>
      <c r="AN1443" s="5">
        <v>40247</v>
      </c>
      <c r="AO1443" s="4">
        <v>4</v>
      </c>
      <c r="AP1443" s="5">
        <v>40262</v>
      </c>
      <c r="AQ1443" s="5">
        <v>40563</v>
      </c>
      <c r="AR1443" s="5">
        <v>40303</v>
      </c>
      <c r="AS1443" s="5">
        <v>40295</v>
      </c>
      <c r="AT1443" s="5">
        <v>40431</v>
      </c>
      <c r="AU1443" s="5">
        <v>40429</v>
      </c>
      <c r="AV1443" s="4">
        <v>3</v>
      </c>
      <c r="AW1443" s="5">
        <v>40431</v>
      </c>
      <c r="AX1443" s="5">
        <v>40429</v>
      </c>
      <c r="AY1443" s="4" t="s">
        <v>198</v>
      </c>
      <c r="AZ1443" s="5">
        <v>40249</v>
      </c>
      <c r="BA1443" s="5">
        <v>40262</v>
      </c>
      <c r="BB1443" s="5">
        <v>40296</v>
      </c>
      <c r="BC1443" s="5">
        <v>40284</v>
      </c>
      <c r="BD1443" s="4">
        <v>3</v>
      </c>
      <c r="BE1443" s="5">
        <v>40303</v>
      </c>
      <c r="BF1443" s="5">
        <v>40289</v>
      </c>
      <c r="BG1443" s="4"/>
      <c r="BH1443" s="4"/>
      <c r="BI1443" s="5">
        <v>40680</v>
      </c>
      <c r="BJ1443" s="5">
        <v>40676</v>
      </c>
      <c r="BK1443" s="4">
        <v>1</v>
      </c>
      <c r="BL1443" s="4"/>
      <c r="BM1443" s="5">
        <v>40674</v>
      </c>
      <c r="BN1443" s="5">
        <v>40676</v>
      </c>
      <c r="BO1443" s="5">
        <v>40682</v>
      </c>
      <c r="BP1443" s="4"/>
      <c r="BQ1443" s="4"/>
      <c r="BR1443" s="5">
        <v>40645</v>
      </c>
      <c r="BS1443" s="4"/>
      <c r="BT1443" s="5">
        <v>40691</v>
      </c>
      <c r="BU1443" s="5">
        <v>40682</v>
      </c>
      <c r="BV1443" s="5">
        <v>40696</v>
      </c>
      <c r="BW1443" s="5">
        <v>40695</v>
      </c>
      <c r="BX1443" s="5">
        <v>40697</v>
      </c>
      <c r="BY1443" s="5">
        <v>40696</v>
      </c>
      <c r="BZ1443" s="5">
        <v>40697</v>
      </c>
      <c r="CA1443" s="4"/>
      <c r="CB1443" s="4"/>
      <c r="CC1443" s="4"/>
      <c r="CD1443" s="5">
        <v>40581</v>
      </c>
      <c r="CE1443" s="4"/>
      <c r="CF1443" s="4"/>
      <c r="CG1443" s="4"/>
      <c r="CH1443" s="5">
        <v>40675</v>
      </c>
      <c r="CI1443" s="5">
        <v>40714</v>
      </c>
      <c r="CJ1443" s="5">
        <v>40755</v>
      </c>
      <c r="CK1443" s="5">
        <v>40752</v>
      </c>
      <c r="CL1443" s="5">
        <v>40755</v>
      </c>
      <c r="CM1443" s="5">
        <v>40749</v>
      </c>
      <c r="CN1443" s="5">
        <v>40855</v>
      </c>
      <c r="CO1443" s="5">
        <v>40899</v>
      </c>
      <c r="CP1443" s="4" t="s">
        <v>4309</v>
      </c>
      <c r="CQ1443" s="4"/>
      <c r="CR1443" s="5">
        <v>40710</v>
      </c>
      <c r="CS1443" s="5">
        <v>40686</v>
      </c>
      <c r="CT1443" s="5">
        <v>40686</v>
      </c>
      <c r="CU1443" s="5">
        <v>40688</v>
      </c>
      <c r="CV1443" s="5">
        <v>40687</v>
      </c>
      <c r="CW1443" s="5">
        <v>40679</v>
      </c>
      <c r="CX1443" s="5">
        <v>40682</v>
      </c>
      <c r="CY1443" s="5">
        <v>40711</v>
      </c>
      <c r="CZ1443" s="5">
        <v>40710</v>
      </c>
      <c r="DA1443" s="4"/>
      <c r="DB1443" s="5">
        <v>40737</v>
      </c>
      <c r="DC1443" s="4"/>
      <c r="DD1443" s="4"/>
      <c r="DE1443" s="4"/>
      <c r="DF1443" s="4"/>
      <c r="DG1443" s="4"/>
      <c r="DH1443" s="4"/>
      <c r="DI1443" s="4"/>
      <c r="DJ1443" s="4" t="b">
        <v>1</v>
      </c>
      <c r="DK1443" s="4"/>
      <c r="DL1443" s="4">
        <v>2711788</v>
      </c>
      <c r="DM1443" s="4">
        <v>6372848</v>
      </c>
      <c r="DN1443" s="4" t="s">
        <v>4314</v>
      </c>
      <c r="DO1443" s="4"/>
      <c r="DP1443" s="4" t="s">
        <v>4315</v>
      </c>
      <c r="DQ1443" s="4" t="s">
        <v>148</v>
      </c>
      <c r="DR1443" s="4"/>
      <c r="DS1443" s="4"/>
      <c r="DT1443" s="4"/>
      <c r="DU1443" s="4"/>
      <c r="DV1443" s="4"/>
      <c r="DW1443" s="4"/>
      <c r="DX1443" s="4"/>
      <c r="DY1443" s="4"/>
      <c r="DZ1443" s="4"/>
      <c r="EA1443" s="4"/>
      <c r="EB1443" s="4"/>
      <c r="EC1443" s="4"/>
      <c r="ED1443" s="4"/>
      <c r="EE1443" s="4"/>
      <c r="EF1443" s="4"/>
      <c r="EG1443" s="4"/>
      <c r="EH1443" s="5">
        <v>40737</v>
      </c>
      <c r="EI1443" s="5">
        <v>40220</v>
      </c>
    </row>
    <row r="1444" spans="1:139" hidden="1" x14ac:dyDescent="0.2">
      <c r="A1444">
        <f>VLOOKUP(B1444,Sheet1!$A$1:$B$18,2,FALSE)</f>
        <v>0</v>
      </c>
      <c r="B1444" t="str">
        <f>LEFT(D1444,3)</f>
        <v>WKT</v>
      </c>
      <c r="C1444" s="2">
        <v>1443</v>
      </c>
      <c r="D1444" s="3" t="str">
        <f>HYPERLINK("https://sitebase.nzcomms.co.nz/spm/spmnominalview/WKT-016-015/","WKT-016-015")</f>
        <v>WKT-016-015</v>
      </c>
      <c r="E1444" s="4" t="s">
        <v>4316</v>
      </c>
      <c r="F1444" s="3" t="str">
        <f>HYPERLINK("https://sitebase.nzcomms.co.nz/spm/spmcandidateview/WKT-016-015-A/","WKT-016-015-A")</f>
        <v>WKT-016-015-A</v>
      </c>
      <c r="G1444" s="4" t="s">
        <v>4270</v>
      </c>
      <c r="H1444" s="4" t="s">
        <v>4251</v>
      </c>
      <c r="I1444" s="4">
        <v>10</v>
      </c>
      <c r="J1444" s="4" t="s">
        <v>1633</v>
      </c>
      <c r="K1444" s="4" t="s">
        <v>141</v>
      </c>
      <c r="L1444" s="4" t="s">
        <v>142</v>
      </c>
      <c r="M1444" s="4" t="s">
        <v>571</v>
      </c>
      <c r="N1444" s="4" t="s">
        <v>142</v>
      </c>
      <c r="O1444" s="4" t="s">
        <v>144</v>
      </c>
      <c r="P1444" s="4" t="s">
        <v>169</v>
      </c>
      <c r="Q1444" s="4" t="s">
        <v>142</v>
      </c>
      <c r="R1444" s="4">
        <v>20</v>
      </c>
      <c r="S1444" s="4">
        <v>25</v>
      </c>
      <c r="T1444" s="4">
        <v>1</v>
      </c>
      <c r="U1444" s="4">
        <v>-37.757690580000002</v>
      </c>
      <c r="V1444" s="4">
        <v>175.24925127</v>
      </c>
      <c r="W1444" s="4"/>
      <c r="X1444" s="5">
        <v>40140</v>
      </c>
      <c r="Y1444" s="4"/>
      <c r="Z1444" s="5">
        <v>40162</v>
      </c>
      <c r="AA1444" s="4" t="s">
        <v>171</v>
      </c>
      <c r="AB1444" s="3" t="str">
        <f>HYPERLINK("https://sitebase.nzcomms.co.nz/spm/spmcandidateview/WKT-016-023-B/","WKT-016-023-B")</f>
        <v>WKT-016-023-B</v>
      </c>
      <c r="AC1444" s="4" t="b">
        <v>1</v>
      </c>
      <c r="AD1444" s="4" t="b">
        <v>1</v>
      </c>
      <c r="AE1444" s="5">
        <v>40219</v>
      </c>
      <c r="AF1444" s="5">
        <v>40235</v>
      </c>
      <c r="AG1444" s="4" t="b">
        <v>0</v>
      </c>
      <c r="AH1444" s="4" t="s">
        <v>4265</v>
      </c>
      <c r="AI1444" s="5">
        <v>40270</v>
      </c>
      <c r="AJ1444" s="5">
        <v>40219</v>
      </c>
      <c r="AK1444" s="4"/>
      <c r="AL1444" s="4"/>
      <c r="AM1444" s="5">
        <v>40232</v>
      </c>
      <c r="AN1444" s="5">
        <v>40233</v>
      </c>
      <c r="AO1444" s="4">
        <v>2</v>
      </c>
      <c r="AP1444" s="5">
        <v>40232</v>
      </c>
      <c r="AQ1444" s="5">
        <v>40357</v>
      </c>
      <c r="AR1444" s="5">
        <v>40312</v>
      </c>
      <c r="AS1444" s="5">
        <v>40291</v>
      </c>
      <c r="AT1444" s="5">
        <v>40375</v>
      </c>
      <c r="AU1444" s="5">
        <v>40589</v>
      </c>
      <c r="AV1444" s="4"/>
      <c r="AW1444" s="5">
        <v>40602</v>
      </c>
      <c r="AX1444" s="5">
        <v>40683</v>
      </c>
      <c r="AY1444" s="4" t="s">
        <v>172</v>
      </c>
      <c r="AZ1444" s="5">
        <v>40298</v>
      </c>
      <c r="BA1444" s="5">
        <v>40301</v>
      </c>
      <c r="BB1444" s="5">
        <v>40337</v>
      </c>
      <c r="BC1444" s="5">
        <v>40330</v>
      </c>
      <c r="BD1444" s="4">
        <v>1</v>
      </c>
      <c r="BE1444" s="5">
        <v>40344</v>
      </c>
      <c r="BF1444" s="5">
        <v>40331</v>
      </c>
      <c r="BG1444" s="4"/>
      <c r="BH1444" s="4"/>
      <c r="BI1444" s="5">
        <v>40630</v>
      </c>
      <c r="BJ1444" s="5">
        <v>40646</v>
      </c>
      <c r="BK1444" s="4">
        <v>1</v>
      </c>
      <c r="BL1444" s="4"/>
      <c r="BM1444" s="5">
        <v>40624</v>
      </c>
      <c r="BN1444" s="5">
        <v>40646</v>
      </c>
      <c r="BO1444" s="5">
        <v>40695</v>
      </c>
      <c r="BP1444" s="4"/>
      <c r="BQ1444" s="4"/>
      <c r="BR1444" s="4"/>
      <c r="BS1444" s="4"/>
      <c r="BT1444" s="5">
        <v>40682</v>
      </c>
      <c r="BU1444" s="5">
        <v>40690</v>
      </c>
      <c r="BV1444" s="5">
        <v>40684</v>
      </c>
      <c r="BW1444" s="5">
        <v>40703</v>
      </c>
      <c r="BX1444" s="5">
        <v>40698</v>
      </c>
      <c r="BY1444" s="5">
        <v>40707</v>
      </c>
      <c r="BZ1444" s="5">
        <v>40717</v>
      </c>
      <c r="CA1444" s="4"/>
      <c r="CB1444" s="4"/>
      <c r="CC1444" s="4"/>
      <c r="CD1444" s="5">
        <v>40581</v>
      </c>
      <c r="CE1444" s="4"/>
      <c r="CF1444" s="4"/>
      <c r="CG1444" s="4"/>
      <c r="CH1444" s="5">
        <v>40675</v>
      </c>
      <c r="CI1444" s="5">
        <v>40723</v>
      </c>
      <c r="CJ1444" s="5">
        <v>40755</v>
      </c>
      <c r="CK1444" s="5">
        <v>40752</v>
      </c>
      <c r="CL1444" s="5">
        <v>40755</v>
      </c>
      <c r="CM1444" s="5">
        <v>40751</v>
      </c>
      <c r="CN1444" s="5">
        <v>40841</v>
      </c>
      <c r="CO1444" s="5">
        <v>40942</v>
      </c>
      <c r="CP1444" s="4"/>
      <c r="CQ1444" s="4" t="s">
        <v>230</v>
      </c>
      <c r="CR1444" s="5">
        <v>40714</v>
      </c>
      <c r="CS1444" s="5">
        <v>40679</v>
      </c>
      <c r="CT1444" s="5">
        <v>40681</v>
      </c>
      <c r="CU1444" s="5">
        <v>40680</v>
      </c>
      <c r="CV1444" s="5">
        <v>40682</v>
      </c>
      <c r="CW1444" s="5">
        <v>40683</v>
      </c>
      <c r="CX1444" s="5">
        <v>40695</v>
      </c>
      <c r="CY1444" s="5">
        <v>40709</v>
      </c>
      <c r="CZ1444" s="5">
        <v>40714</v>
      </c>
      <c r="DA1444" s="4"/>
      <c r="DB1444" s="5">
        <v>40742</v>
      </c>
      <c r="DC1444" s="4"/>
      <c r="DD1444" s="4"/>
      <c r="DE1444" s="4"/>
      <c r="DF1444" s="4"/>
      <c r="DG1444" s="4"/>
      <c r="DH1444" s="4"/>
      <c r="DI1444" s="4"/>
      <c r="DJ1444" s="4" t="b">
        <v>0</v>
      </c>
      <c r="DK1444" s="4"/>
      <c r="DL1444" s="4">
        <v>2708389</v>
      </c>
      <c r="DM1444" s="4">
        <v>6380319</v>
      </c>
      <c r="DN1444" s="4" t="s">
        <v>4317</v>
      </c>
      <c r="DO1444" s="4"/>
      <c r="DP1444" s="4" t="s">
        <v>4318</v>
      </c>
      <c r="DQ1444" s="4" t="s">
        <v>148</v>
      </c>
      <c r="DR1444" s="4"/>
      <c r="DS1444" s="4"/>
      <c r="DT1444" s="5">
        <v>41906</v>
      </c>
      <c r="DU1444" s="4"/>
      <c r="DV1444" s="4"/>
      <c r="DW1444" s="4"/>
      <c r="DX1444" s="4"/>
      <c r="DY1444" s="4"/>
      <c r="DZ1444" s="4"/>
      <c r="EA1444" s="4"/>
      <c r="EB1444" s="4"/>
      <c r="EC1444" s="4"/>
      <c r="ED1444" s="4"/>
      <c r="EE1444" s="4"/>
      <c r="EF1444" s="4"/>
      <c r="EG1444" s="4"/>
      <c r="EH1444" s="5">
        <v>40742</v>
      </c>
      <c r="EI1444" s="5">
        <v>40199</v>
      </c>
    </row>
    <row r="1445" spans="1:139" hidden="1" x14ac:dyDescent="0.2">
      <c r="A1445">
        <f>VLOOKUP(B1445,Sheet1!$A$1:$B$18,2,FALSE)</f>
        <v>0</v>
      </c>
      <c r="B1445" t="str">
        <f>LEFT(D1445,3)</f>
        <v>WKT</v>
      </c>
      <c r="C1445" s="2">
        <v>1444</v>
      </c>
      <c r="D1445" s="3" t="str">
        <f>HYPERLINK("https://sitebase.nzcomms.co.nz/spm/spmnominalview/WKT-016-016/","WKT-016-016")</f>
        <v>WKT-016-016</v>
      </c>
      <c r="E1445" s="4" t="s">
        <v>4319</v>
      </c>
      <c r="F1445" s="3" t="str">
        <f>HYPERLINK("https://sitebase.nzcomms.co.nz/spm/spmcandidateview/WKT-016-016-D/","WKT-016-016-D")</f>
        <v>WKT-016-016-D</v>
      </c>
      <c r="G1445" s="4" t="s">
        <v>4320</v>
      </c>
      <c r="H1445" s="4" t="s">
        <v>4251</v>
      </c>
      <c r="I1445" s="4">
        <v>10</v>
      </c>
      <c r="J1445" s="4" t="s">
        <v>1633</v>
      </c>
      <c r="K1445" s="4" t="s">
        <v>141</v>
      </c>
      <c r="L1445" s="4" t="s">
        <v>142</v>
      </c>
      <c r="M1445" s="4" t="s">
        <v>190</v>
      </c>
      <c r="N1445" s="4" t="s">
        <v>142</v>
      </c>
      <c r="O1445" s="4" t="s">
        <v>144</v>
      </c>
      <c r="P1445" s="4" t="s">
        <v>169</v>
      </c>
      <c r="Q1445" s="4" t="s">
        <v>142</v>
      </c>
      <c r="R1445" s="4">
        <v>14.5</v>
      </c>
      <c r="S1445" s="4">
        <v>15</v>
      </c>
      <c r="T1445" s="4">
        <v>1</v>
      </c>
      <c r="U1445" s="4">
        <v>-37.728070299999999</v>
      </c>
      <c r="V1445" s="4">
        <v>175.28840385000001</v>
      </c>
      <c r="W1445" s="4"/>
      <c r="X1445" s="5">
        <v>40140</v>
      </c>
      <c r="Y1445" s="4"/>
      <c r="Z1445" s="5">
        <v>40162</v>
      </c>
      <c r="AA1445" s="4" t="s">
        <v>171</v>
      </c>
      <c r="AB1445" s="3" t="str">
        <f>HYPERLINK("https://sitebase.nzcomms.co.nz/spm/spmcandidateview/WKT-016-004-A/","WKT-016-004-A")</f>
        <v>WKT-016-004-A</v>
      </c>
      <c r="AC1445" s="4" t="b">
        <v>1</v>
      </c>
      <c r="AD1445" s="4" t="b">
        <v>1</v>
      </c>
      <c r="AE1445" s="5">
        <v>40219</v>
      </c>
      <c r="AF1445" s="5">
        <v>40235</v>
      </c>
      <c r="AG1445" s="4" t="b">
        <v>0</v>
      </c>
      <c r="AH1445" s="4" t="s">
        <v>4252</v>
      </c>
      <c r="AI1445" s="5">
        <v>40270</v>
      </c>
      <c r="AJ1445" s="5">
        <v>40219</v>
      </c>
      <c r="AK1445" s="4"/>
      <c r="AL1445" s="4"/>
      <c r="AM1445" s="5">
        <v>40233</v>
      </c>
      <c r="AN1445" s="5">
        <v>40234</v>
      </c>
      <c r="AO1445" s="4">
        <v>5</v>
      </c>
      <c r="AP1445" s="5">
        <v>40233</v>
      </c>
      <c r="AQ1445" s="5">
        <v>40452</v>
      </c>
      <c r="AR1445" s="4"/>
      <c r="AS1445" s="5">
        <v>40267</v>
      </c>
      <c r="AT1445" s="5">
        <v>40413</v>
      </c>
      <c r="AU1445" s="5">
        <v>40520</v>
      </c>
      <c r="AV1445" s="4"/>
      <c r="AW1445" s="5">
        <v>40602</v>
      </c>
      <c r="AX1445" s="5">
        <v>40683</v>
      </c>
      <c r="AY1445" s="4" t="s">
        <v>198</v>
      </c>
      <c r="AZ1445" s="5">
        <v>40276</v>
      </c>
      <c r="BA1445" s="5">
        <v>40311</v>
      </c>
      <c r="BB1445" s="5">
        <v>40315</v>
      </c>
      <c r="BC1445" s="5">
        <v>40315</v>
      </c>
      <c r="BD1445" s="4">
        <v>2</v>
      </c>
      <c r="BE1445" s="5">
        <v>40322</v>
      </c>
      <c r="BF1445" s="5">
        <v>40318</v>
      </c>
      <c r="BG1445" s="4"/>
      <c r="BH1445" s="4"/>
      <c r="BI1445" s="5">
        <v>40630</v>
      </c>
      <c r="BJ1445" s="5">
        <v>40653</v>
      </c>
      <c r="BK1445" s="4">
        <v>1</v>
      </c>
      <c r="BL1445" s="4"/>
      <c r="BM1445" s="5">
        <v>40624</v>
      </c>
      <c r="BN1445" s="5">
        <v>40653</v>
      </c>
      <c r="BO1445" s="5">
        <v>40676</v>
      </c>
      <c r="BP1445" s="4"/>
      <c r="BQ1445" s="4"/>
      <c r="BR1445" s="4"/>
      <c r="BS1445" s="4"/>
      <c r="BT1445" s="5">
        <v>40686</v>
      </c>
      <c r="BU1445" s="5">
        <v>40684</v>
      </c>
      <c r="BV1445" s="5">
        <v>40683</v>
      </c>
      <c r="BW1445" s="5">
        <v>40701</v>
      </c>
      <c r="BX1445" s="5">
        <v>40697</v>
      </c>
      <c r="BY1445" s="5">
        <v>40719</v>
      </c>
      <c r="BZ1445" s="5">
        <v>40723</v>
      </c>
      <c r="CA1445" s="4"/>
      <c r="CB1445" s="4"/>
      <c r="CC1445" s="4"/>
      <c r="CD1445" s="5">
        <v>40581</v>
      </c>
      <c r="CE1445" s="4"/>
      <c r="CF1445" s="4"/>
      <c r="CG1445" s="4"/>
      <c r="CH1445" s="5">
        <v>40675</v>
      </c>
      <c r="CI1445" s="5">
        <v>40723</v>
      </c>
      <c r="CJ1445" s="5">
        <v>40755</v>
      </c>
      <c r="CK1445" s="5">
        <v>40752</v>
      </c>
      <c r="CL1445" s="5">
        <v>40755</v>
      </c>
      <c r="CM1445" s="5">
        <v>40751</v>
      </c>
      <c r="CN1445" s="5">
        <v>40857</v>
      </c>
      <c r="CO1445" s="5">
        <v>40878</v>
      </c>
      <c r="CP1445" s="4" t="s">
        <v>4321</v>
      </c>
      <c r="CQ1445" s="4" t="s">
        <v>230</v>
      </c>
      <c r="CR1445" s="5">
        <v>40719</v>
      </c>
      <c r="CS1445" s="5">
        <v>40666</v>
      </c>
      <c r="CT1445" s="5">
        <v>40666</v>
      </c>
      <c r="CU1445" s="5">
        <v>40672</v>
      </c>
      <c r="CV1445" s="5">
        <v>40673</v>
      </c>
      <c r="CW1445" s="5">
        <v>40672</v>
      </c>
      <c r="CX1445" s="5">
        <v>40676</v>
      </c>
      <c r="CY1445" s="5">
        <v>40711</v>
      </c>
      <c r="CZ1445" s="5">
        <v>40717</v>
      </c>
      <c r="DA1445" s="4"/>
      <c r="DB1445" s="5">
        <v>40737</v>
      </c>
      <c r="DC1445" s="4"/>
      <c r="DD1445" s="4"/>
      <c r="DE1445" s="4"/>
      <c r="DF1445" s="4"/>
      <c r="DG1445" s="4"/>
      <c r="DH1445" s="4"/>
      <c r="DI1445" s="4"/>
      <c r="DJ1445" s="4" t="b">
        <v>0</v>
      </c>
      <c r="DK1445" s="4"/>
      <c r="DL1445" s="4">
        <v>2711923</v>
      </c>
      <c r="DM1445" s="4">
        <v>6383516</v>
      </c>
      <c r="DN1445" s="4" t="s">
        <v>4322</v>
      </c>
      <c r="DO1445" s="4"/>
      <c r="DP1445" s="4" t="s">
        <v>4323</v>
      </c>
      <c r="DQ1445" s="4" t="s">
        <v>148</v>
      </c>
      <c r="DR1445" s="4"/>
      <c r="DS1445" s="4"/>
      <c r="DT1445" s="4"/>
      <c r="DU1445" s="4"/>
      <c r="DV1445" s="4"/>
      <c r="DW1445" s="4"/>
      <c r="DX1445" s="4"/>
      <c r="DY1445" s="4"/>
      <c r="DZ1445" s="4"/>
      <c r="EA1445" s="4"/>
      <c r="EB1445" s="4"/>
      <c r="EC1445" s="4"/>
      <c r="ED1445" s="4"/>
      <c r="EE1445" s="4"/>
      <c r="EF1445" s="4"/>
      <c r="EG1445" s="4"/>
      <c r="EH1445" s="5">
        <v>40737</v>
      </c>
      <c r="EI1445" s="5">
        <v>40199</v>
      </c>
    </row>
    <row r="1446" spans="1:139" hidden="1" x14ac:dyDescent="0.2">
      <c r="A1446">
        <f>VLOOKUP(B1446,Sheet1!$A$1:$B$18,2,FALSE)</f>
        <v>0</v>
      </c>
      <c r="B1446" t="str">
        <f>LEFT(D1446,3)</f>
        <v>WKT</v>
      </c>
      <c r="C1446" s="2">
        <v>1445</v>
      </c>
      <c r="D1446" s="3" t="str">
        <f>HYPERLINK("https://sitebase.nzcomms.co.nz/spm/spmnominalview/WKT-016-017/","WKT-016-017")</f>
        <v>WKT-016-017</v>
      </c>
      <c r="E1446" s="4" t="s">
        <v>4324</v>
      </c>
      <c r="F1446" s="4"/>
      <c r="G1446" s="4"/>
      <c r="H1446" s="4" t="s">
        <v>4251</v>
      </c>
      <c r="I1446" s="4"/>
      <c r="J1446" s="4" t="s">
        <v>196</v>
      </c>
      <c r="K1446" s="4"/>
      <c r="L1446" s="4"/>
      <c r="M1446" s="4"/>
      <c r="N1446" s="4"/>
      <c r="O1446" s="4"/>
      <c r="P1446" s="4"/>
      <c r="Q1446" s="4"/>
      <c r="R1446" s="4"/>
      <c r="S1446" s="4"/>
      <c r="T1446" s="4"/>
      <c r="U1446" s="4"/>
      <c r="V1446" s="4"/>
      <c r="W1446" s="4"/>
      <c r="X1446" s="4"/>
      <c r="Y1446" s="4"/>
      <c r="Z1446" s="4"/>
      <c r="AA1446" s="4"/>
      <c r="AB1446" s="4"/>
      <c r="AC1446" s="4"/>
      <c r="AD1446" s="4"/>
      <c r="AE1446" s="4"/>
      <c r="AF1446" s="4"/>
      <c r="AG1446" s="4" t="b">
        <v>0</v>
      </c>
      <c r="AH1446" s="4"/>
      <c r="AI1446" s="4"/>
      <c r="AJ1446" s="4"/>
      <c r="AK1446" s="4"/>
      <c r="AL1446" s="4"/>
      <c r="AM1446" s="4"/>
      <c r="AN1446" s="4"/>
      <c r="AO1446" s="4"/>
      <c r="AP1446" s="4"/>
      <c r="AQ1446" s="4"/>
      <c r="AR1446" s="4"/>
      <c r="AS1446" s="4"/>
      <c r="AT1446" s="4"/>
      <c r="AU1446" s="4"/>
      <c r="AV1446" s="4"/>
      <c r="AW1446" s="4"/>
      <c r="AX1446" s="4"/>
      <c r="AY1446" s="4"/>
      <c r="AZ1446" s="4"/>
      <c r="BA1446" s="4"/>
      <c r="BB1446" s="4"/>
      <c r="BC1446" s="4"/>
      <c r="BD1446" s="4"/>
      <c r="BE1446" s="4"/>
      <c r="BF1446" s="4"/>
      <c r="BG1446" s="4"/>
      <c r="BH1446" s="4"/>
      <c r="BI1446" s="4"/>
      <c r="BJ1446" s="4"/>
      <c r="BK1446" s="4"/>
      <c r="BL1446" s="4"/>
      <c r="BM1446" s="4"/>
      <c r="BN1446" s="4"/>
      <c r="BO1446" s="4"/>
      <c r="BP1446" s="4"/>
      <c r="BQ1446" s="4"/>
      <c r="BR1446" s="4"/>
      <c r="BS1446" s="4"/>
      <c r="BT1446" s="4"/>
      <c r="BU1446" s="4"/>
      <c r="BV1446" s="4"/>
      <c r="BW1446" s="4"/>
      <c r="BX1446" s="4"/>
      <c r="BY1446" s="4"/>
      <c r="BZ1446" s="4"/>
      <c r="CA1446" s="4"/>
      <c r="CB1446" s="4"/>
      <c r="CC1446" s="4"/>
      <c r="CD1446" s="4"/>
      <c r="CE1446" s="4"/>
      <c r="CF1446" s="4"/>
      <c r="CG1446" s="4"/>
      <c r="CH1446" s="4"/>
      <c r="CI1446" s="4"/>
      <c r="CJ1446" s="4"/>
      <c r="CK1446" s="4"/>
      <c r="CL1446" s="4"/>
      <c r="CM1446" s="4"/>
      <c r="CN1446" s="4"/>
      <c r="CO1446" s="4"/>
      <c r="CP1446" s="4" t="s">
        <v>4325</v>
      </c>
      <c r="CQ1446" s="4"/>
      <c r="CR1446" s="4"/>
      <c r="CS1446" s="4"/>
      <c r="CT1446" s="4"/>
      <c r="CU1446" s="4"/>
      <c r="CV1446" s="4"/>
      <c r="CW1446" s="4"/>
      <c r="CX1446" s="4"/>
      <c r="CY1446" s="4"/>
      <c r="CZ1446" s="4"/>
      <c r="DA1446" s="4"/>
      <c r="DB1446" s="4"/>
      <c r="DC1446" s="4"/>
      <c r="DD1446" s="4"/>
      <c r="DE1446" s="4"/>
      <c r="DF1446" s="4"/>
      <c r="DG1446" s="4"/>
      <c r="DH1446" s="4"/>
      <c r="DI1446" s="4"/>
      <c r="DJ1446" s="4"/>
      <c r="DK1446" s="4"/>
      <c r="DL1446" s="4"/>
      <c r="DM1446" s="4"/>
      <c r="DN1446" s="4"/>
      <c r="DO1446" s="4"/>
      <c r="DP1446" s="4"/>
      <c r="DQ1446" s="4"/>
      <c r="DR1446" s="4"/>
      <c r="DS1446" s="4"/>
      <c r="DT1446" s="4"/>
      <c r="DU1446" s="4"/>
      <c r="DV1446" s="4"/>
      <c r="DW1446" s="4"/>
      <c r="DX1446" s="4"/>
      <c r="DY1446" s="4"/>
      <c r="DZ1446" s="4"/>
      <c r="EA1446" s="4"/>
      <c r="EB1446" s="4"/>
      <c r="EC1446" s="4"/>
      <c r="ED1446" s="4"/>
      <c r="EE1446" s="4"/>
      <c r="EF1446" s="4"/>
      <c r="EG1446" s="4"/>
      <c r="EH1446" s="4"/>
      <c r="EI1446" s="4"/>
    </row>
    <row r="1447" spans="1:139" hidden="1" x14ac:dyDescent="0.2">
      <c r="A1447">
        <f>VLOOKUP(B1447,Sheet1!$A$1:$B$18,2,FALSE)</f>
        <v>0</v>
      </c>
      <c r="B1447" t="str">
        <f>LEFT(D1447,3)</f>
        <v>WKT</v>
      </c>
      <c r="C1447" s="2">
        <v>1446</v>
      </c>
      <c r="D1447" s="3" t="str">
        <f>HYPERLINK("https://sitebase.nzcomms.co.nz/spm/spmnominalview/WKT-016-018/","WKT-016-018")</f>
        <v>WKT-016-018</v>
      </c>
      <c r="E1447" s="4" t="s">
        <v>4326</v>
      </c>
      <c r="F1447" s="3" t="str">
        <f>HYPERLINK("https://sitebase.nzcomms.co.nz/spm/spmcandidateview/WKT-016-018-F/","WKT-016-018-F")</f>
        <v>WKT-016-018-F</v>
      </c>
      <c r="G1447" s="4" t="s">
        <v>4327</v>
      </c>
      <c r="H1447" s="4" t="s">
        <v>4251</v>
      </c>
      <c r="I1447" s="4">
        <v>10</v>
      </c>
      <c r="J1447" s="4" t="s">
        <v>1633</v>
      </c>
      <c r="K1447" s="4" t="s">
        <v>141</v>
      </c>
      <c r="L1447" s="4" t="s">
        <v>189</v>
      </c>
      <c r="M1447" s="4" t="s">
        <v>571</v>
      </c>
      <c r="N1447" s="4" t="s">
        <v>274</v>
      </c>
      <c r="O1447" s="4" t="s">
        <v>144</v>
      </c>
      <c r="P1447" s="4" t="s">
        <v>182</v>
      </c>
      <c r="Q1447" s="4" t="s">
        <v>192</v>
      </c>
      <c r="R1447" s="4">
        <v>15</v>
      </c>
      <c r="S1447" s="4">
        <v>15.5</v>
      </c>
      <c r="T1447" s="4">
        <v>1</v>
      </c>
      <c r="U1447" s="4">
        <v>-37.769044510000001</v>
      </c>
      <c r="V1447" s="4">
        <v>175.26225582000001</v>
      </c>
      <c r="W1447" s="4"/>
      <c r="X1447" s="5">
        <v>40140</v>
      </c>
      <c r="Y1447" s="4"/>
      <c r="Z1447" s="5">
        <v>40162</v>
      </c>
      <c r="AA1447" s="4" t="s">
        <v>171</v>
      </c>
      <c r="AB1447" s="3" t="str">
        <f>HYPERLINK("https://sitebase.nzcomms.co.nz/spm/spmcandidateview/WKT-016-023-B/","WKT-016-023-B")</f>
        <v>WKT-016-023-B</v>
      </c>
      <c r="AC1447" s="4" t="b">
        <v>1</v>
      </c>
      <c r="AD1447" s="4" t="b">
        <v>1</v>
      </c>
      <c r="AE1447" s="5">
        <v>40193</v>
      </c>
      <c r="AF1447" s="4"/>
      <c r="AG1447" s="4" t="b">
        <v>0</v>
      </c>
      <c r="AH1447" s="4" t="s">
        <v>4265</v>
      </c>
      <c r="AI1447" s="5">
        <v>40228</v>
      </c>
      <c r="AJ1447" s="5">
        <v>40220</v>
      </c>
      <c r="AK1447" s="4"/>
      <c r="AL1447" s="4"/>
      <c r="AM1447" s="5">
        <v>40246</v>
      </c>
      <c r="AN1447" s="5">
        <v>40242</v>
      </c>
      <c r="AO1447" s="4">
        <v>3</v>
      </c>
      <c r="AP1447" s="5">
        <v>40246</v>
      </c>
      <c r="AQ1447" s="5">
        <v>40519</v>
      </c>
      <c r="AR1447" s="5">
        <v>40303</v>
      </c>
      <c r="AS1447" s="5">
        <v>40295</v>
      </c>
      <c r="AT1447" s="5">
        <v>40431</v>
      </c>
      <c r="AU1447" s="5">
        <v>40429</v>
      </c>
      <c r="AV1447" s="4">
        <v>2</v>
      </c>
      <c r="AW1447" s="5">
        <v>40431</v>
      </c>
      <c r="AX1447" s="5">
        <v>40429</v>
      </c>
      <c r="AY1447" s="4" t="s">
        <v>193</v>
      </c>
      <c r="AZ1447" s="5">
        <v>40249</v>
      </c>
      <c r="BA1447" s="5">
        <v>40249</v>
      </c>
      <c r="BB1447" s="5">
        <v>40296</v>
      </c>
      <c r="BC1447" s="5">
        <v>40288</v>
      </c>
      <c r="BD1447" s="4">
        <v>2</v>
      </c>
      <c r="BE1447" s="5">
        <v>40303</v>
      </c>
      <c r="BF1447" s="5">
        <v>40290</v>
      </c>
      <c r="BG1447" s="4"/>
      <c r="BH1447" s="4"/>
      <c r="BI1447" s="5">
        <v>40630</v>
      </c>
      <c r="BJ1447" s="5">
        <v>40668</v>
      </c>
      <c r="BK1447" s="4">
        <v>1</v>
      </c>
      <c r="BL1447" s="4"/>
      <c r="BM1447" s="5">
        <v>40624</v>
      </c>
      <c r="BN1447" s="5">
        <v>40668</v>
      </c>
      <c r="BO1447" s="5">
        <v>40675</v>
      </c>
      <c r="BP1447" s="4"/>
      <c r="BQ1447" s="4"/>
      <c r="BR1447" s="5">
        <v>40645</v>
      </c>
      <c r="BS1447" s="4"/>
      <c r="BT1447" s="5">
        <v>40672</v>
      </c>
      <c r="BU1447" s="5">
        <v>40672</v>
      </c>
      <c r="BV1447" s="5">
        <v>40676</v>
      </c>
      <c r="BW1447" s="5">
        <v>40682</v>
      </c>
      <c r="BX1447" s="5">
        <v>40692</v>
      </c>
      <c r="BY1447" s="5">
        <v>40708</v>
      </c>
      <c r="BZ1447" s="5">
        <v>40693</v>
      </c>
      <c r="CA1447" s="4"/>
      <c r="CB1447" s="4"/>
      <c r="CC1447" s="4"/>
      <c r="CD1447" s="5">
        <v>40581</v>
      </c>
      <c r="CE1447" s="4"/>
      <c r="CF1447" s="4"/>
      <c r="CG1447" s="4"/>
      <c r="CH1447" s="5">
        <v>40675</v>
      </c>
      <c r="CI1447" s="5">
        <v>40718</v>
      </c>
      <c r="CJ1447" s="5">
        <v>40755</v>
      </c>
      <c r="CK1447" s="5">
        <v>40752</v>
      </c>
      <c r="CL1447" s="5">
        <v>40755</v>
      </c>
      <c r="CM1447" s="5">
        <v>40751</v>
      </c>
      <c r="CN1447" s="5">
        <v>40857</v>
      </c>
      <c r="CO1447" s="5">
        <v>40878</v>
      </c>
      <c r="CP1447" s="4" t="s">
        <v>4309</v>
      </c>
      <c r="CQ1447" s="4"/>
      <c r="CR1447" s="5">
        <v>40727</v>
      </c>
      <c r="CS1447" s="5">
        <v>40686</v>
      </c>
      <c r="CT1447" s="5">
        <v>40686</v>
      </c>
      <c r="CU1447" s="5">
        <v>40688</v>
      </c>
      <c r="CV1447" s="5">
        <v>40687</v>
      </c>
      <c r="CW1447" s="5">
        <v>40675</v>
      </c>
      <c r="CX1447" s="5">
        <v>40675</v>
      </c>
      <c r="CY1447" s="5">
        <v>40707</v>
      </c>
      <c r="CZ1447" s="5">
        <v>40695</v>
      </c>
      <c r="DA1447" s="4"/>
      <c r="DB1447" s="5">
        <v>40742</v>
      </c>
      <c r="DC1447" s="4"/>
      <c r="DD1447" s="4"/>
      <c r="DE1447" s="4"/>
      <c r="DF1447" s="4"/>
      <c r="DG1447" s="4"/>
      <c r="DH1447" s="4"/>
      <c r="DI1447" s="4"/>
      <c r="DJ1447" s="4" t="b">
        <v>1</v>
      </c>
      <c r="DK1447" s="4"/>
      <c r="DL1447" s="4">
        <v>2709502</v>
      </c>
      <c r="DM1447" s="4">
        <v>6379030</v>
      </c>
      <c r="DN1447" s="4" t="s">
        <v>4328</v>
      </c>
      <c r="DO1447" s="4"/>
      <c r="DP1447" s="4" t="s">
        <v>4329</v>
      </c>
      <c r="DQ1447" s="4" t="s">
        <v>148</v>
      </c>
      <c r="DR1447" s="4"/>
      <c r="DS1447" s="4"/>
      <c r="DT1447" s="5">
        <v>41906</v>
      </c>
      <c r="DU1447" s="4"/>
      <c r="DV1447" s="4"/>
      <c r="DW1447" s="4"/>
      <c r="DX1447" s="4"/>
      <c r="DY1447" s="4"/>
      <c r="DZ1447" s="4"/>
      <c r="EA1447" s="4"/>
      <c r="EB1447" s="4"/>
      <c r="EC1447" s="4"/>
      <c r="ED1447" s="4"/>
      <c r="EE1447" s="4"/>
      <c r="EF1447" s="4"/>
      <c r="EG1447" s="4"/>
      <c r="EH1447" s="5">
        <v>40742</v>
      </c>
      <c r="EI1447" s="5">
        <v>40220</v>
      </c>
    </row>
    <row r="1448" spans="1:139" hidden="1" x14ac:dyDescent="0.2">
      <c r="A1448">
        <f>VLOOKUP(B1448,Sheet1!$A$1:$B$18,2,FALSE)</f>
        <v>0</v>
      </c>
      <c r="B1448" t="str">
        <f>LEFT(D1448,3)</f>
        <v>WKT</v>
      </c>
      <c r="C1448" s="2">
        <v>1447</v>
      </c>
      <c r="D1448" s="3" t="str">
        <f>HYPERLINK("https://sitebase.nzcomms.co.nz/spm/spmnominalview/WKT-016-019/","WKT-016-019")</f>
        <v>WKT-016-019</v>
      </c>
      <c r="E1448" s="4" t="s">
        <v>4330</v>
      </c>
      <c r="F1448" s="3" t="str">
        <f>HYPERLINK("https://sitebase.nzcomms.co.nz/spm/spmcandidateview/WKT-016-019-D/","WKT-016-019-D")</f>
        <v>WKT-016-019-D</v>
      </c>
      <c r="G1448" s="4" t="s">
        <v>4331</v>
      </c>
      <c r="H1448" s="4" t="s">
        <v>4251</v>
      </c>
      <c r="I1448" s="4">
        <v>10</v>
      </c>
      <c r="J1448" s="4" t="s">
        <v>1633</v>
      </c>
      <c r="K1448" s="4" t="s">
        <v>141</v>
      </c>
      <c r="L1448" s="4" t="s">
        <v>150</v>
      </c>
      <c r="M1448" s="4" t="s">
        <v>571</v>
      </c>
      <c r="N1448" s="4" t="s">
        <v>156</v>
      </c>
      <c r="O1448" s="4" t="s">
        <v>144</v>
      </c>
      <c r="P1448" s="4" t="s">
        <v>169</v>
      </c>
      <c r="Q1448" s="4" t="s">
        <v>170</v>
      </c>
      <c r="R1448" s="4">
        <v>19.899999999999999</v>
      </c>
      <c r="S1448" s="4">
        <v>20.5</v>
      </c>
      <c r="T1448" s="4">
        <v>1</v>
      </c>
      <c r="U1448" s="4">
        <v>-37.78055595</v>
      </c>
      <c r="V1448" s="4">
        <v>175.25249866999999</v>
      </c>
      <c r="W1448" s="4"/>
      <c r="X1448" s="5">
        <v>40140</v>
      </c>
      <c r="Y1448" s="4"/>
      <c r="Z1448" s="5">
        <v>40162</v>
      </c>
      <c r="AA1448" s="4" t="s">
        <v>171</v>
      </c>
      <c r="AB1448" s="3" t="str">
        <f>HYPERLINK("https://sitebase.nzcomms.co.nz/spm/spmcandidateview/WKT-016-038-A/","WKT-016-038-A")</f>
        <v>WKT-016-038-A</v>
      </c>
      <c r="AC1448" s="4" t="b">
        <v>1</v>
      </c>
      <c r="AD1448" s="4" t="b">
        <v>1</v>
      </c>
      <c r="AE1448" s="5">
        <v>40219</v>
      </c>
      <c r="AF1448" s="5">
        <v>40235</v>
      </c>
      <c r="AG1448" s="4" t="b">
        <v>0</v>
      </c>
      <c r="AH1448" s="4" t="s">
        <v>4313</v>
      </c>
      <c r="AI1448" s="5">
        <v>40235</v>
      </c>
      <c r="AJ1448" s="5">
        <v>40219</v>
      </c>
      <c r="AK1448" s="4"/>
      <c r="AL1448" s="4"/>
      <c r="AM1448" s="5">
        <v>40260</v>
      </c>
      <c r="AN1448" s="5">
        <v>40260</v>
      </c>
      <c r="AO1448" s="4">
        <v>3</v>
      </c>
      <c r="AP1448" s="5">
        <v>40268</v>
      </c>
      <c r="AQ1448" s="5">
        <v>40354</v>
      </c>
      <c r="AR1448" s="5">
        <v>40297</v>
      </c>
      <c r="AS1448" s="5">
        <v>40295</v>
      </c>
      <c r="AT1448" s="5">
        <v>40368</v>
      </c>
      <c r="AU1448" s="5">
        <v>40368</v>
      </c>
      <c r="AV1448" s="4">
        <v>3</v>
      </c>
      <c r="AW1448" s="5">
        <v>40368</v>
      </c>
      <c r="AX1448" s="5">
        <v>40368</v>
      </c>
      <c r="AY1448" s="4" t="s">
        <v>172</v>
      </c>
      <c r="AZ1448" s="5">
        <v>40275</v>
      </c>
      <c r="BA1448" s="5">
        <v>40274</v>
      </c>
      <c r="BB1448" s="5">
        <v>40305</v>
      </c>
      <c r="BC1448" s="5">
        <v>40298</v>
      </c>
      <c r="BD1448" s="4">
        <v>2</v>
      </c>
      <c r="BE1448" s="5">
        <v>40312</v>
      </c>
      <c r="BF1448" s="5">
        <v>40305</v>
      </c>
      <c r="BG1448" s="4"/>
      <c r="BH1448" s="4"/>
      <c r="BI1448" s="5">
        <v>40638</v>
      </c>
      <c r="BJ1448" s="5">
        <v>40646</v>
      </c>
      <c r="BK1448" s="4">
        <v>1</v>
      </c>
      <c r="BL1448" s="4"/>
      <c r="BM1448" s="5">
        <v>40632</v>
      </c>
      <c r="BN1448" s="5">
        <v>40646</v>
      </c>
      <c r="BO1448" s="5">
        <v>40651</v>
      </c>
      <c r="BP1448" s="4"/>
      <c r="BQ1448" s="4"/>
      <c r="BR1448" s="4"/>
      <c r="BS1448" s="4"/>
      <c r="BT1448" s="5">
        <v>40646</v>
      </c>
      <c r="BU1448" s="5">
        <v>40646</v>
      </c>
      <c r="BV1448" s="5">
        <v>40662</v>
      </c>
      <c r="BW1448" s="5">
        <v>40668</v>
      </c>
      <c r="BX1448" s="5">
        <v>40662</v>
      </c>
      <c r="BY1448" s="5">
        <v>40690</v>
      </c>
      <c r="BZ1448" s="5">
        <v>40679</v>
      </c>
      <c r="CA1448" s="4"/>
      <c r="CB1448" s="4"/>
      <c r="CC1448" s="4"/>
      <c r="CD1448" s="5">
        <v>40581</v>
      </c>
      <c r="CE1448" s="4"/>
      <c r="CF1448" s="4"/>
      <c r="CG1448" s="4"/>
      <c r="CH1448" s="5">
        <v>40675</v>
      </c>
      <c r="CI1448" s="5">
        <v>40725</v>
      </c>
      <c r="CJ1448" s="5">
        <v>40755</v>
      </c>
      <c r="CK1448" s="5">
        <v>40752</v>
      </c>
      <c r="CL1448" s="5">
        <v>40755</v>
      </c>
      <c r="CM1448" s="5">
        <v>40751</v>
      </c>
      <c r="CN1448" s="5">
        <v>40857</v>
      </c>
      <c r="CO1448" s="5">
        <v>40939</v>
      </c>
      <c r="CP1448" s="4" t="s">
        <v>4332</v>
      </c>
      <c r="CQ1448" s="4"/>
      <c r="CR1448" s="5">
        <v>40723</v>
      </c>
      <c r="CS1448" s="5">
        <v>40651</v>
      </c>
      <c r="CT1448" s="5">
        <v>40651</v>
      </c>
      <c r="CU1448" s="5">
        <v>40672</v>
      </c>
      <c r="CV1448" s="5">
        <v>40673</v>
      </c>
      <c r="CW1448" s="5">
        <v>40651</v>
      </c>
      <c r="CX1448" s="5">
        <v>40651</v>
      </c>
      <c r="CY1448" s="5">
        <v>40704</v>
      </c>
      <c r="CZ1448" s="5">
        <v>40710</v>
      </c>
      <c r="DA1448" s="4"/>
      <c r="DB1448" s="5">
        <v>40737</v>
      </c>
      <c r="DC1448" s="4"/>
      <c r="DD1448" s="4"/>
      <c r="DE1448" s="4"/>
      <c r="DF1448" s="4"/>
      <c r="DG1448" s="4"/>
      <c r="DH1448" s="4"/>
      <c r="DI1448" s="4"/>
      <c r="DJ1448" s="4" t="b">
        <v>0</v>
      </c>
      <c r="DK1448" s="4"/>
      <c r="DL1448" s="4">
        <v>2708610</v>
      </c>
      <c r="DM1448" s="4">
        <v>6377775</v>
      </c>
      <c r="DN1448" s="4" t="s">
        <v>4333</v>
      </c>
      <c r="DO1448" s="4"/>
      <c r="DP1448" s="4"/>
      <c r="DQ1448" s="4" t="s">
        <v>148</v>
      </c>
      <c r="DR1448" s="4"/>
      <c r="DS1448" s="4"/>
      <c r="DT1448" s="5">
        <v>41906</v>
      </c>
      <c r="DU1448" s="4"/>
      <c r="DV1448" s="4"/>
      <c r="DW1448" s="4"/>
      <c r="DX1448" s="4"/>
      <c r="DY1448" s="4"/>
      <c r="DZ1448" s="4"/>
      <c r="EA1448" s="4"/>
      <c r="EB1448" s="4"/>
      <c r="EC1448" s="4"/>
      <c r="ED1448" s="4"/>
      <c r="EE1448" s="4"/>
      <c r="EF1448" s="4"/>
      <c r="EG1448" s="4"/>
      <c r="EH1448" s="5">
        <v>40737</v>
      </c>
      <c r="EI1448" s="5">
        <v>40228</v>
      </c>
    </row>
    <row r="1449" spans="1:139" hidden="1" x14ac:dyDescent="0.2">
      <c r="A1449">
        <f>VLOOKUP(B1449,Sheet1!$A$1:$B$18,2,FALSE)</f>
        <v>0</v>
      </c>
      <c r="B1449" t="str">
        <f>LEFT(D1449,3)</f>
        <v>WKT</v>
      </c>
      <c r="C1449" s="2">
        <v>1448</v>
      </c>
      <c r="D1449" s="3" t="str">
        <f>HYPERLINK("https://sitebase.nzcomms.co.nz/spm/spmnominalview/WKT-016-020/","WKT-016-020")</f>
        <v>WKT-016-020</v>
      </c>
      <c r="E1449" s="4" t="s">
        <v>4334</v>
      </c>
      <c r="F1449" s="3" t="str">
        <f>HYPERLINK("https://sitebase.nzcomms.co.nz/spm/spmcandidateview/WKT-016-020-A/","WKT-016-020-A")</f>
        <v>WKT-016-020-A</v>
      </c>
      <c r="G1449" s="4" t="s">
        <v>4335</v>
      </c>
      <c r="H1449" s="4" t="s">
        <v>4251</v>
      </c>
      <c r="I1449" s="4">
        <v>10</v>
      </c>
      <c r="J1449" s="4" t="s">
        <v>1633</v>
      </c>
      <c r="K1449" s="4" t="s">
        <v>141</v>
      </c>
      <c r="L1449" s="4" t="s">
        <v>142</v>
      </c>
      <c r="M1449" s="4" t="s">
        <v>190</v>
      </c>
      <c r="N1449" s="4" t="s">
        <v>142</v>
      </c>
      <c r="O1449" s="4" t="s">
        <v>144</v>
      </c>
      <c r="P1449" s="4" t="s">
        <v>169</v>
      </c>
      <c r="Q1449" s="4" t="s">
        <v>142</v>
      </c>
      <c r="R1449" s="4">
        <v>29.7</v>
      </c>
      <c r="S1449" s="4">
        <v>30.2</v>
      </c>
      <c r="T1449" s="4">
        <v>1</v>
      </c>
      <c r="U1449" s="4">
        <v>-37.811700620000003</v>
      </c>
      <c r="V1449" s="4">
        <v>175.32833479000001</v>
      </c>
      <c r="W1449" s="4"/>
      <c r="X1449" s="5">
        <v>40140</v>
      </c>
      <c r="Y1449" s="4"/>
      <c r="Z1449" s="5">
        <v>40162</v>
      </c>
      <c r="AA1449" s="4" t="s">
        <v>171</v>
      </c>
      <c r="AB1449" s="3" t="str">
        <f>HYPERLINK("https://sitebase.nzcomms.co.nz/spm/spmcandidateview/WKT-016-012-A/","WKT-016-012-A")</f>
        <v>WKT-016-012-A</v>
      </c>
      <c r="AC1449" s="4" t="b">
        <v>1</v>
      </c>
      <c r="AD1449" s="4" t="b">
        <v>1</v>
      </c>
      <c r="AE1449" s="5">
        <v>40219</v>
      </c>
      <c r="AF1449" s="5">
        <v>40235</v>
      </c>
      <c r="AG1449" s="4" t="b">
        <v>0</v>
      </c>
      <c r="AH1449" s="4" t="s">
        <v>4252</v>
      </c>
      <c r="AI1449" s="5">
        <v>40270</v>
      </c>
      <c r="AJ1449" s="5">
        <v>40219</v>
      </c>
      <c r="AK1449" s="4"/>
      <c r="AL1449" s="4"/>
      <c r="AM1449" s="5">
        <v>40232</v>
      </c>
      <c r="AN1449" s="5">
        <v>40232</v>
      </c>
      <c r="AO1449" s="4">
        <v>3</v>
      </c>
      <c r="AP1449" s="5">
        <v>40232</v>
      </c>
      <c r="AQ1449" s="5">
        <v>40354</v>
      </c>
      <c r="AR1449" s="4"/>
      <c r="AS1449" s="5">
        <v>40260</v>
      </c>
      <c r="AT1449" s="5">
        <v>40375</v>
      </c>
      <c r="AU1449" s="5">
        <v>40367</v>
      </c>
      <c r="AV1449" s="4"/>
      <c r="AW1449" s="5">
        <v>40602</v>
      </c>
      <c r="AX1449" s="5">
        <v>40683</v>
      </c>
      <c r="AY1449" s="4" t="s">
        <v>247</v>
      </c>
      <c r="AZ1449" s="5">
        <v>40269</v>
      </c>
      <c r="BA1449" s="5">
        <v>40277</v>
      </c>
      <c r="BB1449" s="5">
        <v>40312</v>
      </c>
      <c r="BC1449" s="5">
        <v>40308</v>
      </c>
      <c r="BD1449" s="4">
        <v>2</v>
      </c>
      <c r="BE1449" s="5">
        <v>40319</v>
      </c>
      <c r="BF1449" s="5">
        <v>40311</v>
      </c>
      <c r="BG1449" s="4"/>
      <c r="BH1449" s="4"/>
      <c r="BI1449" s="5">
        <v>40631</v>
      </c>
      <c r="BJ1449" s="5">
        <v>40647</v>
      </c>
      <c r="BK1449" s="4">
        <v>2</v>
      </c>
      <c r="BL1449" s="4">
        <v>3</v>
      </c>
      <c r="BM1449" s="5">
        <v>40627</v>
      </c>
      <c r="BN1449" s="5">
        <v>40654</v>
      </c>
      <c r="BO1449" s="5">
        <v>40668</v>
      </c>
      <c r="BP1449" s="4"/>
      <c r="BQ1449" s="4"/>
      <c r="BR1449" s="4"/>
      <c r="BS1449" s="4"/>
      <c r="BT1449" s="5">
        <v>40676</v>
      </c>
      <c r="BU1449" s="5">
        <v>40693</v>
      </c>
      <c r="BV1449" s="5">
        <v>40680</v>
      </c>
      <c r="BW1449" s="5">
        <v>40701</v>
      </c>
      <c r="BX1449" s="5">
        <v>40699</v>
      </c>
      <c r="BY1449" s="5">
        <v>40706</v>
      </c>
      <c r="BZ1449" s="5">
        <v>40710</v>
      </c>
      <c r="CA1449" s="4"/>
      <c r="CB1449" s="4"/>
      <c r="CC1449" s="4"/>
      <c r="CD1449" s="5">
        <v>40581</v>
      </c>
      <c r="CE1449" s="4"/>
      <c r="CF1449" s="4"/>
      <c r="CG1449" s="4"/>
      <c r="CH1449" s="5">
        <v>40675</v>
      </c>
      <c r="CI1449" s="5">
        <v>40721</v>
      </c>
      <c r="CJ1449" s="5">
        <v>40755</v>
      </c>
      <c r="CK1449" s="5">
        <v>40752</v>
      </c>
      <c r="CL1449" s="5">
        <v>40755</v>
      </c>
      <c r="CM1449" s="5">
        <v>40749</v>
      </c>
      <c r="CN1449" s="5">
        <v>40855</v>
      </c>
      <c r="CO1449" s="5">
        <v>40878</v>
      </c>
      <c r="CP1449" s="4" t="s">
        <v>4336</v>
      </c>
      <c r="CQ1449" s="4" t="s">
        <v>230</v>
      </c>
      <c r="CR1449" s="5">
        <v>40707</v>
      </c>
      <c r="CS1449" s="5">
        <v>40666</v>
      </c>
      <c r="CT1449" s="5">
        <v>40666</v>
      </c>
      <c r="CU1449" s="5">
        <v>40672</v>
      </c>
      <c r="CV1449" s="5">
        <v>40675</v>
      </c>
      <c r="CW1449" s="5">
        <v>40672</v>
      </c>
      <c r="CX1449" s="5">
        <v>40668</v>
      </c>
      <c r="CY1449" s="5">
        <v>40717</v>
      </c>
      <c r="CZ1449" s="5">
        <v>40714</v>
      </c>
      <c r="DA1449" s="4"/>
      <c r="DB1449" s="5">
        <v>40737</v>
      </c>
      <c r="DC1449" s="4"/>
      <c r="DD1449" s="4"/>
      <c r="DE1449" s="4"/>
      <c r="DF1449" s="4"/>
      <c r="DG1449" s="4"/>
      <c r="DH1449" s="4"/>
      <c r="DI1449" s="4"/>
      <c r="DJ1449" s="4" t="b">
        <v>0</v>
      </c>
      <c r="DK1449" s="4"/>
      <c r="DL1449" s="4">
        <v>2715196</v>
      </c>
      <c r="DM1449" s="4">
        <v>6374146</v>
      </c>
      <c r="DN1449" s="4" t="s">
        <v>4337</v>
      </c>
      <c r="DO1449" s="4"/>
      <c r="DP1449" s="4" t="s">
        <v>4338</v>
      </c>
      <c r="DQ1449" s="4" t="s">
        <v>148</v>
      </c>
      <c r="DR1449" s="4"/>
      <c r="DS1449" s="4"/>
      <c r="DT1449" s="4"/>
      <c r="DU1449" s="4"/>
      <c r="DV1449" s="4"/>
      <c r="DW1449" s="4"/>
      <c r="DX1449" s="4"/>
      <c r="DY1449" s="4"/>
      <c r="DZ1449" s="4"/>
      <c r="EA1449" s="4"/>
      <c r="EB1449" s="4"/>
      <c r="EC1449" s="4"/>
      <c r="ED1449" s="4"/>
      <c r="EE1449" s="4"/>
      <c r="EF1449" s="4"/>
      <c r="EG1449" s="4"/>
      <c r="EH1449" s="5">
        <v>40737</v>
      </c>
      <c r="EI1449" s="5">
        <v>40199</v>
      </c>
    </row>
    <row r="1450" spans="1:139" hidden="1" x14ac:dyDescent="0.2">
      <c r="A1450">
        <f>VLOOKUP(B1450,Sheet1!$A$1:$B$18,2,FALSE)</f>
        <v>0</v>
      </c>
      <c r="B1450" t="str">
        <f>LEFT(D1450,3)</f>
        <v>WKT</v>
      </c>
      <c r="C1450" s="2">
        <v>1449</v>
      </c>
      <c r="D1450" s="3" t="str">
        <f>HYPERLINK("https://sitebase.nzcomms.co.nz/spm/spmnominalview/WKT-016-021/","WKT-016-021")</f>
        <v>WKT-016-021</v>
      </c>
      <c r="E1450" s="4" t="s">
        <v>4339</v>
      </c>
      <c r="F1450" s="3" t="str">
        <f>HYPERLINK("https://sitebase.nzcomms.co.nz/spm/spmcandidateview/WKT-016-021-G/","WKT-016-021-G")</f>
        <v>WKT-016-021-G</v>
      </c>
      <c r="G1450" s="4" t="s">
        <v>4340</v>
      </c>
      <c r="H1450" s="4" t="s">
        <v>4251</v>
      </c>
      <c r="I1450" s="4">
        <v>10</v>
      </c>
      <c r="J1450" s="4" t="s">
        <v>1633</v>
      </c>
      <c r="K1450" s="4" t="s">
        <v>141</v>
      </c>
      <c r="L1450" s="4" t="s">
        <v>150</v>
      </c>
      <c r="M1450" s="4" t="s">
        <v>190</v>
      </c>
      <c r="N1450" s="4" t="s">
        <v>291</v>
      </c>
      <c r="O1450" s="4" t="s">
        <v>144</v>
      </c>
      <c r="P1450" s="4" t="s">
        <v>169</v>
      </c>
      <c r="Q1450" s="4" t="s">
        <v>192</v>
      </c>
      <c r="R1450" s="4">
        <v>19.5</v>
      </c>
      <c r="S1450" s="4">
        <v>20</v>
      </c>
      <c r="T1450" s="4">
        <v>1</v>
      </c>
      <c r="U1450" s="4">
        <v>-37.805842370000001</v>
      </c>
      <c r="V1450" s="4">
        <v>175.25946188</v>
      </c>
      <c r="W1450" s="4"/>
      <c r="X1450" s="5">
        <v>40140</v>
      </c>
      <c r="Y1450" s="4"/>
      <c r="Z1450" s="5">
        <v>40162</v>
      </c>
      <c r="AA1450" s="4" t="s">
        <v>171</v>
      </c>
      <c r="AB1450" s="3" t="str">
        <f>HYPERLINK("https://sitebase.nzcomms.co.nz/spm/spmcandidateview/WKT-016-012-A/","WKT-016-012-A")</f>
        <v>WKT-016-012-A</v>
      </c>
      <c r="AC1450" s="4" t="b">
        <v>1</v>
      </c>
      <c r="AD1450" s="4" t="b">
        <v>1</v>
      </c>
      <c r="AE1450" s="5">
        <v>40259</v>
      </c>
      <c r="AF1450" s="5">
        <v>40268</v>
      </c>
      <c r="AG1450" s="4" t="b">
        <v>0</v>
      </c>
      <c r="AH1450" s="4" t="s">
        <v>4341</v>
      </c>
      <c r="AI1450" s="5">
        <v>40266</v>
      </c>
      <c r="AJ1450" s="5">
        <v>40267</v>
      </c>
      <c r="AK1450" s="4"/>
      <c r="AL1450" s="4"/>
      <c r="AM1450" s="5">
        <v>40283</v>
      </c>
      <c r="AN1450" s="5">
        <v>40283</v>
      </c>
      <c r="AO1450" s="4">
        <v>3</v>
      </c>
      <c r="AP1450" s="5">
        <v>40347</v>
      </c>
      <c r="AQ1450" s="5">
        <v>40357</v>
      </c>
      <c r="AR1450" s="5">
        <v>40329</v>
      </c>
      <c r="AS1450" s="5">
        <v>40330</v>
      </c>
      <c r="AT1450" s="5">
        <v>40372</v>
      </c>
      <c r="AU1450" s="5">
        <v>40368</v>
      </c>
      <c r="AV1450" s="4">
        <v>3</v>
      </c>
      <c r="AW1450" s="5">
        <v>40372</v>
      </c>
      <c r="AX1450" s="5">
        <v>40368</v>
      </c>
      <c r="AY1450" s="4" t="s">
        <v>172</v>
      </c>
      <c r="AZ1450" s="5">
        <v>40289</v>
      </c>
      <c r="BA1450" s="5">
        <v>40287</v>
      </c>
      <c r="BB1450" s="5">
        <v>40319</v>
      </c>
      <c r="BC1450" s="5">
        <v>40308</v>
      </c>
      <c r="BD1450" s="4">
        <v>1</v>
      </c>
      <c r="BE1450" s="5">
        <v>40326</v>
      </c>
      <c r="BF1450" s="5">
        <v>40310</v>
      </c>
      <c r="BG1450" s="4"/>
      <c r="BH1450" s="4"/>
      <c r="BI1450" s="5">
        <v>40620</v>
      </c>
      <c r="BJ1450" s="5">
        <v>40646</v>
      </c>
      <c r="BK1450" s="4">
        <v>1</v>
      </c>
      <c r="BL1450" s="4"/>
      <c r="BM1450" s="5">
        <v>40617</v>
      </c>
      <c r="BN1450" s="5">
        <v>40646</v>
      </c>
      <c r="BO1450" s="5">
        <v>40651</v>
      </c>
      <c r="BP1450" s="4"/>
      <c r="BQ1450" s="4"/>
      <c r="BR1450" s="4"/>
      <c r="BS1450" s="4"/>
      <c r="BT1450" s="5">
        <v>40630</v>
      </c>
      <c r="BU1450" s="5">
        <v>40630</v>
      </c>
      <c r="BV1450" s="5">
        <v>40659</v>
      </c>
      <c r="BW1450" s="5">
        <v>40659</v>
      </c>
      <c r="BX1450" s="5">
        <v>40659</v>
      </c>
      <c r="BY1450" s="5">
        <v>40679</v>
      </c>
      <c r="BZ1450" s="5">
        <v>40680</v>
      </c>
      <c r="CA1450" s="4"/>
      <c r="CB1450" s="4"/>
      <c r="CC1450" s="4"/>
      <c r="CD1450" s="5">
        <v>40581</v>
      </c>
      <c r="CE1450" s="4"/>
      <c r="CF1450" s="4"/>
      <c r="CG1450" s="4"/>
      <c r="CH1450" s="5">
        <v>40675</v>
      </c>
      <c r="CI1450" s="5">
        <v>40694</v>
      </c>
      <c r="CJ1450" s="5">
        <v>40755</v>
      </c>
      <c r="CK1450" s="5">
        <v>40752</v>
      </c>
      <c r="CL1450" s="5">
        <v>40755</v>
      </c>
      <c r="CM1450" s="5">
        <v>40736</v>
      </c>
      <c r="CN1450" s="5">
        <v>40842</v>
      </c>
      <c r="CO1450" s="5">
        <v>40899</v>
      </c>
      <c r="CP1450" s="4" t="s">
        <v>4342</v>
      </c>
      <c r="CQ1450" s="4"/>
      <c r="CR1450" s="5">
        <v>40690</v>
      </c>
      <c r="CS1450" s="5">
        <v>40651</v>
      </c>
      <c r="CT1450" s="5">
        <v>40651</v>
      </c>
      <c r="CU1450" s="5">
        <v>40654</v>
      </c>
      <c r="CV1450" s="5">
        <v>40673</v>
      </c>
      <c r="CW1450" s="5">
        <v>40654</v>
      </c>
      <c r="CX1450" s="5">
        <v>40651</v>
      </c>
      <c r="CY1450" s="5">
        <v>40660</v>
      </c>
      <c r="CZ1450" s="5">
        <v>40695</v>
      </c>
      <c r="DA1450" s="4"/>
      <c r="DB1450" s="5">
        <v>40714</v>
      </c>
      <c r="DC1450" s="4"/>
      <c r="DD1450" s="4"/>
      <c r="DE1450" s="4"/>
      <c r="DF1450" s="4"/>
      <c r="DG1450" s="4"/>
      <c r="DH1450" s="4"/>
      <c r="DI1450" s="4"/>
      <c r="DJ1450" s="4" t="b">
        <v>0</v>
      </c>
      <c r="DK1450" s="4"/>
      <c r="DL1450" s="4">
        <v>2709151</v>
      </c>
      <c r="DM1450" s="4">
        <v>6374954</v>
      </c>
      <c r="DN1450" s="4" t="s">
        <v>4340</v>
      </c>
      <c r="DO1450" s="4"/>
      <c r="DP1450" s="4" t="s">
        <v>4343</v>
      </c>
      <c r="DQ1450" s="4" t="s">
        <v>148</v>
      </c>
      <c r="DR1450" s="4"/>
      <c r="DS1450" s="4"/>
      <c r="DT1450" s="4"/>
      <c r="DU1450" s="4"/>
      <c r="DV1450" s="4"/>
      <c r="DW1450" s="4"/>
      <c r="DX1450" s="4"/>
      <c r="DY1450" s="4"/>
      <c r="DZ1450" s="4"/>
      <c r="EA1450" s="4"/>
      <c r="EB1450" s="4"/>
      <c r="EC1450" s="4"/>
      <c r="ED1450" s="4"/>
      <c r="EE1450" s="4"/>
      <c r="EF1450" s="4"/>
      <c r="EG1450" s="4"/>
      <c r="EH1450" s="5">
        <v>40714</v>
      </c>
      <c r="EI1450" s="5">
        <v>40219</v>
      </c>
    </row>
    <row r="1451" spans="1:139" hidden="1" x14ac:dyDescent="0.2">
      <c r="A1451">
        <f>VLOOKUP(B1451,Sheet1!$A$1:$B$18,2,FALSE)</f>
        <v>0</v>
      </c>
      <c r="B1451" t="str">
        <f>LEFT(D1451,3)</f>
        <v>WKT</v>
      </c>
      <c r="C1451" s="2">
        <v>1450</v>
      </c>
      <c r="D1451" s="3" t="str">
        <f>HYPERLINK("https://sitebase.nzcomms.co.nz/spm/spmnominalview/WKT-016-022/","WKT-016-022")</f>
        <v>WKT-016-022</v>
      </c>
      <c r="E1451" s="4" t="s">
        <v>282</v>
      </c>
      <c r="F1451" s="3" t="str">
        <f>HYPERLINK("https://sitebase.nzcomms.co.nz/spm/spmcandidateview/WKT-016-022-A/","WKT-016-022-A")</f>
        <v>WKT-016-022-A</v>
      </c>
      <c r="G1451" s="4" t="s">
        <v>4344</v>
      </c>
      <c r="H1451" s="4" t="s">
        <v>4251</v>
      </c>
      <c r="I1451" s="4">
        <v>10</v>
      </c>
      <c r="J1451" s="4" t="s">
        <v>1633</v>
      </c>
      <c r="K1451" s="4" t="s">
        <v>141</v>
      </c>
      <c r="L1451" s="4" t="s">
        <v>325</v>
      </c>
      <c r="M1451" s="4" t="s">
        <v>571</v>
      </c>
      <c r="N1451" s="4" t="s">
        <v>364</v>
      </c>
      <c r="O1451" s="4" t="s">
        <v>144</v>
      </c>
      <c r="P1451" s="4" t="s">
        <v>169</v>
      </c>
      <c r="Q1451" s="4" t="s">
        <v>170</v>
      </c>
      <c r="R1451" s="4">
        <v>12.3</v>
      </c>
      <c r="S1451" s="4">
        <v>12.4</v>
      </c>
      <c r="T1451" s="4">
        <v>1</v>
      </c>
      <c r="U1451" s="4">
        <v>-37.79756888</v>
      </c>
      <c r="V1451" s="4">
        <v>175.31616302</v>
      </c>
      <c r="W1451" s="4"/>
      <c r="X1451" s="5">
        <v>40140</v>
      </c>
      <c r="Y1451" s="4"/>
      <c r="Z1451" s="5">
        <v>40162</v>
      </c>
      <c r="AA1451" s="4" t="s">
        <v>171</v>
      </c>
      <c r="AB1451" s="3" t="str">
        <f>HYPERLINK("https://sitebase.nzcomms.co.nz/spm/spmcandidateview/WKT-016-023-B/","WKT-016-023-B")</f>
        <v>WKT-016-023-B</v>
      </c>
      <c r="AC1451" s="4" t="b">
        <v>1</v>
      </c>
      <c r="AD1451" s="4" t="b">
        <v>1</v>
      </c>
      <c r="AE1451" s="5">
        <v>40193</v>
      </c>
      <c r="AF1451" s="4"/>
      <c r="AG1451" s="4" t="b">
        <v>0</v>
      </c>
      <c r="AH1451" s="4" t="s">
        <v>4265</v>
      </c>
      <c r="AI1451" s="5">
        <v>40197</v>
      </c>
      <c r="AJ1451" s="5">
        <v>40197</v>
      </c>
      <c r="AK1451" s="4"/>
      <c r="AL1451" s="4"/>
      <c r="AM1451" s="5">
        <v>40239</v>
      </c>
      <c r="AN1451" s="5">
        <v>40239</v>
      </c>
      <c r="AO1451" s="4">
        <v>5</v>
      </c>
      <c r="AP1451" s="5">
        <v>40246</v>
      </c>
      <c r="AQ1451" s="5">
        <v>40634</v>
      </c>
      <c r="AR1451" s="5">
        <v>40358</v>
      </c>
      <c r="AS1451" s="5">
        <v>40352</v>
      </c>
      <c r="AT1451" s="5">
        <v>40508</v>
      </c>
      <c r="AU1451" s="5">
        <v>40518</v>
      </c>
      <c r="AV1451" s="4">
        <v>4</v>
      </c>
      <c r="AW1451" s="5">
        <v>40512</v>
      </c>
      <c r="AX1451" s="5">
        <v>40518</v>
      </c>
      <c r="AY1451" s="4" t="s">
        <v>172</v>
      </c>
      <c r="AZ1451" s="5">
        <v>40249</v>
      </c>
      <c r="BA1451" s="5">
        <v>40248</v>
      </c>
      <c r="BB1451" s="5">
        <v>40283</v>
      </c>
      <c r="BC1451" s="5">
        <v>40280</v>
      </c>
      <c r="BD1451" s="4">
        <v>2</v>
      </c>
      <c r="BE1451" s="5">
        <v>40290</v>
      </c>
      <c r="BF1451" s="5">
        <v>40283</v>
      </c>
      <c r="BG1451" s="4"/>
      <c r="BH1451" s="4"/>
      <c r="BI1451" s="5">
        <v>40641</v>
      </c>
      <c r="BJ1451" s="5">
        <v>40669</v>
      </c>
      <c r="BK1451" s="4">
        <v>1</v>
      </c>
      <c r="BL1451" s="4"/>
      <c r="BM1451" s="5">
        <v>40637</v>
      </c>
      <c r="BN1451" s="5">
        <v>40669</v>
      </c>
      <c r="BO1451" s="5">
        <v>40676</v>
      </c>
      <c r="BP1451" s="4"/>
      <c r="BQ1451" s="4"/>
      <c r="BR1451" s="4"/>
      <c r="BS1451" s="4"/>
      <c r="BT1451" s="5">
        <v>40676</v>
      </c>
      <c r="BU1451" s="5">
        <v>40676</v>
      </c>
      <c r="BV1451" s="5">
        <v>40704</v>
      </c>
      <c r="BW1451" s="5">
        <v>40701</v>
      </c>
      <c r="BX1451" s="5">
        <v>40713</v>
      </c>
      <c r="BY1451" s="5">
        <v>40714</v>
      </c>
      <c r="BZ1451" s="5">
        <v>40717</v>
      </c>
      <c r="CA1451" s="4"/>
      <c r="CB1451" s="4"/>
      <c r="CC1451" s="4"/>
      <c r="CD1451" s="5">
        <v>40581</v>
      </c>
      <c r="CE1451" s="4"/>
      <c r="CF1451" s="4"/>
      <c r="CG1451" s="4"/>
      <c r="CH1451" s="5">
        <v>40675</v>
      </c>
      <c r="CI1451" s="5">
        <v>40747</v>
      </c>
      <c r="CJ1451" s="5">
        <v>40755</v>
      </c>
      <c r="CK1451" s="5">
        <v>40752</v>
      </c>
      <c r="CL1451" s="5">
        <v>40755</v>
      </c>
      <c r="CM1451" s="5">
        <v>40751</v>
      </c>
      <c r="CN1451" s="5">
        <v>40857</v>
      </c>
      <c r="CO1451" s="5">
        <v>40878</v>
      </c>
      <c r="CP1451" s="4" t="s">
        <v>4345</v>
      </c>
      <c r="CQ1451" s="4"/>
      <c r="CR1451" s="5">
        <v>40715</v>
      </c>
      <c r="CS1451" s="5">
        <v>40666</v>
      </c>
      <c r="CT1451" s="5">
        <v>40666</v>
      </c>
      <c r="CU1451" s="5">
        <v>40672</v>
      </c>
      <c r="CV1451" s="5">
        <v>40675</v>
      </c>
      <c r="CW1451" s="5">
        <v>40676</v>
      </c>
      <c r="CX1451" s="5">
        <v>40676</v>
      </c>
      <c r="CY1451" s="5">
        <v>40716</v>
      </c>
      <c r="CZ1451" s="5">
        <v>40748</v>
      </c>
      <c r="DA1451" s="4"/>
      <c r="DB1451" s="5">
        <v>40742</v>
      </c>
      <c r="DC1451" s="4"/>
      <c r="DD1451" s="4"/>
      <c r="DE1451" s="4"/>
      <c r="DF1451" s="4"/>
      <c r="DG1451" s="4"/>
      <c r="DH1451" s="4"/>
      <c r="DI1451" s="4"/>
      <c r="DJ1451" s="4" t="b">
        <v>0</v>
      </c>
      <c r="DK1451" s="4"/>
      <c r="DL1451" s="4">
        <v>2714166</v>
      </c>
      <c r="DM1451" s="4">
        <v>6375742</v>
      </c>
      <c r="DN1451" s="4" t="s">
        <v>4346</v>
      </c>
      <c r="DO1451" s="4"/>
      <c r="DP1451" s="4"/>
      <c r="DQ1451" s="4" t="s">
        <v>148</v>
      </c>
      <c r="DR1451" s="4"/>
      <c r="DS1451" s="4"/>
      <c r="DT1451" s="5">
        <v>41906</v>
      </c>
      <c r="DU1451" s="4"/>
      <c r="DV1451" s="4"/>
      <c r="DW1451" s="4"/>
      <c r="DX1451" s="4"/>
      <c r="DY1451" s="4"/>
      <c r="DZ1451" s="4"/>
      <c r="EA1451" s="4"/>
      <c r="EB1451" s="4"/>
      <c r="EC1451" s="4"/>
      <c r="ED1451" s="4"/>
      <c r="EE1451" s="4"/>
      <c r="EF1451" s="4"/>
      <c r="EG1451" s="4"/>
      <c r="EH1451" s="5">
        <v>40742</v>
      </c>
      <c r="EI1451" s="4"/>
    </row>
    <row r="1452" spans="1:139" hidden="1" x14ac:dyDescent="0.2">
      <c r="A1452">
        <f>VLOOKUP(B1452,Sheet1!$A$1:$B$18,2,FALSE)</f>
        <v>0</v>
      </c>
      <c r="B1452" t="str">
        <f>LEFT(D1452,3)</f>
        <v>WKT</v>
      </c>
      <c r="C1452" s="2">
        <v>1451</v>
      </c>
      <c r="D1452" s="3" t="str">
        <f>HYPERLINK("https://sitebase.nzcomms.co.nz/spm/spmnominalview/WKT-016-023/","WKT-016-023")</f>
        <v>WKT-016-023</v>
      </c>
      <c r="E1452" s="4" t="s">
        <v>4347</v>
      </c>
      <c r="F1452" s="3" t="str">
        <f>HYPERLINK("https://sitebase.nzcomms.co.nz/spm/spmcandidateview/WKT-016-023-B/","WKT-016-023-B")</f>
        <v>WKT-016-023-B</v>
      </c>
      <c r="G1452" s="4" t="s">
        <v>4348</v>
      </c>
      <c r="H1452" s="4" t="s">
        <v>4251</v>
      </c>
      <c r="I1452" s="4">
        <v>10</v>
      </c>
      <c r="J1452" s="4" t="s">
        <v>1633</v>
      </c>
      <c r="K1452" s="4" t="s">
        <v>141</v>
      </c>
      <c r="L1452" s="4" t="s">
        <v>181</v>
      </c>
      <c r="M1452" s="4" t="s">
        <v>1193</v>
      </c>
      <c r="N1452" s="4" t="s">
        <v>142</v>
      </c>
      <c r="O1452" s="4" t="s">
        <v>144</v>
      </c>
      <c r="P1452" s="4" t="s">
        <v>169</v>
      </c>
      <c r="Q1452" s="4" t="s">
        <v>170</v>
      </c>
      <c r="R1452" s="4">
        <v>42</v>
      </c>
      <c r="S1452" s="4">
        <v>60</v>
      </c>
      <c r="T1452" s="4">
        <v>1</v>
      </c>
      <c r="U1452" s="4">
        <v>-37.786249480000002</v>
      </c>
      <c r="V1452" s="4">
        <v>175.28040729</v>
      </c>
      <c r="W1452" s="4"/>
      <c r="X1452" s="5">
        <v>40140</v>
      </c>
      <c r="Y1452" s="4"/>
      <c r="Z1452" s="5">
        <v>40162</v>
      </c>
      <c r="AA1452" s="4" t="s">
        <v>145</v>
      </c>
      <c r="AB1452" s="3" t="str">
        <f>HYPERLINK("https://sitebase.nzcomms.co.nz/spm/spmcandidateview/AKL-007-106-A/","AKL-007-106-A")</f>
        <v>AKL-007-106-A</v>
      </c>
      <c r="AC1452" s="4" t="b">
        <v>1</v>
      </c>
      <c r="AD1452" s="4" t="b">
        <v>1</v>
      </c>
      <c r="AE1452" s="5">
        <v>40199</v>
      </c>
      <c r="AF1452" s="4"/>
      <c r="AG1452" s="4" t="b">
        <v>0</v>
      </c>
      <c r="AH1452" s="4" t="s">
        <v>4349</v>
      </c>
      <c r="AI1452" s="4"/>
      <c r="AJ1452" s="5">
        <v>40249</v>
      </c>
      <c r="AK1452" s="4"/>
      <c r="AL1452" s="4"/>
      <c r="AM1452" s="5">
        <v>40282</v>
      </c>
      <c r="AN1452" s="5">
        <v>40283</v>
      </c>
      <c r="AO1452" s="4">
        <v>7</v>
      </c>
      <c r="AP1452" s="5">
        <v>40449</v>
      </c>
      <c r="AQ1452" s="5">
        <v>41059</v>
      </c>
      <c r="AR1452" s="5">
        <v>40298</v>
      </c>
      <c r="AS1452" s="5">
        <v>40289</v>
      </c>
      <c r="AT1452" s="5">
        <v>40574</v>
      </c>
      <c r="AU1452" s="5">
        <v>40582</v>
      </c>
      <c r="AV1452" s="4">
        <v>6</v>
      </c>
      <c r="AW1452" s="5">
        <v>40574</v>
      </c>
      <c r="AX1452" s="5">
        <v>40683</v>
      </c>
      <c r="AY1452" s="4" t="s">
        <v>183</v>
      </c>
      <c r="AZ1452" s="5">
        <v>40296</v>
      </c>
      <c r="BA1452" s="5">
        <v>40298</v>
      </c>
      <c r="BB1452" s="5">
        <v>40435</v>
      </c>
      <c r="BC1452" s="5">
        <v>40430</v>
      </c>
      <c r="BD1452" s="4">
        <v>4</v>
      </c>
      <c r="BE1452" s="5">
        <v>40438</v>
      </c>
      <c r="BF1452" s="5">
        <v>40443</v>
      </c>
      <c r="BG1452" s="4"/>
      <c r="BH1452" s="4"/>
      <c r="BI1452" s="5">
        <v>40620</v>
      </c>
      <c r="BJ1452" s="5">
        <v>40648</v>
      </c>
      <c r="BK1452" s="4">
        <v>1</v>
      </c>
      <c r="BL1452" s="4"/>
      <c r="BM1452" s="5">
        <v>40619</v>
      </c>
      <c r="BN1452" s="5">
        <v>40648</v>
      </c>
      <c r="BO1452" s="5">
        <v>40659</v>
      </c>
      <c r="BP1452" s="4"/>
      <c r="BQ1452" s="4"/>
      <c r="BR1452" s="4"/>
      <c r="BS1452" s="4"/>
      <c r="BT1452" s="5">
        <v>40626</v>
      </c>
      <c r="BU1452" s="5">
        <v>40626</v>
      </c>
      <c r="BV1452" s="5">
        <v>40663</v>
      </c>
      <c r="BW1452" s="5">
        <v>40676</v>
      </c>
      <c r="BX1452" s="5">
        <v>40678</v>
      </c>
      <c r="BY1452" s="5">
        <v>40672</v>
      </c>
      <c r="BZ1452" s="5">
        <v>40678</v>
      </c>
      <c r="CA1452" s="4"/>
      <c r="CB1452" s="4"/>
      <c r="CC1452" s="4"/>
      <c r="CD1452" s="4"/>
      <c r="CE1452" s="4"/>
      <c r="CF1452" s="4"/>
      <c r="CG1452" s="4"/>
      <c r="CH1452" s="5">
        <v>40675</v>
      </c>
      <c r="CI1452" s="5">
        <v>40678</v>
      </c>
      <c r="CJ1452" s="5">
        <v>40755</v>
      </c>
      <c r="CK1452" s="5">
        <v>40752</v>
      </c>
      <c r="CL1452" s="5">
        <v>40755</v>
      </c>
      <c r="CM1452" s="5">
        <v>40751</v>
      </c>
      <c r="CN1452" s="5">
        <v>40841</v>
      </c>
      <c r="CO1452" s="5">
        <v>40967</v>
      </c>
      <c r="CP1452" s="4" t="s">
        <v>4350</v>
      </c>
      <c r="CQ1452" s="4" t="s">
        <v>1657</v>
      </c>
      <c r="CR1452" s="5">
        <v>40676</v>
      </c>
      <c r="CS1452" s="5">
        <v>40651</v>
      </c>
      <c r="CT1452" s="5">
        <v>40651</v>
      </c>
      <c r="CU1452" s="5">
        <v>40673</v>
      </c>
      <c r="CV1452" s="5">
        <v>40673</v>
      </c>
      <c r="CW1452" s="5">
        <v>40659</v>
      </c>
      <c r="CX1452" s="5">
        <v>40659</v>
      </c>
      <c r="CY1452" s="5">
        <v>40672</v>
      </c>
      <c r="CZ1452" s="5">
        <v>40678</v>
      </c>
      <c r="DA1452" s="4"/>
      <c r="DB1452" s="5">
        <v>40742</v>
      </c>
      <c r="DC1452" s="4"/>
      <c r="DD1452" s="4"/>
      <c r="DE1452" s="4"/>
      <c r="DF1452" s="4"/>
      <c r="DG1452" s="4"/>
      <c r="DH1452" s="4"/>
      <c r="DI1452" s="4"/>
      <c r="DJ1452" s="4" t="b">
        <v>0</v>
      </c>
      <c r="DK1452" s="4"/>
      <c r="DL1452" s="4">
        <v>2711051</v>
      </c>
      <c r="DM1452" s="4">
        <v>6377080</v>
      </c>
      <c r="DN1452" s="4" t="s">
        <v>4351</v>
      </c>
      <c r="DO1452" s="4"/>
      <c r="DP1452" s="4" t="s">
        <v>4352</v>
      </c>
      <c r="DQ1452" s="4" t="s">
        <v>148</v>
      </c>
      <c r="DR1452" s="4"/>
      <c r="DS1452" s="4"/>
      <c r="DT1452" s="5">
        <v>41906</v>
      </c>
      <c r="DU1452" s="4"/>
      <c r="DV1452" s="4"/>
      <c r="DW1452" s="4"/>
      <c r="DX1452" s="4"/>
      <c r="DY1452" s="4"/>
      <c r="DZ1452" s="4"/>
      <c r="EA1452" s="4"/>
      <c r="EB1452" s="4"/>
      <c r="EC1452" s="4"/>
      <c r="ED1452" s="4"/>
      <c r="EE1452" s="4"/>
      <c r="EF1452" s="4"/>
      <c r="EG1452" s="4"/>
      <c r="EH1452" s="5">
        <v>40742</v>
      </c>
      <c r="EI1452" s="5">
        <v>40219</v>
      </c>
    </row>
    <row r="1453" spans="1:139" hidden="1" x14ac:dyDescent="0.2">
      <c r="A1453">
        <f>VLOOKUP(B1453,Sheet1!$A$1:$B$18,2,FALSE)</f>
        <v>0</v>
      </c>
      <c r="B1453" t="str">
        <f>LEFT(D1453,3)</f>
        <v>WKT</v>
      </c>
      <c r="C1453" s="2">
        <v>1452</v>
      </c>
      <c r="D1453" s="3" t="str">
        <f>HYPERLINK("https://sitebase.nzcomms.co.nz/spm/spmnominalview/WKT-016-024/","WKT-016-024")</f>
        <v>WKT-016-024</v>
      </c>
      <c r="E1453" s="4" t="s">
        <v>4353</v>
      </c>
      <c r="F1453" s="3" t="str">
        <f>HYPERLINK("https://sitebase.nzcomms.co.nz/spm/spmcandidateview/WKT-016-024-C/","WKT-016-024-C")</f>
        <v>WKT-016-024-C</v>
      </c>
      <c r="G1453" s="4" t="s">
        <v>4354</v>
      </c>
      <c r="H1453" s="4" t="s">
        <v>4251</v>
      </c>
      <c r="I1453" s="4">
        <v>10</v>
      </c>
      <c r="J1453" s="4" t="s">
        <v>1633</v>
      </c>
      <c r="K1453" s="4" t="s">
        <v>141</v>
      </c>
      <c r="L1453" s="4" t="s">
        <v>189</v>
      </c>
      <c r="M1453" s="4" t="s">
        <v>190</v>
      </c>
      <c r="N1453" s="4" t="s">
        <v>274</v>
      </c>
      <c r="O1453" s="4" t="s">
        <v>4355</v>
      </c>
      <c r="P1453" s="4" t="s">
        <v>182</v>
      </c>
      <c r="Q1453" s="4" t="s">
        <v>192</v>
      </c>
      <c r="R1453" s="4">
        <v>15</v>
      </c>
      <c r="S1453" s="4">
        <v>15.5</v>
      </c>
      <c r="T1453" s="4">
        <v>1</v>
      </c>
      <c r="U1453" s="4">
        <v>-37.730711159999998</v>
      </c>
      <c r="V1453" s="4">
        <v>175.27222663000001</v>
      </c>
      <c r="W1453" s="4"/>
      <c r="X1453" s="5">
        <v>40140</v>
      </c>
      <c r="Y1453" s="4"/>
      <c r="Z1453" s="5">
        <v>40162</v>
      </c>
      <c r="AA1453" s="4" t="s">
        <v>171</v>
      </c>
      <c r="AB1453" s="3" t="str">
        <f>HYPERLINK("https://sitebase.nzcomms.co.nz/spm/spmcandidateview/WKT-016-032-A/","WKT-016-032-A")</f>
        <v>WKT-016-032-A</v>
      </c>
      <c r="AC1453" s="4" t="b">
        <v>1</v>
      </c>
      <c r="AD1453" s="4" t="b">
        <v>1</v>
      </c>
      <c r="AE1453" s="5">
        <v>40193</v>
      </c>
      <c r="AF1453" s="4"/>
      <c r="AG1453" s="4" t="b">
        <v>0</v>
      </c>
      <c r="AH1453" s="4" t="s">
        <v>4356</v>
      </c>
      <c r="AI1453" s="5">
        <v>40399</v>
      </c>
      <c r="AJ1453" s="5">
        <v>40399</v>
      </c>
      <c r="AK1453" s="4"/>
      <c r="AL1453" s="4"/>
      <c r="AM1453" s="5">
        <v>40406</v>
      </c>
      <c r="AN1453" s="5">
        <v>40407</v>
      </c>
      <c r="AO1453" s="4">
        <v>2</v>
      </c>
      <c r="AP1453" s="5">
        <v>40406</v>
      </c>
      <c r="AQ1453" s="5">
        <v>40519</v>
      </c>
      <c r="AR1453" s="5">
        <v>40421</v>
      </c>
      <c r="AS1453" s="5">
        <v>40429</v>
      </c>
      <c r="AT1453" s="5">
        <v>40473</v>
      </c>
      <c r="AU1453" s="5">
        <v>40472</v>
      </c>
      <c r="AV1453" s="4">
        <v>1</v>
      </c>
      <c r="AW1453" s="5">
        <v>40513</v>
      </c>
      <c r="AX1453" s="5">
        <v>40878</v>
      </c>
      <c r="AY1453" s="4" t="s">
        <v>198</v>
      </c>
      <c r="AZ1453" s="5">
        <v>40413</v>
      </c>
      <c r="BA1453" s="5">
        <v>40410</v>
      </c>
      <c r="BB1453" s="5">
        <v>40448</v>
      </c>
      <c r="BC1453" s="5">
        <v>40422</v>
      </c>
      <c r="BD1453" s="4">
        <v>1</v>
      </c>
      <c r="BE1453" s="5">
        <v>40455</v>
      </c>
      <c r="BF1453" s="5">
        <v>40427</v>
      </c>
      <c r="BG1453" s="4"/>
      <c r="BH1453" s="4"/>
      <c r="BI1453" s="5">
        <v>40630</v>
      </c>
      <c r="BJ1453" s="5">
        <v>40676</v>
      </c>
      <c r="BK1453" s="4">
        <v>1</v>
      </c>
      <c r="BL1453" s="4"/>
      <c r="BM1453" s="5">
        <v>40624</v>
      </c>
      <c r="BN1453" s="5">
        <v>40676</v>
      </c>
      <c r="BO1453" s="5">
        <v>40686</v>
      </c>
      <c r="BP1453" s="4"/>
      <c r="BQ1453" s="4"/>
      <c r="BR1453" s="5">
        <v>40645</v>
      </c>
      <c r="BS1453" s="4"/>
      <c r="BT1453" s="5">
        <v>40686</v>
      </c>
      <c r="BU1453" s="5">
        <v>40687</v>
      </c>
      <c r="BV1453" s="5">
        <v>40690</v>
      </c>
      <c r="BW1453" s="5">
        <v>40695</v>
      </c>
      <c r="BX1453" s="5">
        <v>40703</v>
      </c>
      <c r="BY1453" s="5">
        <v>40715</v>
      </c>
      <c r="BZ1453" s="5">
        <v>40705</v>
      </c>
      <c r="CA1453" s="4"/>
      <c r="CB1453" s="4"/>
      <c r="CC1453" s="4"/>
      <c r="CD1453" s="5">
        <v>40581</v>
      </c>
      <c r="CE1453" s="4"/>
      <c r="CF1453" s="4"/>
      <c r="CG1453" s="4"/>
      <c r="CH1453" s="5">
        <v>40675</v>
      </c>
      <c r="CI1453" s="5">
        <v>40723</v>
      </c>
      <c r="CJ1453" s="5">
        <v>40755</v>
      </c>
      <c r="CK1453" s="5">
        <v>40752</v>
      </c>
      <c r="CL1453" s="5">
        <v>40755</v>
      </c>
      <c r="CM1453" s="5">
        <v>40749</v>
      </c>
      <c r="CN1453" s="5">
        <v>40855</v>
      </c>
      <c r="CO1453" s="5">
        <v>40878</v>
      </c>
      <c r="CP1453" s="4" t="s">
        <v>4357</v>
      </c>
      <c r="CQ1453" s="4"/>
      <c r="CR1453" s="5">
        <v>40720</v>
      </c>
      <c r="CS1453" s="5">
        <v>40686</v>
      </c>
      <c r="CT1453" s="5">
        <v>40686</v>
      </c>
      <c r="CU1453" s="5">
        <v>40688</v>
      </c>
      <c r="CV1453" s="5">
        <v>40687</v>
      </c>
      <c r="CW1453" s="5">
        <v>40686</v>
      </c>
      <c r="CX1453" s="5">
        <v>40686</v>
      </c>
      <c r="CY1453" s="5">
        <v>40710</v>
      </c>
      <c r="CZ1453" s="5">
        <v>40711</v>
      </c>
      <c r="DA1453" s="4"/>
      <c r="DB1453" s="5">
        <v>40737</v>
      </c>
      <c r="DC1453" s="4"/>
      <c r="DD1453" s="4"/>
      <c r="DE1453" s="4"/>
      <c r="DF1453" s="4"/>
      <c r="DG1453" s="4"/>
      <c r="DH1453" s="4"/>
      <c r="DI1453" s="4"/>
      <c r="DJ1453" s="4" t="b">
        <v>1</v>
      </c>
      <c r="DK1453" s="4"/>
      <c r="DL1453" s="4">
        <v>2710490</v>
      </c>
      <c r="DM1453" s="4">
        <v>6383260</v>
      </c>
      <c r="DN1453" s="4" t="s">
        <v>4358</v>
      </c>
      <c r="DO1453" s="4"/>
      <c r="DP1453" s="4"/>
      <c r="DQ1453" s="4" t="s">
        <v>148</v>
      </c>
      <c r="DR1453" s="4"/>
      <c r="DS1453" s="4"/>
      <c r="DT1453" s="4"/>
      <c r="DU1453" s="4"/>
      <c r="DV1453" s="4"/>
      <c r="DW1453" s="4"/>
      <c r="DX1453" s="4"/>
      <c r="DY1453" s="4"/>
      <c r="DZ1453" s="4"/>
      <c r="EA1453" s="4"/>
      <c r="EB1453" s="4"/>
      <c r="EC1453" s="4"/>
      <c r="ED1453" s="4"/>
      <c r="EE1453" s="4"/>
      <c r="EF1453" s="4"/>
      <c r="EG1453" s="4"/>
      <c r="EH1453" s="5">
        <v>40737</v>
      </c>
      <c r="EI1453" s="4"/>
    </row>
    <row r="1454" spans="1:139" hidden="1" x14ac:dyDescent="0.2">
      <c r="A1454">
        <f>VLOOKUP(B1454,Sheet1!$A$1:$B$18,2,FALSE)</f>
        <v>0</v>
      </c>
      <c r="B1454" t="str">
        <f>LEFT(D1454,3)</f>
        <v>WKT</v>
      </c>
      <c r="C1454" s="2">
        <v>1453</v>
      </c>
      <c r="D1454" s="3" t="str">
        <f>HYPERLINK("https://sitebase.nzcomms.co.nz/spm/spmnominalview/WKT-016-025/","WKT-016-025")</f>
        <v>WKT-016-025</v>
      </c>
      <c r="E1454" s="4" t="s">
        <v>4359</v>
      </c>
      <c r="F1454" s="3" t="str">
        <f>HYPERLINK("https://sitebase.nzcomms.co.nz/spm/spmcandidateview/WKT-016-025-D/","WKT-016-025-D")</f>
        <v>WKT-016-025-D</v>
      </c>
      <c r="G1454" s="4" t="s">
        <v>4360</v>
      </c>
      <c r="H1454" s="4" t="s">
        <v>4251</v>
      </c>
      <c r="I1454" s="4">
        <v>10</v>
      </c>
      <c r="J1454" s="4" t="s">
        <v>1633</v>
      </c>
      <c r="K1454" s="4" t="s">
        <v>141</v>
      </c>
      <c r="L1454" s="4" t="s">
        <v>189</v>
      </c>
      <c r="M1454" s="4" t="s">
        <v>571</v>
      </c>
      <c r="N1454" s="4" t="s">
        <v>274</v>
      </c>
      <c r="O1454" s="4" t="s">
        <v>4355</v>
      </c>
      <c r="P1454" s="4" t="s">
        <v>182</v>
      </c>
      <c r="Q1454" s="4" t="s">
        <v>192</v>
      </c>
      <c r="R1454" s="4">
        <v>15</v>
      </c>
      <c r="S1454" s="4">
        <v>15.5</v>
      </c>
      <c r="T1454" s="4">
        <v>1</v>
      </c>
      <c r="U1454" s="4">
        <v>-37.76805804</v>
      </c>
      <c r="V1454" s="4">
        <v>175.28090306000001</v>
      </c>
      <c r="W1454" s="4"/>
      <c r="X1454" s="5">
        <v>40140</v>
      </c>
      <c r="Y1454" s="4"/>
      <c r="Z1454" s="5">
        <v>40162</v>
      </c>
      <c r="AA1454" s="4" t="s">
        <v>171</v>
      </c>
      <c r="AB1454" s="3" t="str">
        <f>HYPERLINK("https://sitebase.nzcomms.co.nz/spm/spmcandidateview/WKT-016-023-B/","WKT-016-023-B")</f>
        <v>WKT-016-023-B</v>
      </c>
      <c r="AC1454" s="4" t="b">
        <v>1</v>
      </c>
      <c r="AD1454" s="4" t="b">
        <v>1</v>
      </c>
      <c r="AE1454" s="5">
        <v>40233</v>
      </c>
      <c r="AF1454" s="4"/>
      <c r="AG1454" s="4" t="b">
        <v>0</v>
      </c>
      <c r="AH1454" s="4" t="s">
        <v>4265</v>
      </c>
      <c r="AI1454" s="5">
        <v>40249</v>
      </c>
      <c r="AJ1454" s="5">
        <v>40240</v>
      </c>
      <c r="AK1454" s="4"/>
      <c r="AL1454" s="4"/>
      <c r="AM1454" s="5">
        <v>40263</v>
      </c>
      <c r="AN1454" s="5">
        <v>40262</v>
      </c>
      <c r="AO1454" s="4">
        <v>3</v>
      </c>
      <c r="AP1454" s="5">
        <v>40289</v>
      </c>
      <c r="AQ1454" s="5">
        <v>40563</v>
      </c>
      <c r="AR1454" s="5">
        <v>40298</v>
      </c>
      <c r="AS1454" s="5">
        <v>40295</v>
      </c>
      <c r="AT1454" s="5">
        <v>40354</v>
      </c>
      <c r="AU1454" s="5">
        <v>40347</v>
      </c>
      <c r="AV1454" s="4">
        <v>2</v>
      </c>
      <c r="AW1454" s="5">
        <v>40431</v>
      </c>
      <c r="AX1454" s="5">
        <v>40429</v>
      </c>
      <c r="AY1454" s="4" t="s">
        <v>247</v>
      </c>
      <c r="AZ1454" s="5">
        <v>40291</v>
      </c>
      <c r="BA1454" s="5">
        <v>40575</v>
      </c>
      <c r="BB1454" s="5">
        <v>40322</v>
      </c>
      <c r="BC1454" s="5">
        <v>40595</v>
      </c>
      <c r="BD1454" s="4">
        <v>3</v>
      </c>
      <c r="BE1454" s="5">
        <v>40329</v>
      </c>
      <c r="BF1454" s="5">
        <v>40324</v>
      </c>
      <c r="BG1454" s="4"/>
      <c r="BH1454" s="4"/>
      <c r="BI1454" s="5">
        <v>40681</v>
      </c>
      <c r="BJ1454" s="5">
        <v>40725</v>
      </c>
      <c r="BK1454" s="4">
        <v>1</v>
      </c>
      <c r="BL1454" s="4"/>
      <c r="BM1454" s="5">
        <v>40674</v>
      </c>
      <c r="BN1454" s="5">
        <v>40725</v>
      </c>
      <c r="BO1454" s="5">
        <v>40756</v>
      </c>
      <c r="BP1454" s="4"/>
      <c r="BQ1454" s="4"/>
      <c r="BR1454" s="5">
        <v>40645</v>
      </c>
      <c r="BS1454" s="4"/>
      <c r="BT1454" s="5">
        <v>40743</v>
      </c>
      <c r="BU1454" s="5">
        <v>40744</v>
      </c>
      <c r="BV1454" s="5">
        <v>40767</v>
      </c>
      <c r="BW1454" s="5">
        <v>40777</v>
      </c>
      <c r="BX1454" s="5">
        <v>40765</v>
      </c>
      <c r="BY1454" s="5">
        <v>40765</v>
      </c>
      <c r="BZ1454" s="5">
        <v>40774</v>
      </c>
      <c r="CA1454" s="4"/>
      <c r="CB1454" s="4"/>
      <c r="CC1454" s="4"/>
      <c r="CD1454" s="5">
        <v>40581</v>
      </c>
      <c r="CE1454" s="4"/>
      <c r="CF1454" s="4"/>
      <c r="CG1454" s="4"/>
      <c r="CH1454" s="5">
        <v>40675</v>
      </c>
      <c r="CI1454" s="5">
        <v>40780</v>
      </c>
      <c r="CJ1454" s="5">
        <v>40787</v>
      </c>
      <c r="CK1454" s="5">
        <v>40780</v>
      </c>
      <c r="CL1454" s="5">
        <v>40798</v>
      </c>
      <c r="CM1454" s="5">
        <v>40795</v>
      </c>
      <c r="CN1454" s="5">
        <v>40900</v>
      </c>
      <c r="CO1454" s="5">
        <v>40899</v>
      </c>
      <c r="CP1454" s="4" t="s">
        <v>4361</v>
      </c>
      <c r="CQ1454" s="4"/>
      <c r="CR1454" s="5">
        <v>40769</v>
      </c>
      <c r="CS1454" s="5">
        <v>40728</v>
      </c>
      <c r="CT1454" s="5">
        <v>40728</v>
      </c>
      <c r="CU1454" s="5">
        <v>40756</v>
      </c>
      <c r="CV1454" s="5">
        <v>40756</v>
      </c>
      <c r="CW1454" s="5">
        <v>40742</v>
      </c>
      <c r="CX1454" s="5">
        <v>40756</v>
      </c>
      <c r="CY1454" s="5">
        <v>40778</v>
      </c>
      <c r="CZ1454" s="5">
        <v>40779</v>
      </c>
      <c r="DA1454" s="4"/>
      <c r="DB1454" s="5">
        <v>40780</v>
      </c>
      <c r="DC1454" s="4"/>
      <c r="DD1454" s="4"/>
      <c r="DE1454" s="4"/>
      <c r="DF1454" s="4"/>
      <c r="DG1454" s="4"/>
      <c r="DH1454" s="4"/>
      <c r="DI1454" s="5">
        <v>40765</v>
      </c>
      <c r="DJ1454" s="4" t="b">
        <v>1</v>
      </c>
      <c r="DK1454" s="4"/>
      <c r="DL1454" s="4">
        <v>2711147</v>
      </c>
      <c r="DM1454" s="4">
        <v>6379097</v>
      </c>
      <c r="DN1454" s="4" t="s">
        <v>4362</v>
      </c>
      <c r="DO1454" s="4"/>
      <c r="DP1454" s="4" t="s">
        <v>4363</v>
      </c>
      <c r="DQ1454" s="4" t="s">
        <v>148</v>
      </c>
      <c r="DR1454" s="4"/>
      <c r="DS1454" s="4"/>
      <c r="DT1454" s="5">
        <v>41906</v>
      </c>
      <c r="DU1454" s="4"/>
      <c r="DV1454" s="4"/>
      <c r="DW1454" s="4"/>
      <c r="DX1454" s="4"/>
      <c r="DY1454" s="4"/>
      <c r="DZ1454" s="4"/>
      <c r="EA1454" s="4"/>
      <c r="EB1454" s="4"/>
      <c r="EC1454" s="4"/>
      <c r="ED1454" s="4"/>
      <c r="EE1454" s="4"/>
      <c r="EF1454" s="4"/>
      <c r="EG1454" s="5">
        <v>40777</v>
      </c>
      <c r="EH1454" s="5">
        <v>40780</v>
      </c>
      <c r="EI1454" s="5">
        <v>40247</v>
      </c>
    </row>
    <row r="1455" spans="1:139" hidden="1" x14ac:dyDescent="0.2">
      <c r="A1455">
        <f>VLOOKUP(B1455,Sheet1!$A$1:$B$18,2,FALSE)</f>
        <v>0</v>
      </c>
      <c r="B1455" t="str">
        <f>LEFT(D1455,3)</f>
        <v>WKT</v>
      </c>
      <c r="C1455" s="2">
        <v>1454</v>
      </c>
      <c r="D1455" s="3" t="str">
        <f>HYPERLINK("https://sitebase.nzcomms.co.nz/spm/spmnominalview/WKT-016-026/","WKT-016-026")</f>
        <v>WKT-016-026</v>
      </c>
      <c r="E1455" s="4" t="s">
        <v>4364</v>
      </c>
      <c r="F1455" s="4"/>
      <c r="G1455" s="4"/>
      <c r="H1455" s="4" t="s">
        <v>4251</v>
      </c>
      <c r="I1455" s="4"/>
      <c r="J1455" s="4" t="s">
        <v>196</v>
      </c>
      <c r="K1455" s="4"/>
      <c r="L1455" s="4"/>
      <c r="M1455" s="4"/>
      <c r="N1455" s="4"/>
      <c r="O1455" s="4"/>
      <c r="P1455" s="4"/>
      <c r="Q1455" s="4"/>
      <c r="R1455" s="4"/>
      <c r="S1455" s="4"/>
      <c r="T1455" s="4"/>
      <c r="U1455" s="4"/>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c r="AT1455" s="4"/>
      <c r="AU1455" s="4"/>
      <c r="AV1455" s="4"/>
      <c r="AW1455" s="4"/>
      <c r="AX1455" s="4"/>
      <c r="AY1455" s="4"/>
      <c r="AZ1455" s="4"/>
      <c r="BA1455" s="4"/>
      <c r="BB1455" s="4"/>
      <c r="BC1455" s="4"/>
      <c r="BD1455" s="4"/>
      <c r="BE1455" s="4"/>
      <c r="BF1455" s="4"/>
      <c r="BG1455" s="4"/>
      <c r="BH1455" s="4"/>
      <c r="BI1455" s="4"/>
      <c r="BJ1455" s="4"/>
      <c r="BK1455" s="4"/>
      <c r="BL1455" s="4"/>
      <c r="BM1455" s="4"/>
      <c r="BN1455" s="4"/>
      <c r="BO1455" s="4"/>
      <c r="BP1455" s="4"/>
      <c r="BQ1455" s="4"/>
      <c r="BR1455" s="4"/>
      <c r="BS1455" s="4"/>
      <c r="BT1455" s="4"/>
      <c r="BU1455" s="4"/>
      <c r="BV1455" s="4"/>
      <c r="BW1455" s="4"/>
      <c r="BX1455" s="4"/>
      <c r="BY1455" s="4"/>
      <c r="BZ1455" s="4"/>
      <c r="CA1455" s="4"/>
      <c r="CB1455" s="4"/>
      <c r="CC1455" s="4"/>
      <c r="CD1455" s="4"/>
      <c r="CE1455" s="4"/>
      <c r="CF1455" s="4"/>
      <c r="CG1455" s="4"/>
      <c r="CH1455" s="4"/>
      <c r="CI1455" s="4"/>
      <c r="CJ1455" s="4"/>
      <c r="CK1455" s="4"/>
      <c r="CL1455" s="4"/>
      <c r="CM1455" s="4"/>
      <c r="CN1455" s="4"/>
      <c r="CO1455" s="4"/>
      <c r="CP1455" s="4" t="s">
        <v>4365</v>
      </c>
      <c r="CQ1455" s="4"/>
      <c r="CR1455" s="4"/>
      <c r="CS1455" s="4"/>
      <c r="CT1455" s="4"/>
      <c r="CU1455" s="4"/>
      <c r="CV1455" s="4"/>
      <c r="CW1455" s="4"/>
      <c r="CX1455" s="4"/>
      <c r="CY1455" s="4"/>
      <c r="CZ1455" s="4"/>
      <c r="DA1455" s="4"/>
      <c r="DB1455" s="4"/>
      <c r="DC1455" s="4"/>
      <c r="DD1455" s="4"/>
      <c r="DE1455" s="4"/>
      <c r="DF1455" s="4"/>
      <c r="DG1455" s="4"/>
      <c r="DH1455" s="4"/>
      <c r="DI1455" s="4"/>
      <c r="DJ1455" s="4"/>
      <c r="DK1455" s="4"/>
      <c r="DL1455" s="4"/>
      <c r="DM1455" s="4"/>
      <c r="DN1455" s="4"/>
      <c r="DO1455" s="4"/>
      <c r="DP1455" s="4"/>
      <c r="DQ1455" s="4"/>
      <c r="DR1455" s="4"/>
      <c r="DS1455" s="4"/>
      <c r="DT1455" s="4"/>
      <c r="DU1455" s="4"/>
      <c r="DV1455" s="4"/>
      <c r="DW1455" s="4"/>
      <c r="DX1455" s="4"/>
      <c r="DY1455" s="4"/>
      <c r="DZ1455" s="4"/>
      <c r="EA1455" s="4"/>
      <c r="EB1455" s="4"/>
      <c r="EC1455" s="4"/>
      <c r="ED1455" s="4"/>
      <c r="EE1455" s="4"/>
      <c r="EF1455" s="4"/>
      <c r="EG1455" s="4"/>
      <c r="EH1455" s="4"/>
      <c r="EI1455" s="4"/>
    </row>
    <row r="1456" spans="1:139" hidden="1" x14ac:dyDescent="0.2">
      <c r="A1456">
        <f>VLOOKUP(B1456,Sheet1!$A$1:$B$18,2,FALSE)</f>
        <v>0</v>
      </c>
      <c r="B1456" t="str">
        <f>LEFT(D1456,3)</f>
        <v>WKT</v>
      </c>
      <c r="C1456" s="2">
        <v>1455</v>
      </c>
      <c r="D1456" s="3" t="str">
        <f>HYPERLINK("https://sitebase.nzcomms.co.nz/spm/spmnominalview/WKT-016-027/","WKT-016-027")</f>
        <v>WKT-016-027</v>
      </c>
      <c r="E1456" s="4" t="s">
        <v>4366</v>
      </c>
      <c r="F1456" s="3" t="str">
        <f>HYPERLINK("https://sitebase.nzcomms.co.nz/spm/spmcandidateview/WKT-016-027-A/","WKT-016-027-A")</f>
        <v>WKT-016-027-A</v>
      </c>
      <c r="G1456" s="4" t="s">
        <v>4367</v>
      </c>
      <c r="H1456" s="4" t="s">
        <v>4251</v>
      </c>
      <c r="I1456" s="4">
        <v>10</v>
      </c>
      <c r="J1456" s="4" t="s">
        <v>1633</v>
      </c>
      <c r="K1456" s="4" t="s">
        <v>141</v>
      </c>
      <c r="L1456" s="4" t="s">
        <v>142</v>
      </c>
      <c r="M1456" s="4" t="s">
        <v>190</v>
      </c>
      <c r="N1456" s="4" t="s">
        <v>142</v>
      </c>
      <c r="O1456" s="4" t="s">
        <v>144</v>
      </c>
      <c r="P1456" s="4" t="s">
        <v>169</v>
      </c>
      <c r="Q1456" s="4" t="s">
        <v>142</v>
      </c>
      <c r="R1456" s="4">
        <v>23.4</v>
      </c>
      <c r="S1456" s="4">
        <v>25</v>
      </c>
      <c r="T1456" s="4">
        <v>1</v>
      </c>
      <c r="U1456" s="4">
        <v>-37.79459739</v>
      </c>
      <c r="V1456" s="4">
        <v>175.23258532</v>
      </c>
      <c r="W1456" s="4"/>
      <c r="X1456" s="5">
        <v>40140</v>
      </c>
      <c r="Y1456" s="4"/>
      <c r="Z1456" s="5">
        <v>40162</v>
      </c>
      <c r="AA1456" s="4" t="s">
        <v>171</v>
      </c>
      <c r="AB1456" s="3" t="str">
        <f>HYPERLINK("https://sitebase.nzcomms.co.nz/spm/spmcandidateview/WKT-016-021-G/","WKT-016-021-G")</f>
        <v>WKT-016-021-G</v>
      </c>
      <c r="AC1456" s="4" t="b">
        <v>1</v>
      </c>
      <c r="AD1456" s="4" t="b">
        <v>1</v>
      </c>
      <c r="AE1456" s="5">
        <v>40193</v>
      </c>
      <c r="AF1456" s="4"/>
      <c r="AG1456" s="4" t="b">
        <v>0</v>
      </c>
      <c r="AH1456" s="4"/>
      <c r="AI1456" s="5">
        <v>40277</v>
      </c>
      <c r="AJ1456" s="5">
        <v>40254</v>
      </c>
      <c r="AK1456" s="4"/>
      <c r="AL1456" s="4"/>
      <c r="AM1456" s="5">
        <v>40277</v>
      </c>
      <c r="AN1456" s="5">
        <v>40260</v>
      </c>
      <c r="AO1456" s="4">
        <v>4</v>
      </c>
      <c r="AP1456" s="5">
        <v>40325</v>
      </c>
      <c r="AQ1456" s="5">
        <v>40477</v>
      </c>
      <c r="AR1456" s="5">
        <v>40305</v>
      </c>
      <c r="AS1456" s="5">
        <v>40305</v>
      </c>
      <c r="AT1456" s="5">
        <v>40574</v>
      </c>
      <c r="AU1456" s="5">
        <v>40575</v>
      </c>
      <c r="AV1456" s="4"/>
      <c r="AW1456" s="5">
        <v>40574</v>
      </c>
      <c r="AX1456" s="4"/>
      <c r="AY1456" s="4" t="s">
        <v>247</v>
      </c>
      <c r="AZ1456" s="5">
        <v>40312</v>
      </c>
      <c r="BA1456" s="5">
        <v>40325</v>
      </c>
      <c r="BB1456" s="5">
        <v>40354</v>
      </c>
      <c r="BC1456" s="5">
        <v>40329</v>
      </c>
      <c r="BD1456" s="4">
        <v>2</v>
      </c>
      <c r="BE1456" s="5">
        <v>40361</v>
      </c>
      <c r="BF1456" s="5">
        <v>40331</v>
      </c>
      <c r="BG1456" s="4"/>
      <c r="BH1456" s="4"/>
      <c r="BI1456" s="5">
        <v>40683</v>
      </c>
      <c r="BJ1456" s="5">
        <v>40707</v>
      </c>
      <c r="BK1456" s="4">
        <v>2</v>
      </c>
      <c r="BL1456" s="4"/>
      <c r="BM1456" s="5">
        <v>40680</v>
      </c>
      <c r="BN1456" s="5">
        <v>40728</v>
      </c>
      <c r="BO1456" s="5">
        <v>40711</v>
      </c>
      <c r="BP1456" s="4"/>
      <c r="BQ1456" s="4"/>
      <c r="BR1456" s="4"/>
      <c r="BS1456" s="4"/>
      <c r="BT1456" s="5">
        <v>40704</v>
      </c>
      <c r="BU1456" s="5">
        <v>40704</v>
      </c>
      <c r="BV1456" s="5">
        <v>40711</v>
      </c>
      <c r="BW1456" s="5">
        <v>40711</v>
      </c>
      <c r="BX1456" s="5">
        <v>40708</v>
      </c>
      <c r="BY1456" s="5">
        <v>40712</v>
      </c>
      <c r="BZ1456" s="5">
        <v>40711</v>
      </c>
      <c r="CA1456" s="4"/>
      <c r="CB1456" s="4"/>
      <c r="CC1456" s="4"/>
      <c r="CD1456" s="5">
        <v>40581</v>
      </c>
      <c r="CE1456" s="4"/>
      <c r="CF1456" s="4"/>
      <c r="CG1456" s="4"/>
      <c r="CH1456" s="5">
        <v>40675</v>
      </c>
      <c r="CI1456" s="5">
        <v>40714</v>
      </c>
      <c r="CJ1456" s="5">
        <v>40755</v>
      </c>
      <c r="CK1456" s="5">
        <v>40752</v>
      </c>
      <c r="CL1456" s="5">
        <v>40755</v>
      </c>
      <c r="CM1456" s="5">
        <v>40736</v>
      </c>
      <c r="CN1456" s="5">
        <v>40842</v>
      </c>
      <c r="CO1456" s="5">
        <v>40878</v>
      </c>
      <c r="CP1456" s="4" t="s">
        <v>4368</v>
      </c>
      <c r="CQ1456" s="4" t="s">
        <v>205</v>
      </c>
      <c r="CR1456" s="5">
        <v>40713</v>
      </c>
      <c r="CS1456" s="5">
        <v>40679</v>
      </c>
      <c r="CT1456" s="5">
        <v>40681</v>
      </c>
      <c r="CU1456" s="5">
        <v>40681</v>
      </c>
      <c r="CV1456" s="5">
        <v>40682</v>
      </c>
      <c r="CW1456" s="5">
        <v>40707</v>
      </c>
      <c r="CX1456" s="5">
        <v>40711</v>
      </c>
      <c r="CY1456" s="5">
        <v>40703</v>
      </c>
      <c r="CZ1456" s="5">
        <v>40711</v>
      </c>
      <c r="DA1456" s="4"/>
      <c r="DB1456" s="5">
        <v>40723</v>
      </c>
      <c r="DC1456" s="4"/>
      <c r="DD1456" s="4"/>
      <c r="DE1456" s="4"/>
      <c r="DF1456" s="4"/>
      <c r="DG1456" s="4"/>
      <c r="DH1456" s="4"/>
      <c r="DI1456" s="4"/>
      <c r="DJ1456" s="4" t="b">
        <v>0</v>
      </c>
      <c r="DK1456" s="4"/>
      <c r="DL1456" s="4">
        <v>2706817</v>
      </c>
      <c r="DM1456" s="4">
        <v>6376262</v>
      </c>
      <c r="DN1456" s="4" t="s">
        <v>4369</v>
      </c>
      <c r="DO1456" s="4"/>
      <c r="DP1456" s="4"/>
      <c r="DQ1456" s="4" t="s">
        <v>148</v>
      </c>
      <c r="DR1456" s="4"/>
      <c r="DS1456" s="4"/>
      <c r="DT1456" s="4"/>
      <c r="DU1456" s="4"/>
      <c r="DV1456" s="4"/>
      <c r="DW1456" s="4"/>
      <c r="DX1456" s="4"/>
      <c r="DY1456" s="4"/>
      <c r="DZ1456" s="4"/>
      <c r="EA1456" s="4"/>
      <c r="EB1456" s="4"/>
      <c r="EC1456" s="4"/>
      <c r="ED1456" s="4"/>
      <c r="EE1456" s="4"/>
      <c r="EF1456" s="4"/>
      <c r="EG1456" s="4"/>
      <c r="EH1456" s="5">
        <v>40723</v>
      </c>
      <c r="EI1456" s="5">
        <v>40206</v>
      </c>
    </row>
    <row r="1457" spans="1:139" hidden="1" x14ac:dyDescent="0.2">
      <c r="A1457">
        <f>VLOOKUP(B1457,Sheet1!$A$1:$B$18,2,FALSE)</f>
        <v>0</v>
      </c>
      <c r="B1457" t="str">
        <f>LEFT(D1457,3)</f>
        <v>WKT</v>
      </c>
      <c r="C1457" s="2">
        <v>1456</v>
      </c>
      <c r="D1457" s="3" t="str">
        <f>HYPERLINK("https://sitebase.nzcomms.co.nz/spm/spmnominalview/WKT-016-028/","WKT-016-028")</f>
        <v>WKT-016-028</v>
      </c>
      <c r="E1457" s="4" t="s">
        <v>4370</v>
      </c>
      <c r="F1457" s="4"/>
      <c r="G1457" s="4"/>
      <c r="H1457" s="4" t="s">
        <v>4251</v>
      </c>
      <c r="I1457" s="4"/>
      <c r="J1457" s="4" t="s">
        <v>196</v>
      </c>
      <c r="K1457" s="4"/>
      <c r="L1457" s="4"/>
      <c r="M1457" s="4"/>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c r="AT1457" s="4"/>
      <c r="AU1457" s="4"/>
      <c r="AV1457" s="4"/>
      <c r="AW1457" s="4"/>
      <c r="AX1457" s="4"/>
      <c r="AY1457" s="4"/>
      <c r="AZ1457" s="4"/>
      <c r="BA1457" s="4"/>
      <c r="BB1457" s="4"/>
      <c r="BC1457" s="4"/>
      <c r="BD1457" s="4"/>
      <c r="BE1457" s="4"/>
      <c r="BF1457" s="4"/>
      <c r="BG1457" s="4"/>
      <c r="BH1457" s="4"/>
      <c r="BI1457" s="4"/>
      <c r="BJ1457" s="4"/>
      <c r="BK1457" s="4"/>
      <c r="BL1457" s="4"/>
      <c r="BM1457" s="4"/>
      <c r="BN1457" s="4"/>
      <c r="BO1457" s="4"/>
      <c r="BP1457" s="4"/>
      <c r="BQ1457" s="4"/>
      <c r="BR1457" s="4"/>
      <c r="BS1457" s="4"/>
      <c r="BT1457" s="4"/>
      <c r="BU1457" s="4"/>
      <c r="BV1457" s="4"/>
      <c r="BW1457" s="4"/>
      <c r="BX1457" s="4"/>
      <c r="BY1457" s="4"/>
      <c r="BZ1457" s="4"/>
      <c r="CA1457" s="4"/>
      <c r="CB1457" s="4"/>
      <c r="CC1457" s="4"/>
      <c r="CD1457" s="4"/>
      <c r="CE1457" s="4"/>
      <c r="CF1457" s="4"/>
      <c r="CG1457" s="4"/>
      <c r="CH1457" s="4"/>
      <c r="CI1457" s="4"/>
      <c r="CJ1457" s="4"/>
      <c r="CK1457" s="4"/>
      <c r="CL1457" s="4"/>
      <c r="CM1457" s="4"/>
      <c r="CN1457" s="4"/>
      <c r="CO1457" s="4"/>
      <c r="CP1457" s="4" t="s">
        <v>4371</v>
      </c>
      <c r="CQ1457" s="4"/>
      <c r="CR1457" s="4"/>
      <c r="CS1457" s="4"/>
      <c r="CT1457" s="4"/>
      <c r="CU1457" s="4"/>
      <c r="CV1457" s="4"/>
      <c r="CW1457" s="4"/>
      <c r="CX1457" s="4"/>
      <c r="CY1457" s="4"/>
      <c r="CZ1457" s="4"/>
      <c r="DA1457" s="4"/>
      <c r="DB1457" s="4"/>
      <c r="DC1457" s="4"/>
      <c r="DD1457" s="4"/>
      <c r="DE1457" s="4"/>
      <c r="DF1457" s="4"/>
      <c r="DG1457" s="4"/>
      <c r="DH1457" s="4"/>
      <c r="DI1457" s="4"/>
      <c r="DJ1457" s="4"/>
      <c r="DK1457" s="4"/>
      <c r="DL1457" s="4"/>
      <c r="DM1457" s="4"/>
      <c r="DN1457" s="4"/>
      <c r="DO1457" s="4"/>
      <c r="DP1457" s="4"/>
      <c r="DQ1457" s="4"/>
      <c r="DR1457" s="4"/>
      <c r="DS1457" s="4"/>
      <c r="DT1457" s="4"/>
      <c r="DU1457" s="4"/>
      <c r="DV1457" s="4"/>
      <c r="DW1457" s="4"/>
      <c r="DX1457" s="4"/>
      <c r="DY1457" s="4"/>
      <c r="DZ1457" s="4"/>
      <c r="EA1457" s="4"/>
      <c r="EB1457" s="4"/>
      <c r="EC1457" s="4"/>
      <c r="ED1457" s="4"/>
      <c r="EE1457" s="4"/>
      <c r="EF1457" s="4"/>
      <c r="EG1457" s="4"/>
      <c r="EH1457" s="4"/>
      <c r="EI1457" s="4"/>
    </row>
    <row r="1458" spans="1:139" hidden="1" x14ac:dyDescent="0.2">
      <c r="A1458">
        <f>VLOOKUP(B1458,Sheet1!$A$1:$B$18,2,FALSE)</f>
        <v>0</v>
      </c>
      <c r="B1458" t="str">
        <f>LEFT(D1458,3)</f>
        <v>WKT</v>
      </c>
      <c r="C1458" s="2">
        <v>1457</v>
      </c>
      <c r="D1458" s="3" t="str">
        <f>HYPERLINK("https://sitebase.nzcomms.co.nz/spm/spmnominalview/WKT-016-029/","WKT-016-029")</f>
        <v>WKT-016-029</v>
      </c>
      <c r="E1458" s="4" t="s">
        <v>4372</v>
      </c>
      <c r="F1458" s="4"/>
      <c r="G1458" s="4"/>
      <c r="H1458" s="4" t="s">
        <v>4251</v>
      </c>
      <c r="I1458" s="4"/>
      <c r="J1458" s="4" t="s">
        <v>196</v>
      </c>
      <c r="K1458" s="4"/>
      <c r="L1458" s="4"/>
      <c r="M1458" s="4"/>
      <c r="N1458" s="4"/>
      <c r="O1458" s="4"/>
      <c r="P1458" s="4"/>
      <c r="Q1458" s="4"/>
      <c r="R1458" s="4"/>
      <c r="S1458" s="4"/>
      <c r="T1458" s="4"/>
      <c r="U1458" s="4"/>
      <c r="V1458" s="4"/>
      <c r="W1458" s="4"/>
      <c r="X1458" s="4"/>
      <c r="Y1458" s="4"/>
      <c r="Z1458" s="4"/>
      <c r="AA1458" s="4"/>
      <c r="AB1458" s="4"/>
      <c r="AC1458" s="4"/>
      <c r="AD1458" s="4"/>
      <c r="AE1458" s="4"/>
      <c r="AF1458" s="4"/>
      <c r="AG1458" s="4" t="b">
        <v>0</v>
      </c>
      <c r="AH1458" s="4"/>
      <c r="AI1458" s="4"/>
      <c r="AJ1458" s="4"/>
      <c r="AK1458" s="4"/>
      <c r="AL1458" s="4"/>
      <c r="AM1458" s="4"/>
      <c r="AN1458" s="4"/>
      <c r="AO1458" s="4"/>
      <c r="AP1458" s="4"/>
      <c r="AQ1458" s="4"/>
      <c r="AR1458" s="4"/>
      <c r="AS1458" s="4"/>
      <c r="AT1458" s="4"/>
      <c r="AU1458" s="4"/>
      <c r="AV1458" s="4"/>
      <c r="AW1458" s="4"/>
      <c r="AX1458" s="4"/>
      <c r="AY1458" s="4"/>
      <c r="AZ1458" s="4"/>
      <c r="BA1458" s="4"/>
      <c r="BB1458" s="4"/>
      <c r="BC1458" s="4"/>
      <c r="BD1458" s="4"/>
      <c r="BE1458" s="4"/>
      <c r="BF1458" s="4"/>
      <c r="BG1458" s="4"/>
      <c r="BH1458" s="4"/>
      <c r="BI1458" s="4"/>
      <c r="BJ1458" s="4"/>
      <c r="BK1458" s="4"/>
      <c r="BL1458" s="4"/>
      <c r="BM1458" s="4"/>
      <c r="BN1458" s="4"/>
      <c r="BO1458" s="4"/>
      <c r="BP1458" s="4"/>
      <c r="BQ1458" s="4"/>
      <c r="BR1458" s="4"/>
      <c r="BS1458" s="4"/>
      <c r="BT1458" s="4"/>
      <c r="BU1458" s="4"/>
      <c r="BV1458" s="4"/>
      <c r="BW1458" s="4"/>
      <c r="BX1458" s="4"/>
      <c r="BY1458" s="4"/>
      <c r="BZ1458" s="4"/>
      <c r="CA1458" s="4"/>
      <c r="CB1458" s="4"/>
      <c r="CC1458" s="4"/>
      <c r="CD1458" s="4"/>
      <c r="CE1458" s="4"/>
      <c r="CF1458" s="4"/>
      <c r="CG1458" s="4"/>
      <c r="CH1458" s="4"/>
      <c r="CI1458" s="4"/>
      <c r="CJ1458" s="4"/>
      <c r="CK1458" s="4"/>
      <c r="CL1458" s="4"/>
      <c r="CM1458" s="4"/>
      <c r="CN1458" s="4"/>
      <c r="CO1458" s="4"/>
      <c r="CP1458" s="4" t="s">
        <v>4373</v>
      </c>
      <c r="CQ1458" s="4"/>
      <c r="CR1458" s="4"/>
      <c r="CS1458" s="4"/>
      <c r="CT1458" s="4"/>
      <c r="CU1458" s="4"/>
      <c r="CV1458" s="4"/>
      <c r="CW1458" s="4"/>
      <c r="CX1458" s="4"/>
      <c r="CY1458" s="4"/>
      <c r="CZ1458" s="4"/>
      <c r="DA1458" s="4"/>
      <c r="DB1458" s="4"/>
      <c r="DC1458" s="4"/>
      <c r="DD1458" s="4"/>
      <c r="DE1458" s="4"/>
      <c r="DF1458" s="4"/>
      <c r="DG1458" s="4"/>
      <c r="DH1458" s="4"/>
      <c r="DI1458" s="4"/>
      <c r="DJ1458" s="4"/>
      <c r="DK1458" s="4"/>
      <c r="DL1458" s="4"/>
      <c r="DM1458" s="4"/>
      <c r="DN1458" s="4"/>
      <c r="DO1458" s="4"/>
      <c r="DP1458" s="4"/>
      <c r="DQ1458" s="4"/>
      <c r="DR1458" s="4"/>
      <c r="DS1458" s="4"/>
      <c r="DT1458" s="4"/>
      <c r="DU1458" s="4"/>
      <c r="DV1458" s="4"/>
      <c r="DW1458" s="4"/>
      <c r="DX1458" s="4"/>
      <c r="DY1458" s="4"/>
      <c r="DZ1458" s="4"/>
      <c r="EA1458" s="4"/>
      <c r="EB1458" s="4"/>
      <c r="EC1458" s="4"/>
      <c r="ED1458" s="4"/>
      <c r="EE1458" s="4"/>
      <c r="EF1458" s="4"/>
      <c r="EG1458" s="4"/>
      <c r="EH1458" s="4"/>
      <c r="EI1458" s="4"/>
    </row>
    <row r="1459" spans="1:139" hidden="1" x14ac:dyDescent="0.2">
      <c r="A1459">
        <f>VLOOKUP(B1459,Sheet1!$A$1:$B$18,2,FALSE)</f>
        <v>0</v>
      </c>
      <c r="B1459" t="str">
        <f>LEFT(D1459,3)</f>
        <v>WKT</v>
      </c>
      <c r="C1459" s="2">
        <v>1458</v>
      </c>
      <c r="D1459" s="3" t="str">
        <f>HYPERLINK("https://sitebase.nzcomms.co.nz/spm/spmnominalview/WKT-016-030/","WKT-016-030")</f>
        <v>WKT-016-030</v>
      </c>
      <c r="E1459" s="4" t="s">
        <v>4374</v>
      </c>
      <c r="F1459" s="4"/>
      <c r="G1459" s="4"/>
      <c r="H1459" s="4" t="s">
        <v>4251</v>
      </c>
      <c r="I1459" s="4"/>
      <c r="J1459" s="4" t="s">
        <v>196</v>
      </c>
      <c r="K1459" s="4"/>
      <c r="L1459" s="4"/>
      <c r="M1459" s="4"/>
      <c r="N1459" s="4"/>
      <c r="O1459" s="4"/>
      <c r="P1459" s="4"/>
      <c r="Q1459" s="4"/>
      <c r="R1459" s="4"/>
      <c r="S1459" s="4"/>
      <c r="T1459" s="4"/>
      <c r="U1459" s="4"/>
      <c r="V1459" s="4"/>
      <c r="W1459" s="4"/>
      <c r="X1459" s="4"/>
      <c r="Y1459" s="4"/>
      <c r="Z1459" s="4"/>
      <c r="AA1459" s="4"/>
      <c r="AB1459" s="4"/>
      <c r="AC1459" s="4"/>
      <c r="AD1459" s="4"/>
      <c r="AE1459" s="4"/>
      <c r="AF1459" s="4"/>
      <c r="AG1459" s="4"/>
      <c r="AH1459" s="4"/>
      <c r="AI1459" s="4"/>
      <c r="AJ1459" s="4"/>
      <c r="AK1459" s="4"/>
      <c r="AL1459" s="4"/>
      <c r="AM1459" s="4"/>
      <c r="AN1459" s="4"/>
      <c r="AO1459" s="4"/>
      <c r="AP1459" s="4"/>
      <c r="AQ1459" s="4"/>
      <c r="AR1459" s="4"/>
      <c r="AS1459" s="4"/>
      <c r="AT1459" s="4"/>
      <c r="AU1459" s="4"/>
      <c r="AV1459" s="4"/>
      <c r="AW1459" s="4"/>
      <c r="AX1459" s="4"/>
      <c r="AY1459" s="4"/>
      <c r="AZ1459" s="4"/>
      <c r="BA1459" s="4"/>
      <c r="BB1459" s="4"/>
      <c r="BC1459" s="4"/>
      <c r="BD1459" s="4"/>
      <c r="BE1459" s="4"/>
      <c r="BF1459" s="4"/>
      <c r="BG1459" s="4"/>
      <c r="BH1459" s="4"/>
      <c r="BI1459" s="4"/>
      <c r="BJ1459" s="4"/>
      <c r="BK1459" s="4"/>
      <c r="BL1459" s="4"/>
      <c r="BM1459" s="4"/>
      <c r="BN1459" s="4"/>
      <c r="BO1459" s="4"/>
      <c r="BP1459" s="4"/>
      <c r="BQ1459" s="4"/>
      <c r="BR1459" s="4"/>
      <c r="BS1459" s="4"/>
      <c r="BT1459" s="4"/>
      <c r="BU1459" s="4"/>
      <c r="BV1459" s="4"/>
      <c r="BW1459" s="4"/>
      <c r="BX1459" s="4"/>
      <c r="BY1459" s="4"/>
      <c r="BZ1459" s="4"/>
      <c r="CA1459" s="4"/>
      <c r="CB1459" s="4"/>
      <c r="CC1459" s="4"/>
      <c r="CD1459" s="4"/>
      <c r="CE1459" s="4"/>
      <c r="CF1459" s="4"/>
      <c r="CG1459" s="4"/>
      <c r="CH1459" s="4"/>
      <c r="CI1459" s="4"/>
      <c r="CJ1459" s="4"/>
      <c r="CK1459" s="4"/>
      <c r="CL1459" s="4"/>
      <c r="CM1459" s="4"/>
      <c r="CN1459" s="4"/>
      <c r="CO1459" s="4"/>
      <c r="CP1459" s="4" t="s">
        <v>4375</v>
      </c>
      <c r="CQ1459" s="4"/>
      <c r="CR1459" s="4"/>
      <c r="CS1459" s="4"/>
      <c r="CT1459" s="4"/>
      <c r="CU1459" s="4"/>
      <c r="CV1459" s="4"/>
      <c r="CW1459" s="4"/>
      <c r="CX1459" s="4"/>
      <c r="CY1459" s="4"/>
      <c r="CZ1459" s="4"/>
      <c r="DA1459" s="4"/>
      <c r="DB1459" s="4"/>
      <c r="DC1459" s="4"/>
      <c r="DD1459" s="4"/>
      <c r="DE1459" s="4"/>
      <c r="DF1459" s="4"/>
      <c r="DG1459" s="4"/>
      <c r="DH1459" s="4"/>
      <c r="DI1459" s="4"/>
      <c r="DJ1459" s="4"/>
      <c r="DK1459" s="4"/>
      <c r="DL1459" s="4"/>
      <c r="DM1459" s="4"/>
      <c r="DN1459" s="4"/>
      <c r="DO1459" s="4"/>
      <c r="DP1459" s="4"/>
      <c r="DQ1459" s="4"/>
      <c r="DR1459" s="4"/>
      <c r="DS1459" s="4"/>
      <c r="DT1459" s="4"/>
      <c r="DU1459" s="4"/>
      <c r="DV1459" s="4"/>
      <c r="DW1459" s="4"/>
      <c r="DX1459" s="4"/>
      <c r="DY1459" s="4"/>
      <c r="DZ1459" s="4"/>
      <c r="EA1459" s="4"/>
      <c r="EB1459" s="4"/>
      <c r="EC1459" s="4"/>
      <c r="ED1459" s="4"/>
      <c r="EE1459" s="4"/>
      <c r="EF1459" s="4"/>
      <c r="EG1459" s="4"/>
      <c r="EH1459" s="4"/>
      <c r="EI1459" s="4"/>
    </row>
    <row r="1460" spans="1:139" hidden="1" x14ac:dyDescent="0.2">
      <c r="A1460">
        <f>VLOOKUP(B1460,Sheet1!$A$1:$B$18,2,FALSE)</f>
        <v>0</v>
      </c>
      <c r="B1460" t="str">
        <f>LEFT(D1460,3)</f>
        <v>WKT</v>
      </c>
      <c r="C1460" s="2">
        <v>1459</v>
      </c>
      <c r="D1460" s="3" t="str">
        <f>HYPERLINK("https://sitebase.nzcomms.co.nz/spm/spmnominalview/WKT-016-031/","WKT-016-031")</f>
        <v>WKT-016-031</v>
      </c>
      <c r="E1460" s="4" t="s">
        <v>4376</v>
      </c>
      <c r="F1460" s="4"/>
      <c r="G1460" s="4"/>
      <c r="H1460" s="4" t="s">
        <v>4251</v>
      </c>
      <c r="I1460" s="4"/>
      <c r="J1460" s="4" t="s">
        <v>196</v>
      </c>
      <c r="K1460" s="4"/>
      <c r="L1460" s="4"/>
      <c r="M1460" s="4"/>
      <c r="N1460" s="4"/>
      <c r="O1460" s="4"/>
      <c r="P1460" s="4"/>
      <c r="Q1460" s="4"/>
      <c r="R1460" s="4"/>
      <c r="S1460" s="4"/>
      <c r="T1460" s="4"/>
      <c r="U1460" s="4"/>
      <c r="V1460" s="4"/>
      <c r="W1460" s="4"/>
      <c r="X1460" s="4"/>
      <c r="Y1460" s="4"/>
      <c r="Z1460" s="4"/>
      <c r="AA1460" s="4"/>
      <c r="AB1460" s="4"/>
      <c r="AC1460" s="4"/>
      <c r="AD1460" s="4"/>
      <c r="AE1460" s="4"/>
      <c r="AF1460" s="4"/>
      <c r="AG1460" s="4" t="b">
        <v>0</v>
      </c>
      <c r="AH1460" s="4"/>
      <c r="AI1460" s="4"/>
      <c r="AJ1460" s="4"/>
      <c r="AK1460" s="4"/>
      <c r="AL1460" s="4"/>
      <c r="AM1460" s="4"/>
      <c r="AN1460" s="4"/>
      <c r="AO1460" s="4"/>
      <c r="AP1460" s="4"/>
      <c r="AQ1460" s="4"/>
      <c r="AR1460" s="4"/>
      <c r="AS1460" s="4"/>
      <c r="AT1460" s="4"/>
      <c r="AU1460" s="4"/>
      <c r="AV1460" s="4"/>
      <c r="AW1460" s="4"/>
      <c r="AX1460" s="4"/>
      <c r="AY1460" s="4"/>
      <c r="AZ1460" s="4"/>
      <c r="BA1460" s="4"/>
      <c r="BB1460" s="4"/>
      <c r="BC1460" s="4"/>
      <c r="BD1460" s="4"/>
      <c r="BE1460" s="4"/>
      <c r="BF1460" s="4"/>
      <c r="BG1460" s="4"/>
      <c r="BH1460" s="4"/>
      <c r="BI1460" s="4"/>
      <c r="BJ1460" s="4"/>
      <c r="BK1460" s="4"/>
      <c r="BL1460" s="4"/>
      <c r="BM1460" s="4"/>
      <c r="BN1460" s="4"/>
      <c r="BO1460" s="4"/>
      <c r="BP1460" s="4"/>
      <c r="BQ1460" s="4"/>
      <c r="BR1460" s="4"/>
      <c r="BS1460" s="4"/>
      <c r="BT1460" s="4"/>
      <c r="BU1460" s="4"/>
      <c r="BV1460" s="4"/>
      <c r="BW1460" s="4"/>
      <c r="BX1460" s="4"/>
      <c r="BY1460" s="4"/>
      <c r="BZ1460" s="4"/>
      <c r="CA1460" s="4"/>
      <c r="CB1460" s="4"/>
      <c r="CC1460" s="4"/>
      <c r="CD1460" s="4"/>
      <c r="CE1460" s="4"/>
      <c r="CF1460" s="4"/>
      <c r="CG1460" s="4"/>
      <c r="CH1460" s="4"/>
      <c r="CI1460" s="4"/>
      <c r="CJ1460" s="4"/>
      <c r="CK1460" s="4"/>
      <c r="CL1460" s="4"/>
      <c r="CM1460" s="4"/>
      <c r="CN1460" s="4"/>
      <c r="CO1460" s="4"/>
      <c r="CP1460" s="4" t="s">
        <v>4377</v>
      </c>
      <c r="CQ1460" s="4"/>
      <c r="CR1460" s="4"/>
      <c r="CS1460" s="4"/>
      <c r="CT1460" s="4"/>
      <c r="CU1460" s="4"/>
      <c r="CV1460" s="4"/>
      <c r="CW1460" s="4"/>
      <c r="CX1460" s="4"/>
      <c r="CY1460" s="4"/>
      <c r="CZ1460" s="4"/>
      <c r="DA1460" s="4"/>
      <c r="DB1460" s="4"/>
      <c r="DC1460" s="4"/>
      <c r="DD1460" s="4"/>
      <c r="DE1460" s="4"/>
      <c r="DF1460" s="4"/>
      <c r="DG1460" s="4"/>
      <c r="DH1460" s="4"/>
      <c r="DI1460" s="4"/>
      <c r="DJ1460" s="4"/>
      <c r="DK1460" s="4"/>
      <c r="DL1460" s="4"/>
      <c r="DM1460" s="4"/>
      <c r="DN1460" s="4"/>
      <c r="DO1460" s="4"/>
      <c r="DP1460" s="4"/>
      <c r="DQ1460" s="4"/>
      <c r="DR1460" s="4"/>
      <c r="DS1460" s="4"/>
      <c r="DT1460" s="4"/>
      <c r="DU1460" s="4"/>
      <c r="DV1460" s="4"/>
      <c r="DW1460" s="4"/>
      <c r="DX1460" s="4"/>
      <c r="DY1460" s="4"/>
      <c r="DZ1460" s="4"/>
      <c r="EA1460" s="4"/>
      <c r="EB1460" s="4"/>
      <c r="EC1460" s="4"/>
      <c r="ED1460" s="4"/>
      <c r="EE1460" s="4"/>
      <c r="EF1460" s="4"/>
      <c r="EG1460" s="4"/>
      <c r="EH1460" s="4"/>
      <c r="EI1460" s="4"/>
    </row>
    <row r="1461" spans="1:139" hidden="1" x14ac:dyDescent="0.2">
      <c r="A1461">
        <f>VLOOKUP(B1461,Sheet1!$A$1:$B$18,2,FALSE)</f>
        <v>0</v>
      </c>
      <c r="B1461" t="str">
        <f>LEFT(D1461,3)</f>
        <v>WKT</v>
      </c>
      <c r="C1461" s="2">
        <v>1460</v>
      </c>
      <c r="D1461" s="3" t="str">
        <f>HYPERLINK("https://sitebase.nzcomms.co.nz/spm/spmnominalview/WKT-016-032/","WKT-016-032")</f>
        <v>WKT-016-032</v>
      </c>
      <c r="E1461" s="4" t="s">
        <v>4378</v>
      </c>
      <c r="F1461" s="3" t="str">
        <f>HYPERLINK("https://sitebase.nzcomms.co.nz/spm/spmcandidateview/WKT-016-032-A/","WKT-016-032-A")</f>
        <v>WKT-016-032-A</v>
      </c>
      <c r="G1461" s="4" t="s">
        <v>4379</v>
      </c>
      <c r="H1461" s="4" t="s">
        <v>4251</v>
      </c>
      <c r="I1461" s="4">
        <v>10</v>
      </c>
      <c r="J1461" s="4" t="s">
        <v>1633</v>
      </c>
      <c r="K1461" s="4" t="s">
        <v>141</v>
      </c>
      <c r="L1461" s="4" t="s">
        <v>150</v>
      </c>
      <c r="M1461" s="4" t="s">
        <v>571</v>
      </c>
      <c r="N1461" s="4" t="s">
        <v>291</v>
      </c>
      <c r="O1461" s="4" t="s">
        <v>144</v>
      </c>
      <c r="P1461" s="4" t="s">
        <v>169</v>
      </c>
      <c r="Q1461" s="4" t="s">
        <v>170</v>
      </c>
      <c r="R1461" s="4">
        <v>20.2</v>
      </c>
      <c r="S1461" s="4">
        <v>20.7</v>
      </c>
      <c r="T1461" s="4">
        <v>1</v>
      </c>
      <c r="U1461" s="4">
        <v>-37.754445130000001</v>
      </c>
      <c r="V1461" s="4">
        <v>175.29059660999999</v>
      </c>
      <c r="W1461" s="4"/>
      <c r="X1461" s="5">
        <v>40140</v>
      </c>
      <c r="Y1461" s="4"/>
      <c r="Z1461" s="5">
        <v>40162</v>
      </c>
      <c r="AA1461" s="4" t="s">
        <v>171</v>
      </c>
      <c r="AB1461" s="3" t="str">
        <f>HYPERLINK("https://sitebase.nzcomms.co.nz/spm/spmcandidateview/WKT-016-004-A/","WKT-016-004-A")</f>
        <v>WKT-016-004-A</v>
      </c>
      <c r="AC1461" s="4" t="b">
        <v>1</v>
      </c>
      <c r="AD1461" s="4" t="b">
        <v>1</v>
      </c>
      <c r="AE1461" s="5">
        <v>40193</v>
      </c>
      <c r="AF1461" s="4"/>
      <c r="AG1461" s="4" t="b">
        <v>0</v>
      </c>
      <c r="AH1461" s="4" t="s">
        <v>4252</v>
      </c>
      <c r="AI1461" s="5">
        <v>40197</v>
      </c>
      <c r="AJ1461" s="5">
        <v>40197</v>
      </c>
      <c r="AK1461" s="4"/>
      <c r="AL1461" s="4"/>
      <c r="AM1461" s="5">
        <v>40256</v>
      </c>
      <c r="AN1461" s="5">
        <v>40255</v>
      </c>
      <c r="AO1461" s="4">
        <v>5</v>
      </c>
      <c r="AP1461" s="5">
        <v>40305</v>
      </c>
      <c r="AQ1461" s="5">
        <v>40354</v>
      </c>
      <c r="AR1461" s="5">
        <v>40360</v>
      </c>
      <c r="AS1461" s="5">
        <v>40360</v>
      </c>
      <c r="AT1461" s="5">
        <v>40508</v>
      </c>
      <c r="AU1461" s="5">
        <v>40518</v>
      </c>
      <c r="AV1461" s="4">
        <v>5</v>
      </c>
      <c r="AW1461" s="5">
        <v>40512</v>
      </c>
      <c r="AX1461" s="5">
        <v>40518</v>
      </c>
      <c r="AY1461" s="4" t="s">
        <v>247</v>
      </c>
      <c r="AZ1461" s="5">
        <v>40263</v>
      </c>
      <c r="BA1461" s="5">
        <v>40263</v>
      </c>
      <c r="BB1461" s="5">
        <v>40375</v>
      </c>
      <c r="BC1461" s="5">
        <v>40378</v>
      </c>
      <c r="BD1461" s="4">
        <v>5</v>
      </c>
      <c r="BE1461" s="5">
        <v>40382</v>
      </c>
      <c r="BF1461" s="5">
        <v>40380</v>
      </c>
      <c r="BG1461" s="4"/>
      <c r="BH1461" s="4"/>
      <c r="BI1461" s="5">
        <v>40641</v>
      </c>
      <c r="BJ1461" s="5">
        <v>40652</v>
      </c>
      <c r="BK1461" s="4">
        <v>3</v>
      </c>
      <c r="BL1461" s="4"/>
      <c r="BM1461" s="5">
        <v>40637</v>
      </c>
      <c r="BN1461" s="5">
        <v>40735</v>
      </c>
      <c r="BO1461" s="5">
        <v>40675</v>
      </c>
      <c r="BP1461" s="4"/>
      <c r="BQ1461" s="4"/>
      <c r="BR1461" s="4"/>
      <c r="BS1461" s="4"/>
      <c r="BT1461" s="5">
        <v>40699</v>
      </c>
      <c r="BU1461" s="5">
        <v>40703</v>
      </c>
      <c r="BV1461" s="5">
        <v>40714</v>
      </c>
      <c r="BW1461" s="5">
        <v>40717</v>
      </c>
      <c r="BX1461" s="5">
        <v>40716</v>
      </c>
      <c r="BY1461" s="5">
        <v>40720</v>
      </c>
      <c r="BZ1461" s="5">
        <v>40721</v>
      </c>
      <c r="CA1461" s="4"/>
      <c r="CB1461" s="4"/>
      <c r="CC1461" s="4"/>
      <c r="CD1461" s="5">
        <v>40581</v>
      </c>
      <c r="CE1461" s="4"/>
      <c r="CF1461" s="4"/>
      <c r="CG1461" s="4"/>
      <c r="CH1461" s="5">
        <v>40675</v>
      </c>
      <c r="CI1461" s="5">
        <v>40725</v>
      </c>
      <c r="CJ1461" s="5">
        <v>40755</v>
      </c>
      <c r="CK1461" s="5">
        <v>40752</v>
      </c>
      <c r="CL1461" s="5">
        <v>40755</v>
      </c>
      <c r="CM1461" s="5">
        <v>40749</v>
      </c>
      <c r="CN1461" s="5">
        <v>40840</v>
      </c>
      <c r="CO1461" s="5">
        <v>40941</v>
      </c>
      <c r="CP1461" s="4" t="s">
        <v>4299</v>
      </c>
      <c r="CQ1461" s="4"/>
      <c r="CR1461" s="5">
        <v>40720</v>
      </c>
      <c r="CS1461" s="5">
        <v>40679</v>
      </c>
      <c r="CT1461" s="5">
        <v>40681</v>
      </c>
      <c r="CU1461" s="5">
        <v>40681</v>
      </c>
      <c r="CV1461" s="5">
        <v>40682</v>
      </c>
      <c r="CW1461" s="5">
        <v>40675</v>
      </c>
      <c r="CX1461" s="5">
        <v>40675</v>
      </c>
      <c r="CY1461" s="5">
        <v>40711</v>
      </c>
      <c r="CZ1461" s="5">
        <v>40717</v>
      </c>
      <c r="DA1461" s="4"/>
      <c r="DB1461" s="5">
        <v>40737</v>
      </c>
      <c r="DC1461" s="4"/>
      <c r="DD1461" s="4"/>
      <c r="DE1461" s="4"/>
      <c r="DF1461" s="4"/>
      <c r="DG1461" s="4"/>
      <c r="DH1461" s="4"/>
      <c r="DI1461" s="4"/>
      <c r="DJ1461" s="4" t="b">
        <v>0</v>
      </c>
      <c r="DK1461" s="4"/>
      <c r="DL1461" s="4">
        <v>2712040</v>
      </c>
      <c r="DM1461" s="4">
        <v>6380585</v>
      </c>
      <c r="DN1461" s="4" t="s">
        <v>4380</v>
      </c>
      <c r="DO1461" s="4"/>
      <c r="DP1461" s="4"/>
      <c r="DQ1461" s="4" t="s">
        <v>148</v>
      </c>
      <c r="DR1461" s="4"/>
      <c r="DS1461" s="4"/>
      <c r="DT1461" s="5">
        <v>41906</v>
      </c>
      <c r="DU1461" s="4"/>
      <c r="DV1461" s="4"/>
      <c r="DW1461" s="4"/>
      <c r="DX1461" s="4"/>
      <c r="DY1461" s="4"/>
      <c r="DZ1461" s="4"/>
      <c r="EA1461" s="4"/>
      <c r="EB1461" s="4"/>
      <c r="EC1461" s="4"/>
      <c r="ED1461" s="4"/>
      <c r="EE1461" s="4"/>
      <c r="EF1461" s="4"/>
      <c r="EG1461" s="4"/>
      <c r="EH1461" s="5">
        <v>40737</v>
      </c>
      <c r="EI1461" s="5">
        <v>40219</v>
      </c>
    </row>
    <row r="1462" spans="1:139" hidden="1" x14ac:dyDescent="0.2">
      <c r="A1462">
        <f>VLOOKUP(B1462,Sheet1!$A$1:$B$18,2,FALSE)</f>
        <v>0</v>
      </c>
      <c r="B1462" t="str">
        <f>LEFT(D1462,3)</f>
        <v>WKT</v>
      </c>
      <c r="C1462" s="2">
        <v>1461</v>
      </c>
      <c r="D1462" s="3" t="str">
        <f>HYPERLINK("https://sitebase.nzcomms.co.nz/spm/spmnominalview/WKT-016-033/","WKT-016-033")</f>
        <v>WKT-016-033</v>
      </c>
      <c r="E1462" s="4" t="s">
        <v>4381</v>
      </c>
      <c r="F1462" s="4"/>
      <c r="G1462" s="4"/>
      <c r="H1462" s="4" t="s">
        <v>4251</v>
      </c>
      <c r="I1462" s="4"/>
      <c r="J1462" s="4" t="s">
        <v>196</v>
      </c>
      <c r="K1462" s="4"/>
      <c r="L1462" s="4"/>
      <c r="M1462" s="4"/>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c r="AT1462" s="4"/>
      <c r="AU1462" s="4"/>
      <c r="AV1462" s="4"/>
      <c r="AW1462" s="4"/>
      <c r="AX1462" s="4"/>
      <c r="AY1462" s="4"/>
      <c r="AZ1462" s="4"/>
      <c r="BA1462" s="4"/>
      <c r="BB1462" s="4"/>
      <c r="BC1462" s="4"/>
      <c r="BD1462" s="4"/>
      <c r="BE1462" s="4"/>
      <c r="BF1462" s="4"/>
      <c r="BG1462" s="4"/>
      <c r="BH1462" s="4"/>
      <c r="BI1462" s="4"/>
      <c r="BJ1462" s="4"/>
      <c r="BK1462" s="4"/>
      <c r="BL1462" s="4"/>
      <c r="BM1462" s="4"/>
      <c r="BN1462" s="4"/>
      <c r="BO1462" s="4"/>
      <c r="BP1462" s="4"/>
      <c r="BQ1462" s="4"/>
      <c r="BR1462" s="4"/>
      <c r="BS1462" s="4"/>
      <c r="BT1462" s="4"/>
      <c r="BU1462" s="4"/>
      <c r="BV1462" s="4"/>
      <c r="BW1462" s="4"/>
      <c r="BX1462" s="4"/>
      <c r="BY1462" s="4"/>
      <c r="BZ1462" s="4"/>
      <c r="CA1462" s="4"/>
      <c r="CB1462" s="4"/>
      <c r="CC1462" s="4"/>
      <c r="CD1462" s="4"/>
      <c r="CE1462" s="4"/>
      <c r="CF1462" s="4"/>
      <c r="CG1462" s="4"/>
      <c r="CH1462" s="4"/>
      <c r="CI1462" s="4"/>
      <c r="CJ1462" s="4"/>
      <c r="CK1462" s="4"/>
      <c r="CL1462" s="4"/>
      <c r="CM1462" s="4"/>
      <c r="CN1462" s="4"/>
      <c r="CO1462" s="4"/>
      <c r="CP1462" s="4" t="s">
        <v>4382</v>
      </c>
      <c r="CQ1462" s="4"/>
      <c r="CR1462" s="4"/>
      <c r="CS1462" s="4"/>
      <c r="CT1462" s="4"/>
      <c r="CU1462" s="4"/>
      <c r="CV1462" s="4"/>
      <c r="CW1462" s="4"/>
      <c r="CX1462" s="4"/>
      <c r="CY1462" s="4"/>
      <c r="CZ1462" s="4"/>
      <c r="DA1462" s="4"/>
      <c r="DB1462" s="4"/>
      <c r="DC1462" s="4"/>
      <c r="DD1462" s="4"/>
      <c r="DE1462" s="4"/>
      <c r="DF1462" s="4"/>
      <c r="DG1462" s="4"/>
      <c r="DH1462" s="4"/>
      <c r="DI1462" s="4"/>
      <c r="DJ1462" s="4"/>
      <c r="DK1462" s="4"/>
      <c r="DL1462" s="4"/>
      <c r="DM1462" s="4"/>
      <c r="DN1462" s="4"/>
      <c r="DO1462" s="4"/>
      <c r="DP1462" s="4"/>
      <c r="DQ1462" s="4"/>
      <c r="DR1462" s="4"/>
      <c r="DS1462" s="4"/>
      <c r="DT1462" s="4"/>
      <c r="DU1462" s="4"/>
      <c r="DV1462" s="4"/>
      <c r="DW1462" s="4"/>
      <c r="DX1462" s="4"/>
      <c r="DY1462" s="4"/>
      <c r="DZ1462" s="4"/>
      <c r="EA1462" s="4"/>
      <c r="EB1462" s="4"/>
      <c r="EC1462" s="4"/>
      <c r="ED1462" s="4"/>
      <c r="EE1462" s="4"/>
      <c r="EF1462" s="4"/>
      <c r="EG1462" s="4"/>
      <c r="EH1462" s="4"/>
      <c r="EI1462" s="4"/>
    </row>
    <row r="1463" spans="1:139" hidden="1" x14ac:dyDescent="0.2">
      <c r="A1463">
        <f>VLOOKUP(B1463,Sheet1!$A$1:$B$18,2,FALSE)</f>
        <v>0</v>
      </c>
      <c r="B1463" t="str">
        <f>LEFT(D1463,3)</f>
        <v>WKT</v>
      </c>
      <c r="C1463" s="2">
        <v>1462</v>
      </c>
      <c r="D1463" s="3" t="str">
        <f>HYPERLINK("https://sitebase.nzcomms.co.nz/spm/spmnominalview/WKT-016-034/","WKT-016-034")</f>
        <v>WKT-016-034</v>
      </c>
      <c r="E1463" s="4" t="s">
        <v>4383</v>
      </c>
      <c r="F1463" s="3" t="str">
        <f>HYPERLINK("https://sitebase.nzcomms.co.nz/spm/spmcandidateview/WKT-016-034-C/","WKT-016-034-C")</f>
        <v>WKT-016-034-C</v>
      </c>
      <c r="G1463" s="4" t="s">
        <v>4384</v>
      </c>
      <c r="H1463" s="4" t="s">
        <v>4251</v>
      </c>
      <c r="I1463" s="4">
        <v>10</v>
      </c>
      <c r="J1463" s="4" t="s">
        <v>1633</v>
      </c>
      <c r="K1463" s="4" t="s">
        <v>141</v>
      </c>
      <c r="L1463" s="4" t="s">
        <v>150</v>
      </c>
      <c r="M1463" s="4" t="s">
        <v>571</v>
      </c>
      <c r="N1463" s="4" t="s">
        <v>620</v>
      </c>
      <c r="O1463" s="4" t="s">
        <v>144</v>
      </c>
      <c r="P1463" s="4" t="s">
        <v>169</v>
      </c>
      <c r="Q1463" s="4" t="s">
        <v>192</v>
      </c>
      <c r="R1463" s="4">
        <v>17</v>
      </c>
      <c r="S1463" s="4">
        <v>17.5</v>
      </c>
      <c r="T1463" s="4">
        <v>2</v>
      </c>
      <c r="U1463" s="4">
        <v>-37.798530169999999</v>
      </c>
      <c r="V1463" s="4">
        <v>175.29638310000001</v>
      </c>
      <c r="W1463" s="4"/>
      <c r="X1463" s="5">
        <v>40140</v>
      </c>
      <c r="Y1463" s="4"/>
      <c r="Z1463" s="5">
        <v>40162</v>
      </c>
      <c r="AA1463" s="4" t="s">
        <v>171</v>
      </c>
      <c r="AB1463" s="3" t="str">
        <f>HYPERLINK("https://sitebase.nzcomms.co.nz/spm/spmcandidateview/WKT-016-012-A/","WKT-016-012-A")</f>
        <v>WKT-016-012-A</v>
      </c>
      <c r="AC1463" s="4" t="b">
        <v>1</v>
      </c>
      <c r="AD1463" s="4" t="b">
        <v>1</v>
      </c>
      <c r="AE1463" s="5">
        <v>40193</v>
      </c>
      <c r="AF1463" s="4"/>
      <c r="AG1463" s="4" t="b">
        <v>0</v>
      </c>
      <c r="AH1463" s="4" t="s">
        <v>4349</v>
      </c>
      <c r="AI1463" s="5">
        <v>40263</v>
      </c>
      <c r="AJ1463" s="5">
        <v>40263</v>
      </c>
      <c r="AK1463" s="4"/>
      <c r="AL1463" s="4"/>
      <c r="AM1463" s="5">
        <v>40283</v>
      </c>
      <c r="AN1463" s="5">
        <v>40276</v>
      </c>
      <c r="AO1463" s="4">
        <v>2</v>
      </c>
      <c r="AP1463" s="5">
        <v>40350</v>
      </c>
      <c r="AQ1463" s="5">
        <v>40354</v>
      </c>
      <c r="AR1463" s="5">
        <v>40380</v>
      </c>
      <c r="AS1463" s="5">
        <v>40374</v>
      </c>
      <c r="AT1463" s="5">
        <v>40408</v>
      </c>
      <c r="AU1463" s="5">
        <v>40403</v>
      </c>
      <c r="AV1463" s="4"/>
      <c r="AW1463" s="5">
        <v>40408</v>
      </c>
      <c r="AX1463" s="5">
        <v>40403</v>
      </c>
      <c r="AY1463" s="4" t="s">
        <v>172</v>
      </c>
      <c r="AZ1463" s="5">
        <v>40291</v>
      </c>
      <c r="BA1463" s="5">
        <v>40567</v>
      </c>
      <c r="BB1463" s="5">
        <v>40319</v>
      </c>
      <c r="BC1463" s="5">
        <v>40588</v>
      </c>
      <c r="BD1463" s="4">
        <v>2</v>
      </c>
      <c r="BE1463" s="5">
        <v>40326</v>
      </c>
      <c r="BF1463" s="5">
        <v>40310</v>
      </c>
      <c r="BG1463" s="4"/>
      <c r="BH1463" s="4"/>
      <c r="BI1463" s="5">
        <v>40627</v>
      </c>
      <c r="BJ1463" s="5">
        <v>40659</v>
      </c>
      <c r="BK1463" s="4">
        <v>1</v>
      </c>
      <c r="BL1463" s="4"/>
      <c r="BM1463" s="5">
        <v>40625</v>
      </c>
      <c r="BN1463" s="5">
        <v>40659</v>
      </c>
      <c r="BO1463" s="5">
        <v>40651</v>
      </c>
      <c r="BP1463" s="4"/>
      <c r="BQ1463" s="4"/>
      <c r="BR1463" s="4"/>
      <c r="BS1463" s="4"/>
      <c r="BT1463" s="5">
        <v>40659</v>
      </c>
      <c r="BU1463" s="5">
        <v>40659</v>
      </c>
      <c r="BV1463" s="5">
        <v>40690</v>
      </c>
      <c r="BW1463" s="5">
        <v>40675</v>
      </c>
      <c r="BX1463" s="5">
        <v>40675</v>
      </c>
      <c r="BY1463" s="5">
        <v>40691</v>
      </c>
      <c r="BZ1463" s="5">
        <v>40679</v>
      </c>
      <c r="CA1463" s="4"/>
      <c r="CB1463" s="4"/>
      <c r="CC1463" s="4"/>
      <c r="CD1463" s="5">
        <v>40581</v>
      </c>
      <c r="CE1463" s="4"/>
      <c r="CF1463" s="4"/>
      <c r="CG1463" s="4"/>
      <c r="CH1463" s="5">
        <v>40675</v>
      </c>
      <c r="CI1463" s="5">
        <v>40696</v>
      </c>
      <c r="CJ1463" s="5">
        <v>40755</v>
      </c>
      <c r="CK1463" s="5">
        <v>40752</v>
      </c>
      <c r="CL1463" s="5">
        <v>40755</v>
      </c>
      <c r="CM1463" s="5">
        <v>40736</v>
      </c>
      <c r="CN1463" s="5">
        <v>40842</v>
      </c>
      <c r="CO1463" s="5">
        <v>40934</v>
      </c>
      <c r="CP1463" s="4" t="s">
        <v>4385</v>
      </c>
      <c r="CQ1463" s="4"/>
      <c r="CR1463" s="5">
        <v>40691</v>
      </c>
      <c r="CS1463" s="5">
        <v>40666</v>
      </c>
      <c r="CT1463" s="5">
        <v>40666</v>
      </c>
      <c r="CU1463" s="5">
        <v>40672</v>
      </c>
      <c r="CV1463" s="5">
        <v>40673</v>
      </c>
      <c r="CW1463" s="5">
        <v>40651</v>
      </c>
      <c r="CX1463" s="5">
        <v>40651</v>
      </c>
      <c r="CY1463" s="5">
        <v>40690</v>
      </c>
      <c r="CZ1463" s="5">
        <v>40695</v>
      </c>
      <c r="DA1463" s="4"/>
      <c r="DB1463" s="5">
        <v>40714</v>
      </c>
      <c r="DC1463" s="4"/>
      <c r="DD1463" s="4"/>
      <c r="DE1463" s="4"/>
      <c r="DF1463" s="4"/>
      <c r="DG1463" s="4"/>
      <c r="DH1463" s="4"/>
      <c r="DI1463" s="4"/>
      <c r="DJ1463" s="4" t="b">
        <v>0</v>
      </c>
      <c r="DK1463" s="4"/>
      <c r="DL1463" s="4">
        <v>2712422</v>
      </c>
      <c r="DM1463" s="4">
        <v>6375681</v>
      </c>
      <c r="DN1463" s="4" t="s">
        <v>4386</v>
      </c>
      <c r="DO1463" s="4"/>
      <c r="DP1463" s="4" t="s">
        <v>4387</v>
      </c>
      <c r="DQ1463" s="4" t="s">
        <v>148</v>
      </c>
      <c r="DR1463" s="4"/>
      <c r="DS1463" s="4"/>
      <c r="DT1463" s="5">
        <v>41906</v>
      </c>
      <c r="DU1463" s="4"/>
      <c r="DV1463" s="4"/>
      <c r="DW1463" s="4"/>
      <c r="DX1463" s="4"/>
      <c r="DY1463" s="4"/>
      <c r="DZ1463" s="4"/>
      <c r="EA1463" s="4"/>
      <c r="EB1463" s="4"/>
      <c r="EC1463" s="4"/>
      <c r="ED1463" s="4"/>
      <c r="EE1463" s="4"/>
      <c r="EF1463" s="4"/>
      <c r="EG1463" s="4"/>
      <c r="EH1463" s="5">
        <v>40714</v>
      </c>
      <c r="EI1463" s="5">
        <v>40240</v>
      </c>
    </row>
    <row r="1464" spans="1:139" hidden="1" x14ac:dyDescent="0.2">
      <c r="A1464">
        <f>VLOOKUP(B1464,Sheet1!$A$1:$B$18,2,FALSE)</f>
        <v>0</v>
      </c>
      <c r="B1464" t="str">
        <f>LEFT(D1464,3)</f>
        <v>WKT</v>
      </c>
      <c r="C1464" s="2">
        <v>1463</v>
      </c>
      <c r="D1464" s="3" t="str">
        <f>HYPERLINK("https://sitebase.nzcomms.co.nz/spm/spmnominalview/WKT-016-035/","WKT-016-035")</f>
        <v>WKT-016-035</v>
      </c>
      <c r="E1464" s="4" t="s">
        <v>4388</v>
      </c>
      <c r="F1464" s="3" t="str">
        <f>HYPERLINK("https://sitebase.nzcomms.co.nz/spm/spmcandidateview/WKT-016-035-C/","WKT-016-035-C")</f>
        <v>WKT-016-035-C</v>
      </c>
      <c r="G1464" s="4" t="s">
        <v>4389</v>
      </c>
      <c r="H1464" s="4" t="s">
        <v>4251</v>
      </c>
      <c r="I1464" s="4">
        <v>10</v>
      </c>
      <c r="J1464" s="4" t="s">
        <v>1633</v>
      </c>
      <c r="K1464" s="4" t="s">
        <v>141</v>
      </c>
      <c r="L1464" s="4" t="s">
        <v>189</v>
      </c>
      <c r="M1464" s="4" t="s">
        <v>571</v>
      </c>
      <c r="N1464" s="4" t="s">
        <v>274</v>
      </c>
      <c r="O1464" s="4" t="s">
        <v>144</v>
      </c>
      <c r="P1464" s="4" t="s">
        <v>182</v>
      </c>
      <c r="Q1464" s="4" t="s">
        <v>192</v>
      </c>
      <c r="R1464" s="4">
        <v>15</v>
      </c>
      <c r="S1464" s="4">
        <v>15.5</v>
      </c>
      <c r="T1464" s="4">
        <v>2</v>
      </c>
      <c r="U1464" s="4">
        <v>-37.785141369999998</v>
      </c>
      <c r="V1464" s="4">
        <v>175.30521071999999</v>
      </c>
      <c r="W1464" s="4"/>
      <c r="X1464" s="5">
        <v>40140</v>
      </c>
      <c r="Y1464" s="4"/>
      <c r="Z1464" s="5">
        <v>40162</v>
      </c>
      <c r="AA1464" s="4" t="s">
        <v>171</v>
      </c>
      <c r="AB1464" s="3" t="str">
        <f>HYPERLINK("https://sitebase.nzcomms.co.nz/spm/spmcandidateview/WKT-016-023-B/","WKT-016-023-B")</f>
        <v>WKT-016-023-B</v>
      </c>
      <c r="AC1464" s="4" t="b">
        <v>1</v>
      </c>
      <c r="AD1464" s="4" t="b">
        <v>1</v>
      </c>
      <c r="AE1464" s="5">
        <v>40193</v>
      </c>
      <c r="AF1464" s="4"/>
      <c r="AG1464" s="4" t="b">
        <v>0</v>
      </c>
      <c r="AH1464" s="4" t="s">
        <v>4390</v>
      </c>
      <c r="AI1464" s="5">
        <v>40274</v>
      </c>
      <c r="AJ1464" s="5">
        <v>40266</v>
      </c>
      <c r="AK1464" s="4"/>
      <c r="AL1464" s="4"/>
      <c r="AM1464" s="5">
        <v>40304</v>
      </c>
      <c r="AN1464" s="5">
        <v>40308</v>
      </c>
      <c r="AO1464" s="4">
        <v>2</v>
      </c>
      <c r="AP1464" s="5">
        <v>40304</v>
      </c>
      <c r="AQ1464" s="5">
        <v>40519</v>
      </c>
      <c r="AR1464" s="5">
        <v>40311</v>
      </c>
      <c r="AS1464" s="5">
        <v>40311</v>
      </c>
      <c r="AT1464" s="5">
        <v>40466</v>
      </c>
      <c r="AU1464" s="5">
        <v>40471</v>
      </c>
      <c r="AV1464" s="4">
        <v>1</v>
      </c>
      <c r="AW1464" s="5">
        <v>40466</v>
      </c>
      <c r="AX1464" s="5">
        <v>40471</v>
      </c>
      <c r="AY1464" s="4" t="s">
        <v>198</v>
      </c>
      <c r="AZ1464" s="5">
        <v>40308</v>
      </c>
      <c r="BA1464" s="5">
        <v>40308</v>
      </c>
      <c r="BB1464" s="5">
        <v>40338</v>
      </c>
      <c r="BC1464" s="5">
        <v>40330</v>
      </c>
      <c r="BD1464" s="4">
        <v>1</v>
      </c>
      <c r="BE1464" s="5">
        <v>40333</v>
      </c>
      <c r="BF1464" s="5">
        <v>40331</v>
      </c>
      <c r="BG1464" s="4"/>
      <c r="BH1464" s="4"/>
      <c r="BI1464" s="5">
        <v>40630</v>
      </c>
      <c r="BJ1464" s="5">
        <v>40676</v>
      </c>
      <c r="BK1464" s="4">
        <v>1</v>
      </c>
      <c r="BL1464" s="4"/>
      <c r="BM1464" s="5">
        <v>40624</v>
      </c>
      <c r="BN1464" s="5">
        <v>40676</v>
      </c>
      <c r="BO1464" s="5">
        <v>40686</v>
      </c>
      <c r="BP1464" s="4"/>
      <c r="BQ1464" s="4"/>
      <c r="BR1464" s="4"/>
      <c r="BS1464" s="4"/>
      <c r="BT1464" s="5">
        <v>40712</v>
      </c>
      <c r="BU1464" s="5">
        <v>40690</v>
      </c>
      <c r="BV1464" s="5">
        <v>40716</v>
      </c>
      <c r="BW1464" s="5">
        <v>40695</v>
      </c>
      <c r="BX1464" s="5">
        <v>40695</v>
      </c>
      <c r="BY1464" s="5">
        <v>40697</v>
      </c>
      <c r="BZ1464" s="5">
        <v>40697</v>
      </c>
      <c r="CA1464" s="4"/>
      <c r="CB1464" s="4"/>
      <c r="CC1464" s="4"/>
      <c r="CD1464" s="5">
        <v>40581</v>
      </c>
      <c r="CE1464" s="4"/>
      <c r="CF1464" s="4"/>
      <c r="CG1464" s="4"/>
      <c r="CH1464" s="5">
        <v>40675</v>
      </c>
      <c r="CI1464" s="5">
        <v>40706</v>
      </c>
      <c r="CJ1464" s="5">
        <v>40755</v>
      </c>
      <c r="CK1464" s="5">
        <v>40752</v>
      </c>
      <c r="CL1464" s="5">
        <v>40755</v>
      </c>
      <c r="CM1464" s="5">
        <v>40736</v>
      </c>
      <c r="CN1464" s="5">
        <v>40826</v>
      </c>
      <c r="CO1464" s="5">
        <v>40942</v>
      </c>
      <c r="CP1464" s="4"/>
      <c r="CQ1464" s="4"/>
      <c r="CR1464" s="5">
        <v>40706</v>
      </c>
      <c r="CS1464" s="5">
        <v>40686</v>
      </c>
      <c r="CT1464" s="5">
        <v>40686</v>
      </c>
      <c r="CU1464" s="5">
        <v>40688</v>
      </c>
      <c r="CV1464" s="5">
        <v>40687</v>
      </c>
      <c r="CW1464" s="5">
        <v>40686</v>
      </c>
      <c r="CX1464" s="5">
        <v>40686</v>
      </c>
      <c r="CY1464" s="5">
        <v>40709</v>
      </c>
      <c r="CZ1464" s="5">
        <v>40707</v>
      </c>
      <c r="DA1464" s="4"/>
      <c r="DB1464" s="5">
        <v>40718</v>
      </c>
      <c r="DC1464" s="4"/>
      <c r="DD1464" s="4"/>
      <c r="DE1464" s="4"/>
      <c r="DF1464" s="4"/>
      <c r="DG1464" s="4"/>
      <c r="DH1464" s="4"/>
      <c r="DI1464" s="4"/>
      <c r="DJ1464" s="4" t="b">
        <v>0</v>
      </c>
      <c r="DK1464" s="4"/>
      <c r="DL1464" s="4">
        <v>2713238</v>
      </c>
      <c r="DM1464" s="4">
        <v>6377146</v>
      </c>
      <c r="DN1464" s="4" t="s">
        <v>4391</v>
      </c>
      <c r="DO1464" s="4"/>
      <c r="DP1464" s="4" t="s">
        <v>4392</v>
      </c>
      <c r="DQ1464" s="4" t="s">
        <v>148</v>
      </c>
      <c r="DR1464" s="4"/>
      <c r="DS1464" s="4"/>
      <c r="DT1464" s="5">
        <v>41906</v>
      </c>
      <c r="DU1464" s="4"/>
      <c r="DV1464" s="4"/>
      <c r="DW1464" s="4"/>
      <c r="DX1464" s="4"/>
      <c r="DY1464" s="4"/>
      <c r="DZ1464" s="4"/>
      <c r="EA1464" s="4"/>
      <c r="EB1464" s="4"/>
      <c r="EC1464" s="4"/>
      <c r="ED1464" s="4"/>
      <c r="EE1464" s="4"/>
      <c r="EF1464" s="4"/>
      <c r="EG1464" s="4"/>
      <c r="EH1464" s="5">
        <v>40718</v>
      </c>
      <c r="EI1464" s="4"/>
    </row>
    <row r="1465" spans="1:139" hidden="1" x14ac:dyDescent="0.2">
      <c r="A1465">
        <f>VLOOKUP(B1465,Sheet1!$A$1:$B$18,2,FALSE)</f>
        <v>0</v>
      </c>
      <c r="B1465" t="str">
        <f>LEFT(D1465,3)</f>
        <v>WKT</v>
      </c>
      <c r="C1465" s="2">
        <v>1464</v>
      </c>
      <c r="D1465" s="3" t="str">
        <f>HYPERLINK("https://sitebase.nzcomms.co.nz/spm/spmnominalview/WKT-016-036/","WKT-016-036")</f>
        <v>WKT-016-036</v>
      </c>
      <c r="E1465" s="4" t="s">
        <v>4393</v>
      </c>
      <c r="F1465" s="3" t="str">
        <f>HYPERLINK("https://sitebase.nzcomms.co.nz/spm/spmcandidateview/WKT-016-036-A/","WKT-016-036-A")</f>
        <v>WKT-016-036-A</v>
      </c>
      <c r="G1465" s="4" t="s">
        <v>4394</v>
      </c>
      <c r="H1465" s="4" t="s">
        <v>4251</v>
      </c>
      <c r="I1465" s="4">
        <v>10</v>
      </c>
      <c r="J1465" s="4" t="s">
        <v>1633</v>
      </c>
      <c r="K1465" s="4" t="s">
        <v>141</v>
      </c>
      <c r="L1465" s="4" t="s">
        <v>189</v>
      </c>
      <c r="M1465" s="4" t="s">
        <v>190</v>
      </c>
      <c r="N1465" s="4" t="s">
        <v>274</v>
      </c>
      <c r="O1465" s="4" t="s">
        <v>4355</v>
      </c>
      <c r="P1465" s="4" t="s">
        <v>182</v>
      </c>
      <c r="Q1465" s="4" t="s">
        <v>192</v>
      </c>
      <c r="R1465" s="4">
        <v>15</v>
      </c>
      <c r="S1465" s="4">
        <v>15.5</v>
      </c>
      <c r="T1465" s="4">
        <v>1</v>
      </c>
      <c r="U1465" s="4">
        <v>-37.761234530000003</v>
      </c>
      <c r="V1465" s="4">
        <v>175.30528461</v>
      </c>
      <c r="W1465" s="4"/>
      <c r="X1465" s="5">
        <v>40140</v>
      </c>
      <c r="Y1465" s="4"/>
      <c r="Z1465" s="5">
        <v>40162</v>
      </c>
      <c r="AA1465" s="4" t="s">
        <v>171</v>
      </c>
      <c r="AB1465" s="3" t="str">
        <f>HYPERLINK("https://sitebase.nzcomms.co.nz/spm/spmcandidateview/WKT-016-016-D/","WKT-016-016-D")</f>
        <v>WKT-016-016-D</v>
      </c>
      <c r="AC1465" s="4" t="b">
        <v>1</v>
      </c>
      <c r="AD1465" s="4" t="b">
        <v>1</v>
      </c>
      <c r="AE1465" s="5">
        <v>40193</v>
      </c>
      <c r="AF1465" s="4"/>
      <c r="AG1465" s="4" t="b">
        <v>0</v>
      </c>
      <c r="AH1465" s="4" t="s">
        <v>4252</v>
      </c>
      <c r="AI1465" s="5">
        <v>40249</v>
      </c>
      <c r="AJ1465" s="5">
        <v>40219</v>
      </c>
      <c r="AK1465" s="4"/>
      <c r="AL1465" s="4"/>
      <c r="AM1465" s="5">
        <v>40245</v>
      </c>
      <c r="AN1465" s="5">
        <v>40242</v>
      </c>
      <c r="AO1465" s="4">
        <v>5</v>
      </c>
      <c r="AP1465" s="5">
        <v>40396</v>
      </c>
      <c r="AQ1465" s="5">
        <v>40465</v>
      </c>
      <c r="AR1465" s="5">
        <v>40451</v>
      </c>
      <c r="AS1465" s="5">
        <v>40324</v>
      </c>
      <c r="AT1465" s="5">
        <v>40459</v>
      </c>
      <c r="AU1465" s="5">
        <v>40429</v>
      </c>
      <c r="AV1465" s="4">
        <v>5</v>
      </c>
      <c r="AW1465" s="5">
        <v>40512</v>
      </c>
      <c r="AX1465" s="5">
        <v>40429</v>
      </c>
      <c r="AY1465" s="4" t="s">
        <v>198</v>
      </c>
      <c r="AZ1465" s="5">
        <v>40400</v>
      </c>
      <c r="BA1465" s="5">
        <v>40575</v>
      </c>
      <c r="BB1465" s="5">
        <v>40428</v>
      </c>
      <c r="BC1465" s="5">
        <v>40616</v>
      </c>
      <c r="BD1465" s="4">
        <v>5</v>
      </c>
      <c r="BE1465" s="5">
        <v>40431</v>
      </c>
      <c r="BF1465" s="5">
        <v>40616</v>
      </c>
      <c r="BG1465" s="4"/>
      <c r="BH1465" s="4"/>
      <c r="BI1465" s="5">
        <v>40725</v>
      </c>
      <c r="BJ1465" s="5">
        <v>40725</v>
      </c>
      <c r="BK1465" s="4">
        <v>1</v>
      </c>
      <c r="BL1465" s="4"/>
      <c r="BM1465" s="5">
        <v>40725</v>
      </c>
      <c r="BN1465" s="5">
        <v>40725</v>
      </c>
      <c r="BO1465" s="5">
        <v>40756</v>
      </c>
      <c r="BP1465" s="4"/>
      <c r="BQ1465" s="4"/>
      <c r="BR1465" s="4"/>
      <c r="BS1465" s="4"/>
      <c r="BT1465" s="5">
        <v>40750</v>
      </c>
      <c r="BU1465" s="5">
        <v>40749</v>
      </c>
      <c r="BV1465" s="5">
        <v>40759</v>
      </c>
      <c r="BW1465" s="5">
        <v>40759</v>
      </c>
      <c r="BX1465" s="5">
        <v>40757</v>
      </c>
      <c r="BY1465" s="5">
        <v>40760</v>
      </c>
      <c r="BZ1465" s="5">
        <v>40760</v>
      </c>
      <c r="CA1465" s="4"/>
      <c r="CB1465" s="4"/>
      <c r="CC1465" s="4"/>
      <c r="CD1465" s="5">
        <v>40581</v>
      </c>
      <c r="CE1465" s="4"/>
      <c r="CF1465" s="4"/>
      <c r="CG1465" s="4"/>
      <c r="CH1465" s="5">
        <v>40675</v>
      </c>
      <c r="CI1465" s="5">
        <v>40763</v>
      </c>
      <c r="CJ1465" s="5">
        <v>40787</v>
      </c>
      <c r="CK1465" s="5">
        <v>40771</v>
      </c>
      <c r="CL1465" s="5">
        <v>40787</v>
      </c>
      <c r="CM1465" s="5">
        <v>40786</v>
      </c>
      <c r="CN1465" s="5">
        <v>40891</v>
      </c>
      <c r="CO1465" s="5">
        <v>40899</v>
      </c>
      <c r="CP1465" s="4" t="s">
        <v>4395</v>
      </c>
      <c r="CQ1465" s="4"/>
      <c r="CR1465" s="5">
        <v>40763</v>
      </c>
      <c r="CS1465" s="5">
        <v>40728</v>
      </c>
      <c r="CT1465" s="5">
        <v>40728</v>
      </c>
      <c r="CU1465" s="5">
        <v>40756</v>
      </c>
      <c r="CV1465" s="5">
        <v>40756</v>
      </c>
      <c r="CW1465" s="5">
        <v>40756</v>
      </c>
      <c r="CX1465" s="5">
        <v>40756</v>
      </c>
      <c r="CY1465" s="5">
        <v>40759</v>
      </c>
      <c r="CZ1465" s="5">
        <v>40759</v>
      </c>
      <c r="DA1465" s="4"/>
      <c r="DB1465" s="5">
        <v>40772</v>
      </c>
      <c r="DC1465" s="4"/>
      <c r="DD1465" s="4"/>
      <c r="DE1465" s="4"/>
      <c r="DF1465" s="4"/>
      <c r="DG1465" s="4"/>
      <c r="DH1465" s="4"/>
      <c r="DI1465" s="5">
        <v>40757</v>
      </c>
      <c r="DJ1465" s="4" t="b">
        <v>0</v>
      </c>
      <c r="DK1465" s="4"/>
      <c r="DL1465" s="4">
        <v>2713314</v>
      </c>
      <c r="DM1465" s="4">
        <v>6379798</v>
      </c>
      <c r="DN1465" s="4" t="s">
        <v>4396</v>
      </c>
      <c r="DO1465" s="4"/>
      <c r="DP1465" s="4" t="s">
        <v>4397</v>
      </c>
      <c r="DQ1465" s="4" t="s">
        <v>148</v>
      </c>
      <c r="DR1465" s="4"/>
      <c r="DS1465" s="4"/>
      <c r="DT1465" s="4"/>
      <c r="DU1465" s="4"/>
      <c r="DV1465" s="4"/>
      <c r="DW1465" s="4"/>
      <c r="DX1465" s="4"/>
      <c r="DY1465" s="4"/>
      <c r="DZ1465" s="4"/>
      <c r="EA1465" s="4"/>
      <c r="EB1465" s="4"/>
      <c r="EC1465" s="4"/>
      <c r="ED1465" s="4"/>
      <c r="EE1465" s="4"/>
      <c r="EF1465" s="4"/>
      <c r="EG1465" s="5">
        <v>40771</v>
      </c>
      <c r="EH1465" s="5">
        <v>40772</v>
      </c>
      <c r="EI1465" s="5">
        <v>40219</v>
      </c>
    </row>
    <row r="1466" spans="1:139" hidden="1" x14ac:dyDescent="0.2">
      <c r="A1466">
        <f>VLOOKUP(B1466,Sheet1!$A$1:$B$18,2,FALSE)</f>
        <v>0</v>
      </c>
      <c r="B1466" t="str">
        <f>LEFT(D1466,3)</f>
        <v>WKT</v>
      </c>
      <c r="C1466" s="2">
        <v>1465</v>
      </c>
      <c r="D1466" s="3" t="str">
        <f>HYPERLINK("https://sitebase.nzcomms.co.nz/spm/spmnominalview/WKT-016-037/","WKT-016-037")</f>
        <v>WKT-016-037</v>
      </c>
      <c r="E1466" s="4" t="s">
        <v>272</v>
      </c>
      <c r="F1466" s="4"/>
      <c r="G1466" s="4"/>
      <c r="H1466" s="4" t="s">
        <v>4251</v>
      </c>
      <c r="I1466" s="4"/>
      <c r="J1466" s="4" t="s">
        <v>196</v>
      </c>
      <c r="K1466" s="4"/>
      <c r="L1466" s="4"/>
      <c r="M1466" s="4"/>
      <c r="N1466" s="4"/>
      <c r="O1466" s="4"/>
      <c r="P1466" s="4"/>
      <c r="Q1466" s="4"/>
      <c r="R1466" s="4"/>
      <c r="S1466" s="4"/>
      <c r="T1466" s="4"/>
      <c r="U1466" s="4"/>
      <c r="V1466" s="4"/>
      <c r="W1466" s="4"/>
      <c r="X1466" s="4"/>
      <c r="Y1466" s="4"/>
      <c r="Z1466" s="4"/>
      <c r="AA1466" s="4"/>
      <c r="AB1466" s="4"/>
      <c r="AC1466" s="4"/>
      <c r="AD1466" s="4"/>
      <c r="AE1466" s="4"/>
      <c r="AF1466" s="4"/>
      <c r="AG1466" s="4"/>
      <c r="AH1466" s="4"/>
      <c r="AI1466" s="4"/>
      <c r="AJ1466" s="4"/>
      <c r="AK1466" s="4"/>
      <c r="AL1466" s="4"/>
      <c r="AM1466" s="4"/>
      <c r="AN1466" s="4"/>
      <c r="AO1466" s="4"/>
      <c r="AP1466" s="4"/>
      <c r="AQ1466" s="4"/>
      <c r="AR1466" s="4"/>
      <c r="AS1466" s="4"/>
      <c r="AT1466" s="4"/>
      <c r="AU1466" s="4"/>
      <c r="AV1466" s="4"/>
      <c r="AW1466" s="4"/>
      <c r="AX1466" s="4"/>
      <c r="AY1466" s="4"/>
      <c r="AZ1466" s="4"/>
      <c r="BA1466" s="4"/>
      <c r="BB1466" s="4"/>
      <c r="BC1466" s="4"/>
      <c r="BD1466" s="4"/>
      <c r="BE1466" s="4"/>
      <c r="BF1466" s="4"/>
      <c r="BG1466" s="4"/>
      <c r="BH1466" s="4"/>
      <c r="BI1466" s="4"/>
      <c r="BJ1466" s="4"/>
      <c r="BK1466" s="4"/>
      <c r="BL1466" s="4"/>
      <c r="BM1466" s="4"/>
      <c r="BN1466" s="4"/>
      <c r="BO1466" s="4"/>
      <c r="BP1466" s="4"/>
      <c r="BQ1466" s="4"/>
      <c r="BR1466" s="4"/>
      <c r="BS1466" s="4"/>
      <c r="BT1466" s="4"/>
      <c r="BU1466" s="4"/>
      <c r="BV1466" s="4"/>
      <c r="BW1466" s="4"/>
      <c r="BX1466" s="4"/>
      <c r="BY1466" s="4"/>
      <c r="BZ1466" s="4"/>
      <c r="CA1466" s="4"/>
      <c r="CB1466" s="4"/>
      <c r="CC1466" s="4"/>
      <c r="CD1466" s="4"/>
      <c r="CE1466" s="4"/>
      <c r="CF1466" s="4"/>
      <c r="CG1466" s="4"/>
      <c r="CH1466" s="4"/>
      <c r="CI1466" s="4"/>
      <c r="CJ1466" s="4"/>
      <c r="CK1466" s="4"/>
      <c r="CL1466" s="4"/>
      <c r="CM1466" s="4"/>
      <c r="CN1466" s="4"/>
      <c r="CO1466" s="4"/>
      <c r="CP1466" s="4" t="s">
        <v>4398</v>
      </c>
      <c r="CQ1466" s="4"/>
      <c r="CR1466" s="4"/>
      <c r="CS1466" s="4"/>
      <c r="CT1466" s="4"/>
      <c r="CU1466" s="4"/>
      <c r="CV1466" s="4"/>
      <c r="CW1466" s="4"/>
      <c r="CX1466" s="4"/>
      <c r="CY1466" s="4"/>
      <c r="CZ1466" s="4"/>
      <c r="DA1466" s="4"/>
      <c r="DB1466" s="4"/>
      <c r="DC1466" s="4"/>
      <c r="DD1466" s="4"/>
      <c r="DE1466" s="4"/>
      <c r="DF1466" s="4"/>
      <c r="DG1466" s="4"/>
      <c r="DH1466" s="4"/>
      <c r="DI1466" s="4"/>
      <c r="DJ1466" s="4"/>
      <c r="DK1466" s="4"/>
      <c r="DL1466" s="4"/>
      <c r="DM1466" s="4"/>
      <c r="DN1466" s="4"/>
      <c r="DO1466" s="4"/>
      <c r="DP1466" s="4"/>
      <c r="DQ1466" s="4"/>
      <c r="DR1466" s="4"/>
      <c r="DS1466" s="4"/>
      <c r="DT1466" s="4"/>
      <c r="DU1466" s="4"/>
      <c r="DV1466" s="4"/>
      <c r="DW1466" s="4"/>
      <c r="DX1466" s="4"/>
      <c r="DY1466" s="4"/>
      <c r="DZ1466" s="4"/>
      <c r="EA1466" s="4"/>
      <c r="EB1466" s="4"/>
      <c r="EC1466" s="4"/>
      <c r="ED1466" s="4"/>
      <c r="EE1466" s="4"/>
      <c r="EF1466" s="4"/>
      <c r="EG1466" s="4"/>
      <c r="EH1466" s="4"/>
      <c r="EI1466" s="4"/>
    </row>
    <row r="1467" spans="1:139" hidden="1" x14ac:dyDescent="0.2">
      <c r="A1467">
        <f>VLOOKUP(B1467,Sheet1!$A$1:$B$18,2,FALSE)</f>
        <v>0</v>
      </c>
      <c r="B1467" t="str">
        <f>LEFT(D1467,3)</f>
        <v>WKT</v>
      </c>
      <c r="C1467" s="2">
        <v>1466</v>
      </c>
      <c r="D1467" s="3" t="str">
        <f>HYPERLINK("https://sitebase.nzcomms.co.nz/spm/spmnominalview/WKT-016-038/","WKT-016-038")</f>
        <v>WKT-016-038</v>
      </c>
      <c r="E1467" s="4" t="s">
        <v>3695</v>
      </c>
      <c r="F1467" s="3" t="str">
        <f>HYPERLINK("https://sitebase.nzcomms.co.nz/spm/spmcandidateview/WKT-016-038-A/","WKT-016-038-A")</f>
        <v>WKT-016-038-A</v>
      </c>
      <c r="G1467" s="4" t="s">
        <v>4399</v>
      </c>
      <c r="H1467" s="4" t="s">
        <v>4251</v>
      </c>
      <c r="I1467" s="4">
        <v>10</v>
      </c>
      <c r="J1467" s="4" t="s">
        <v>1633</v>
      </c>
      <c r="K1467" s="4" t="s">
        <v>141</v>
      </c>
      <c r="L1467" s="4" t="s">
        <v>142</v>
      </c>
      <c r="M1467" s="4" t="s">
        <v>571</v>
      </c>
      <c r="N1467" s="4" t="s">
        <v>142</v>
      </c>
      <c r="O1467" s="4" t="s">
        <v>144</v>
      </c>
      <c r="P1467" s="4" t="s">
        <v>169</v>
      </c>
      <c r="Q1467" s="4" t="s">
        <v>142</v>
      </c>
      <c r="R1467" s="4">
        <v>17.600000000000001</v>
      </c>
      <c r="S1467" s="4">
        <v>41.5</v>
      </c>
      <c r="T1467" s="4">
        <v>1</v>
      </c>
      <c r="U1467" s="4">
        <v>-37.790733410000001</v>
      </c>
      <c r="V1467" s="4">
        <v>175.26527644000001</v>
      </c>
      <c r="W1467" s="4"/>
      <c r="X1467" s="5">
        <v>40140</v>
      </c>
      <c r="Y1467" s="4"/>
      <c r="Z1467" s="5">
        <v>40162</v>
      </c>
      <c r="AA1467" s="4" t="s">
        <v>171</v>
      </c>
      <c r="AB1467" s="3" t="str">
        <f>HYPERLINK("https://sitebase.nzcomms.co.nz/spm/spmcandidateview/WKT-016-023-B/","WKT-016-023-B")</f>
        <v>WKT-016-023-B</v>
      </c>
      <c r="AC1467" s="4" t="b">
        <v>1</v>
      </c>
      <c r="AD1467" s="4" t="b">
        <v>1</v>
      </c>
      <c r="AE1467" s="5">
        <v>40192</v>
      </c>
      <c r="AF1467" s="5">
        <v>40192</v>
      </c>
      <c r="AG1467" s="4" t="b">
        <v>0</v>
      </c>
      <c r="AH1467" s="4" t="s">
        <v>4265</v>
      </c>
      <c r="AI1467" s="5">
        <v>40192</v>
      </c>
      <c r="AJ1467" s="5">
        <v>40192</v>
      </c>
      <c r="AK1467" s="4"/>
      <c r="AL1467" s="4"/>
      <c r="AM1467" s="5">
        <v>40249</v>
      </c>
      <c r="AN1467" s="5">
        <v>40249</v>
      </c>
      <c r="AO1467" s="4">
        <v>1</v>
      </c>
      <c r="AP1467" s="5">
        <v>40249</v>
      </c>
      <c r="AQ1467" s="5">
        <v>40249</v>
      </c>
      <c r="AR1467" s="5">
        <v>40312</v>
      </c>
      <c r="AS1467" s="5">
        <v>40288</v>
      </c>
      <c r="AT1467" s="5">
        <v>40375</v>
      </c>
      <c r="AU1467" s="5">
        <v>40373</v>
      </c>
      <c r="AV1467" s="4"/>
      <c r="AW1467" s="5">
        <v>40602</v>
      </c>
      <c r="AX1467" s="5">
        <v>40877</v>
      </c>
      <c r="AY1467" s="4"/>
      <c r="AZ1467" s="5">
        <v>40309</v>
      </c>
      <c r="BA1467" s="5">
        <v>40309</v>
      </c>
      <c r="BB1467" s="5">
        <v>40333</v>
      </c>
      <c r="BC1467" s="5">
        <v>40332</v>
      </c>
      <c r="BD1467" s="4">
        <v>1</v>
      </c>
      <c r="BE1467" s="5">
        <v>40333</v>
      </c>
      <c r="BF1467" s="5">
        <v>40332</v>
      </c>
      <c r="BG1467" s="4"/>
      <c r="BH1467" s="4"/>
      <c r="BI1467" s="4"/>
      <c r="BJ1467" s="5">
        <v>40714</v>
      </c>
      <c r="BK1467" s="4">
        <v>1</v>
      </c>
      <c r="BL1467" s="4"/>
      <c r="BM1467" s="4"/>
      <c r="BN1467" s="5">
        <v>40714</v>
      </c>
      <c r="BO1467" s="5">
        <v>40703</v>
      </c>
      <c r="BP1467" s="4"/>
      <c r="BQ1467" s="4"/>
      <c r="BR1467" s="4"/>
      <c r="BS1467" s="4"/>
      <c r="BT1467" s="5">
        <v>40714</v>
      </c>
      <c r="BU1467" s="5">
        <v>40703</v>
      </c>
      <c r="BV1467" s="5">
        <v>40718</v>
      </c>
      <c r="BW1467" s="5">
        <v>40711</v>
      </c>
      <c r="BX1467" s="5">
        <v>40711</v>
      </c>
      <c r="BY1467" s="5">
        <v>40722</v>
      </c>
      <c r="BZ1467" s="5">
        <v>40721</v>
      </c>
      <c r="CA1467" s="4"/>
      <c r="CB1467" s="4"/>
      <c r="CC1467" s="4"/>
      <c r="CD1467" s="5">
        <v>40581</v>
      </c>
      <c r="CE1467" s="4"/>
      <c r="CF1467" s="4"/>
      <c r="CG1467" s="4"/>
      <c r="CH1467" s="5">
        <v>40675</v>
      </c>
      <c r="CI1467" s="5">
        <v>40725</v>
      </c>
      <c r="CJ1467" s="5">
        <v>40755</v>
      </c>
      <c r="CK1467" s="5">
        <v>40752</v>
      </c>
      <c r="CL1467" s="5">
        <v>40755</v>
      </c>
      <c r="CM1467" s="5">
        <v>40750</v>
      </c>
      <c r="CN1467" s="5">
        <v>40856</v>
      </c>
      <c r="CO1467" s="5">
        <v>40899</v>
      </c>
      <c r="CP1467" s="4" t="s">
        <v>4400</v>
      </c>
      <c r="CQ1467" s="4" t="s">
        <v>1657</v>
      </c>
      <c r="CR1467" s="5">
        <v>40722</v>
      </c>
      <c r="CS1467" s="5">
        <v>40679</v>
      </c>
      <c r="CT1467" s="5">
        <v>40681</v>
      </c>
      <c r="CU1467" s="5">
        <v>40681</v>
      </c>
      <c r="CV1467" s="5">
        <v>40682</v>
      </c>
      <c r="CW1467" s="5">
        <v>40703</v>
      </c>
      <c r="CX1467" s="5">
        <v>40703</v>
      </c>
      <c r="CY1467" s="5">
        <v>40718</v>
      </c>
      <c r="CZ1467" s="5">
        <v>40718</v>
      </c>
      <c r="DA1467" s="4"/>
      <c r="DB1467" s="5">
        <v>40742</v>
      </c>
      <c r="DC1467" s="4"/>
      <c r="DD1467" s="4"/>
      <c r="DE1467" s="4"/>
      <c r="DF1467" s="4"/>
      <c r="DG1467" s="4"/>
      <c r="DH1467" s="4"/>
      <c r="DI1467" s="4"/>
      <c r="DJ1467" s="4" t="b">
        <v>0</v>
      </c>
      <c r="DK1467" s="4"/>
      <c r="DL1467" s="4">
        <v>2709706</v>
      </c>
      <c r="DM1467" s="4">
        <v>6376617</v>
      </c>
      <c r="DN1467" s="4" t="s">
        <v>4401</v>
      </c>
      <c r="DO1467" s="4"/>
      <c r="DP1467" s="4"/>
      <c r="DQ1467" s="4" t="s">
        <v>148</v>
      </c>
      <c r="DR1467" s="4"/>
      <c r="DS1467" s="4"/>
      <c r="DT1467" s="5">
        <v>41906</v>
      </c>
      <c r="DU1467" s="4"/>
      <c r="DV1467" s="4"/>
      <c r="DW1467" s="4"/>
      <c r="DX1467" s="4"/>
      <c r="DY1467" s="4"/>
      <c r="DZ1467" s="4"/>
      <c r="EA1467" s="4"/>
      <c r="EB1467" s="4"/>
      <c r="EC1467" s="4"/>
      <c r="ED1467" s="4"/>
      <c r="EE1467" s="4"/>
      <c r="EF1467" s="4"/>
      <c r="EG1467" s="4"/>
      <c r="EH1467" s="5">
        <v>40742</v>
      </c>
      <c r="EI1467" s="5">
        <v>40249</v>
      </c>
    </row>
    <row r="1468" spans="1:139" hidden="1" x14ac:dyDescent="0.2">
      <c r="A1468">
        <f>VLOOKUP(B1468,Sheet1!$A$1:$B$18,2,FALSE)</f>
        <v>0</v>
      </c>
      <c r="B1468" t="str">
        <f>LEFT(D1468,3)</f>
        <v>WKT</v>
      </c>
      <c r="C1468" s="2">
        <v>1467</v>
      </c>
      <c r="D1468" s="3" t="str">
        <f>HYPERLINK("https://sitebase.nzcomms.co.nz/spm/spmnominalview/WKT-016-039/","WKT-016-039")</f>
        <v>WKT-016-039</v>
      </c>
      <c r="E1468" s="4" t="s">
        <v>4402</v>
      </c>
      <c r="F1468" s="3" t="str">
        <f>HYPERLINK("https://sitebase.nzcomms.co.nz/spm/spmcandidateview/WKT-016-039-A/","WKT-016-039-A")</f>
        <v>WKT-016-039-A</v>
      </c>
      <c r="G1468" s="4" t="s">
        <v>4403</v>
      </c>
      <c r="H1468" s="4" t="s">
        <v>4251</v>
      </c>
      <c r="I1468" s="4">
        <v>10</v>
      </c>
      <c r="J1468" s="4" t="s">
        <v>1633</v>
      </c>
      <c r="K1468" s="4" t="s">
        <v>141</v>
      </c>
      <c r="L1468" s="4" t="s">
        <v>142</v>
      </c>
      <c r="M1468" s="4" t="s">
        <v>190</v>
      </c>
      <c r="N1468" s="4" t="s">
        <v>142</v>
      </c>
      <c r="O1468" s="4" t="s">
        <v>144</v>
      </c>
      <c r="P1468" s="4" t="s">
        <v>169</v>
      </c>
      <c r="Q1468" s="4" t="s">
        <v>142</v>
      </c>
      <c r="R1468" s="4">
        <v>22.3</v>
      </c>
      <c r="S1468" s="4">
        <v>23.8</v>
      </c>
      <c r="T1468" s="4">
        <v>1</v>
      </c>
      <c r="U1468" s="4">
        <v>-37.82073939</v>
      </c>
      <c r="V1468" s="4">
        <v>175.26843302</v>
      </c>
      <c r="W1468" s="4"/>
      <c r="X1468" s="5">
        <v>40140</v>
      </c>
      <c r="Y1468" s="4"/>
      <c r="Z1468" s="5">
        <v>40140</v>
      </c>
      <c r="AA1468" s="4" t="s">
        <v>171</v>
      </c>
      <c r="AB1468" s="3" t="str">
        <f>HYPERLINK("https://sitebase.nzcomms.co.nz/spm/spmcandidateview/WKT-016-012-A/","WKT-016-012-A")</f>
        <v>WKT-016-012-A</v>
      </c>
      <c r="AC1468" s="4" t="b">
        <v>1</v>
      </c>
      <c r="AD1468" s="4" t="b">
        <v>1</v>
      </c>
      <c r="AE1468" s="5">
        <v>40219</v>
      </c>
      <c r="AF1468" s="5">
        <v>40235</v>
      </c>
      <c r="AG1468" s="4" t="b">
        <v>0</v>
      </c>
      <c r="AH1468" s="4" t="s">
        <v>4313</v>
      </c>
      <c r="AI1468" s="4"/>
      <c r="AJ1468" s="5">
        <v>40219</v>
      </c>
      <c r="AK1468" s="4"/>
      <c r="AL1468" s="4"/>
      <c r="AM1468" s="5">
        <v>40232</v>
      </c>
      <c r="AN1468" s="5">
        <v>40233</v>
      </c>
      <c r="AO1468" s="4">
        <v>3</v>
      </c>
      <c r="AP1468" s="5">
        <v>40232</v>
      </c>
      <c r="AQ1468" s="5">
        <v>40354</v>
      </c>
      <c r="AR1468" s="4"/>
      <c r="AS1468" s="5">
        <v>40260</v>
      </c>
      <c r="AT1468" s="5">
        <v>40396</v>
      </c>
      <c r="AU1468" s="5">
        <v>40395</v>
      </c>
      <c r="AV1468" s="4"/>
      <c r="AW1468" s="5">
        <v>40602</v>
      </c>
      <c r="AX1468" s="5">
        <v>40862</v>
      </c>
      <c r="AY1468" s="4" t="s">
        <v>172</v>
      </c>
      <c r="AZ1468" s="5">
        <v>40281</v>
      </c>
      <c r="BA1468" s="5">
        <v>40276</v>
      </c>
      <c r="BB1468" s="5">
        <v>40309</v>
      </c>
      <c r="BC1468" s="5">
        <v>40304</v>
      </c>
      <c r="BD1468" s="4">
        <v>2</v>
      </c>
      <c r="BE1468" s="5">
        <v>40316</v>
      </c>
      <c r="BF1468" s="5">
        <v>40308</v>
      </c>
      <c r="BG1468" s="4"/>
      <c r="BH1468" s="4"/>
      <c r="BI1468" s="5">
        <v>40632</v>
      </c>
      <c r="BJ1468" s="5">
        <v>40653</v>
      </c>
      <c r="BK1468" s="4">
        <v>1</v>
      </c>
      <c r="BL1468" s="4"/>
      <c r="BM1468" s="5">
        <v>40627</v>
      </c>
      <c r="BN1468" s="5">
        <v>40653</v>
      </c>
      <c r="BO1468" s="5">
        <v>40676</v>
      </c>
      <c r="BP1468" s="4"/>
      <c r="BQ1468" s="4"/>
      <c r="BR1468" s="4"/>
      <c r="BS1468" s="4"/>
      <c r="BT1468" s="5">
        <v>40688</v>
      </c>
      <c r="BU1468" s="5">
        <v>40688</v>
      </c>
      <c r="BV1468" s="5">
        <v>40688</v>
      </c>
      <c r="BW1468" s="5">
        <v>40697</v>
      </c>
      <c r="BX1468" s="5">
        <v>40698</v>
      </c>
      <c r="BY1468" s="5">
        <v>40709</v>
      </c>
      <c r="BZ1468" s="5">
        <v>40710</v>
      </c>
      <c r="CA1468" s="4"/>
      <c r="CB1468" s="4"/>
      <c r="CC1468" s="4"/>
      <c r="CD1468" s="5">
        <v>40581</v>
      </c>
      <c r="CE1468" s="4"/>
      <c r="CF1468" s="4"/>
      <c r="CG1468" s="4"/>
      <c r="CH1468" s="5">
        <v>40675</v>
      </c>
      <c r="CI1468" s="5">
        <v>40721</v>
      </c>
      <c r="CJ1468" s="5">
        <v>40755</v>
      </c>
      <c r="CK1468" s="5">
        <v>40752</v>
      </c>
      <c r="CL1468" s="5">
        <v>40755</v>
      </c>
      <c r="CM1468" s="5">
        <v>40750</v>
      </c>
      <c r="CN1468" s="5">
        <v>40856</v>
      </c>
      <c r="CO1468" s="5">
        <v>40878</v>
      </c>
      <c r="CP1468" s="4" t="s">
        <v>4253</v>
      </c>
      <c r="CQ1468" s="4" t="s">
        <v>230</v>
      </c>
      <c r="CR1468" s="5">
        <v>40713</v>
      </c>
      <c r="CS1468" s="5">
        <v>40666</v>
      </c>
      <c r="CT1468" s="5">
        <v>40666</v>
      </c>
      <c r="CU1468" s="5">
        <v>40672</v>
      </c>
      <c r="CV1468" s="5">
        <v>40673</v>
      </c>
      <c r="CW1468" s="5">
        <v>40672</v>
      </c>
      <c r="CX1468" s="5">
        <v>40676</v>
      </c>
      <c r="CY1468" s="5">
        <v>40710</v>
      </c>
      <c r="CZ1468" s="5">
        <v>40717</v>
      </c>
      <c r="DA1468" s="4"/>
      <c r="DB1468" s="5">
        <v>40737</v>
      </c>
      <c r="DC1468" s="4"/>
      <c r="DD1468" s="4"/>
      <c r="DE1468" s="4"/>
      <c r="DF1468" s="4"/>
      <c r="DG1468" s="4"/>
      <c r="DH1468" s="4"/>
      <c r="DI1468" s="4"/>
      <c r="DJ1468" s="4" t="b">
        <v>0</v>
      </c>
      <c r="DK1468" s="4"/>
      <c r="DL1468" s="4">
        <v>2709898</v>
      </c>
      <c r="DM1468" s="4">
        <v>6373281</v>
      </c>
      <c r="DN1468" s="4" t="s">
        <v>4404</v>
      </c>
      <c r="DO1468" s="4"/>
      <c r="DP1468" s="4"/>
      <c r="DQ1468" s="4" t="s">
        <v>148</v>
      </c>
      <c r="DR1468" s="4"/>
      <c r="DS1468" s="4"/>
      <c r="DT1468" s="4"/>
      <c r="DU1468" s="4"/>
      <c r="DV1468" s="4"/>
      <c r="DW1468" s="4"/>
      <c r="DX1468" s="4"/>
      <c r="DY1468" s="4"/>
      <c r="DZ1468" s="4"/>
      <c r="EA1468" s="4"/>
      <c r="EB1468" s="4"/>
      <c r="EC1468" s="4"/>
      <c r="ED1468" s="4"/>
      <c r="EE1468" s="4"/>
      <c r="EF1468" s="4"/>
      <c r="EG1468" s="4"/>
      <c r="EH1468" s="5">
        <v>40737</v>
      </c>
      <c r="EI1468" s="5">
        <v>40199</v>
      </c>
    </row>
    <row r="1469" spans="1:139" hidden="1" x14ac:dyDescent="0.2">
      <c r="A1469">
        <f>VLOOKUP(B1469,Sheet1!$A$1:$B$18,2,FALSE)</f>
        <v>0</v>
      </c>
      <c r="B1469" t="str">
        <f>LEFT(D1469,3)</f>
        <v>WKT</v>
      </c>
      <c r="C1469" s="2">
        <v>1468</v>
      </c>
      <c r="D1469" s="3" t="str">
        <f>HYPERLINK("https://sitebase.nzcomms.co.nz/spm/spmnominalview/WKT-016-040/","WKT-016-040")</f>
        <v>WKT-016-040</v>
      </c>
      <c r="E1469" s="4" t="s">
        <v>4405</v>
      </c>
      <c r="F1469" s="3" t="str">
        <f>HYPERLINK("https://sitebase.nzcomms.co.nz/spm/spmcandidateview/WKT-016-040-A/","WKT-016-040-A")</f>
        <v>WKT-016-040-A</v>
      </c>
      <c r="G1469" s="4" t="s">
        <v>4406</v>
      </c>
      <c r="H1469" s="4" t="s">
        <v>4251</v>
      </c>
      <c r="I1469" s="4">
        <v>10</v>
      </c>
      <c r="J1469" s="4" t="s">
        <v>1633</v>
      </c>
      <c r="K1469" s="4" t="s">
        <v>141</v>
      </c>
      <c r="L1469" s="4" t="s">
        <v>189</v>
      </c>
      <c r="M1469" s="4" t="s">
        <v>571</v>
      </c>
      <c r="N1469" s="4" t="s">
        <v>355</v>
      </c>
      <c r="O1469" s="4" t="s">
        <v>144</v>
      </c>
      <c r="P1469" s="4" t="s">
        <v>182</v>
      </c>
      <c r="Q1469" s="4" t="s">
        <v>192</v>
      </c>
      <c r="R1469" s="4">
        <v>15</v>
      </c>
      <c r="S1469" s="4">
        <v>15.5</v>
      </c>
      <c r="T1469" s="4">
        <v>3</v>
      </c>
      <c r="U1469" s="4">
        <v>-37.784984809999997</v>
      </c>
      <c r="V1469" s="4">
        <v>175.32092492000001</v>
      </c>
      <c r="W1469" s="4"/>
      <c r="X1469" s="5">
        <v>40140</v>
      </c>
      <c r="Y1469" s="4"/>
      <c r="Z1469" s="5">
        <v>40259</v>
      </c>
      <c r="AA1469" s="4" t="s">
        <v>152</v>
      </c>
      <c r="AB1469" s="3" t="str">
        <f>HYPERLINK("https://sitebase.nzcomms.co.nz/spm/spmcandidateview/WKT-016-023-B/","WKT-016-023-B")</f>
        <v>WKT-016-023-B</v>
      </c>
      <c r="AC1469" s="4" t="b">
        <v>1</v>
      </c>
      <c r="AD1469" s="4" t="b">
        <v>1</v>
      </c>
      <c r="AE1469" s="5">
        <v>40259</v>
      </c>
      <c r="AF1469" s="4"/>
      <c r="AG1469" s="4" t="b">
        <v>0</v>
      </c>
      <c r="AH1469" s="4" t="s">
        <v>1709</v>
      </c>
      <c r="AI1469" s="5">
        <v>40266</v>
      </c>
      <c r="AJ1469" s="5">
        <v>40263</v>
      </c>
      <c r="AK1469" s="4"/>
      <c r="AL1469" s="4"/>
      <c r="AM1469" s="5">
        <v>40304</v>
      </c>
      <c r="AN1469" s="5">
        <v>40304</v>
      </c>
      <c r="AO1469" s="4">
        <v>2</v>
      </c>
      <c r="AP1469" s="5">
        <v>40304</v>
      </c>
      <c r="AQ1469" s="5">
        <v>40519</v>
      </c>
      <c r="AR1469" s="5">
        <v>40318</v>
      </c>
      <c r="AS1469" s="5">
        <v>40311</v>
      </c>
      <c r="AT1469" s="5">
        <v>40431</v>
      </c>
      <c r="AU1469" s="5">
        <v>40429</v>
      </c>
      <c r="AV1469" s="4">
        <v>1</v>
      </c>
      <c r="AW1469" s="5">
        <v>40431</v>
      </c>
      <c r="AX1469" s="5">
        <v>40429</v>
      </c>
      <c r="AY1469" s="4" t="s">
        <v>198</v>
      </c>
      <c r="AZ1469" s="5">
        <v>40305</v>
      </c>
      <c r="BA1469" s="5">
        <v>40305</v>
      </c>
      <c r="BB1469" s="5">
        <v>40346</v>
      </c>
      <c r="BC1469" s="5">
        <v>40344</v>
      </c>
      <c r="BD1469" s="4">
        <v>1</v>
      </c>
      <c r="BE1469" s="5">
        <v>40353</v>
      </c>
      <c r="BF1469" s="5">
        <v>40347</v>
      </c>
      <c r="BG1469" s="4"/>
      <c r="BH1469" s="4"/>
      <c r="BI1469" s="5">
        <v>40669</v>
      </c>
      <c r="BJ1469" s="5">
        <v>40676</v>
      </c>
      <c r="BK1469" s="4">
        <v>1</v>
      </c>
      <c r="BL1469" s="4"/>
      <c r="BM1469" s="5">
        <v>40667</v>
      </c>
      <c r="BN1469" s="5">
        <v>40676</v>
      </c>
      <c r="BO1469" s="5">
        <v>40679</v>
      </c>
      <c r="BP1469" s="4"/>
      <c r="BQ1469" s="4"/>
      <c r="BR1469" s="5">
        <v>40645</v>
      </c>
      <c r="BS1469" s="4"/>
      <c r="BT1469" s="5">
        <v>40696</v>
      </c>
      <c r="BU1469" s="5">
        <v>40695</v>
      </c>
      <c r="BV1469" s="5">
        <v>40700</v>
      </c>
      <c r="BW1469" s="5">
        <v>40710</v>
      </c>
      <c r="BX1469" s="5">
        <v>40702</v>
      </c>
      <c r="BY1469" s="5">
        <v>40708</v>
      </c>
      <c r="BZ1469" s="5">
        <v>40705</v>
      </c>
      <c r="CA1469" s="4"/>
      <c r="CB1469" s="4"/>
      <c r="CC1469" s="4"/>
      <c r="CD1469" s="4"/>
      <c r="CE1469" s="4"/>
      <c r="CF1469" s="4"/>
      <c r="CG1469" s="4"/>
      <c r="CH1469" s="5">
        <v>40675</v>
      </c>
      <c r="CI1469" s="5">
        <v>40724</v>
      </c>
      <c r="CJ1469" s="5">
        <v>40755</v>
      </c>
      <c r="CK1469" s="5">
        <v>40752</v>
      </c>
      <c r="CL1469" s="5">
        <v>40755</v>
      </c>
      <c r="CM1469" s="5">
        <v>40751</v>
      </c>
      <c r="CN1469" s="5">
        <v>40857</v>
      </c>
      <c r="CO1469" s="5">
        <v>40878</v>
      </c>
      <c r="CP1469" s="4" t="s">
        <v>4309</v>
      </c>
      <c r="CQ1469" s="4"/>
      <c r="CR1469" s="5">
        <v>40708</v>
      </c>
      <c r="CS1469" s="5">
        <v>40686</v>
      </c>
      <c r="CT1469" s="5">
        <v>40686</v>
      </c>
      <c r="CU1469" s="5">
        <v>40688</v>
      </c>
      <c r="CV1469" s="5">
        <v>40687</v>
      </c>
      <c r="CW1469" s="5">
        <v>40679</v>
      </c>
      <c r="CX1469" s="5">
        <v>40679</v>
      </c>
      <c r="CY1469" s="5">
        <v>40711</v>
      </c>
      <c r="CZ1469" s="5">
        <v>40721</v>
      </c>
      <c r="DA1469" s="4"/>
      <c r="DB1469" s="5">
        <v>40742</v>
      </c>
      <c r="DC1469" s="4"/>
      <c r="DD1469" s="4"/>
      <c r="DE1469" s="4"/>
      <c r="DF1469" s="4"/>
      <c r="DG1469" s="4"/>
      <c r="DH1469" s="4"/>
      <c r="DI1469" s="4"/>
      <c r="DJ1469" s="4" t="b">
        <v>1</v>
      </c>
      <c r="DK1469" s="4"/>
      <c r="DL1469" s="4">
        <v>2714622</v>
      </c>
      <c r="DM1469" s="4">
        <v>6377127</v>
      </c>
      <c r="DN1469" s="4" t="s">
        <v>4407</v>
      </c>
      <c r="DO1469" s="4"/>
      <c r="DP1469" s="4" t="s">
        <v>4408</v>
      </c>
      <c r="DQ1469" s="4" t="s">
        <v>148</v>
      </c>
      <c r="DR1469" s="4"/>
      <c r="DS1469" s="4"/>
      <c r="DT1469" s="5">
        <v>41906</v>
      </c>
      <c r="DU1469" s="4"/>
      <c r="DV1469" s="4"/>
      <c r="DW1469" s="4"/>
      <c r="DX1469" s="4"/>
      <c r="DY1469" s="4"/>
      <c r="DZ1469" s="4"/>
      <c r="EA1469" s="4"/>
      <c r="EB1469" s="4"/>
      <c r="EC1469" s="4"/>
      <c r="ED1469" s="4"/>
      <c r="EE1469" s="4"/>
      <c r="EF1469" s="4"/>
      <c r="EG1469" s="4"/>
      <c r="EH1469" s="5">
        <v>40742</v>
      </c>
      <c r="EI1469" s="4"/>
    </row>
    <row r="1470" spans="1:139" hidden="1" x14ac:dyDescent="0.2">
      <c r="A1470">
        <f>VLOOKUP(B1470,Sheet1!$A$1:$B$18,2,FALSE)</f>
        <v>0</v>
      </c>
      <c r="B1470" t="str">
        <f>LEFT(D1470,3)</f>
        <v>WKT</v>
      </c>
      <c r="C1470" s="2">
        <v>1469</v>
      </c>
      <c r="D1470" s="3" t="str">
        <f>HYPERLINK("https://sitebase.nzcomms.co.nz/spm/spmnominalview/WKT-016-041/","WKT-016-041")</f>
        <v>WKT-016-041</v>
      </c>
      <c r="E1470" s="4" t="s">
        <v>4409</v>
      </c>
      <c r="F1470" s="3" t="str">
        <f>HYPERLINK("https://sitebase.nzcomms.co.nz/spm/spmcandidateview/WKT-016-041-A/","WKT-016-041-A")</f>
        <v>WKT-016-041-A</v>
      </c>
      <c r="G1470" s="4" t="s">
        <v>4410</v>
      </c>
      <c r="H1470" s="4" t="s">
        <v>4251</v>
      </c>
      <c r="I1470" s="4">
        <v>10</v>
      </c>
      <c r="J1470" s="4" t="s">
        <v>1633</v>
      </c>
      <c r="K1470" s="4" t="s">
        <v>141</v>
      </c>
      <c r="L1470" s="4" t="s">
        <v>189</v>
      </c>
      <c r="M1470" s="4" t="s">
        <v>190</v>
      </c>
      <c r="N1470" s="4" t="s">
        <v>274</v>
      </c>
      <c r="O1470" s="4" t="s">
        <v>144</v>
      </c>
      <c r="P1470" s="4" t="s">
        <v>182</v>
      </c>
      <c r="Q1470" s="4" t="s">
        <v>192</v>
      </c>
      <c r="R1470" s="4">
        <v>15</v>
      </c>
      <c r="S1470" s="4">
        <v>15.5</v>
      </c>
      <c r="T1470" s="4"/>
      <c r="U1470" s="4">
        <v>-37.723206079999997</v>
      </c>
      <c r="V1470" s="4">
        <v>175.25442669</v>
      </c>
      <c r="W1470" s="4"/>
      <c r="X1470" s="5">
        <v>40319</v>
      </c>
      <c r="Y1470" s="4"/>
      <c r="Z1470" s="5">
        <v>40319</v>
      </c>
      <c r="AA1470" s="4" t="s">
        <v>171</v>
      </c>
      <c r="AB1470" s="3" t="str">
        <f>HYPERLINK("https://sitebase.nzcomms.co.nz/spm/spmcandidateview/WKT-016-016-D/","WKT-016-016-D")</f>
        <v>WKT-016-016-D</v>
      </c>
      <c r="AC1470" s="4" t="b">
        <v>1</v>
      </c>
      <c r="AD1470" s="4" t="b">
        <v>1</v>
      </c>
      <c r="AE1470" s="5">
        <v>40346</v>
      </c>
      <c r="AF1470" s="5">
        <v>40346</v>
      </c>
      <c r="AG1470" s="4" t="b">
        <v>0</v>
      </c>
      <c r="AH1470" s="4" t="s">
        <v>4256</v>
      </c>
      <c r="AI1470" s="5">
        <v>40353</v>
      </c>
      <c r="AJ1470" s="5">
        <v>40353</v>
      </c>
      <c r="AK1470" s="4"/>
      <c r="AL1470" s="4"/>
      <c r="AM1470" s="5">
        <v>40360</v>
      </c>
      <c r="AN1470" s="5">
        <v>40365</v>
      </c>
      <c r="AO1470" s="4">
        <v>2</v>
      </c>
      <c r="AP1470" s="5">
        <v>40360</v>
      </c>
      <c r="AQ1470" s="5">
        <v>40519</v>
      </c>
      <c r="AR1470" s="5">
        <v>40382</v>
      </c>
      <c r="AS1470" s="5">
        <v>40366</v>
      </c>
      <c r="AT1470" s="5">
        <v>40431</v>
      </c>
      <c r="AU1470" s="5">
        <v>40429</v>
      </c>
      <c r="AV1470" s="4">
        <v>1</v>
      </c>
      <c r="AW1470" s="5">
        <v>40431</v>
      </c>
      <c r="AX1470" s="5">
        <v>40429</v>
      </c>
      <c r="AY1470" s="4" t="s">
        <v>172</v>
      </c>
      <c r="AZ1470" s="5">
        <v>40372</v>
      </c>
      <c r="BA1470" s="5">
        <v>40371</v>
      </c>
      <c r="BB1470" s="5">
        <v>40403</v>
      </c>
      <c r="BC1470" s="5">
        <v>40402</v>
      </c>
      <c r="BD1470" s="4">
        <v>1</v>
      </c>
      <c r="BE1470" s="5">
        <v>40410</v>
      </c>
      <c r="BF1470" s="5">
        <v>40403</v>
      </c>
      <c r="BG1470" s="4"/>
      <c r="BH1470" s="4"/>
      <c r="BI1470" s="5">
        <v>40630</v>
      </c>
      <c r="BJ1470" s="5">
        <v>40689</v>
      </c>
      <c r="BK1470" s="4">
        <v>1</v>
      </c>
      <c r="BL1470" s="4"/>
      <c r="BM1470" s="5">
        <v>40624</v>
      </c>
      <c r="BN1470" s="5">
        <v>40689</v>
      </c>
      <c r="BO1470" s="5">
        <v>40686</v>
      </c>
      <c r="BP1470" s="4"/>
      <c r="BQ1470" s="4"/>
      <c r="BR1470" s="4"/>
      <c r="BS1470" s="4"/>
      <c r="BT1470" s="5">
        <v>40707</v>
      </c>
      <c r="BU1470" s="5">
        <v>40695</v>
      </c>
      <c r="BV1470" s="5">
        <v>40711</v>
      </c>
      <c r="BW1470" s="5">
        <v>40716</v>
      </c>
      <c r="BX1470" s="5">
        <v>40702</v>
      </c>
      <c r="BY1470" s="5">
        <v>40719</v>
      </c>
      <c r="BZ1470" s="5">
        <v>40721</v>
      </c>
      <c r="CA1470" s="4"/>
      <c r="CB1470" s="4"/>
      <c r="CC1470" s="4"/>
      <c r="CD1470" s="5">
        <v>40581</v>
      </c>
      <c r="CE1470" s="4"/>
      <c r="CF1470" s="4"/>
      <c r="CG1470" s="4"/>
      <c r="CH1470" s="5">
        <v>40675</v>
      </c>
      <c r="CI1470" s="5">
        <v>40725</v>
      </c>
      <c r="CJ1470" s="5">
        <v>40755</v>
      </c>
      <c r="CK1470" s="5">
        <v>40752</v>
      </c>
      <c r="CL1470" s="5">
        <v>40755</v>
      </c>
      <c r="CM1470" s="5">
        <v>40751</v>
      </c>
      <c r="CN1470" s="5">
        <v>40857</v>
      </c>
      <c r="CO1470" s="5">
        <v>40899</v>
      </c>
      <c r="CP1470" s="4" t="s">
        <v>4309</v>
      </c>
      <c r="CQ1470" s="4"/>
      <c r="CR1470" s="5">
        <v>40719</v>
      </c>
      <c r="CS1470" s="5">
        <v>40686</v>
      </c>
      <c r="CT1470" s="5">
        <v>40686</v>
      </c>
      <c r="CU1470" s="5">
        <v>40688</v>
      </c>
      <c r="CV1470" s="5">
        <v>40687</v>
      </c>
      <c r="CW1470" s="5">
        <v>40686</v>
      </c>
      <c r="CX1470" s="5">
        <v>40686</v>
      </c>
      <c r="CY1470" s="5">
        <v>40711</v>
      </c>
      <c r="CZ1470" s="5">
        <v>40711</v>
      </c>
      <c r="DA1470" s="4"/>
      <c r="DB1470" s="5">
        <v>40737</v>
      </c>
      <c r="DC1470" s="4"/>
      <c r="DD1470" s="4"/>
      <c r="DE1470" s="4"/>
      <c r="DF1470" s="4"/>
      <c r="DG1470" s="4"/>
      <c r="DH1470" s="4"/>
      <c r="DI1470" s="4"/>
      <c r="DJ1470" s="4" t="b">
        <v>0</v>
      </c>
      <c r="DK1470" s="4"/>
      <c r="DL1470" s="4">
        <v>2708943</v>
      </c>
      <c r="DM1470" s="4">
        <v>6384133</v>
      </c>
      <c r="DN1470" s="4" t="s">
        <v>4411</v>
      </c>
      <c r="DO1470" s="4"/>
      <c r="DP1470" s="4" t="s">
        <v>4412</v>
      </c>
      <c r="DQ1470" s="4" t="s">
        <v>148</v>
      </c>
      <c r="DR1470" s="4"/>
      <c r="DS1470" s="4"/>
      <c r="DT1470" s="4"/>
      <c r="DU1470" s="4"/>
      <c r="DV1470" s="4"/>
      <c r="DW1470" s="4"/>
      <c r="DX1470" s="4"/>
      <c r="DY1470" s="4"/>
      <c r="DZ1470" s="4"/>
      <c r="EA1470" s="4"/>
      <c r="EB1470" s="4"/>
      <c r="EC1470" s="4"/>
      <c r="ED1470" s="4"/>
      <c r="EE1470" s="4"/>
      <c r="EF1470" s="4"/>
      <c r="EG1470" s="4"/>
      <c r="EH1470" s="5">
        <v>40737</v>
      </c>
      <c r="EI1470" s="4"/>
    </row>
    <row r="1471" spans="1:139" hidden="1" x14ac:dyDescent="0.2">
      <c r="A1471">
        <f>VLOOKUP(B1471,Sheet1!$A$1:$B$18,2,FALSE)</f>
        <v>0</v>
      </c>
      <c r="B1471" t="str">
        <f>LEFT(D1471,3)</f>
        <v>WKT</v>
      </c>
      <c r="C1471" s="2">
        <v>1470</v>
      </c>
      <c r="D1471" s="3" t="str">
        <f>HYPERLINK("https://sitebase.nzcomms.co.nz/spm/spmnominalview/WKT-016-042/","WKT-016-042")</f>
        <v>WKT-016-042</v>
      </c>
      <c r="E1471" s="4" t="s">
        <v>4413</v>
      </c>
      <c r="F1471" s="3" t="str">
        <f>HYPERLINK("https://sitebase.nzcomms.co.nz/spm/spmcandidateview/WKT-016-042-A/","WKT-016-042-A")</f>
        <v>WKT-016-042-A</v>
      </c>
      <c r="G1471" s="4" t="s">
        <v>4414</v>
      </c>
      <c r="H1471" s="4" t="s">
        <v>4251</v>
      </c>
      <c r="I1471" s="4">
        <v>1</v>
      </c>
      <c r="J1471" s="4" t="s">
        <v>180</v>
      </c>
      <c r="K1471" s="4" t="s">
        <v>141</v>
      </c>
      <c r="L1471" s="4" t="s">
        <v>142</v>
      </c>
      <c r="M1471" s="4" t="s">
        <v>324</v>
      </c>
      <c r="N1471" s="4"/>
      <c r="O1471" s="4"/>
      <c r="P1471" s="4"/>
      <c r="Q1471" s="4" t="s">
        <v>142</v>
      </c>
      <c r="R1471" s="4"/>
      <c r="S1471" s="4"/>
      <c r="T1471" s="4"/>
      <c r="U1471" s="4">
        <v>-37.788747999999998</v>
      </c>
      <c r="V1471" s="4">
        <v>175.281216</v>
      </c>
      <c r="W1471" s="4"/>
      <c r="X1471" s="4"/>
      <c r="Y1471" s="4"/>
      <c r="Z1471" s="4"/>
      <c r="AA1471" s="4"/>
      <c r="AB1471" s="4"/>
      <c r="AC1471" s="4" t="b">
        <v>0</v>
      </c>
      <c r="AD1471" s="4" t="b">
        <v>0</v>
      </c>
      <c r="AE1471" s="4"/>
      <c r="AF1471" s="4"/>
      <c r="AG1471" s="4" t="b">
        <v>0</v>
      </c>
      <c r="AH1471" s="4"/>
      <c r="AI1471" s="4"/>
      <c r="AJ1471" s="4"/>
      <c r="AK1471" s="4"/>
      <c r="AL1471" s="4"/>
      <c r="AM1471" s="4"/>
      <c r="AN1471" s="5">
        <v>41144</v>
      </c>
      <c r="AO1471" s="4">
        <v>1</v>
      </c>
      <c r="AP1471" s="4"/>
      <c r="AQ1471" s="5">
        <v>41144</v>
      </c>
      <c r="AR1471" s="4"/>
      <c r="AS1471" s="4"/>
      <c r="AT1471" s="4"/>
      <c r="AU1471" s="4"/>
      <c r="AV1471" s="4"/>
      <c r="AW1471" s="4"/>
      <c r="AX1471" s="4"/>
      <c r="AY1471" s="4"/>
      <c r="AZ1471" s="4"/>
      <c r="BA1471" s="4"/>
      <c r="BB1471" s="4"/>
      <c r="BC1471" s="4"/>
      <c r="BD1471" s="4"/>
      <c r="BE1471" s="4"/>
      <c r="BF1471" s="4"/>
      <c r="BG1471" s="4"/>
      <c r="BH1471" s="4"/>
      <c r="BI1471" s="4"/>
      <c r="BJ1471" s="4"/>
      <c r="BK1471" s="4"/>
      <c r="BL1471" s="4"/>
      <c r="BM1471" s="4"/>
      <c r="BN1471" s="4"/>
      <c r="BO1471" s="4"/>
      <c r="BP1471" s="4"/>
      <c r="BQ1471" s="4"/>
      <c r="BR1471" s="4"/>
      <c r="BS1471" s="4"/>
      <c r="BT1471" s="4"/>
      <c r="BU1471" s="4"/>
      <c r="BV1471" s="4"/>
      <c r="BW1471" s="4"/>
      <c r="BX1471" s="4"/>
      <c r="BY1471" s="4"/>
      <c r="BZ1471" s="4"/>
      <c r="CA1471" s="4"/>
      <c r="CB1471" s="4"/>
      <c r="CC1471" s="4"/>
      <c r="CD1471" s="4"/>
      <c r="CE1471" s="4"/>
      <c r="CF1471" s="4"/>
      <c r="CG1471" s="4"/>
      <c r="CH1471" s="4"/>
      <c r="CI1471" s="4"/>
      <c r="CJ1471" s="4"/>
      <c r="CK1471" s="4"/>
      <c r="CL1471" s="4"/>
      <c r="CM1471" s="4"/>
      <c r="CN1471" s="4"/>
      <c r="CO1471" s="4"/>
      <c r="CP1471" s="4" t="s">
        <v>4415</v>
      </c>
      <c r="CQ1471" s="4"/>
      <c r="CR1471" s="4"/>
      <c r="CS1471" s="4"/>
      <c r="CT1471" s="4"/>
      <c r="CU1471" s="4"/>
      <c r="CV1471" s="4"/>
      <c r="CW1471" s="4"/>
      <c r="CX1471" s="4"/>
      <c r="CY1471" s="4"/>
      <c r="CZ1471" s="4"/>
      <c r="DA1471" s="4"/>
      <c r="DB1471" s="4"/>
      <c r="DC1471" s="4"/>
      <c r="DD1471" s="4"/>
      <c r="DE1471" s="4" t="s">
        <v>1982</v>
      </c>
      <c r="DF1471" s="4"/>
      <c r="DG1471" s="4"/>
      <c r="DH1471" s="4" t="s">
        <v>240</v>
      </c>
      <c r="DI1471" s="4"/>
      <c r="DJ1471" s="4" t="b">
        <v>0</v>
      </c>
      <c r="DK1471" s="4"/>
      <c r="DL1471" s="4">
        <v>2711115</v>
      </c>
      <c r="DM1471" s="4">
        <v>6376801</v>
      </c>
      <c r="DN1471" s="4"/>
      <c r="DO1471" s="4"/>
      <c r="DP1471" s="4"/>
      <c r="DQ1471" s="4" t="s">
        <v>328</v>
      </c>
      <c r="DR1471" s="4" t="s">
        <v>244</v>
      </c>
      <c r="DS1471" s="4"/>
      <c r="DT1471" s="4"/>
      <c r="DU1471" s="4"/>
      <c r="DV1471" s="4"/>
      <c r="DW1471" s="4"/>
      <c r="DX1471" s="4"/>
      <c r="DY1471" s="4"/>
      <c r="DZ1471" s="4"/>
      <c r="EA1471" s="4"/>
      <c r="EB1471" s="4"/>
      <c r="EC1471" s="4"/>
      <c r="ED1471" s="4"/>
      <c r="EE1471" s="4"/>
      <c r="EF1471" s="4"/>
      <c r="EG1471" s="4"/>
      <c r="EH1471" s="4"/>
      <c r="EI1471" s="4"/>
    </row>
    <row r="1472" spans="1:139" hidden="1" x14ac:dyDescent="0.2">
      <c r="A1472">
        <f>VLOOKUP(B1472,Sheet1!$A$1:$B$18,2,FALSE)</f>
        <v>0</v>
      </c>
      <c r="B1472" t="str">
        <f>LEFT(D1472,3)</f>
        <v>WKT</v>
      </c>
      <c r="C1472" s="2">
        <v>1471</v>
      </c>
      <c r="D1472" s="3" t="str">
        <f>HYPERLINK("https://sitebase.nzcomms.co.nz/spm/spmnominalview/WKT-016-043/","WKT-016-043")</f>
        <v>WKT-016-043</v>
      </c>
      <c r="E1472" s="4" t="s">
        <v>4416</v>
      </c>
      <c r="F1472" s="3" t="str">
        <f>HYPERLINK("https://sitebase.nzcomms.co.nz/spm/spmcandidateview/WKT-016-043-A/","WKT-016-043-A")</f>
        <v>WKT-016-043-A</v>
      </c>
      <c r="G1472" s="4" t="s">
        <v>4417</v>
      </c>
      <c r="H1472" s="4" t="s">
        <v>4251</v>
      </c>
      <c r="I1472" s="4">
        <v>1</v>
      </c>
      <c r="J1472" s="4" t="s">
        <v>317</v>
      </c>
      <c r="K1472" s="4" t="s">
        <v>141</v>
      </c>
      <c r="L1472" s="4" t="s">
        <v>181</v>
      </c>
      <c r="M1472" s="4" t="s">
        <v>324</v>
      </c>
      <c r="N1472" s="4" t="s">
        <v>181</v>
      </c>
      <c r="O1472" s="4"/>
      <c r="P1472" s="4"/>
      <c r="Q1472" s="4" t="s">
        <v>192</v>
      </c>
      <c r="R1472" s="4"/>
      <c r="S1472" s="4"/>
      <c r="T1472" s="4"/>
      <c r="U1472" s="4">
        <v>-37.781237969999999</v>
      </c>
      <c r="V1472" s="4">
        <v>175.27645021999999</v>
      </c>
      <c r="W1472" s="4"/>
      <c r="X1472" s="4"/>
      <c r="Y1472" s="4"/>
      <c r="Z1472" s="4"/>
      <c r="AA1472" s="4"/>
      <c r="AB1472" s="4"/>
      <c r="AC1472" s="4" t="b">
        <v>0</v>
      </c>
      <c r="AD1472" s="4" t="b">
        <v>0</v>
      </c>
      <c r="AE1472" s="4"/>
      <c r="AF1472" s="4"/>
      <c r="AG1472" s="4" t="b">
        <v>0</v>
      </c>
      <c r="AH1472" s="4"/>
      <c r="AI1472" s="4"/>
      <c r="AJ1472" s="4"/>
      <c r="AK1472" s="4"/>
      <c r="AL1472" s="4"/>
      <c r="AM1472" s="4"/>
      <c r="AN1472" s="4"/>
      <c r="AO1472" s="4"/>
      <c r="AP1472" s="4"/>
      <c r="AQ1472" s="4"/>
      <c r="AR1472" s="4"/>
      <c r="AS1472" s="4"/>
      <c r="AT1472" s="4"/>
      <c r="AU1472" s="4"/>
      <c r="AV1472" s="4"/>
      <c r="AW1472" s="4"/>
      <c r="AX1472" s="4"/>
      <c r="AY1472" s="4"/>
      <c r="AZ1472" s="4"/>
      <c r="BA1472" s="4"/>
      <c r="BB1472" s="4"/>
      <c r="BC1472" s="4"/>
      <c r="BD1472" s="4"/>
      <c r="BE1472" s="4"/>
      <c r="BF1472" s="4"/>
      <c r="BG1472" s="4"/>
      <c r="BH1472" s="4"/>
      <c r="BI1472" s="4"/>
      <c r="BJ1472" s="4"/>
      <c r="BK1472" s="4"/>
      <c r="BL1472" s="4"/>
      <c r="BM1472" s="4"/>
      <c r="BN1472" s="4"/>
      <c r="BO1472" s="4"/>
      <c r="BP1472" s="4"/>
      <c r="BQ1472" s="4"/>
      <c r="BR1472" s="4"/>
      <c r="BS1472" s="4"/>
      <c r="BT1472" s="4"/>
      <c r="BU1472" s="4"/>
      <c r="BV1472" s="4"/>
      <c r="BW1472" s="4"/>
      <c r="BX1472" s="4"/>
      <c r="BY1472" s="4"/>
      <c r="BZ1472" s="4"/>
      <c r="CA1472" s="4"/>
      <c r="CB1472" s="4"/>
      <c r="CC1472" s="4"/>
      <c r="CD1472" s="4"/>
      <c r="CE1472" s="4"/>
      <c r="CF1472" s="4"/>
      <c r="CG1472" s="4"/>
      <c r="CH1472" s="4"/>
      <c r="CI1472" s="4"/>
      <c r="CJ1472" s="4"/>
      <c r="CK1472" s="5">
        <v>41275</v>
      </c>
      <c r="CL1472" s="4"/>
      <c r="CM1472" s="5">
        <v>41275</v>
      </c>
      <c r="CN1472" s="4"/>
      <c r="CO1472" s="4"/>
      <c r="CP1472" s="4" t="s">
        <v>4418</v>
      </c>
      <c r="CQ1472" s="4"/>
      <c r="CR1472" s="4"/>
      <c r="CS1472" s="4"/>
      <c r="CT1472" s="4"/>
      <c r="CU1472" s="4"/>
      <c r="CV1472" s="4"/>
      <c r="CW1472" s="4"/>
      <c r="CX1472" s="4"/>
      <c r="CY1472" s="4"/>
      <c r="CZ1472" s="4"/>
      <c r="DA1472" s="4"/>
      <c r="DB1472" s="4"/>
      <c r="DC1472" s="4"/>
      <c r="DD1472" s="4"/>
      <c r="DE1472" s="4"/>
      <c r="DF1472" s="4"/>
      <c r="DG1472" s="4"/>
      <c r="DH1472" s="4"/>
      <c r="DI1472" s="4"/>
      <c r="DJ1472" s="4" t="b">
        <v>0</v>
      </c>
      <c r="DK1472" s="4"/>
      <c r="DL1472" s="4">
        <v>2710717</v>
      </c>
      <c r="DM1472" s="4">
        <v>6377645</v>
      </c>
      <c r="DN1472" s="4" t="s">
        <v>4419</v>
      </c>
      <c r="DO1472" s="4"/>
      <c r="DP1472" s="4"/>
      <c r="DQ1472" s="4" t="s">
        <v>328</v>
      </c>
      <c r="DR1472" s="4"/>
      <c r="DS1472" s="4"/>
      <c r="DT1472" s="4"/>
      <c r="DU1472" s="4"/>
      <c r="DV1472" s="4"/>
      <c r="DW1472" s="4"/>
      <c r="DX1472" s="4"/>
      <c r="DY1472" s="4"/>
      <c r="DZ1472" s="4"/>
      <c r="EA1472" s="4"/>
      <c r="EB1472" s="4"/>
      <c r="EC1472" s="4"/>
      <c r="ED1472" s="4"/>
      <c r="EE1472" s="4"/>
      <c r="EF1472" s="4"/>
      <c r="EG1472" s="4"/>
      <c r="EH1472" s="4"/>
      <c r="EI1472" s="4"/>
    </row>
    <row r="1473" spans="1:139" hidden="1" x14ac:dyDescent="0.2">
      <c r="A1473">
        <f>VLOOKUP(B1473,Sheet1!$A$1:$B$18,2,FALSE)</f>
        <v>0</v>
      </c>
      <c r="B1473" t="str">
        <f>LEFT(D1473,3)</f>
        <v>WKT</v>
      </c>
      <c r="C1473" s="2">
        <v>1472</v>
      </c>
      <c r="D1473" s="3" t="str">
        <f>HYPERLINK("https://sitebase.nzcomms.co.nz/spm/spmnominalview/WKT-016-044/","WKT-016-044")</f>
        <v>WKT-016-044</v>
      </c>
      <c r="E1473" s="4" t="s">
        <v>4420</v>
      </c>
      <c r="F1473" s="3" t="str">
        <f>HYPERLINK("https://sitebase.nzcomms.co.nz/spm/spmcandidateview/WKT-016-044-A/","WKT-016-044-A")</f>
        <v>WKT-016-044-A</v>
      </c>
      <c r="G1473" s="4" t="s">
        <v>4421</v>
      </c>
      <c r="H1473" s="4" t="s">
        <v>4251</v>
      </c>
      <c r="I1473" s="4"/>
      <c r="J1473" s="4" t="s">
        <v>317</v>
      </c>
      <c r="K1473" s="4" t="s">
        <v>141</v>
      </c>
      <c r="L1473" s="4" t="s">
        <v>142</v>
      </c>
      <c r="M1473" s="4" t="s">
        <v>324</v>
      </c>
      <c r="N1473" s="4" t="s">
        <v>142</v>
      </c>
      <c r="O1473" s="4"/>
      <c r="P1473" s="4"/>
      <c r="Q1473" s="4" t="s">
        <v>142</v>
      </c>
      <c r="R1473" s="4"/>
      <c r="S1473" s="4"/>
      <c r="T1473" s="4"/>
      <c r="U1473" s="4"/>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4"/>
      <c r="BB1473" s="4"/>
      <c r="BC1473" s="4"/>
      <c r="BD1473" s="4"/>
      <c r="BE1473" s="4"/>
      <c r="BF1473" s="4"/>
      <c r="BG1473" s="4"/>
      <c r="BH1473" s="4"/>
      <c r="BI1473" s="4"/>
      <c r="BJ1473" s="4"/>
      <c r="BK1473" s="4"/>
      <c r="BL1473" s="4"/>
      <c r="BM1473" s="4"/>
      <c r="BN1473" s="4"/>
      <c r="BO1473" s="4"/>
      <c r="BP1473" s="4"/>
      <c r="BQ1473" s="4"/>
      <c r="BR1473" s="4"/>
      <c r="BS1473" s="4"/>
      <c r="BT1473" s="4"/>
      <c r="BU1473" s="4"/>
      <c r="BV1473" s="4"/>
      <c r="BW1473" s="4"/>
      <c r="BX1473" s="4"/>
      <c r="BY1473" s="4"/>
      <c r="BZ1473" s="4"/>
      <c r="CA1473" s="4"/>
      <c r="CB1473" s="4"/>
      <c r="CC1473" s="4"/>
      <c r="CD1473" s="4"/>
      <c r="CE1473" s="4"/>
      <c r="CF1473" s="4"/>
      <c r="CG1473" s="4"/>
      <c r="CH1473" s="4"/>
      <c r="CI1473" s="4"/>
      <c r="CJ1473" s="4"/>
      <c r="CK1473" s="4"/>
      <c r="CL1473" s="4"/>
      <c r="CM1473" s="4"/>
      <c r="CN1473" s="4"/>
      <c r="CO1473" s="4"/>
      <c r="CP1473" s="4"/>
      <c r="CQ1473" s="4"/>
      <c r="CR1473" s="4"/>
      <c r="CS1473" s="4"/>
      <c r="CT1473" s="4"/>
      <c r="CU1473" s="4"/>
      <c r="CV1473" s="4"/>
      <c r="CW1473" s="4"/>
      <c r="CX1473" s="4"/>
      <c r="CY1473" s="4"/>
      <c r="CZ1473" s="4"/>
      <c r="DA1473" s="4"/>
      <c r="DB1473" s="4"/>
      <c r="DC1473" s="4"/>
      <c r="DD1473" s="4"/>
      <c r="DE1473" s="4"/>
      <c r="DF1473" s="4"/>
      <c r="DG1473" s="4"/>
      <c r="DH1473" s="4"/>
      <c r="DI1473" s="4"/>
      <c r="DJ1473" s="4"/>
      <c r="DK1473" s="4"/>
      <c r="DL1473" s="4"/>
      <c r="DM1473" s="4"/>
      <c r="DN1473" s="4"/>
      <c r="DO1473" s="4"/>
      <c r="DP1473" s="4"/>
      <c r="DQ1473" s="4" t="s">
        <v>328</v>
      </c>
      <c r="DR1473" s="4" t="s">
        <v>255</v>
      </c>
      <c r="DS1473" s="4"/>
      <c r="DT1473" s="4"/>
      <c r="DU1473" s="4"/>
      <c r="DV1473" s="4"/>
      <c r="DW1473" s="4"/>
      <c r="DX1473" s="4"/>
      <c r="DY1473" s="4"/>
      <c r="DZ1473" s="4"/>
      <c r="EA1473" s="4"/>
      <c r="EB1473" s="4"/>
      <c r="EC1473" s="4"/>
      <c r="ED1473" s="4"/>
      <c r="EE1473" s="4"/>
      <c r="EF1473" s="4"/>
      <c r="EG1473" s="4"/>
      <c r="EH1473" s="4"/>
      <c r="EI1473" s="4"/>
    </row>
    <row r="1474" spans="1:139" hidden="1" x14ac:dyDescent="0.2">
      <c r="A1474">
        <f>VLOOKUP(B1474,Sheet1!$A$1:$B$18,2,FALSE)</f>
        <v>0</v>
      </c>
      <c r="B1474" t="str">
        <f>LEFT(D1474,3)</f>
        <v>WKT</v>
      </c>
      <c r="C1474" s="2">
        <v>1473</v>
      </c>
      <c r="D1474" s="3" t="str">
        <f>HYPERLINK("https://sitebase.nzcomms.co.nz/spm/spmnominalview/WKT-016-045/","WKT-016-045")</f>
        <v>WKT-016-045</v>
      </c>
      <c r="E1474" s="4" t="s">
        <v>4422</v>
      </c>
      <c r="F1474" s="3" t="str">
        <f>HYPERLINK("https://sitebase.nzcomms.co.nz/spm/spmcandidateview/WKT-016-045-A/","WKT-016-045-A")</f>
        <v>WKT-016-045-A</v>
      </c>
      <c r="G1474" s="4" t="s">
        <v>4423</v>
      </c>
      <c r="H1474" s="4" t="s">
        <v>4251</v>
      </c>
      <c r="I1474" s="4">
        <v>22</v>
      </c>
      <c r="J1474" s="4" t="s">
        <v>570</v>
      </c>
      <c r="K1474" s="4" t="s">
        <v>141</v>
      </c>
      <c r="L1474" s="4" t="s">
        <v>181</v>
      </c>
      <c r="M1474" s="4" t="s">
        <v>1193</v>
      </c>
      <c r="N1474" s="4" t="s">
        <v>181</v>
      </c>
      <c r="O1474" s="4"/>
      <c r="P1474" s="4"/>
      <c r="Q1474" s="4" t="s">
        <v>170</v>
      </c>
      <c r="R1474" s="4"/>
      <c r="S1474" s="4"/>
      <c r="T1474" s="4"/>
      <c r="U1474" s="4">
        <v>-37.804995380000001</v>
      </c>
      <c r="V1474" s="4">
        <v>175.28406473999999</v>
      </c>
      <c r="W1474" s="4"/>
      <c r="X1474" s="4"/>
      <c r="Y1474" s="4"/>
      <c r="Z1474" s="4"/>
      <c r="AA1474" s="4"/>
      <c r="AB1474" s="4"/>
      <c r="AC1474" s="4" t="b">
        <v>0</v>
      </c>
      <c r="AD1474" s="4" t="b">
        <v>0</v>
      </c>
      <c r="AE1474" s="4"/>
      <c r="AF1474" s="4"/>
      <c r="AG1474" s="4" t="b">
        <v>0</v>
      </c>
      <c r="AH1474" s="4"/>
      <c r="AI1474" s="5">
        <v>42069</v>
      </c>
      <c r="AJ1474" s="5">
        <v>42067</v>
      </c>
      <c r="AK1474" s="5">
        <v>42073</v>
      </c>
      <c r="AL1474" s="5">
        <v>42069</v>
      </c>
      <c r="AM1474" s="5">
        <v>42115</v>
      </c>
      <c r="AN1474" s="5">
        <v>42104</v>
      </c>
      <c r="AO1474" s="4">
        <v>2</v>
      </c>
      <c r="AP1474" s="5">
        <v>42163</v>
      </c>
      <c r="AQ1474" s="5">
        <v>42159</v>
      </c>
      <c r="AR1474" s="5">
        <v>42181</v>
      </c>
      <c r="AS1474" s="5">
        <v>42178</v>
      </c>
      <c r="AT1474" s="5">
        <v>42214</v>
      </c>
      <c r="AU1474" s="5">
        <v>42222</v>
      </c>
      <c r="AV1474" s="4"/>
      <c r="AW1474" s="5">
        <v>42216</v>
      </c>
      <c r="AX1474" s="5">
        <v>42226</v>
      </c>
      <c r="AY1474" s="4" t="s">
        <v>247</v>
      </c>
      <c r="AZ1474" s="5">
        <v>42163</v>
      </c>
      <c r="BA1474" s="5">
        <v>42163</v>
      </c>
      <c r="BB1474" s="5">
        <v>42205</v>
      </c>
      <c r="BC1474" s="5">
        <v>42188</v>
      </c>
      <c r="BD1474" s="4">
        <v>1</v>
      </c>
      <c r="BE1474" s="5">
        <v>42212</v>
      </c>
      <c r="BF1474" s="5">
        <v>42188</v>
      </c>
      <c r="BG1474" s="5">
        <v>42163</v>
      </c>
      <c r="BH1474" s="5">
        <v>42164</v>
      </c>
      <c r="BI1474" s="5">
        <v>42174</v>
      </c>
      <c r="BJ1474" s="5">
        <v>42181</v>
      </c>
      <c r="BK1474" s="4">
        <v>1</v>
      </c>
      <c r="BL1474" s="4"/>
      <c r="BM1474" s="5">
        <v>42181</v>
      </c>
      <c r="BN1474" s="5">
        <v>42181</v>
      </c>
      <c r="BO1474" s="4"/>
      <c r="BP1474" s="4"/>
      <c r="BQ1474" s="4"/>
      <c r="BR1474" s="4"/>
      <c r="BS1474" s="4"/>
      <c r="BT1474" s="4"/>
      <c r="BU1474" s="4"/>
      <c r="BV1474" s="4"/>
      <c r="BW1474" s="4"/>
      <c r="BX1474" s="4"/>
      <c r="BY1474" s="4"/>
      <c r="BZ1474" s="4"/>
      <c r="CA1474" s="4"/>
      <c r="CB1474" s="4"/>
      <c r="CC1474" s="4"/>
      <c r="CD1474" s="4"/>
      <c r="CE1474" s="4"/>
      <c r="CF1474" s="4"/>
      <c r="CG1474" s="4"/>
      <c r="CH1474" s="4"/>
      <c r="CI1474" s="4"/>
      <c r="CJ1474" s="4"/>
      <c r="CK1474" s="4"/>
      <c r="CL1474" s="4"/>
      <c r="CM1474" s="4"/>
      <c r="CN1474" s="4"/>
      <c r="CO1474" s="4"/>
      <c r="CP1474" s="4" t="s">
        <v>4424</v>
      </c>
      <c r="CQ1474" s="4"/>
      <c r="CR1474" s="4"/>
      <c r="CS1474" s="4"/>
      <c r="CT1474" s="4"/>
      <c r="CU1474" s="4"/>
      <c r="CV1474" s="4"/>
      <c r="CW1474" s="4"/>
      <c r="CX1474" s="4"/>
      <c r="CY1474" s="4"/>
      <c r="CZ1474" s="4"/>
      <c r="DA1474" s="4"/>
      <c r="DB1474" s="4"/>
      <c r="DC1474" s="4"/>
      <c r="DD1474" s="4"/>
      <c r="DE1474" s="4"/>
      <c r="DF1474" s="4"/>
      <c r="DG1474" s="4"/>
      <c r="DH1474" s="4" t="s">
        <v>240</v>
      </c>
      <c r="DI1474" s="4"/>
      <c r="DJ1474" s="4" t="b">
        <v>0</v>
      </c>
      <c r="DK1474" s="4"/>
      <c r="DL1474" s="4">
        <v>2711319</v>
      </c>
      <c r="DM1474" s="4">
        <v>6374992</v>
      </c>
      <c r="DN1474" s="4" t="s">
        <v>4425</v>
      </c>
      <c r="DO1474" s="4"/>
      <c r="DP1474" s="4"/>
      <c r="DQ1474" s="4" t="s">
        <v>148</v>
      </c>
      <c r="DR1474" s="4" t="s">
        <v>255</v>
      </c>
      <c r="DS1474" s="4"/>
      <c r="DT1474" s="4"/>
      <c r="DU1474" s="4" t="s">
        <v>577</v>
      </c>
      <c r="DV1474" s="4"/>
      <c r="DW1474" s="4"/>
      <c r="DX1474" s="4"/>
      <c r="DY1474" s="4"/>
      <c r="DZ1474" s="4"/>
      <c r="EA1474" s="4"/>
      <c r="EB1474" s="4"/>
      <c r="EC1474" s="4"/>
      <c r="ED1474" s="4"/>
      <c r="EE1474" s="4"/>
      <c r="EF1474" s="4"/>
      <c r="EG1474" s="4"/>
      <c r="EH1474" s="4"/>
      <c r="EI1474" s="5">
        <v>42069</v>
      </c>
    </row>
    <row r="1475" spans="1:139" hidden="1" x14ac:dyDescent="0.2">
      <c r="A1475">
        <f>VLOOKUP(B1475,Sheet1!$A$1:$B$18,2,FALSE)</f>
        <v>0</v>
      </c>
      <c r="B1475" t="str">
        <f>LEFT(D1475,3)</f>
        <v>WKT</v>
      </c>
      <c r="C1475" s="2">
        <v>1474</v>
      </c>
      <c r="D1475" s="3" t="str">
        <f>HYPERLINK("https://sitebase.nzcomms.co.nz/spm/spmnominalview/WKT-017-001/","WKT-017-001")</f>
        <v>WKT-017-001</v>
      </c>
      <c r="E1475" s="4" t="s">
        <v>4426</v>
      </c>
      <c r="F1475" s="4"/>
      <c r="G1475" s="4"/>
      <c r="H1475" s="4" t="s">
        <v>4427</v>
      </c>
      <c r="I1475" s="4"/>
      <c r="J1475" s="4" t="s">
        <v>196</v>
      </c>
      <c r="K1475" s="4"/>
      <c r="L1475" s="4"/>
      <c r="M1475" s="4"/>
      <c r="N1475" s="4"/>
      <c r="O1475" s="4"/>
      <c r="P1475" s="4"/>
      <c r="Q1475" s="4"/>
      <c r="R1475" s="4"/>
      <c r="S1475" s="4"/>
      <c r="T1475" s="4"/>
      <c r="U1475" s="4"/>
      <c r="V1475" s="4"/>
      <c r="W1475" s="4"/>
      <c r="X1475" s="4"/>
      <c r="Y1475" s="4"/>
      <c r="Z1475" s="4"/>
      <c r="AA1475" s="4"/>
      <c r="AB1475" s="4"/>
      <c r="AC1475" s="4"/>
      <c r="AD1475" s="4"/>
      <c r="AE1475" s="4"/>
      <c r="AF1475" s="4"/>
      <c r="AG1475" s="4" t="b">
        <v>0</v>
      </c>
      <c r="AH1475" s="4"/>
      <c r="AI1475" s="4"/>
      <c r="AJ1475" s="4"/>
      <c r="AK1475" s="4"/>
      <c r="AL1475" s="4"/>
      <c r="AM1475" s="4"/>
      <c r="AN1475" s="4"/>
      <c r="AO1475" s="4"/>
      <c r="AP1475" s="4"/>
      <c r="AQ1475" s="4"/>
      <c r="AR1475" s="4"/>
      <c r="AS1475" s="4"/>
      <c r="AT1475" s="4"/>
      <c r="AU1475" s="4"/>
      <c r="AV1475" s="4"/>
      <c r="AW1475" s="4"/>
      <c r="AX1475" s="4"/>
      <c r="AY1475" s="4"/>
      <c r="AZ1475" s="4"/>
      <c r="BA1475" s="4"/>
      <c r="BB1475" s="4"/>
      <c r="BC1475" s="4"/>
      <c r="BD1475" s="4"/>
      <c r="BE1475" s="4"/>
      <c r="BF1475" s="4"/>
      <c r="BG1475" s="4"/>
      <c r="BH1475" s="4"/>
      <c r="BI1475" s="4"/>
      <c r="BJ1475" s="4"/>
      <c r="BK1475" s="4"/>
      <c r="BL1475" s="4"/>
      <c r="BM1475" s="4"/>
      <c r="BN1475" s="4"/>
      <c r="BO1475" s="4"/>
      <c r="BP1475" s="4"/>
      <c r="BQ1475" s="4"/>
      <c r="BR1475" s="4"/>
      <c r="BS1475" s="4"/>
      <c r="BT1475" s="4"/>
      <c r="BU1475" s="4"/>
      <c r="BV1475" s="4"/>
      <c r="BW1475" s="4"/>
      <c r="BX1475" s="4"/>
      <c r="BY1475" s="4"/>
      <c r="BZ1475" s="4"/>
      <c r="CA1475" s="4"/>
      <c r="CB1475" s="4"/>
      <c r="CC1475" s="4"/>
      <c r="CD1475" s="4"/>
      <c r="CE1475" s="4"/>
      <c r="CF1475" s="4"/>
      <c r="CG1475" s="4"/>
      <c r="CH1475" s="4"/>
      <c r="CI1475" s="4"/>
      <c r="CJ1475" s="4"/>
      <c r="CK1475" s="4"/>
      <c r="CL1475" s="4"/>
      <c r="CM1475" s="4"/>
      <c r="CN1475" s="4"/>
      <c r="CO1475" s="4"/>
      <c r="CP1475" s="4"/>
      <c r="CQ1475" s="4"/>
      <c r="CR1475" s="4"/>
      <c r="CS1475" s="4"/>
      <c r="CT1475" s="4"/>
      <c r="CU1475" s="4"/>
      <c r="CV1475" s="4"/>
      <c r="CW1475" s="4"/>
      <c r="CX1475" s="4"/>
      <c r="CY1475" s="4"/>
      <c r="CZ1475" s="4"/>
      <c r="DA1475" s="4"/>
      <c r="DB1475" s="4"/>
      <c r="DC1475" s="4"/>
      <c r="DD1475" s="4"/>
      <c r="DE1475" s="4"/>
      <c r="DF1475" s="4"/>
      <c r="DG1475" s="4"/>
      <c r="DH1475" s="4"/>
      <c r="DI1475" s="4"/>
      <c r="DJ1475" s="4"/>
      <c r="DK1475" s="4"/>
      <c r="DL1475" s="4"/>
      <c r="DM1475" s="4"/>
      <c r="DN1475" s="4"/>
      <c r="DO1475" s="4"/>
      <c r="DP1475" s="4"/>
      <c r="DQ1475" s="4"/>
      <c r="DR1475" s="4"/>
      <c r="DS1475" s="4"/>
      <c r="DT1475" s="4"/>
      <c r="DU1475" s="4"/>
      <c r="DV1475" s="4"/>
      <c r="DW1475" s="4"/>
      <c r="DX1475" s="4"/>
      <c r="DY1475" s="4"/>
      <c r="DZ1475" s="4"/>
      <c r="EA1475" s="4"/>
      <c r="EB1475" s="4"/>
      <c r="EC1475" s="4"/>
      <c r="ED1475" s="4"/>
      <c r="EE1475" s="4"/>
      <c r="EF1475" s="4"/>
      <c r="EG1475" s="4"/>
      <c r="EH1475" s="4"/>
      <c r="EI1475" s="4"/>
    </row>
    <row r="1476" spans="1:139" hidden="1" x14ac:dyDescent="0.2">
      <c r="A1476">
        <f>VLOOKUP(B1476,Sheet1!$A$1:$B$18,2,FALSE)</f>
        <v>0</v>
      </c>
      <c r="B1476" t="str">
        <f>LEFT(D1476,3)</f>
        <v>WKT</v>
      </c>
      <c r="C1476" s="2">
        <v>1475</v>
      </c>
      <c r="D1476" s="3" t="str">
        <f>HYPERLINK("https://sitebase.nzcomms.co.nz/spm/spmnominalview/WKT-017-002/","WKT-017-002")</f>
        <v>WKT-017-002</v>
      </c>
      <c r="E1476" s="4" t="s">
        <v>4428</v>
      </c>
      <c r="F1476" s="3" t="str">
        <f>HYPERLINK("https://sitebase.nzcomms.co.nz/spm/spmcandidateview/WKT-017-002-A/","WKT-017-002-A")</f>
        <v>WKT-017-002-A</v>
      </c>
      <c r="G1476" s="4" t="s">
        <v>4429</v>
      </c>
      <c r="H1476" s="4" t="s">
        <v>4427</v>
      </c>
      <c r="I1476" s="4">
        <v>3</v>
      </c>
      <c r="J1476" s="4" t="s">
        <v>584</v>
      </c>
      <c r="K1476" s="4" t="s">
        <v>141</v>
      </c>
      <c r="L1476" s="4" t="s">
        <v>150</v>
      </c>
      <c r="M1476" s="4" t="s">
        <v>190</v>
      </c>
      <c r="N1476" s="4" t="s">
        <v>269</v>
      </c>
      <c r="O1476" s="4" t="s">
        <v>168</v>
      </c>
      <c r="P1476" s="4" t="s">
        <v>169</v>
      </c>
      <c r="Q1476" s="4" t="s">
        <v>192</v>
      </c>
      <c r="R1476" s="4">
        <v>25</v>
      </c>
      <c r="S1476" s="4">
        <v>20</v>
      </c>
      <c r="T1476" s="4">
        <v>1</v>
      </c>
      <c r="U1476" s="4">
        <v>-37.89090788</v>
      </c>
      <c r="V1476" s="4">
        <v>175.46963491</v>
      </c>
      <c r="W1476" s="4"/>
      <c r="X1476" s="4"/>
      <c r="Y1476" s="4"/>
      <c r="Z1476" s="4"/>
      <c r="AA1476" s="4" t="s">
        <v>145</v>
      </c>
      <c r="AB1476" s="3" t="str">
        <f>HYPERLINK("https://sitebase.nzcomms.co.nz/spm/spmcandidateview/WKT-016-023-B/","WKT-016-023-B")</f>
        <v>WKT-016-023-B</v>
      </c>
      <c r="AC1476" s="4" t="b">
        <v>0</v>
      </c>
      <c r="AD1476" s="4" t="b">
        <v>0</v>
      </c>
      <c r="AE1476" s="4"/>
      <c r="AF1476" s="4"/>
      <c r="AG1476" s="4" t="b">
        <v>0</v>
      </c>
      <c r="AH1476" s="4"/>
      <c r="AI1476" s="5">
        <v>41001</v>
      </c>
      <c r="AJ1476" s="5">
        <v>41001</v>
      </c>
      <c r="AK1476" s="5">
        <v>41004</v>
      </c>
      <c r="AL1476" s="5">
        <v>41004</v>
      </c>
      <c r="AM1476" s="5">
        <v>41136</v>
      </c>
      <c r="AN1476" s="5">
        <v>41137</v>
      </c>
      <c r="AO1476" s="4">
        <v>2</v>
      </c>
      <c r="AP1476" s="5">
        <v>41136</v>
      </c>
      <c r="AQ1476" s="5">
        <v>41771</v>
      </c>
      <c r="AR1476" s="5">
        <v>41152</v>
      </c>
      <c r="AS1476" s="5">
        <v>41141</v>
      </c>
      <c r="AT1476" s="5">
        <v>41187</v>
      </c>
      <c r="AU1476" s="5">
        <v>41186</v>
      </c>
      <c r="AV1476" s="4">
        <v>1</v>
      </c>
      <c r="AW1476" s="5">
        <v>41187</v>
      </c>
      <c r="AX1476" s="5">
        <v>41186</v>
      </c>
      <c r="AY1476" s="4" t="s">
        <v>183</v>
      </c>
      <c r="AZ1476" s="5">
        <v>41173</v>
      </c>
      <c r="BA1476" s="5">
        <v>41177</v>
      </c>
      <c r="BB1476" s="5">
        <v>41206</v>
      </c>
      <c r="BC1476" s="5">
        <v>41193</v>
      </c>
      <c r="BD1476" s="4">
        <v>1</v>
      </c>
      <c r="BE1476" s="5">
        <v>41213</v>
      </c>
      <c r="BF1476" s="5">
        <v>41199</v>
      </c>
      <c r="BG1476" s="5">
        <v>41695</v>
      </c>
      <c r="BH1476" s="5">
        <v>41694</v>
      </c>
      <c r="BI1476" s="5">
        <v>41733</v>
      </c>
      <c r="BJ1476" s="5">
        <v>41730</v>
      </c>
      <c r="BK1476" s="4">
        <v>2</v>
      </c>
      <c r="BL1476" s="4"/>
      <c r="BM1476" s="5">
        <v>41733</v>
      </c>
      <c r="BN1476" s="5">
        <v>41737</v>
      </c>
      <c r="BO1476" s="4"/>
      <c r="BP1476" s="4"/>
      <c r="BQ1476" s="4"/>
      <c r="BR1476" s="4"/>
      <c r="BS1476" s="4"/>
      <c r="BT1476" s="5">
        <v>41773</v>
      </c>
      <c r="BU1476" s="5">
        <v>41771</v>
      </c>
      <c r="BV1476" s="5">
        <v>41808</v>
      </c>
      <c r="BW1476" s="5">
        <v>41803</v>
      </c>
      <c r="BX1476" s="5">
        <v>41817</v>
      </c>
      <c r="BY1476" s="5">
        <v>41829</v>
      </c>
      <c r="BZ1476" s="5">
        <v>41829</v>
      </c>
      <c r="CA1476" s="5">
        <v>41828</v>
      </c>
      <c r="CB1476" s="5">
        <v>41827</v>
      </c>
      <c r="CC1476" s="4"/>
      <c r="CD1476" s="4"/>
      <c r="CE1476" s="4"/>
      <c r="CF1476" s="4"/>
      <c r="CG1476" s="4"/>
      <c r="CH1476" s="4"/>
      <c r="CI1476" s="4"/>
      <c r="CJ1476" s="5">
        <v>41851</v>
      </c>
      <c r="CK1476" s="5">
        <v>41843</v>
      </c>
      <c r="CL1476" s="4"/>
      <c r="CM1476" s="4"/>
      <c r="CN1476" s="4"/>
      <c r="CO1476" s="4"/>
      <c r="CP1476" s="4" t="s">
        <v>4430</v>
      </c>
      <c r="CQ1476" s="4"/>
      <c r="CR1476" s="4"/>
      <c r="CS1476" s="4"/>
      <c r="CT1476" s="4"/>
      <c r="CU1476" s="4"/>
      <c r="CV1476" s="4"/>
      <c r="CW1476" s="4"/>
      <c r="CX1476" s="4"/>
      <c r="CY1476" s="4"/>
      <c r="CZ1476" s="4"/>
      <c r="DA1476" s="5">
        <v>41829</v>
      </c>
      <c r="DB1476" s="5">
        <v>41829</v>
      </c>
      <c r="DC1476" s="4"/>
      <c r="DD1476" s="4"/>
      <c r="DE1476" s="4" t="s">
        <v>4175</v>
      </c>
      <c r="DF1476" s="5">
        <v>41816</v>
      </c>
      <c r="DG1476" s="5">
        <v>41816</v>
      </c>
      <c r="DH1476" s="4" t="s">
        <v>174</v>
      </c>
      <c r="DI1476" s="5">
        <v>41815</v>
      </c>
      <c r="DJ1476" s="4" t="b">
        <v>0</v>
      </c>
      <c r="DK1476" s="4"/>
      <c r="DL1476" s="4">
        <v>2727386</v>
      </c>
      <c r="DM1476" s="4">
        <v>6365021</v>
      </c>
      <c r="DN1476" s="4" t="s">
        <v>4431</v>
      </c>
      <c r="DO1476" s="4"/>
      <c r="DP1476" s="4" t="s">
        <v>4432</v>
      </c>
      <c r="DQ1476" s="4" t="s">
        <v>148</v>
      </c>
      <c r="DR1476" s="4"/>
      <c r="DS1476" s="4"/>
      <c r="DT1476" s="5">
        <v>42305</v>
      </c>
      <c r="DU1476" s="4"/>
      <c r="DV1476" s="4"/>
      <c r="DW1476" s="4"/>
      <c r="DX1476" s="4"/>
      <c r="DY1476" s="5">
        <v>41771</v>
      </c>
      <c r="DZ1476" s="4"/>
      <c r="EA1476" s="4"/>
      <c r="EB1476" s="4"/>
      <c r="EC1476" s="4"/>
      <c r="ED1476" s="4"/>
      <c r="EE1476" s="4"/>
      <c r="EF1476" s="4"/>
      <c r="EG1476" s="4"/>
      <c r="EH1476" s="4"/>
      <c r="EI1476" s="5">
        <v>41004</v>
      </c>
    </row>
    <row r="1477" spans="1:139" hidden="1" x14ac:dyDescent="0.2">
      <c r="A1477">
        <f>VLOOKUP(B1477,Sheet1!$A$1:$B$18,2,FALSE)</f>
        <v>0</v>
      </c>
      <c r="B1477" t="str">
        <f>LEFT(D1477,3)</f>
        <v>WKT</v>
      </c>
      <c r="C1477" s="2">
        <v>1476</v>
      </c>
      <c r="D1477" s="3" t="str">
        <f>HYPERLINK("https://sitebase.nzcomms.co.nz/spm/spmnominalview/WKT-017-003/","WKT-017-003")</f>
        <v>WKT-017-003</v>
      </c>
      <c r="E1477" s="4" t="s">
        <v>4433</v>
      </c>
      <c r="F1477" s="3" t="str">
        <f>HYPERLINK("https://sitebase.nzcomms.co.nz/spm/spmcandidateview/WKT-017-003-A/","WKT-017-003-A")</f>
        <v>WKT-017-003-A</v>
      </c>
      <c r="G1477" s="4" t="s">
        <v>4433</v>
      </c>
      <c r="H1477" s="4" t="s">
        <v>4427</v>
      </c>
      <c r="I1477" s="4">
        <v>1</v>
      </c>
      <c r="J1477" s="4" t="s">
        <v>180</v>
      </c>
      <c r="K1477" s="4" t="s">
        <v>141</v>
      </c>
      <c r="L1477" s="4" t="s">
        <v>150</v>
      </c>
      <c r="M1477" s="4" t="s">
        <v>190</v>
      </c>
      <c r="N1477" s="4" t="s">
        <v>1572</v>
      </c>
      <c r="O1477" s="4"/>
      <c r="P1477" s="4" t="s">
        <v>169</v>
      </c>
      <c r="Q1477" s="4" t="s">
        <v>170</v>
      </c>
      <c r="R1477" s="4">
        <v>20</v>
      </c>
      <c r="S1477" s="4">
        <v>20</v>
      </c>
      <c r="T1477" s="4">
        <v>1</v>
      </c>
      <c r="U1477" s="4">
        <v>-37.863816409999998</v>
      </c>
      <c r="V1477" s="4">
        <v>175.53798434000001</v>
      </c>
      <c r="W1477" s="4"/>
      <c r="X1477" s="4"/>
      <c r="Y1477" s="4"/>
      <c r="Z1477" s="4"/>
      <c r="AA1477" s="4" t="s">
        <v>145</v>
      </c>
      <c r="AB1477" s="3" t="str">
        <f>HYPERLINK("https://sitebase.nzcomms.co.nz/spm/spmcandidateview/WKT-016-023-B/","WKT-016-023-B")</f>
        <v>WKT-016-023-B</v>
      </c>
      <c r="AC1477" s="4" t="b">
        <v>0</v>
      </c>
      <c r="AD1477" s="4" t="b">
        <v>0</v>
      </c>
      <c r="AE1477" s="4"/>
      <c r="AF1477" s="4"/>
      <c r="AG1477" s="4" t="b">
        <v>0</v>
      </c>
      <c r="AH1477" s="4"/>
      <c r="AI1477" s="5">
        <v>40976</v>
      </c>
      <c r="AJ1477" s="5">
        <v>40976</v>
      </c>
      <c r="AK1477" s="5">
        <v>40981</v>
      </c>
      <c r="AL1477" s="5">
        <v>40981</v>
      </c>
      <c r="AM1477" s="5">
        <v>41023</v>
      </c>
      <c r="AN1477" s="5">
        <v>41050</v>
      </c>
      <c r="AO1477" s="4">
        <v>1</v>
      </c>
      <c r="AP1477" s="5">
        <v>41023</v>
      </c>
      <c r="AQ1477" s="5">
        <v>41050</v>
      </c>
      <c r="AR1477" s="5">
        <v>41085</v>
      </c>
      <c r="AS1477" s="5">
        <v>41052</v>
      </c>
      <c r="AT1477" s="5">
        <v>41117</v>
      </c>
      <c r="AU1477" s="5">
        <v>41115</v>
      </c>
      <c r="AV1477" s="4"/>
      <c r="AW1477" s="5">
        <v>41127</v>
      </c>
      <c r="AX1477" s="5">
        <v>41128</v>
      </c>
      <c r="AY1477" s="4" t="s">
        <v>172</v>
      </c>
      <c r="AZ1477" s="5">
        <v>41060</v>
      </c>
      <c r="BA1477" s="5">
        <v>41065</v>
      </c>
      <c r="BB1477" s="5">
        <v>41102</v>
      </c>
      <c r="BC1477" s="5">
        <v>41088</v>
      </c>
      <c r="BD1477" s="4">
        <v>1</v>
      </c>
      <c r="BE1477" s="5">
        <v>41109</v>
      </c>
      <c r="BF1477" s="5">
        <v>41095</v>
      </c>
      <c r="BG1477" s="4"/>
      <c r="BH1477" s="4"/>
      <c r="BI1477" s="5">
        <v>41200</v>
      </c>
      <c r="BJ1477" s="5">
        <v>41208</v>
      </c>
      <c r="BK1477" s="4">
        <v>2</v>
      </c>
      <c r="BL1477" s="4"/>
      <c r="BM1477" s="5">
        <v>41200</v>
      </c>
      <c r="BN1477" s="5">
        <v>41215</v>
      </c>
      <c r="BO1477" s="5">
        <v>41227</v>
      </c>
      <c r="BP1477" s="4"/>
      <c r="BQ1477" s="4"/>
      <c r="BR1477" s="4"/>
      <c r="BS1477" s="4"/>
      <c r="BT1477" s="5">
        <v>41222</v>
      </c>
      <c r="BU1477" s="5">
        <v>41220</v>
      </c>
      <c r="BV1477" s="5">
        <v>41242</v>
      </c>
      <c r="BW1477" s="5">
        <v>41241</v>
      </c>
      <c r="BX1477" s="5">
        <v>41235</v>
      </c>
      <c r="BY1477" s="5">
        <v>41247</v>
      </c>
      <c r="BZ1477" s="5">
        <v>41247</v>
      </c>
      <c r="CA1477" s="5">
        <v>41239</v>
      </c>
      <c r="CB1477" s="5">
        <v>41239</v>
      </c>
      <c r="CC1477" s="4"/>
      <c r="CD1477" s="4"/>
      <c r="CE1477" s="4"/>
      <c r="CF1477" s="4"/>
      <c r="CG1477" s="4"/>
      <c r="CH1477" s="4"/>
      <c r="CI1477" s="5">
        <v>41248</v>
      </c>
      <c r="CJ1477" s="5">
        <v>41257</v>
      </c>
      <c r="CK1477" s="5">
        <v>41256</v>
      </c>
      <c r="CL1477" s="5">
        <v>41289</v>
      </c>
      <c r="CM1477" s="5">
        <v>41260</v>
      </c>
      <c r="CN1477" s="5">
        <v>41411</v>
      </c>
      <c r="CO1477" s="5">
        <v>41402</v>
      </c>
      <c r="CP1477" s="4" t="s">
        <v>4434</v>
      </c>
      <c r="CQ1477" s="4"/>
      <c r="CR1477" s="5">
        <v>41248</v>
      </c>
      <c r="CS1477" s="5">
        <v>41219</v>
      </c>
      <c r="CT1477" s="5">
        <v>41188</v>
      </c>
      <c r="CU1477" s="5">
        <v>41226</v>
      </c>
      <c r="CV1477" s="5">
        <v>41227</v>
      </c>
      <c r="CW1477" s="5">
        <v>41225</v>
      </c>
      <c r="CX1477" s="5">
        <v>41227</v>
      </c>
      <c r="CY1477" s="5">
        <v>41242</v>
      </c>
      <c r="CZ1477" s="5">
        <v>41240</v>
      </c>
      <c r="DA1477" s="5">
        <v>41249</v>
      </c>
      <c r="DB1477" s="5">
        <v>41249</v>
      </c>
      <c r="DC1477" s="4"/>
      <c r="DD1477" s="4"/>
      <c r="DE1477" s="4" t="s">
        <v>4175</v>
      </c>
      <c r="DF1477" s="5">
        <v>41232</v>
      </c>
      <c r="DG1477" s="5">
        <v>41235</v>
      </c>
      <c r="DH1477" s="4" t="s">
        <v>174</v>
      </c>
      <c r="DI1477" s="5">
        <v>41235</v>
      </c>
      <c r="DJ1477" s="4" t="b">
        <v>0</v>
      </c>
      <c r="DK1477" s="4"/>
      <c r="DL1477" s="4">
        <v>2733481</v>
      </c>
      <c r="DM1477" s="4">
        <v>6367856</v>
      </c>
      <c r="DN1477" s="4" t="s">
        <v>4435</v>
      </c>
      <c r="DO1477" s="4"/>
      <c r="DP1477" s="4" t="s">
        <v>4436</v>
      </c>
      <c r="DQ1477" s="4" t="s">
        <v>148</v>
      </c>
      <c r="DR1477" s="4"/>
      <c r="DS1477" s="4"/>
      <c r="DT1477" s="4"/>
      <c r="DU1477" s="4"/>
      <c r="DV1477" s="4"/>
      <c r="DW1477" s="4"/>
      <c r="DX1477" s="4"/>
      <c r="DY1477" s="4"/>
      <c r="DZ1477" s="4"/>
      <c r="EA1477" s="4"/>
      <c r="EB1477" s="4"/>
      <c r="EC1477" s="4"/>
      <c r="ED1477" s="4"/>
      <c r="EE1477" s="4"/>
      <c r="EF1477" s="4"/>
      <c r="EG1477" s="5">
        <v>41249</v>
      </c>
      <c r="EH1477" s="5">
        <v>41250</v>
      </c>
      <c r="EI1477" s="5">
        <v>40981</v>
      </c>
    </row>
    <row r="1478" spans="1:139" hidden="1" x14ac:dyDescent="0.2">
      <c r="A1478">
        <f>VLOOKUP(B1478,Sheet1!$A$1:$B$18,2,FALSE)</f>
        <v>0</v>
      </c>
      <c r="B1478" t="str">
        <f>LEFT(D1478,3)</f>
        <v>WKT</v>
      </c>
      <c r="C1478" s="2">
        <v>1477</v>
      </c>
      <c r="D1478" s="3" t="str">
        <f>HYPERLINK("https://sitebase.nzcomms.co.nz/spm/spmnominalview/WKT-017-004/","WKT-017-004")</f>
        <v>WKT-017-004</v>
      </c>
      <c r="E1478" s="4" t="s">
        <v>4437</v>
      </c>
      <c r="F1478" s="3" t="str">
        <f>HYPERLINK("https://sitebase.nzcomms.co.nz/spm/spmcandidateview/WKT-017-004-B/","WKT-017-004-B")</f>
        <v>WKT-017-004-B</v>
      </c>
      <c r="G1478" s="4" t="s">
        <v>4438</v>
      </c>
      <c r="H1478" s="4" t="s">
        <v>4427</v>
      </c>
      <c r="I1478" s="4">
        <v>22</v>
      </c>
      <c r="J1478" s="4" t="s">
        <v>331</v>
      </c>
      <c r="K1478" s="4" t="s">
        <v>141</v>
      </c>
      <c r="L1478" s="4" t="s">
        <v>142</v>
      </c>
      <c r="M1478" s="4" t="s">
        <v>166</v>
      </c>
      <c r="N1478" s="4" t="s">
        <v>142</v>
      </c>
      <c r="O1478" s="4"/>
      <c r="P1478" s="4" t="s">
        <v>169</v>
      </c>
      <c r="Q1478" s="4" t="s">
        <v>142</v>
      </c>
      <c r="R1478" s="4">
        <v>24</v>
      </c>
      <c r="S1478" s="4">
        <v>25</v>
      </c>
      <c r="T1478" s="4"/>
      <c r="U1478" s="4">
        <v>-37.96507003</v>
      </c>
      <c r="V1478" s="4">
        <v>175.60028663</v>
      </c>
      <c r="W1478" s="4"/>
      <c r="X1478" s="4"/>
      <c r="Y1478" s="4"/>
      <c r="Z1478" s="4"/>
      <c r="AA1478" s="4" t="s">
        <v>171</v>
      </c>
      <c r="AB1478" s="3" t="str">
        <f>HYPERLINK("https://sitebase.nzcomms.co.nz/spm/spmcandidateview/WKT-017-003-A/","WKT-017-003-A")</f>
        <v>WKT-017-003-A</v>
      </c>
      <c r="AC1478" s="4" t="b">
        <v>0</v>
      </c>
      <c r="AD1478" s="4" t="b">
        <v>0</v>
      </c>
      <c r="AE1478" s="4"/>
      <c r="AF1478" s="4"/>
      <c r="AG1478" s="4" t="b">
        <v>0</v>
      </c>
      <c r="AH1478" s="4"/>
      <c r="AI1478" s="5">
        <v>42334</v>
      </c>
      <c r="AJ1478" s="5">
        <v>42334</v>
      </c>
      <c r="AK1478" s="5">
        <v>42339</v>
      </c>
      <c r="AL1478" s="5">
        <v>42339</v>
      </c>
      <c r="AM1478" s="5">
        <v>42360</v>
      </c>
      <c r="AN1478" s="5">
        <v>42360</v>
      </c>
      <c r="AO1478" s="4">
        <v>1</v>
      </c>
      <c r="AP1478" s="5">
        <v>42380</v>
      </c>
      <c r="AQ1478" s="5">
        <v>42360</v>
      </c>
      <c r="AR1478" s="5">
        <v>42457</v>
      </c>
      <c r="AS1478" s="4"/>
      <c r="AT1478" s="5">
        <v>42478</v>
      </c>
      <c r="AU1478" s="4"/>
      <c r="AV1478" s="4"/>
      <c r="AW1478" s="5">
        <v>42485</v>
      </c>
      <c r="AX1478" s="4"/>
      <c r="AY1478" s="4" t="s">
        <v>172</v>
      </c>
      <c r="AZ1478" s="5">
        <v>42457</v>
      </c>
      <c r="BA1478" s="4"/>
      <c r="BB1478" s="5">
        <v>42485</v>
      </c>
      <c r="BC1478" s="4"/>
      <c r="BD1478" s="4"/>
      <c r="BE1478" s="5">
        <v>42489</v>
      </c>
      <c r="BF1478" s="4"/>
      <c r="BG1478" s="5">
        <v>42457</v>
      </c>
      <c r="BH1478" s="4"/>
      <c r="BI1478" s="5">
        <v>42488</v>
      </c>
      <c r="BJ1478" s="4"/>
      <c r="BK1478" s="4"/>
      <c r="BL1478" s="4"/>
      <c r="BM1478" s="5">
        <v>42495</v>
      </c>
      <c r="BN1478" s="4"/>
      <c r="BO1478" s="4"/>
      <c r="BP1478" s="4"/>
      <c r="BQ1478" s="4"/>
      <c r="BR1478" s="4"/>
      <c r="BS1478" s="4"/>
      <c r="BT1478" s="5">
        <v>42548</v>
      </c>
      <c r="BU1478" s="4"/>
      <c r="BV1478" s="5">
        <v>42576</v>
      </c>
      <c r="BW1478" s="4"/>
      <c r="BX1478" s="4"/>
      <c r="BY1478" s="5">
        <v>42590</v>
      </c>
      <c r="BZ1478" s="4"/>
      <c r="CA1478" s="4"/>
      <c r="CB1478" s="4"/>
      <c r="CC1478" s="4"/>
      <c r="CD1478" s="4"/>
      <c r="CE1478" s="4"/>
      <c r="CF1478" s="4"/>
      <c r="CG1478" s="4"/>
      <c r="CH1478" s="4"/>
      <c r="CI1478" s="4"/>
      <c r="CJ1478" s="5">
        <v>42625</v>
      </c>
      <c r="CK1478" s="4"/>
      <c r="CL1478" s="4"/>
      <c r="CM1478" s="4"/>
      <c r="CN1478" s="4"/>
      <c r="CO1478" s="4"/>
      <c r="CP1478" s="4" t="s">
        <v>4439</v>
      </c>
      <c r="CQ1478" s="4" t="s">
        <v>230</v>
      </c>
      <c r="CR1478" s="4"/>
      <c r="CS1478" s="4"/>
      <c r="CT1478" s="4"/>
      <c r="CU1478" s="4"/>
      <c r="CV1478" s="4"/>
      <c r="CW1478" s="4"/>
      <c r="CX1478" s="4"/>
      <c r="CY1478" s="4"/>
      <c r="CZ1478" s="4"/>
      <c r="DA1478" s="5">
        <v>42604</v>
      </c>
      <c r="DB1478" s="4"/>
      <c r="DC1478" s="4"/>
      <c r="DD1478" s="4"/>
      <c r="DE1478" s="4"/>
      <c r="DF1478" s="4"/>
      <c r="DG1478" s="4"/>
      <c r="DH1478" s="4" t="s">
        <v>174</v>
      </c>
      <c r="DI1478" s="4"/>
      <c r="DJ1478" s="4" t="b">
        <v>0</v>
      </c>
      <c r="DK1478" s="4"/>
      <c r="DL1478" s="4">
        <v>2738630</v>
      </c>
      <c r="DM1478" s="4">
        <v>6356465</v>
      </c>
      <c r="DN1478" s="4" t="s">
        <v>4440</v>
      </c>
      <c r="DO1478" s="4"/>
      <c r="DP1478" s="4"/>
      <c r="DQ1478" s="4" t="s">
        <v>148</v>
      </c>
      <c r="DR1478" s="4" t="s">
        <v>255</v>
      </c>
      <c r="DS1478" s="4"/>
      <c r="DT1478" s="4"/>
      <c r="DU1478" s="4" t="s">
        <v>178</v>
      </c>
      <c r="DV1478" s="4"/>
      <c r="DW1478" s="4"/>
      <c r="DX1478" s="4"/>
      <c r="DY1478" s="5">
        <v>42499</v>
      </c>
      <c r="DZ1478" s="4"/>
      <c r="EA1478" s="4"/>
      <c r="EB1478" s="4"/>
      <c r="EC1478" s="4"/>
      <c r="ED1478" s="4"/>
      <c r="EE1478" s="5">
        <v>42527</v>
      </c>
      <c r="EF1478" s="4"/>
      <c r="EG1478" s="4"/>
      <c r="EH1478" s="4"/>
      <c r="EI1478" s="5">
        <v>42339</v>
      </c>
    </row>
    <row r="1479" spans="1:139" hidden="1" x14ac:dyDescent="0.2">
      <c r="A1479">
        <f>VLOOKUP(B1479,Sheet1!$A$1:$B$18,2,FALSE)</f>
        <v>0</v>
      </c>
      <c r="B1479" t="str">
        <f>LEFT(D1479,3)</f>
        <v>WKT</v>
      </c>
      <c r="C1479" s="2">
        <v>1478</v>
      </c>
      <c r="D1479" s="3" t="str">
        <f>HYPERLINK("https://sitebase.nzcomms.co.nz/spm/spmnominalview/WKT-017-005/","WKT-017-005")</f>
        <v>WKT-017-005</v>
      </c>
      <c r="E1479" s="4" t="s">
        <v>4441</v>
      </c>
      <c r="F1479" s="3" t="str">
        <f>HYPERLINK("https://sitebase.nzcomms.co.nz/spm/spmcandidateview/WKT-017-005-B/","WKT-017-005-B")</f>
        <v>WKT-017-005-B</v>
      </c>
      <c r="G1479" s="4" t="s">
        <v>4442</v>
      </c>
      <c r="H1479" s="4" t="s">
        <v>4427</v>
      </c>
      <c r="I1479" s="4">
        <v>1</v>
      </c>
      <c r="J1479" s="4" t="s">
        <v>180</v>
      </c>
      <c r="K1479" s="4" t="s">
        <v>141</v>
      </c>
      <c r="L1479" s="4" t="s">
        <v>150</v>
      </c>
      <c r="M1479" s="4" t="s">
        <v>190</v>
      </c>
      <c r="N1479" s="4" t="s">
        <v>730</v>
      </c>
      <c r="O1479" s="4"/>
      <c r="P1479" s="4" t="s">
        <v>169</v>
      </c>
      <c r="Q1479" s="4" t="s">
        <v>170</v>
      </c>
      <c r="R1479" s="4"/>
      <c r="S1479" s="4"/>
      <c r="T1479" s="4">
        <v>1</v>
      </c>
      <c r="U1479" s="4">
        <v>-38.02298107</v>
      </c>
      <c r="V1479" s="4">
        <v>175.36303061000001</v>
      </c>
      <c r="W1479" s="4"/>
      <c r="X1479" s="4"/>
      <c r="Y1479" s="4"/>
      <c r="Z1479" s="4"/>
      <c r="AA1479" s="4" t="s">
        <v>145</v>
      </c>
      <c r="AB1479" s="3" t="str">
        <f>HYPERLINK("https://sitebase.nzcomms.co.nz/spm/spmcandidateview/WKT-016-023-B/","WKT-016-023-B")</f>
        <v>WKT-016-023-B</v>
      </c>
      <c r="AC1479" s="4" t="b">
        <v>0</v>
      </c>
      <c r="AD1479" s="4" t="b">
        <v>0</v>
      </c>
      <c r="AE1479" s="4"/>
      <c r="AF1479" s="4"/>
      <c r="AG1479" s="4" t="b">
        <v>0</v>
      </c>
      <c r="AH1479" s="4"/>
      <c r="AI1479" s="4"/>
      <c r="AJ1479" s="5">
        <v>41002</v>
      </c>
      <c r="AK1479" s="4"/>
      <c r="AL1479" s="5">
        <v>41004</v>
      </c>
      <c r="AM1479" s="5">
        <v>41054</v>
      </c>
      <c r="AN1479" s="5">
        <v>41060</v>
      </c>
      <c r="AO1479" s="4">
        <v>1</v>
      </c>
      <c r="AP1479" s="5">
        <v>41054</v>
      </c>
      <c r="AQ1479" s="5">
        <v>41060</v>
      </c>
      <c r="AR1479" s="5">
        <v>41089</v>
      </c>
      <c r="AS1479" s="5">
        <v>41092</v>
      </c>
      <c r="AT1479" s="5">
        <v>41152</v>
      </c>
      <c r="AU1479" s="5">
        <v>41144</v>
      </c>
      <c r="AV1479" s="4"/>
      <c r="AW1479" s="5">
        <v>41159</v>
      </c>
      <c r="AX1479" s="5">
        <v>41144</v>
      </c>
      <c r="AY1479" s="4" t="s">
        <v>172</v>
      </c>
      <c r="AZ1479" s="5">
        <v>41096</v>
      </c>
      <c r="BA1479" s="5">
        <v>41099</v>
      </c>
      <c r="BB1479" s="5">
        <v>41107</v>
      </c>
      <c r="BC1479" s="5">
        <v>41107</v>
      </c>
      <c r="BD1479" s="4">
        <v>1</v>
      </c>
      <c r="BE1479" s="5">
        <v>41110</v>
      </c>
      <c r="BF1479" s="5">
        <v>41109</v>
      </c>
      <c r="BG1479" s="5">
        <v>41155</v>
      </c>
      <c r="BH1479" s="4"/>
      <c r="BI1479" s="5">
        <v>41200</v>
      </c>
      <c r="BJ1479" s="5">
        <v>41226</v>
      </c>
      <c r="BK1479" s="4">
        <v>1</v>
      </c>
      <c r="BL1479" s="4"/>
      <c r="BM1479" s="5">
        <v>41200</v>
      </c>
      <c r="BN1479" s="5">
        <v>41226</v>
      </c>
      <c r="BO1479" s="5">
        <v>41227</v>
      </c>
      <c r="BP1479" s="4"/>
      <c r="BQ1479" s="4"/>
      <c r="BR1479" s="4"/>
      <c r="BS1479" s="4"/>
      <c r="BT1479" s="5">
        <v>41215</v>
      </c>
      <c r="BU1479" s="5">
        <v>41213</v>
      </c>
      <c r="BV1479" s="5">
        <v>41248</v>
      </c>
      <c r="BW1479" s="5">
        <v>41248</v>
      </c>
      <c r="BX1479" s="5">
        <v>41235</v>
      </c>
      <c r="BY1479" s="5">
        <v>41255</v>
      </c>
      <c r="BZ1479" s="5">
        <v>41254</v>
      </c>
      <c r="CA1479" s="5">
        <v>41236</v>
      </c>
      <c r="CB1479" s="5">
        <v>41239</v>
      </c>
      <c r="CC1479" s="4"/>
      <c r="CD1479" s="4"/>
      <c r="CE1479" s="4"/>
      <c r="CF1479" s="4"/>
      <c r="CG1479" s="4"/>
      <c r="CH1479" s="4"/>
      <c r="CI1479" s="5">
        <v>41254</v>
      </c>
      <c r="CJ1479" s="5">
        <v>41257</v>
      </c>
      <c r="CK1479" s="5">
        <v>41257</v>
      </c>
      <c r="CL1479" s="5">
        <v>41289</v>
      </c>
      <c r="CM1479" s="5">
        <v>41260</v>
      </c>
      <c r="CN1479" s="5">
        <v>41446</v>
      </c>
      <c r="CO1479" s="5">
        <v>41425</v>
      </c>
      <c r="CP1479" s="4" t="s">
        <v>4443</v>
      </c>
      <c r="CQ1479" s="4"/>
      <c r="CR1479" s="5">
        <v>41255</v>
      </c>
      <c r="CS1479" s="5">
        <v>41188</v>
      </c>
      <c r="CT1479" s="5">
        <v>41188</v>
      </c>
      <c r="CU1479" s="5">
        <v>41218</v>
      </c>
      <c r="CV1479" s="5">
        <v>41227</v>
      </c>
      <c r="CW1479" s="5">
        <v>41225</v>
      </c>
      <c r="CX1479" s="5">
        <v>41227</v>
      </c>
      <c r="CY1479" s="5">
        <v>41242</v>
      </c>
      <c r="CZ1479" s="5">
        <v>41241</v>
      </c>
      <c r="DA1479" s="5">
        <v>41255</v>
      </c>
      <c r="DB1479" s="5">
        <v>41255</v>
      </c>
      <c r="DC1479" s="4"/>
      <c r="DD1479" s="4"/>
      <c r="DE1479" s="4" t="s">
        <v>4444</v>
      </c>
      <c r="DF1479" s="5">
        <v>41231</v>
      </c>
      <c r="DG1479" s="5">
        <v>41235</v>
      </c>
      <c r="DH1479" s="4" t="s">
        <v>174</v>
      </c>
      <c r="DI1479" s="5">
        <v>41235</v>
      </c>
      <c r="DJ1479" s="4" t="b">
        <v>0</v>
      </c>
      <c r="DK1479" s="4"/>
      <c r="DL1479" s="4">
        <v>2717621</v>
      </c>
      <c r="DM1479" s="4">
        <v>6350626</v>
      </c>
      <c r="DN1479" s="4" t="s">
        <v>4445</v>
      </c>
      <c r="DO1479" s="4"/>
      <c r="DP1479" s="4" t="s">
        <v>4446</v>
      </c>
      <c r="DQ1479" s="4" t="s">
        <v>148</v>
      </c>
      <c r="DR1479" s="4"/>
      <c r="DS1479" s="4"/>
      <c r="DT1479" s="5">
        <v>42082</v>
      </c>
      <c r="DU1479" s="4"/>
      <c r="DV1479" s="4"/>
      <c r="DW1479" s="4"/>
      <c r="DX1479" s="4"/>
      <c r="DY1479" s="4"/>
      <c r="DZ1479" s="4"/>
      <c r="EA1479" s="4"/>
      <c r="EB1479" s="4"/>
      <c r="EC1479" s="4"/>
      <c r="ED1479" s="4"/>
      <c r="EE1479" s="4"/>
      <c r="EF1479" s="4"/>
      <c r="EG1479" s="5">
        <v>41256</v>
      </c>
      <c r="EH1479" s="5">
        <v>41256</v>
      </c>
      <c r="EI1479" s="4"/>
    </row>
    <row r="1480" spans="1:139" hidden="1" x14ac:dyDescent="0.2">
      <c r="A1480">
        <f>VLOOKUP(B1480,Sheet1!$A$1:$B$18,2,FALSE)</f>
        <v>0</v>
      </c>
      <c r="B1480" t="str">
        <f>LEFT(D1480,3)</f>
        <v>WKT</v>
      </c>
      <c r="C1480" s="2">
        <v>1479</v>
      </c>
      <c r="D1480" s="3" t="str">
        <f>HYPERLINK("https://sitebase.nzcomms.co.nz/spm/spmnominalview/WKT-017-006/","WKT-017-006")</f>
        <v>WKT-017-006</v>
      </c>
      <c r="E1480" s="4" t="s">
        <v>4447</v>
      </c>
      <c r="F1480" s="3" t="str">
        <f>HYPERLINK("https://sitebase.nzcomms.co.nz/spm/spmcandidateview/WKT-017-006-D/","WKT-017-006-D")</f>
        <v>WKT-017-006-D</v>
      </c>
      <c r="G1480" s="4" t="s">
        <v>4448</v>
      </c>
      <c r="H1480" s="4" t="s">
        <v>4427</v>
      </c>
      <c r="I1480" s="4">
        <v>1</v>
      </c>
      <c r="J1480" s="4" t="s">
        <v>180</v>
      </c>
      <c r="K1480" s="4" t="s">
        <v>141</v>
      </c>
      <c r="L1480" s="4" t="s">
        <v>325</v>
      </c>
      <c r="M1480" s="4" t="s">
        <v>190</v>
      </c>
      <c r="N1480" s="4" t="s">
        <v>325</v>
      </c>
      <c r="O1480" s="4"/>
      <c r="P1480" s="4" t="s">
        <v>169</v>
      </c>
      <c r="Q1480" s="4" t="s">
        <v>170</v>
      </c>
      <c r="R1480" s="4"/>
      <c r="S1480" s="4"/>
      <c r="T1480" s="4">
        <v>1</v>
      </c>
      <c r="U1480" s="4">
        <v>-37.994328410000001</v>
      </c>
      <c r="V1480" s="4">
        <v>175.32434602000001</v>
      </c>
      <c r="W1480" s="4"/>
      <c r="X1480" s="4"/>
      <c r="Y1480" s="4"/>
      <c r="Z1480" s="4"/>
      <c r="AA1480" s="4" t="s">
        <v>145</v>
      </c>
      <c r="AB1480" s="3" t="str">
        <f>HYPERLINK("https://sitebase.nzcomms.co.nz/spm/spmcandidateview/WKT-016-023-B/","WKT-016-023-B")</f>
        <v>WKT-016-023-B</v>
      </c>
      <c r="AC1480" s="4" t="b">
        <v>0</v>
      </c>
      <c r="AD1480" s="4" t="b">
        <v>0</v>
      </c>
      <c r="AE1480" s="4"/>
      <c r="AF1480" s="4"/>
      <c r="AG1480" s="4" t="b">
        <v>0</v>
      </c>
      <c r="AH1480" s="4"/>
      <c r="AI1480" s="5">
        <v>40976</v>
      </c>
      <c r="AJ1480" s="5">
        <v>40976</v>
      </c>
      <c r="AK1480" s="5">
        <v>40981</v>
      </c>
      <c r="AL1480" s="5">
        <v>40981</v>
      </c>
      <c r="AM1480" s="5">
        <v>41023</v>
      </c>
      <c r="AN1480" s="5">
        <v>41030</v>
      </c>
      <c r="AO1480" s="4">
        <v>4</v>
      </c>
      <c r="AP1480" s="5">
        <v>41023</v>
      </c>
      <c r="AQ1480" s="5">
        <v>41977</v>
      </c>
      <c r="AR1480" s="5">
        <v>41089</v>
      </c>
      <c r="AS1480" s="5">
        <v>41087</v>
      </c>
      <c r="AT1480" s="5">
        <v>41376</v>
      </c>
      <c r="AU1480" s="5">
        <v>41421</v>
      </c>
      <c r="AV1480" s="4"/>
      <c r="AW1480" s="5">
        <v>41383</v>
      </c>
      <c r="AX1480" s="5">
        <v>41421</v>
      </c>
      <c r="AY1480" s="4" t="s">
        <v>183</v>
      </c>
      <c r="AZ1480" s="5">
        <v>41109</v>
      </c>
      <c r="BA1480" s="5">
        <v>41113</v>
      </c>
      <c r="BB1480" s="5">
        <v>41152</v>
      </c>
      <c r="BC1480" s="5">
        <v>41136</v>
      </c>
      <c r="BD1480" s="4">
        <v>3</v>
      </c>
      <c r="BE1480" s="5">
        <v>41159</v>
      </c>
      <c r="BF1480" s="5">
        <v>41144</v>
      </c>
      <c r="BG1480" s="5">
        <v>41155</v>
      </c>
      <c r="BH1480" s="4"/>
      <c r="BI1480" s="5">
        <v>41197</v>
      </c>
      <c r="BJ1480" s="5">
        <v>41249</v>
      </c>
      <c r="BK1480" s="4">
        <v>2</v>
      </c>
      <c r="BL1480" s="4"/>
      <c r="BM1480" s="5">
        <v>41197</v>
      </c>
      <c r="BN1480" s="5">
        <v>41312</v>
      </c>
      <c r="BO1480" s="4"/>
      <c r="BP1480" s="4"/>
      <c r="BQ1480" s="4"/>
      <c r="BR1480" s="5">
        <v>41354</v>
      </c>
      <c r="BS1480" s="4"/>
      <c r="BT1480" s="5">
        <v>41422</v>
      </c>
      <c r="BU1480" s="5">
        <v>41422</v>
      </c>
      <c r="BV1480" s="5">
        <v>41437</v>
      </c>
      <c r="BW1480" s="5">
        <v>41435</v>
      </c>
      <c r="BX1480" s="5">
        <v>41444</v>
      </c>
      <c r="BY1480" s="5">
        <v>41453</v>
      </c>
      <c r="BZ1480" s="5">
        <v>41456</v>
      </c>
      <c r="CA1480" s="5">
        <v>41446</v>
      </c>
      <c r="CB1480" s="5">
        <v>41446</v>
      </c>
      <c r="CC1480" s="4"/>
      <c r="CD1480" s="4"/>
      <c r="CE1480" s="4"/>
      <c r="CF1480" s="4"/>
      <c r="CG1480" s="4"/>
      <c r="CH1480" s="4"/>
      <c r="CI1480" s="5">
        <v>41456</v>
      </c>
      <c r="CJ1480" s="5">
        <v>41460</v>
      </c>
      <c r="CK1480" s="5">
        <v>41459</v>
      </c>
      <c r="CL1480" s="5">
        <v>41512</v>
      </c>
      <c r="CM1480" s="5">
        <v>41478</v>
      </c>
      <c r="CN1480" s="5">
        <v>41568</v>
      </c>
      <c r="CO1480" s="5">
        <v>41620</v>
      </c>
      <c r="CP1480" s="4" t="s">
        <v>4449</v>
      </c>
      <c r="CQ1480" s="4"/>
      <c r="CR1480" s="5">
        <v>41453</v>
      </c>
      <c r="CS1480" s="4"/>
      <c r="CT1480" s="4"/>
      <c r="CU1480" s="4"/>
      <c r="CV1480" s="4"/>
      <c r="CW1480" s="4"/>
      <c r="CX1480" s="4"/>
      <c r="CY1480" s="5">
        <v>41453</v>
      </c>
      <c r="CZ1480" s="5">
        <v>41453</v>
      </c>
      <c r="DA1480" s="5">
        <v>41457</v>
      </c>
      <c r="DB1480" s="5">
        <v>41460</v>
      </c>
      <c r="DC1480" s="4"/>
      <c r="DD1480" s="4"/>
      <c r="DE1480" s="4" t="s">
        <v>4444</v>
      </c>
      <c r="DF1480" s="5">
        <v>41446</v>
      </c>
      <c r="DG1480" s="5">
        <v>41446</v>
      </c>
      <c r="DH1480" s="4" t="s">
        <v>174</v>
      </c>
      <c r="DI1480" s="5">
        <v>41445</v>
      </c>
      <c r="DJ1480" s="4" t="b">
        <v>1</v>
      </c>
      <c r="DK1480" s="5">
        <v>41354</v>
      </c>
      <c r="DL1480" s="4">
        <v>2714310</v>
      </c>
      <c r="DM1480" s="4">
        <v>6353895</v>
      </c>
      <c r="DN1480" s="4" t="s">
        <v>4450</v>
      </c>
      <c r="DO1480" s="4"/>
      <c r="DP1480" s="4" t="s">
        <v>4451</v>
      </c>
      <c r="DQ1480" s="4" t="s">
        <v>148</v>
      </c>
      <c r="DR1480" s="4"/>
      <c r="DS1480" s="4"/>
      <c r="DT1480" s="5">
        <v>42082</v>
      </c>
      <c r="DU1480" s="4"/>
      <c r="DV1480" s="4"/>
      <c r="DW1480" s="4"/>
      <c r="DX1480" s="4"/>
      <c r="DY1480" s="4"/>
      <c r="DZ1480" s="4"/>
      <c r="EA1480" s="4"/>
      <c r="EB1480" s="4"/>
      <c r="EC1480" s="4"/>
      <c r="ED1480" s="4"/>
      <c r="EE1480" s="4"/>
      <c r="EF1480" s="4"/>
      <c r="EG1480" s="5">
        <v>41459</v>
      </c>
      <c r="EH1480" s="5">
        <v>41459</v>
      </c>
      <c r="EI1480" s="5">
        <v>40981</v>
      </c>
    </row>
    <row r="1481" spans="1:139" hidden="1" x14ac:dyDescent="0.2">
      <c r="A1481">
        <f>VLOOKUP(B1481,Sheet1!$A$1:$B$18,2,FALSE)</f>
        <v>0</v>
      </c>
      <c r="B1481" t="str">
        <f>LEFT(D1481,3)</f>
        <v>WKT</v>
      </c>
      <c r="C1481" s="2">
        <v>1480</v>
      </c>
      <c r="D1481" s="3" t="str">
        <f>HYPERLINK("https://sitebase.nzcomms.co.nz/spm/spmnominalview/WKT-017-007/","WKT-017-007")</f>
        <v>WKT-017-007</v>
      </c>
      <c r="E1481" s="4" t="s">
        <v>4402</v>
      </c>
      <c r="F1481" s="4"/>
      <c r="G1481" s="4"/>
      <c r="H1481" s="4" t="s">
        <v>4427</v>
      </c>
      <c r="I1481" s="4"/>
      <c r="J1481" s="4" t="s">
        <v>196</v>
      </c>
      <c r="K1481" s="4"/>
      <c r="L1481" s="4"/>
      <c r="M1481" s="4"/>
      <c r="N1481" s="4"/>
      <c r="O1481" s="4"/>
      <c r="P1481" s="4"/>
      <c r="Q1481" s="4"/>
      <c r="R1481" s="4"/>
      <c r="S1481" s="4"/>
      <c r="T1481" s="4"/>
      <c r="U1481" s="4"/>
      <c r="V1481" s="4"/>
      <c r="W1481" s="4"/>
      <c r="X1481" s="4"/>
      <c r="Y1481" s="4"/>
      <c r="Z1481" s="4"/>
      <c r="AA1481" s="4"/>
      <c r="AB1481" s="4"/>
      <c r="AC1481" s="4"/>
      <c r="AD1481" s="4"/>
      <c r="AE1481" s="4"/>
      <c r="AF1481" s="4"/>
      <c r="AG1481" s="4" t="b">
        <v>0</v>
      </c>
      <c r="AH1481" s="4"/>
      <c r="AI1481" s="4"/>
      <c r="AJ1481" s="4"/>
      <c r="AK1481" s="4"/>
      <c r="AL1481" s="4"/>
      <c r="AM1481" s="4"/>
      <c r="AN1481" s="4"/>
      <c r="AO1481" s="4"/>
      <c r="AP1481" s="4"/>
      <c r="AQ1481" s="4"/>
      <c r="AR1481" s="4"/>
      <c r="AS1481" s="4"/>
      <c r="AT1481" s="4"/>
      <c r="AU1481" s="4"/>
      <c r="AV1481" s="4"/>
      <c r="AW1481" s="4"/>
      <c r="AX1481" s="4"/>
      <c r="AY1481" s="4"/>
      <c r="AZ1481" s="4"/>
      <c r="BA1481" s="4"/>
      <c r="BB1481" s="4"/>
      <c r="BC1481" s="4"/>
      <c r="BD1481" s="4"/>
      <c r="BE1481" s="4"/>
      <c r="BF1481" s="4"/>
      <c r="BG1481" s="4"/>
      <c r="BH1481" s="4"/>
      <c r="BI1481" s="4"/>
      <c r="BJ1481" s="4"/>
      <c r="BK1481" s="4"/>
      <c r="BL1481" s="4"/>
      <c r="BM1481" s="4"/>
      <c r="BN1481" s="4"/>
      <c r="BO1481" s="4"/>
      <c r="BP1481" s="4"/>
      <c r="BQ1481" s="4"/>
      <c r="BR1481" s="4"/>
      <c r="BS1481" s="4"/>
      <c r="BT1481" s="4"/>
      <c r="BU1481" s="4"/>
      <c r="BV1481" s="4"/>
      <c r="BW1481" s="4"/>
      <c r="BX1481" s="4"/>
      <c r="BY1481" s="4"/>
      <c r="BZ1481" s="4"/>
      <c r="CA1481" s="4"/>
      <c r="CB1481" s="4"/>
      <c r="CC1481" s="4"/>
      <c r="CD1481" s="4"/>
      <c r="CE1481" s="4"/>
      <c r="CF1481" s="4"/>
      <c r="CG1481" s="4"/>
      <c r="CH1481" s="4"/>
      <c r="CI1481" s="4"/>
      <c r="CJ1481" s="4"/>
      <c r="CK1481" s="4"/>
      <c r="CL1481" s="4"/>
      <c r="CM1481" s="4"/>
      <c r="CN1481" s="4"/>
      <c r="CO1481" s="4"/>
      <c r="CP1481" s="4" t="s">
        <v>4452</v>
      </c>
      <c r="CQ1481" s="4"/>
      <c r="CR1481" s="4"/>
      <c r="CS1481" s="4"/>
      <c r="CT1481" s="4"/>
      <c r="CU1481" s="4"/>
      <c r="CV1481" s="4"/>
      <c r="CW1481" s="4"/>
      <c r="CX1481" s="4"/>
      <c r="CY1481" s="4"/>
      <c r="CZ1481" s="4"/>
      <c r="DA1481" s="4"/>
      <c r="DB1481" s="4"/>
      <c r="DC1481" s="4"/>
      <c r="DD1481" s="4"/>
      <c r="DE1481" s="4"/>
      <c r="DF1481" s="4"/>
      <c r="DG1481" s="4"/>
      <c r="DH1481" s="4"/>
      <c r="DI1481" s="4"/>
      <c r="DJ1481" s="4"/>
      <c r="DK1481" s="4"/>
      <c r="DL1481" s="4"/>
      <c r="DM1481" s="4"/>
      <c r="DN1481" s="4"/>
      <c r="DO1481" s="4"/>
      <c r="DP1481" s="4"/>
      <c r="DQ1481" s="4"/>
      <c r="DR1481" s="4"/>
      <c r="DS1481" s="4"/>
      <c r="DT1481" s="4"/>
      <c r="DU1481" s="4"/>
      <c r="DV1481" s="4"/>
      <c r="DW1481" s="4"/>
      <c r="DX1481" s="4"/>
      <c r="DY1481" s="4"/>
      <c r="DZ1481" s="4"/>
      <c r="EA1481" s="4"/>
      <c r="EB1481" s="4"/>
      <c r="EC1481" s="4"/>
      <c r="ED1481" s="4"/>
      <c r="EE1481" s="4"/>
      <c r="EF1481" s="4"/>
      <c r="EG1481" s="4"/>
      <c r="EH1481" s="4"/>
      <c r="EI1481" s="4"/>
    </row>
    <row r="1482" spans="1:139" hidden="1" x14ac:dyDescent="0.2">
      <c r="A1482">
        <f>VLOOKUP(B1482,Sheet1!$A$1:$B$18,2,FALSE)</f>
        <v>0</v>
      </c>
      <c r="B1482" t="str">
        <f>LEFT(D1482,3)</f>
        <v>WKT</v>
      </c>
      <c r="C1482" s="2">
        <v>1481</v>
      </c>
      <c r="D1482" s="3" t="str">
        <f>HYPERLINK("https://sitebase.nzcomms.co.nz/spm/spmnominalview/WKT-017-008/","WKT-017-008")</f>
        <v>WKT-017-008</v>
      </c>
      <c r="E1482" s="4" t="s">
        <v>4453</v>
      </c>
      <c r="F1482" s="3" t="str">
        <f>HYPERLINK("https://sitebase.nzcomms.co.nz/spm/spmcandidateview/WKT-017-008-B/","WKT-017-008-B")</f>
        <v>WKT-017-008-B</v>
      </c>
      <c r="G1482" s="4" t="s">
        <v>4454</v>
      </c>
      <c r="H1482" s="4" t="s">
        <v>4427</v>
      </c>
      <c r="I1482" s="4">
        <v>10</v>
      </c>
      <c r="J1482" s="4" t="s">
        <v>1633</v>
      </c>
      <c r="K1482" s="4" t="s">
        <v>141</v>
      </c>
      <c r="L1482" s="4" t="s">
        <v>150</v>
      </c>
      <c r="M1482" s="4" t="s">
        <v>190</v>
      </c>
      <c r="N1482" s="4" t="s">
        <v>291</v>
      </c>
      <c r="O1482" s="4" t="s">
        <v>144</v>
      </c>
      <c r="P1482" s="4" t="s">
        <v>169</v>
      </c>
      <c r="Q1482" s="4" t="s">
        <v>192</v>
      </c>
      <c r="R1482" s="4">
        <v>20</v>
      </c>
      <c r="S1482" s="4">
        <v>20.5</v>
      </c>
      <c r="T1482" s="4">
        <v>1</v>
      </c>
      <c r="U1482" s="4">
        <v>-37.849257899999998</v>
      </c>
      <c r="V1482" s="4">
        <v>175.30566959999999</v>
      </c>
      <c r="W1482" s="4"/>
      <c r="X1482" s="5">
        <v>40140</v>
      </c>
      <c r="Y1482" s="4"/>
      <c r="Z1482" s="5">
        <v>40162</v>
      </c>
      <c r="AA1482" s="4" t="s">
        <v>171</v>
      </c>
      <c r="AB1482" s="3" t="str">
        <f>HYPERLINK("https://sitebase.nzcomms.co.nz/spm/spmcandidateview/WKT-016-039-A/","WKT-016-039-A")</f>
        <v>WKT-016-039-A</v>
      </c>
      <c r="AC1482" s="4" t="b">
        <v>1</v>
      </c>
      <c r="AD1482" s="4" t="b">
        <v>1</v>
      </c>
      <c r="AE1482" s="5">
        <v>40193</v>
      </c>
      <c r="AF1482" s="4"/>
      <c r="AG1482" s="4" t="b">
        <v>0</v>
      </c>
      <c r="AH1482" s="4" t="s">
        <v>4455</v>
      </c>
      <c r="AI1482" s="5">
        <v>40284</v>
      </c>
      <c r="AJ1482" s="5">
        <v>40281</v>
      </c>
      <c r="AK1482" s="4"/>
      <c r="AL1482" s="4"/>
      <c r="AM1482" s="5">
        <v>40290</v>
      </c>
      <c r="AN1482" s="5">
        <v>40291</v>
      </c>
      <c r="AO1482" s="4">
        <v>4</v>
      </c>
      <c r="AP1482" s="5">
        <v>40290</v>
      </c>
      <c r="AQ1482" s="5">
        <v>40394</v>
      </c>
      <c r="AR1482" s="5">
        <v>40329</v>
      </c>
      <c r="AS1482" s="5">
        <v>40330</v>
      </c>
      <c r="AT1482" s="5">
        <v>40395</v>
      </c>
      <c r="AU1482" s="5">
        <v>40395</v>
      </c>
      <c r="AV1482" s="4">
        <v>4</v>
      </c>
      <c r="AW1482" s="5">
        <v>40395</v>
      </c>
      <c r="AX1482" s="5">
        <v>40395</v>
      </c>
      <c r="AY1482" s="4" t="s">
        <v>183</v>
      </c>
      <c r="AZ1482" s="5">
        <v>40318</v>
      </c>
      <c r="BA1482" s="5">
        <v>40319</v>
      </c>
      <c r="BB1482" s="5">
        <v>40403</v>
      </c>
      <c r="BC1482" s="5">
        <v>40402</v>
      </c>
      <c r="BD1482" s="4">
        <v>4</v>
      </c>
      <c r="BE1482" s="5">
        <v>40410</v>
      </c>
      <c r="BF1482" s="5">
        <v>40406</v>
      </c>
      <c r="BG1482" s="4"/>
      <c r="BH1482" s="4"/>
      <c r="BI1482" s="5">
        <v>40732</v>
      </c>
      <c r="BJ1482" s="5">
        <v>40732</v>
      </c>
      <c r="BK1482" s="4">
        <v>1</v>
      </c>
      <c r="BL1482" s="4"/>
      <c r="BM1482" s="5">
        <v>40658</v>
      </c>
      <c r="BN1482" s="5">
        <v>40732</v>
      </c>
      <c r="BO1482" s="5">
        <v>40756</v>
      </c>
      <c r="BP1482" s="4"/>
      <c r="BQ1482" s="4"/>
      <c r="BR1482" s="4"/>
      <c r="BS1482" s="4"/>
      <c r="BT1482" s="5">
        <v>40749</v>
      </c>
      <c r="BU1482" s="5">
        <v>40745</v>
      </c>
      <c r="BV1482" s="5">
        <v>40765</v>
      </c>
      <c r="BW1482" s="5">
        <v>40765</v>
      </c>
      <c r="BX1482" s="5">
        <v>40763</v>
      </c>
      <c r="BY1482" s="5">
        <v>40766</v>
      </c>
      <c r="BZ1482" s="5">
        <v>40766</v>
      </c>
      <c r="CA1482" s="4"/>
      <c r="CB1482" s="4"/>
      <c r="CC1482" s="4"/>
      <c r="CD1482" s="5">
        <v>40581</v>
      </c>
      <c r="CE1482" s="4"/>
      <c r="CF1482" s="4"/>
      <c r="CG1482" s="4"/>
      <c r="CH1482" s="5">
        <v>40675</v>
      </c>
      <c r="CI1482" s="5">
        <v>40770</v>
      </c>
      <c r="CJ1482" s="5">
        <v>40787</v>
      </c>
      <c r="CK1482" s="5">
        <v>40771</v>
      </c>
      <c r="CL1482" s="5">
        <v>40787</v>
      </c>
      <c r="CM1482" s="5">
        <v>40787</v>
      </c>
      <c r="CN1482" s="5">
        <v>40892</v>
      </c>
      <c r="CO1482" s="5">
        <v>40899</v>
      </c>
      <c r="CP1482" s="4" t="s">
        <v>4456</v>
      </c>
      <c r="CQ1482" s="4"/>
      <c r="CR1482" s="5">
        <v>40767</v>
      </c>
      <c r="CS1482" s="5">
        <v>40728</v>
      </c>
      <c r="CT1482" s="5">
        <v>40728</v>
      </c>
      <c r="CU1482" s="5">
        <v>40756</v>
      </c>
      <c r="CV1482" s="5">
        <v>40756</v>
      </c>
      <c r="CW1482" s="5">
        <v>40756</v>
      </c>
      <c r="CX1482" s="5">
        <v>40756</v>
      </c>
      <c r="CY1482" s="5">
        <v>40772</v>
      </c>
      <c r="CZ1482" s="5">
        <v>40772</v>
      </c>
      <c r="DA1482" s="4"/>
      <c r="DB1482" s="5">
        <v>40773</v>
      </c>
      <c r="DC1482" s="4"/>
      <c r="DD1482" s="4"/>
      <c r="DE1482" s="4"/>
      <c r="DF1482" s="4"/>
      <c r="DG1482" s="4"/>
      <c r="DH1482" s="4"/>
      <c r="DI1482" s="5">
        <v>40763</v>
      </c>
      <c r="DJ1482" s="4" t="b">
        <v>0</v>
      </c>
      <c r="DK1482" s="4"/>
      <c r="DL1482" s="4">
        <v>2713092</v>
      </c>
      <c r="DM1482" s="4">
        <v>6370032</v>
      </c>
      <c r="DN1482" s="4" t="s">
        <v>4457</v>
      </c>
      <c r="DO1482" s="4"/>
      <c r="DP1482" s="4"/>
      <c r="DQ1482" s="4" t="s">
        <v>148</v>
      </c>
      <c r="DR1482" s="4"/>
      <c r="DS1482" s="4"/>
      <c r="DT1482" s="4"/>
      <c r="DU1482" s="4"/>
      <c r="DV1482" s="4"/>
      <c r="DW1482" s="4"/>
      <c r="DX1482" s="4"/>
      <c r="DY1482" s="4"/>
      <c r="DZ1482" s="4"/>
      <c r="EA1482" s="4"/>
      <c r="EB1482" s="4"/>
      <c r="EC1482" s="4"/>
      <c r="ED1482" s="4"/>
      <c r="EE1482" s="4"/>
      <c r="EF1482" s="4"/>
      <c r="EG1482" s="5">
        <v>40772</v>
      </c>
      <c r="EH1482" s="5">
        <v>40780</v>
      </c>
      <c r="EI1482" s="4"/>
    </row>
    <row r="1483" spans="1:139" hidden="1" x14ac:dyDescent="0.2">
      <c r="A1483">
        <f>VLOOKUP(B1483,Sheet1!$A$1:$B$18,2,FALSE)</f>
        <v>0</v>
      </c>
      <c r="B1483" t="str">
        <f>LEFT(D1483,3)</f>
        <v>WKT</v>
      </c>
      <c r="C1483" s="2">
        <v>1482</v>
      </c>
      <c r="D1483" s="3" t="str">
        <f>HYPERLINK("https://sitebase.nzcomms.co.nz/spm/spmnominalview/WKT-017-009/","WKT-017-009")</f>
        <v>WKT-017-009</v>
      </c>
      <c r="E1483" s="4" t="s">
        <v>4458</v>
      </c>
      <c r="F1483" s="3" t="str">
        <f>HYPERLINK("https://sitebase.nzcomms.co.nz/spm/spmcandidateview/WKT-017-009-C/","WKT-017-009-C")</f>
        <v>WKT-017-009-C</v>
      </c>
      <c r="G1483" s="4" t="s">
        <v>4459</v>
      </c>
      <c r="H1483" s="4" t="s">
        <v>4427</v>
      </c>
      <c r="I1483" s="4">
        <v>10</v>
      </c>
      <c r="J1483" s="4" t="s">
        <v>1633</v>
      </c>
      <c r="K1483" s="4" t="s">
        <v>141</v>
      </c>
      <c r="L1483" s="4" t="s">
        <v>150</v>
      </c>
      <c r="M1483" s="4" t="s">
        <v>190</v>
      </c>
      <c r="N1483" s="4" t="s">
        <v>291</v>
      </c>
      <c r="O1483" s="4" t="s">
        <v>356</v>
      </c>
      <c r="P1483" s="4" t="s">
        <v>169</v>
      </c>
      <c r="Q1483" s="4" t="s">
        <v>192</v>
      </c>
      <c r="R1483" s="4">
        <v>18</v>
      </c>
      <c r="S1483" s="4">
        <v>18.5</v>
      </c>
      <c r="T1483" s="4">
        <v>3</v>
      </c>
      <c r="U1483" s="4">
        <v>-37.868671650000003</v>
      </c>
      <c r="V1483" s="4">
        <v>175.33726281</v>
      </c>
      <c r="W1483" s="4"/>
      <c r="X1483" s="5">
        <v>40140</v>
      </c>
      <c r="Y1483" s="4"/>
      <c r="Z1483" s="5">
        <v>40162</v>
      </c>
      <c r="AA1483" s="4" t="s">
        <v>152</v>
      </c>
      <c r="AB1483" s="3" t="str">
        <f>HYPERLINK("https://sitebase.nzcomms.co.nz/spm/spmcandidateview/WKT-016-023-B/","WKT-016-023-B")</f>
        <v>WKT-016-023-B</v>
      </c>
      <c r="AC1483" s="4" t="b">
        <v>1</v>
      </c>
      <c r="AD1483" s="4" t="b">
        <v>1</v>
      </c>
      <c r="AE1483" s="5">
        <v>40193</v>
      </c>
      <c r="AF1483" s="4"/>
      <c r="AG1483" s="4" t="b">
        <v>0</v>
      </c>
      <c r="AH1483" s="4" t="s">
        <v>4460</v>
      </c>
      <c r="AI1483" s="4"/>
      <c r="AJ1483" s="5">
        <v>40294</v>
      </c>
      <c r="AK1483" s="4"/>
      <c r="AL1483" s="4"/>
      <c r="AM1483" s="5">
        <v>40305</v>
      </c>
      <c r="AN1483" s="5">
        <v>40308</v>
      </c>
      <c r="AO1483" s="4">
        <v>5</v>
      </c>
      <c r="AP1483" s="5">
        <v>40378</v>
      </c>
      <c r="AQ1483" s="5">
        <v>40585</v>
      </c>
      <c r="AR1483" s="5">
        <v>40396</v>
      </c>
      <c r="AS1483" s="5">
        <v>40394</v>
      </c>
      <c r="AT1483" s="5">
        <v>40633</v>
      </c>
      <c r="AU1483" s="5">
        <v>40688</v>
      </c>
      <c r="AV1483" s="4">
        <v>4</v>
      </c>
      <c r="AW1483" s="5">
        <v>40633</v>
      </c>
      <c r="AX1483" s="5">
        <v>40877</v>
      </c>
      <c r="AY1483" s="4" t="s">
        <v>172</v>
      </c>
      <c r="AZ1483" s="5">
        <v>40387</v>
      </c>
      <c r="BA1483" s="5">
        <v>40585</v>
      </c>
      <c r="BB1483" s="5">
        <v>40421</v>
      </c>
      <c r="BC1483" s="5">
        <v>40599</v>
      </c>
      <c r="BD1483" s="4">
        <v>5</v>
      </c>
      <c r="BE1483" s="5">
        <v>40438</v>
      </c>
      <c r="BF1483" s="5">
        <v>40420</v>
      </c>
      <c r="BG1483" s="4"/>
      <c r="BH1483" s="4"/>
      <c r="BI1483" s="5">
        <v>40730</v>
      </c>
      <c r="BJ1483" s="5">
        <v>40732</v>
      </c>
      <c r="BK1483" s="4">
        <v>1</v>
      </c>
      <c r="BL1483" s="4"/>
      <c r="BM1483" s="5">
        <v>40725</v>
      </c>
      <c r="BN1483" s="5">
        <v>40732</v>
      </c>
      <c r="BO1483" s="5">
        <v>40756</v>
      </c>
      <c r="BP1483" s="4"/>
      <c r="BQ1483" s="4"/>
      <c r="BR1483" s="4"/>
      <c r="BS1483" s="4"/>
      <c r="BT1483" s="5">
        <v>40763</v>
      </c>
      <c r="BU1483" s="5">
        <v>40757</v>
      </c>
      <c r="BV1483" s="5">
        <v>40766</v>
      </c>
      <c r="BW1483" s="5">
        <v>40766</v>
      </c>
      <c r="BX1483" s="5">
        <v>40766</v>
      </c>
      <c r="BY1483" s="5">
        <v>40775</v>
      </c>
      <c r="BZ1483" s="5">
        <v>40775</v>
      </c>
      <c r="CA1483" s="4"/>
      <c r="CB1483" s="4"/>
      <c r="CC1483" s="4"/>
      <c r="CD1483" s="4"/>
      <c r="CE1483" s="4"/>
      <c r="CF1483" s="4"/>
      <c r="CG1483" s="4"/>
      <c r="CH1483" s="5">
        <v>40675</v>
      </c>
      <c r="CI1483" s="5">
        <v>40780</v>
      </c>
      <c r="CJ1483" s="5">
        <v>40787</v>
      </c>
      <c r="CK1483" s="5">
        <v>40780</v>
      </c>
      <c r="CL1483" s="5">
        <v>40792</v>
      </c>
      <c r="CM1483" s="5">
        <v>40792</v>
      </c>
      <c r="CN1483" s="5">
        <v>40882</v>
      </c>
      <c r="CO1483" s="5">
        <v>40961</v>
      </c>
      <c r="CP1483" s="4"/>
      <c r="CQ1483" s="4"/>
      <c r="CR1483" s="5">
        <v>40777</v>
      </c>
      <c r="CS1483" s="5">
        <v>40728</v>
      </c>
      <c r="CT1483" s="5">
        <v>40728</v>
      </c>
      <c r="CU1483" s="5">
        <v>40756</v>
      </c>
      <c r="CV1483" s="5">
        <v>40756</v>
      </c>
      <c r="CW1483" s="5">
        <v>40756</v>
      </c>
      <c r="CX1483" s="5">
        <v>40756</v>
      </c>
      <c r="CY1483" s="5">
        <v>40779</v>
      </c>
      <c r="CZ1483" s="5">
        <v>40779</v>
      </c>
      <c r="DA1483" s="4"/>
      <c r="DB1483" s="5">
        <v>40780</v>
      </c>
      <c r="DC1483" s="4"/>
      <c r="DD1483" s="4"/>
      <c r="DE1483" s="4"/>
      <c r="DF1483" s="4"/>
      <c r="DG1483" s="4"/>
      <c r="DH1483" s="4"/>
      <c r="DI1483" s="5">
        <v>40766</v>
      </c>
      <c r="DJ1483" s="4" t="b">
        <v>0</v>
      </c>
      <c r="DK1483" s="4"/>
      <c r="DL1483" s="4">
        <v>2715814</v>
      </c>
      <c r="DM1483" s="4">
        <v>6367805</v>
      </c>
      <c r="DN1483" s="4" t="s">
        <v>4461</v>
      </c>
      <c r="DO1483" s="4"/>
      <c r="DP1483" s="4"/>
      <c r="DQ1483" s="4" t="s">
        <v>148</v>
      </c>
      <c r="DR1483" s="4"/>
      <c r="DS1483" s="4"/>
      <c r="DT1483" s="4"/>
      <c r="DU1483" s="4"/>
      <c r="DV1483" s="4"/>
      <c r="DW1483" s="4"/>
      <c r="DX1483" s="4"/>
      <c r="DY1483" s="4"/>
      <c r="DZ1483" s="4"/>
      <c r="EA1483" s="4"/>
      <c r="EB1483" s="4"/>
      <c r="EC1483" s="4"/>
      <c r="ED1483" s="4"/>
      <c r="EE1483" s="4"/>
      <c r="EF1483" s="4"/>
      <c r="EG1483" s="5">
        <v>40777</v>
      </c>
      <c r="EH1483" s="5">
        <v>40780</v>
      </c>
      <c r="EI1483" s="5">
        <v>40294</v>
      </c>
    </row>
    <row r="1484" spans="1:139" hidden="1" x14ac:dyDescent="0.2">
      <c r="A1484">
        <f>VLOOKUP(B1484,Sheet1!$A$1:$B$18,2,FALSE)</f>
        <v>0</v>
      </c>
      <c r="B1484" t="str">
        <f>LEFT(D1484,3)</f>
        <v>WKT</v>
      </c>
      <c r="C1484" s="2">
        <v>1483</v>
      </c>
      <c r="D1484" s="3" t="str">
        <f>HYPERLINK("https://sitebase.nzcomms.co.nz/spm/spmnominalview/WKT-017-010/","WKT-017-010")</f>
        <v>WKT-017-010</v>
      </c>
      <c r="E1484" s="4" t="s">
        <v>4462</v>
      </c>
      <c r="F1484" s="4"/>
      <c r="G1484" s="4"/>
      <c r="H1484" s="4" t="s">
        <v>4427</v>
      </c>
      <c r="I1484" s="4"/>
      <c r="J1484" s="4" t="s">
        <v>196</v>
      </c>
      <c r="K1484" s="4"/>
      <c r="L1484" s="4"/>
      <c r="M1484" s="4"/>
      <c r="N1484" s="4"/>
      <c r="O1484" s="4"/>
      <c r="P1484" s="4"/>
      <c r="Q1484" s="4"/>
      <c r="R1484" s="4"/>
      <c r="S1484" s="4"/>
      <c r="T1484" s="4"/>
      <c r="U1484" s="4"/>
      <c r="V1484" s="4"/>
      <c r="W1484" s="4"/>
      <c r="X1484" s="4"/>
      <c r="Y1484" s="4"/>
      <c r="Z1484" s="4"/>
      <c r="AA1484" s="4"/>
      <c r="AB1484" s="4"/>
      <c r="AC1484" s="4"/>
      <c r="AD1484" s="4"/>
      <c r="AE1484" s="4"/>
      <c r="AF1484" s="4"/>
      <c r="AG1484" s="4" t="b">
        <v>0</v>
      </c>
      <c r="AH1484" s="4"/>
      <c r="AI1484" s="4"/>
      <c r="AJ1484" s="4"/>
      <c r="AK1484" s="4"/>
      <c r="AL1484" s="4"/>
      <c r="AM1484" s="4"/>
      <c r="AN1484" s="4"/>
      <c r="AO1484" s="4"/>
      <c r="AP1484" s="4"/>
      <c r="AQ1484" s="4"/>
      <c r="AR1484" s="4"/>
      <c r="AS1484" s="4"/>
      <c r="AT1484" s="4"/>
      <c r="AU1484" s="4"/>
      <c r="AV1484" s="4"/>
      <c r="AW1484" s="4"/>
      <c r="AX1484" s="4"/>
      <c r="AY1484" s="4"/>
      <c r="AZ1484" s="4"/>
      <c r="BA1484" s="4"/>
      <c r="BB1484" s="4"/>
      <c r="BC1484" s="4"/>
      <c r="BD1484" s="4"/>
      <c r="BE1484" s="4"/>
      <c r="BF1484" s="4"/>
      <c r="BG1484" s="4"/>
      <c r="BH1484" s="4"/>
      <c r="BI1484" s="4"/>
      <c r="BJ1484" s="4"/>
      <c r="BK1484" s="4"/>
      <c r="BL1484" s="4"/>
      <c r="BM1484" s="4"/>
      <c r="BN1484" s="4"/>
      <c r="BO1484" s="4"/>
      <c r="BP1484" s="4"/>
      <c r="BQ1484" s="4"/>
      <c r="BR1484" s="4"/>
      <c r="BS1484" s="4"/>
      <c r="BT1484" s="4"/>
      <c r="BU1484" s="4"/>
      <c r="BV1484" s="4"/>
      <c r="BW1484" s="4"/>
      <c r="BX1484" s="4"/>
      <c r="BY1484" s="4"/>
      <c r="BZ1484" s="4"/>
      <c r="CA1484" s="4"/>
      <c r="CB1484" s="4"/>
      <c r="CC1484" s="4"/>
      <c r="CD1484" s="4"/>
      <c r="CE1484" s="4"/>
      <c r="CF1484" s="4"/>
      <c r="CG1484" s="4"/>
      <c r="CH1484" s="4"/>
      <c r="CI1484" s="4"/>
      <c r="CJ1484" s="4"/>
      <c r="CK1484" s="4"/>
      <c r="CL1484" s="4"/>
      <c r="CM1484" s="4"/>
      <c r="CN1484" s="4"/>
      <c r="CO1484" s="4"/>
      <c r="CP1484" s="4"/>
      <c r="CQ1484" s="4"/>
      <c r="CR1484" s="4"/>
      <c r="CS1484" s="4"/>
      <c r="CT1484" s="4"/>
      <c r="CU1484" s="4"/>
      <c r="CV1484" s="4"/>
      <c r="CW1484" s="4"/>
      <c r="CX1484" s="4"/>
      <c r="CY1484" s="4"/>
      <c r="CZ1484" s="4"/>
      <c r="DA1484" s="4"/>
      <c r="DB1484" s="4"/>
      <c r="DC1484" s="4"/>
      <c r="DD1484" s="4"/>
      <c r="DE1484" s="4"/>
      <c r="DF1484" s="4"/>
      <c r="DG1484" s="4"/>
      <c r="DH1484" s="4"/>
      <c r="DI1484" s="4"/>
      <c r="DJ1484" s="4"/>
      <c r="DK1484" s="4"/>
      <c r="DL1484" s="4"/>
      <c r="DM1484" s="4"/>
      <c r="DN1484" s="4"/>
      <c r="DO1484" s="4"/>
      <c r="DP1484" s="4"/>
      <c r="DQ1484" s="4"/>
      <c r="DR1484" s="4"/>
      <c r="DS1484" s="4"/>
      <c r="DT1484" s="4"/>
      <c r="DU1484" s="4"/>
      <c r="DV1484" s="4"/>
      <c r="DW1484" s="4"/>
      <c r="DX1484" s="4"/>
      <c r="DY1484" s="4"/>
      <c r="DZ1484" s="4"/>
      <c r="EA1484" s="4"/>
      <c r="EB1484" s="4"/>
      <c r="EC1484" s="4"/>
      <c r="ED1484" s="4"/>
      <c r="EE1484" s="4"/>
      <c r="EF1484" s="4"/>
      <c r="EG1484" s="4"/>
      <c r="EH1484" s="4"/>
      <c r="EI1484" s="4"/>
    </row>
    <row r="1485" spans="1:139" hidden="1" x14ac:dyDescent="0.2">
      <c r="A1485">
        <f>VLOOKUP(B1485,Sheet1!$A$1:$B$18,2,FALSE)</f>
        <v>0</v>
      </c>
      <c r="B1485" t="str">
        <f>LEFT(D1485,3)</f>
        <v>WKT</v>
      </c>
      <c r="C1485" s="2">
        <v>1484</v>
      </c>
      <c r="D1485" s="3" t="str">
        <f>HYPERLINK("https://sitebase.nzcomms.co.nz/spm/spmnominalview/WKT-017-011/","WKT-017-011")</f>
        <v>WKT-017-011</v>
      </c>
      <c r="E1485" s="4" t="s">
        <v>4463</v>
      </c>
      <c r="F1485" s="3" t="str">
        <f>HYPERLINK("https://sitebase.nzcomms.co.nz/spm/spmcandidateview/WKT-017-011-A/","WKT-017-011-A")</f>
        <v>WKT-017-011-A</v>
      </c>
      <c r="G1485" s="4" t="s">
        <v>4464</v>
      </c>
      <c r="H1485" s="4" t="s">
        <v>4427</v>
      </c>
      <c r="I1485" s="4">
        <v>1</v>
      </c>
      <c r="J1485" s="4" t="s">
        <v>180</v>
      </c>
      <c r="K1485" s="4" t="s">
        <v>141</v>
      </c>
      <c r="L1485" s="4" t="s">
        <v>722</v>
      </c>
      <c r="M1485" s="4" t="s">
        <v>190</v>
      </c>
      <c r="N1485" s="4" t="s">
        <v>1689</v>
      </c>
      <c r="O1485" s="4"/>
      <c r="P1485" s="4" t="s">
        <v>169</v>
      </c>
      <c r="Q1485" s="4" t="s">
        <v>142</v>
      </c>
      <c r="R1485" s="4">
        <v>25</v>
      </c>
      <c r="S1485" s="4"/>
      <c r="T1485" s="4">
        <v>1</v>
      </c>
      <c r="U1485" s="4">
        <v>-37.873987470000003</v>
      </c>
      <c r="V1485" s="4">
        <v>175.35105282000001</v>
      </c>
      <c r="W1485" s="4"/>
      <c r="X1485" s="4"/>
      <c r="Y1485" s="4"/>
      <c r="Z1485" s="4"/>
      <c r="AA1485" s="4" t="s">
        <v>145</v>
      </c>
      <c r="AB1485" s="3" t="str">
        <f>HYPERLINK("https://sitebase.nzcomms.co.nz/spm/spmcandidateview/WKT-016-023-B/","WKT-016-023-B")</f>
        <v>WKT-016-023-B</v>
      </c>
      <c r="AC1485" s="4" t="b">
        <v>0</v>
      </c>
      <c r="AD1485" s="4" t="b">
        <v>0</v>
      </c>
      <c r="AE1485" s="4"/>
      <c r="AF1485" s="4"/>
      <c r="AG1485" s="4" t="b">
        <v>0</v>
      </c>
      <c r="AH1485" s="4"/>
      <c r="AI1485" s="5">
        <v>40949</v>
      </c>
      <c r="AJ1485" s="5">
        <v>40949</v>
      </c>
      <c r="AK1485" s="4"/>
      <c r="AL1485" s="5">
        <v>40955</v>
      </c>
      <c r="AM1485" s="4"/>
      <c r="AN1485" s="5">
        <v>40955</v>
      </c>
      <c r="AO1485" s="4">
        <v>1</v>
      </c>
      <c r="AP1485" s="5">
        <v>40955</v>
      </c>
      <c r="AQ1485" s="5">
        <v>40955</v>
      </c>
      <c r="AR1485" s="4"/>
      <c r="AS1485" s="5">
        <v>40896</v>
      </c>
      <c r="AT1485" s="4"/>
      <c r="AU1485" s="5">
        <v>40896</v>
      </c>
      <c r="AV1485" s="4"/>
      <c r="AW1485" s="4"/>
      <c r="AX1485" s="5">
        <v>40896</v>
      </c>
      <c r="AY1485" s="4"/>
      <c r="AZ1485" s="4"/>
      <c r="BA1485" s="5">
        <v>40928</v>
      </c>
      <c r="BB1485" s="4"/>
      <c r="BC1485" s="5">
        <v>40928</v>
      </c>
      <c r="BD1485" s="4">
        <v>1</v>
      </c>
      <c r="BE1485" s="4"/>
      <c r="BF1485" s="5">
        <v>40928</v>
      </c>
      <c r="BG1485" s="5">
        <v>41065</v>
      </c>
      <c r="BH1485" s="5">
        <v>41065</v>
      </c>
      <c r="BI1485" s="5">
        <v>41065</v>
      </c>
      <c r="BJ1485" s="5">
        <v>41065</v>
      </c>
      <c r="BK1485" s="4">
        <v>1</v>
      </c>
      <c r="BL1485" s="4"/>
      <c r="BM1485" s="5">
        <v>41065</v>
      </c>
      <c r="BN1485" s="5">
        <v>41065</v>
      </c>
      <c r="BO1485" s="4"/>
      <c r="BP1485" s="4"/>
      <c r="BQ1485" s="4"/>
      <c r="BR1485" s="4"/>
      <c r="BS1485" s="4"/>
      <c r="BT1485" s="5">
        <v>41121</v>
      </c>
      <c r="BU1485" s="5">
        <v>41121</v>
      </c>
      <c r="BV1485" s="5">
        <v>41121</v>
      </c>
      <c r="BW1485" s="5">
        <v>41121</v>
      </c>
      <c r="BX1485" s="5">
        <v>41121</v>
      </c>
      <c r="BY1485" s="5">
        <v>41163</v>
      </c>
      <c r="BZ1485" s="5">
        <v>41163</v>
      </c>
      <c r="CA1485" s="5">
        <v>41148</v>
      </c>
      <c r="CB1485" s="5">
        <v>41145</v>
      </c>
      <c r="CC1485" s="4"/>
      <c r="CD1485" s="4"/>
      <c r="CE1485" s="4"/>
      <c r="CF1485" s="4"/>
      <c r="CG1485" s="4"/>
      <c r="CH1485" s="4"/>
      <c r="CI1485" s="5">
        <v>41164</v>
      </c>
      <c r="CJ1485" s="5">
        <v>41185</v>
      </c>
      <c r="CK1485" s="5">
        <v>41185</v>
      </c>
      <c r="CL1485" s="5">
        <v>41185</v>
      </c>
      <c r="CM1485" s="5">
        <v>41185</v>
      </c>
      <c r="CN1485" s="5">
        <v>41379</v>
      </c>
      <c r="CO1485" s="5">
        <v>41376</v>
      </c>
      <c r="CP1485" s="4" t="s">
        <v>4465</v>
      </c>
      <c r="CQ1485" s="4" t="s">
        <v>230</v>
      </c>
      <c r="CR1485" s="5">
        <v>41163</v>
      </c>
      <c r="CS1485" s="5">
        <v>41092</v>
      </c>
      <c r="CT1485" s="5">
        <v>41092</v>
      </c>
      <c r="CU1485" s="5">
        <v>41145</v>
      </c>
      <c r="CV1485" s="5">
        <v>41145</v>
      </c>
      <c r="CW1485" s="4"/>
      <c r="CX1485" s="4"/>
      <c r="CY1485" s="5">
        <v>41155</v>
      </c>
      <c r="CZ1485" s="5">
        <v>41148</v>
      </c>
      <c r="DA1485" s="5">
        <v>41166</v>
      </c>
      <c r="DB1485" s="5">
        <v>41171</v>
      </c>
      <c r="DC1485" s="4"/>
      <c r="DD1485" s="4"/>
      <c r="DE1485" s="4" t="s">
        <v>722</v>
      </c>
      <c r="DF1485" s="5">
        <v>41141</v>
      </c>
      <c r="DG1485" s="5">
        <v>41145</v>
      </c>
      <c r="DH1485" s="4" t="s">
        <v>174</v>
      </c>
      <c r="DI1485" s="5">
        <v>41151</v>
      </c>
      <c r="DJ1485" s="4" t="b">
        <v>0</v>
      </c>
      <c r="DK1485" s="4"/>
      <c r="DL1485" s="4">
        <v>2717011</v>
      </c>
      <c r="DM1485" s="4">
        <v>6367183</v>
      </c>
      <c r="DN1485" s="4" t="s">
        <v>4466</v>
      </c>
      <c r="DO1485" s="4"/>
      <c r="DP1485" s="4"/>
      <c r="DQ1485" s="4" t="s">
        <v>148</v>
      </c>
      <c r="DR1485" s="4"/>
      <c r="DS1485" s="4"/>
      <c r="DT1485" s="4"/>
      <c r="DU1485" s="4"/>
      <c r="DV1485" s="4"/>
      <c r="DW1485" s="4"/>
      <c r="DX1485" s="4"/>
      <c r="DY1485" s="4"/>
      <c r="DZ1485" s="4"/>
      <c r="EA1485" s="4"/>
      <c r="EB1485" s="4"/>
      <c r="EC1485" s="4"/>
      <c r="ED1485" s="4"/>
      <c r="EE1485" s="4"/>
      <c r="EF1485" s="4"/>
      <c r="EG1485" s="5">
        <v>41171</v>
      </c>
      <c r="EH1485" s="5">
        <v>41171</v>
      </c>
      <c r="EI1485" s="5">
        <v>40955</v>
      </c>
    </row>
    <row r="1486" spans="1:139" hidden="1" x14ac:dyDescent="0.2">
      <c r="A1486">
        <f>VLOOKUP(B1486,Sheet1!$A$1:$B$18,2,FALSE)</f>
        <v>0</v>
      </c>
      <c r="B1486" t="str">
        <f>LEFT(D1486,3)</f>
        <v>WKT</v>
      </c>
      <c r="C1486" s="2">
        <v>1485</v>
      </c>
      <c r="D1486" s="3" t="str">
        <f>HYPERLINK("https://sitebase.nzcomms.co.nz/spm/spmnominalview/WKT-017-012/","WKT-017-012")</f>
        <v>WKT-017-012</v>
      </c>
      <c r="E1486" s="4" t="s">
        <v>4467</v>
      </c>
      <c r="F1486" s="3" t="str">
        <f>HYPERLINK("https://sitebase.nzcomms.co.nz/spm/spmcandidateview/WKT-017-012-A/","WKT-017-012-A")</f>
        <v>WKT-017-012-A</v>
      </c>
      <c r="G1486" s="4" t="s">
        <v>4467</v>
      </c>
      <c r="H1486" s="4" t="s">
        <v>4427</v>
      </c>
      <c r="I1486" s="4">
        <v>22</v>
      </c>
      <c r="J1486" s="4" t="s">
        <v>165</v>
      </c>
      <c r="K1486" s="4" t="s">
        <v>141</v>
      </c>
      <c r="L1486" s="4" t="s">
        <v>722</v>
      </c>
      <c r="M1486" s="4" t="s">
        <v>190</v>
      </c>
      <c r="N1486" s="4" t="s">
        <v>1689</v>
      </c>
      <c r="O1486" s="4"/>
      <c r="P1486" s="4" t="s">
        <v>169</v>
      </c>
      <c r="Q1486" s="4" t="s">
        <v>142</v>
      </c>
      <c r="R1486" s="4">
        <v>25</v>
      </c>
      <c r="S1486" s="4"/>
      <c r="T1486" s="4"/>
      <c r="U1486" s="4">
        <v>-37.882698830000002</v>
      </c>
      <c r="V1486" s="4">
        <v>175.19423040000001</v>
      </c>
      <c r="W1486" s="4"/>
      <c r="X1486" s="4"/>
      <c r="Y1486" s="4"/>
      <c r="Z1486" s="4"/>
      <c r="AA1486" s="4" t="s">
        <v>145</v>
      </c>
      <c r="AB1486" s="3" t="str">
        <f>HYPERLINK("https://sitebase.nzcomms.co.nz/spm/spmcandidateview/WKT-016-023-B/","WKT-016-023-B")</f>
        <v>WKT-016-023-B</v>
      </c>
      <c r="AC1486" s="4" t="b">
        <v>0</v>
      </c>
      <c r="AD1486" s="4" t="b">
        <v>0</v>
      </c>
      <c r="AE1486" s="4"/>
      <c r="AF1486" s="4"/>
      <c r="AG1486" s="4" t="b">
        <v>0</v>
      </c>
      <c r="AH1486" s="4"/>
      <c r="AI1486" s="5">
        <v>40962</v>
      </c>
      <c r="AJ1486" s="5">
        <v>40962</v>
      </c>
      <c r="AK1486" s="5">
        <v>41074</v>
      </c>
      <c r="AL1486" s="5">
        <v>41074</v>
      </c>
      <c r="AM1486" s="5">
        <v>41074</v>
      </c>
      <c r="AN1486" s="5">
        <v>41074</v>
      </c>
      <c r="AO1486" s="4">
        <v>1</v>
      </c>
      <c r="AP1486" s="5">
        <v>42090</v>
      </c>
      <c r="AQ1486" s="5">
        <v>41074</v>
      </c>
      <c r="AR1486" s="4"/>
      <c r="AS1486" s="5">
        <v>41116</v>
      </c>
      <c r="AT1486" s="4"/>
      <c r="AU1486" s="5">
        <v>41116</v>
      </c>
      <c r="AV1486" s="4"/>
      <c r="AW1486" s="4"/>
      <c r="AX1486" s="5">
        <v>41116</v>
      </c>
      <c r="AY1486" s="4" t="s">
        <v>247</v>
      </c>
      <c r="AZ1486" s="5">
        <v>41116</v>
      </c>
      <c r="BA1486" s="5">
        <v>40924</v>
      </c>
      <c r="BB1486" s="5">
        <v>41116</v>
      </c>
      <c r="BC1486" s="5">
        <v>40968</v>
      </c>
      <c r="BD1486" s="4">
        <v>1</v>
      </c>
      <c r="BE1486" s="5">
        <v>41116</v>
      </c>
      <c r="BF1486" s="5">
        <v>41116</v>
      </c>
      <c r="BG1486" s="5">
        <v>42124</v>
      </c>
      <c r="BH1486" s="5">
        <v>42094</v>
      </c>
      <c r="BI1486" s="5">
        <v>42170</v>
      </c>
      <c r="BJ1486" s="5">
        <v>42094</v>
      </c>
      <c r="BK1486" s="4">
        <v>1</v>
      </c>
      <c r="BL1486" s="4"/>
      <c r="BM1486" s="5">
        <v>42177</v>
      </c>
      <c r="BN1486" s="5">
        <v>42094</v>
      </c>
      <c r="BO1486" s="4"/>
      <c r="BP1486" s="4"/>
      <c r="BQ1486" s="4"/>
      <c r="BR1486" s="4"/>
      <c r="BS1486" s="4"/>
      <c r="BT1486" s="5">
        <v>42171</v>
      </c>
      <c r="BU1486" s="5">
        <v>42171</v>
      </c>
      <c r="BV1486" s="5">
        <v>42185</v>
      </c>
      <c r="BW1486" s="5">
        <v>42179</v>
      </c>
      <c r="BX1486" s="5">
        <v>42171</v>
      </c>
      <c r="BY1486" s="5">
        <v>42185</v>
      </c>
      <c r="BZ1486" s="5">
        <v>42186</v>
      </c>
      <c r="CA1486" s="5">
        <v>42185</v>
      </c>
      <c r="CB1486" s="5">
        <v>42178</v>
      </c>
      <c r="CC1486" s="4"/>
      <c r="CD1486" s="4"/>
      <c r="CE1486" s="4"/>
      <c r="CF1486" s="4"/>
      <c r="CG1486" s="4"/>
      <c r="CH1486" s="4"/>
      <c r="CI1486" s="5">
        <v>42217</v>
      </c>
      <c r="CJ1486" s="5">
        <v>42205</v>
      </c>
      <c r="CK1486" s="5">
        <v>42207</v>
      </c>
      <c r="CL1486" s="5">
        <v>42214</v>
      </c>
      <c r="CM1486" s="5">
        <v>42215</v>
      </c>
      <c r="CN1486" s="4"/>
      <c r="CO1486" s="4"/>
      <c r="CP1486" s="4" t="s">
        <v>4468</v>
      </c>
      <c r="CQ1486" s="4" t="s">
        <v>230</v>
      </c>
      <c r="CR1486" s="5">
        <v>42186</v>
      </c>
      <c r="CS1486" s="4"/>
      <c r="CT1486" s="4"/>
      <c r="CU1486" s="4"/>
      <c r="CV1486" s="4"/>
      <c r="CW1486" s="4"/>
      <c r="CX1486" s="4"/>
      <c r="CY1486" s="5">
        <v>42181</v>
      </c>
      <c r="CZ1486" s="5">
        <v>42181</v>
      </c>
      <c r="DA1486" s="5">
        <v>42192</v>
      </c>
      <c r="DB1486" s="5">
        <v>42193</v>
      </c>
      <c r="DC1486" s="4"/>
      <c r="DD1486" s="4"/>
      <c r="DE1486" s="4" t="s">
        <v>722</v>
      </c>
      <c r="DF1486" s="5">
        <v>42185</v>
      </c>
      <c r="DG1486" s="5">
        <v>42178</v>
      </c>
      <c r="DH1486" s="4" t="s">
        <v>174</v>
      </c>
      <c r="DI1486" s="5">
        <v>42171</v>
      </c>
      <c r="DJ1486" s="4" t="b">
        <v>0</v>
      </c>
      <c r="DK1486" s="4"/>
      <c r="DL1486" s="4">
        <v>2703196</v>
      </c>
      <c r="DM1486" s="4">
        <v>6366573</v>
      </c>
      <c r="DN1486" s="4" t="s">
        <v>4469</v>
      </c>
      <c r="DO1486" s="4"/>
      <c r="DP1486" s="4"/>
      <c r="DQ1486" s="4" t="s">
        <v>148</v>
      </c>
      <c r="DR1486" s="4"/>
      <c r="DS1486" s="4"/>
      <c r="DT1486" s="4"/>
      <c r="DU1486" s="4" t="s">
        <v>178</v>
      </c>
      <c r="DV1486" s="4"/>
      <c r="DW1486" s="4"/>
      <c r="DX1486" s="5">
        <v>42118</v>
      </c>
      <c r="DY1486" s="4"/>
      <c r="DZ1486" s="5">
        <v>42093</v>
      </c>
      <c r="EA1486" s="4"/>
      <c r="EB1486" s="5">
        <v>42095</v>
      </c>
      <c r="EC1486" s="4"/>
      <c r="ED1486" s="5">
        <v>42109</v>
      </c>
      <c r="EE1486" s="4"/>
      <c r="EF1486" s="5">
        <v>42139</v>
      </c>
      <c r="EG1486" s="5">
        <v>42200</v>
      </c>
      <c r="EH1486" s="4"/>
      <c r="EI1486" s="5">
        <v>41074</v>
      </c>
    </row>
    <row r="1487" spans="1:139" hidden="1" x14ac:dyDescent="0.2">
      <c r="A1487">
        <f>VLOOKUP(B1487,Sheet1!$A$1:$B$18,2,FALSE)</f>
        <v>0</v>
      </c>
      <c r="B1487" t="str">
        <f>LEFT(D1487,3)</f>
        <v>WKT</v>
      </c>
      <c r="C1487" s="2">
        <v>1486</v>
      </c>
      <c r="D1487" s="3" t="str">
        <f>HYPERLINK("https://sitebase.nzcomms.co.nz/spm/spmnominalview/WKT-017-013/","WKT-017-013")</f>
        <v>WKT-017-013</v>
      </c>
      <c r="E1487" s="4" t="s">
        <v>4470</v>
      </c>
      <c r="F1487" s="4"/>
      <c r="G1487" s="4"/>
      <c r="H1487" s="4" t="s">
        <v>4427</v>
      </c>
      <c r="I1487" s="4"/>
      <c r="J1487" s="4" t="s">
        <v>722</v>
      </c>
      <c r="K1487" s="4"/>
      <c r="L1487" s="4"/>
      <c r="M1487" s="4"/>
      <c r="N1487" s="4"/>
      <c r="O1487" s="4"/>
      <c r="P1487" s="4"/>
      <c r="Q1487" s="4"/>
      <c r="R1487" s="4"/>
      <c r="S1487" s="4"/>
      <c r="T1487" s="4"/>
      <c r="U1487" s="4"/>
      <c r="V1487" s="4"/>
      <c r="W1487" s="4"/>
      <c r="X1487" s="4"/>
      <c r="Y1487" s="4"/>
      <c r="Z1487" s="4"/>
      <c r="AA1487" s="4"/>
      <c r="AB1487" s="4"/>
      <c r="AC1487" s="4"/>
      <c r="AD1487" s="4"/>
      <c r="AE1487" s="4"/>
      <c r="AF1487" s="4"/>
      <c r="AG1487" s="4" t="b">
        <v>0</v>
      </c>
      <c r="AH1487" s="4"/>
      <c r="AI1487" s="4"/>
      <c r="AJ1487" s="4"/>
      <c r="AK1487" s="4"/>
      <c r="AL1487" s="4"/>
      <c r="AM1487" s="4"/>
      <c r="AN1487" s="4"/>
      <c r="AO1487" s="4"/>
      <c r="AP1487" s="4"/>
      <c r="AQ1487" s="4"/>
      <c r="AR1487" s="4"/>
      <c r="AS1487" s="4"/>
      <c r="AT1487" s="4"/>
      <c r="AU1487" s="4"/>
      <c r="AV1487" s="4"/>
      <c r="AW1487" s="4"/>
      <c r="AX1487" s="4"/>
      <c r="AY1487" s="4"/>
      <c r="AZ1487" s="4"/>
      <c r="BA1487" s="4"/>
      <c r="BB1487" s="4"/>
      <c r="BC1487" s="4"/>
      <c r="BD1487" s="4"/>
      <c r="BE1487" s="4"/>
      <c r="BF1487" s="4"/>
      <c r="BG1487" s="4"/>
      <c r="BH1487" s="4"/>
      <c r="BI1487" s="4"/>
      <c r="BJ1487" s="4"/>
      <c r="BK1487" s="4"/>
      <c r="BL1487" s="4"/>
      <c r="BM1487" s="4"/>
      <c r="BN1487" s="4"/>
      <c r="BO1487" s="4"/>
      <c r="BP1487" s="4"/>
      <c r="BQ1487" s="4"/>
      <c r="BR1487" s="4"/>
      <c r="BS1487" s="4"/>
      <c r="BT1487" s="4"/>
      <c r="BU1487" s="4"/>
      <c r="BV1487" s="4"/>
      <c r="BW1487" s="4"/>
      <c r="BX1487" s="4"/>
      <c r="BY1487" s="4"/>
      <c r="BZ1487" s="4"/>
      <c r="CA1487" s="4"/>
      <c r="CB1487" s="4"/>
      <c r="CC1487" s="4"/>
      <c r="CD1487" s="4"/>
      <c r="CE1487" s="4"/>
      <c r="CF1487" s="4"/>
      <c r="CG1487" s="4"/>
      <c r="CH1487" s="4"/>
      <c r="CI1487" s="4"/>
      <c r="CJ1487" s="4"/>
      <c r="CK1487" s="4"/>
      <c r="CL1487" s="4"/>
      <c r="CM1487" s="4"/>
      <c r="CN1487" s="4"/>
      <c r="CO1487" s="4"/>
      <c r="CP1487" s="4"/>
      <c r="CQ1487" s="4"/>
      <c r="CR1487" s="4"/>
      <c r="CS1487" s="4"/>
      <c r="CT1487" s="4"/>
      <c r="CU1487" s="4"/>
      <c r="CV1487" s="4"/>
      <c r="CW1487" s="4"/>
      <c r="CX1487" s="4"/>
      <c r="CY1487" s="4"/>
      <c r="CZ1487" s="4"/>
      <c r="DA1487" s="4"/>
      <c r="DB1487" s="4"/>
      <c r="DC1487" s="4"/>
      <c r="DD1487" s="4"/>
      <c r="DE1487" s="4"/>
      <c r="DF1487" s="4"/>
      <c r="DG1487" s="4"/>
      <c r="DH1487" s="4"/>
      <c r="DI1487" s="4"/>
      <c r="DJ1487" s="4"/>
      <c r="DK1487" s="4"/>
      <c r="DL1487" s="4"/>
      <c r="DM1487" s="4"/>
      <c r="DN1487" s="4"/>
      <c r="DO1487" s="4"/>
      <c r="DP1487" s="4"/>
      <c r="DQ1487" s="4"/>
      <c r="DR1487" s="4"/>
      <c r="DS1487" s="4"/>
      <c r="DT1487" s="4"/>
      <c r="DU1487" s="4"/>
      <c r="DV1487" s="4"/>
      <c r="DW1487" s="4"/>
      <c r="DX1487" s="4"/>
      <c r="DY1487" s="4"/>
      <c r="DZ1487" s="4"/>
      <c r="EA1487" s="4"/>
      <c r="EB1487" s="4"/>
      <c r="EC1487" s="4"/>
      <c r="ED1487" s="4"/>
      <c r="EE1487" s="4"/>
      <c r="EF1487" s="4"/>
      <c r="EG1487" s="4"/>
      <c r="EH1487" s="4"/>
      <c r="EI1487" s="4"/>
    </row>
    <row r="1488" spans="1:139" hidden="1" x14ac:dyDescent="0.2">
      <c r="A1488">
        <f>VLOOKUP(B1488,Sheet1!$A$1:$B$18,2,FALSE)</f>
        <v>0</v>
      </c>
      <c r="B1488" t="str">
        <f>LEFT(D1488,3)</f>
        <v>WKT</v>
      </c>
      <c r="C1488" s="2">
        <v>1487</v>
      </c>
      <c r="D1488" s="3" t="str">
        <f>HYPERLINK("https://sitebase.nzcomms.co.nz/spm/spmnominalview/WKT-017-014/","WKT-017-014")</f>
        <v>WKT-017-014</v>
      </c>
      <c r="E1488" s="4" t="s">
        <v>4471</v>
      </c>
      <c r="F1488" s="4"/>
      <c r="G1488" s="4"/>
      <c r="H1488" s="4" t="s">
        <v>4427</v>
      </c>
      <c r="I1488" s="4"/>
      <c r="J1488" s="4" t="s">
        <v>722</v>
      </c>
      <c r="K1488" s="4"/>
      <c r="L1488" s="4"/>
      <c r="M1488" s="4"/>
      <c r="N1488" s="4"/>
      <c r="O1488" s="4"/>
      <c r="P1488" s="4"/>
      <c r="Q1488" s="4"/>
      <c r="R1488" s="4"/>
      <c r="S1488" s="4"/>
      <c r="T1488" s="4"/>
      <c r="U1488" s="4"/>
      <c r="V1488" s="4"/>
      <c r="W1488" s="4"/>
      <c r="X1488" s="4"/>
      <c r="Y1488" s="4"/>
      <c r="Z1488" s="4"/>
      <c r="AA1488" s="4"/>
      <c r="AB1488" s="4"/>
      <c r="AC1488" s="4"/>
      <c r="AD1488" s="4"/>
      <c r="AE1488" s="4"/>
      <c r="AF1488" s="4"/>
      <c r="AG1488" s="4" t="b">
        <v>0</v>
      </c>
      <c r="AH1488" s="4"/>
      <c r="AI1488" s="4"/>
      <c r="AJ1488" s="4"/>
      <c r="AK1488" s="4"/>
      <c r="AL1488" s="4"/>
      <c r="AM1488" s="4"/>
      <c r="AN1488" s="4"/>
      <c r="AO1488" s="4"/>
      <c r="AP1488" s="4"/>
      <c r="AQ1488" s="4"/>
      <c r="AR1488" s="4"/>
      <c r="AS1488" s="4"/>
      <c r="AT1488" s="4"/>
      <c r="AU1488" s="4"/>
      <c r="AV1488" s="4"/>
      <c r="AW1488" s="4"/>
      <c r="AX1488" s="4"/>
      <c r="AY1488" s="4"/>
      <c r="AZ1488" s="4"/>
      <c r="BA1488" s="4"/>
      <c r="BB1488" s="4"/>
      <c r="BC1488" s="4"/>
      <c r="BD1488" s="4"/>
      <c r="BE1488" s="4"/>
      <c r="BF1488" s="4"/>
      <c r="BG1488" s="4"/>
      <c r="BH1488" s="4"/>
      <c r="BI1488" s="4"/>
      <c r="BJ1488" s="4"/>
      <c r="BK1488" s="4"/>
      <c r="BL1488" s="4"/>
      <c r="BM1488" s="4"/>
      <c r="BN1488" s="4"/>
      <c r="BO1488" s="4"/>
      <c r="BP1488" s="4"/>
      <c r="BQ1488" s="4"/>
      <c r="BR1488" s="4"/>
      <c r="BS1488" s="4"/>
      <c r="BT1488" s="4"/>
      <c r="BU1488" s="4"/>
      <c r="BV1488" s="4"/>
      <c r="BW1488" s="4"/>
      <c r="BX1488" s="4"/>
      <c r="BY1488" s="4"/>
      <c r="BZ1488" s="4"/>
      <c r="CA1488" s="4"/>
      <c r="CB1488" s="4"/>
      <c r="CC1488" s="4"/>
      <c r="CD1488" s="4"/>
      <c r="CE1488" s="4"/>
      <c r="CF1488" s="4"/>
      <c r="CG1488" s="4"/>
      <c r="CH1488" s="4"/>
      <c r="CI1488" s="4"/>
      <c r="CJ1488" s="4"/>
      <c r="CK1488" s="4"/>
      <c r="CL1488" s="4"/>
      <c r="CM1488" s="4"/>
      <c r="CN1488" s="4"/>
      <c r="CO1488" s="4"/>
      <c r="CP1488" s="4"/>
      <c r="CQ1488" s="4"/>
      <c r="CR1488" s="4"/>
      <c r="CS1488" s="4"/>
      <c r="CT1488" s="4"/>
      <c r="CU1488" s="4"/>
      <c r="CV1488" s="4"/>
      <c r="CW1488" s="4"/>
      <c r="CX1488" s="4"/>
      <c r="CY1488" s="4"/>
      <c r="CZ1488" s="4"/>
      <c r="DA1488" s="4"/>
      <c r="DB1488" s="4"/>
      <c r="DC1488" s="4"/>
      <c r="DD1488" s="4"/>
      <c r="DE1488" s="4"/>
      <c r="DF1488" s="4"/>
      <c r="DG1488" s="4"/>
      <c r="DH1488" s="4"/>
      <c r="DI1488" s="4"/>
      <c r="DJ1488" s="4"/>
      <c r="DK1488" s="4"/>
      <c r="DL1488" s="4"/>
      <c r="DM1488" s="4"/>
      <c r="DN1488" s="4"/>
      <c r="DO1488" s="4"/>
      <c r="DP1488" s="4"/>
      <c r="DQ1488" s="4"/>
      <c r="DR1488" s="4"/>
      <c r="DS1488" s="4"/>
      <c r="DT1488" s="4"/>
      <c r="DU1488" s="4"/>
      <c r="DV1488" s="4"/>
      <c r="DW1488" s="4"/>
      <c r="DX1488" s="4"/>
      <c r="DY1488" s="4"/>
      <c r="DZ1488" s="4"/>
      <c r="EA1488" s="4"/>
      <c r="EB1488" s="4"/>
      <c r="EC1488" s="4"/>
      <c r="ED1488" s="4"/>
      <c r="EE1488" s="4"/>
      <c r="EF1488" s="4"/>
      <c r="EG1488" s="4"/>
      <c r="EH1488" s="4"/>
      <c r="EI1488" s="4"/>
    </row>
    <row r="1489" spans="1:139" hidden="1" x14ac:dyDescent="0.2">
      <c r="A1489">
        <f>VLOOKUP(B1489,Sheet1!$A$1:$B$18,2,FALSE)</f>
        <v>0</v>
      </c>
      <c r="B1489" t="str">
        <f>LEFT(D1489,3)</f>
        <v>WKT</v>
      </c>
      <c r="C1489" s="2">
        <v>1488</v>
      </c>
      <c r="D1489" s="3" t="str">
        <f>HYPERLINK("https://sitebase.nzcomms.co.nz/spm/spmnominalview/WKT-017-015/","WKT-017-015")</f>
        <v>WKT-017-015</v>
      </c>
      <c r="E1489" s="4" t="s">
        <v>4472</v>
      </c>
      <c r="F1489" s="3" t="str">
        <f>HYPERLINK("https://sitebase.nzcomms.co.nz/spm/spmcandidateview/WKT-017-015-A/","WKT-017-015-A")</f>
        <v>WKT-017-015-A</v>
      </c>
      <c r="G1489" s="4" t="s">
        <v>4473</v>
      </c>
      <c r="H1489" s="4" t="s">
        <v>4427</v>
      </c>
      <c r="I1489" s="4">
        <v>22</v>
      </c>
      <c r="J1489" s="4" t="s">
        <v>331</v>
      </c>
      <c r="K1489" s="4" t="s">
        <v>141</v>
      </c>
      <c r="L1489" s="4" t="s">
        <v>150</v>
      </c>
      <c r="M1489" s="4" t="s">
        <v>166</v>
      </c>
      <c r="N1489" s="4" t="s">
        <v>730</v>
      </c>
      <c r="O1489" s="4"/>
      <c r="P1489" s="4" t="s">
        <v>169</v>
      </c>
      <c r="Q1489" s="4" t="s">
        <v>170</v>
      </c>
      <c r="R1489" s="4">
        <v>24</v>
      </c>
      <c r="S1489" s="4">
        <v>25</v>
      </c>
      <c r="T1489" s="4"/>
      <c r="U1489" s="4">
        <v>-37.883031099999997</v>
      </c>
      <c r="V1489" s="4">
        <v>175.42234979</v>
      </c>
      <c r="W1489" s="4"/>
      <c r="X1489" s="4"/>
      <c r="Y1489" s="4"/>
      <c r="Z1489" s="4"/>
      <c r="AA1489" s="4" t="s">
        <v>171</v>
      </c>
      <c r="AB1489" s="4"/>
      <c r="AC1489" s="4" t="b">
        <v>0</v>
      </c>
      <c r="AD1489" s="4" t="b">
        <v>0</v>
      </c>
      <c r="AE1489" s="4"/>
      <c r="AF1489" s="4"/>
      <c r="AG1489" s="4" t="b">
        <v>0</v>
      </c>
      <c r="AH1489" s="4"/>
      <c r="AI1489" s="5">
        <v>42334</v>
      </c>
      <c r="AJ1489" s="5">
        <v>42334</v>
      </c>
      <c r="AK1489" s="5">
        <v>42341</v>
      </c>
      <c r="AL1489" s="5">
        <v>42339</v>
      </c>
      <c r="AM1489" s="5">
        <v>42360</v>
      </c>
      <c r="AN1489" s="5">
        <v>42360</v>
      </c>
      <c r="AO1489" s="4">
        <v>1</v>
      </c>
      <c r="AP1489" s="5">
        <v>42380</v>
      </c>
      <c r="AQ1489" s="5">
        <v>42360</v>
      </c>
      <c r="AR1489" s="5">
        <v>42429</v>
      </c>
      <c r="AS1489" s="4"/>
      <c r="AT1489" s="5">
        <v>42471</v>
      </c>
      <c r="AU1489" s="4"/>
      <c r="AV1489" s="4"/>
      <c r="AW1489" s="5">
        <v>42485</v>
      </c>
      <c r="AX1489" s="4"/>
      <c r="AY1489" s="4" t="s">
        <v>172</v>
      </c>
      <c r="AZ1489" s="5">
        <v>42429</v>
      </c>
      <c r="BA1489" s="4"/>
      <c r="BB1489" s="5">
        <v>42460</v>
      </c>
      <c r="BC1489" s="4"/>
      <c r="BD1489" s="4"/>
      <c r="BE1489" s="5">
        <v>42460</v>
      </c>
      <c r="BF1489" s="4"/>
      <c r="BG1489" s="5">
        <v>42429</v>
      </c>
      <c r="BH1489" s="4"/>
      <c r="BI1489" s="5">
        <v>42460</v>
      </c>
      <c r="BJ1489" s="4"/>
      <c r="BK1489" s="4"/>
      <c r="BL1489" s="4"/>
      <c r="BM1489" s="5">
        <v>42460</v>
      </c>
      <c r="BN1489" s="4"/>
      <c r="BO1489" s="4"/>
      <c r="BP1489" s="4"/>
      <c r="BQ1489" s="4"/>
      <c r="BR1489" s="4"/>
      <c r="BS1489" s="4"/>
      <c r="BT1489" s="5">
        <v>42506</v>
      </c>
      <c r="BU1489" s="4"/>
      <c r="BV1489" s="5">
        <v>42541</v>
      </c>
      <c r="BW1489" s="4"/>
      <c r="BX1489" s="4"/>
      <c r="BY1489" s="5">
        <v>42562</v>
      </c>
      <c r="BZ1489" s="4"/>
      <c r="CA1489" s="4"/>
      <c r="CB1489" s="4"/>
      <c r="CC1489" s="4"/>
      <c r="CD1489" s="4"/>
      <c r="CE1489" s="4"/>
      <c r="CF1489" s="4"/>
      <c r="CG1489" s="4"/>
      <c r="CH1489" s="4"/>
      <c r="CI1489" s="4"/>
      <c r="CJ1489" s="5">
        <v>42597</v>
      </c>
      <c r="CK1489" s="4"/>
      <c r="CL1489" s="4"/>
      <c r="CM1489" s="4"/>
      <c r="CN1489" s="4"/>
      <c r="CO1489" s="4"/>
      <c r="CP1489" s="4" t="s">
        <v>4474</v>
      </c>
      <c r="CQ1489" s="4"/>
      <c r="CR1489" s="4"/>
      <c r="CS1489" s="4"/>
      <c r="CT1489" s="4"/>
      <c r="CU1489" s="4"/>
      <c r="CV1489" s="4"/>
      <c r="CW1489" s="4"/>
      <c r="CX1489" s="4"/>
      <c r="CY1489" s="4"/>
      <c r="CZ1489" s="4"/>
      <c r="DA1489" s="5">
        <v>42579</v>
      </c>
      <c r="DB1489" s="4"/>
      <c r="DC1489" s="4"/>
      <c r="DD1489" s="4"/>
      <c r="DE1489" s="4"/>
      <c r="DF1489" s="4"/>
      <c r="DG1489" s="4"/>
      <c r="DH1489" s="4" t="s">
        <v>174</v>
      </c>
      <c r="DI1489" s="4"/>
      <c r="DJ1489" s="4" t="b">
        <v>0</v>
      </c>
      <c r="DK1489" s="4"/>
      <c r="DL1489" s="4">
        <v>2723253</v>
      </c>
      <c r="DM1489" s="4">
        <v>6366010</v>
      </c>
      <c r="DN1489" s="4" t="s">
        <v>4475</v>
      </c>
      <c r="DO1489" s="4"/>
      <c r="DP1489" s="4"/>
      <c r="DQ1489" s="4" t="s">
        <v>148</v>
      </c>
      <c r="DR1489" s="4" t="s">
        <v>255</v>
      </c>
      <c r="DS1489" s="4"/>
      <c r="DT1489" s="4"/>
      <c r="DU1489" s="4" t="s">
        <v>178</v>
      </c>
      <c r="DV1489" s="4"/>
      <c r="DW1489" s="4"/>
      <c r="DX1489" s="4"/>
      <c r="DY1489" s="5">
        <v>42464</v>
      </c>
      <c r="DZ1489" s="4"/>
      <c r="EA1489" s="4"/>
      <c r="EB1489" s="4"/>
      <c r="EC1489" s="4"/>
      <c r="ED1489" s="4"/>
      <c r="EE1489" s="5">
        <v>42485</v>
      </c>
      <c r="EF1489" s="4"/>
      <c r="EG1489" s="4"/>
      <c r="EH1489" s="4"/>
      <c r="EI1489" s="5">
        <v>42339</v>
      </c>
    </row>
    <row r="1490" spans="1:139" hidden="1" x14ac:dyDescent="0.2">
      <c r="A1490">
        <f>VLOOKUP(B1490,Sheet1!$A$1:$B$18,2,FALSE)</f>
        <v>0</v>
      </c>
      <c r="B1490" t="str">
        <f>LEFT(D1490,3)</f>
        <v>WKT</v>
      </c>
      <c r="C1490" s="2">
        <v>1489</v>
      </c>
      <c r="D1490" s="3" t="str">
        <f>HYPERLINK("https://sitebase.nzcomms.co.nz/spm/spmnominalview/WKT-018-001/","WKT-018-001")</f>
        <v>WKT-018-001</v>
      </c>
      <c r="E1490" s="4"/>
      <c r="F1490" s="4"/>
      <c r="G1490" s="4"/>
      <c r="H1490" s="4" t="s">
        <v>4476</v>
      </c>
      <c r="I1490" s="4"/>
      <c r="J1490" s="4" t="s">
        <v>196</v>
      </c>
      <c r="K1490" s="4"/>
      <c r="L1490" s="4"/>
      <c r="M1490" s="4"/>
      <c r="N1490" s="4"/>
      <c r="O1490" s="4"/>
      <c r="P1490" s="4"/>
      <c r="Q1490" s="4"/>
      <c r="R1490" s="4"/>
      <c r="S1490" s="4"/>
      <c r="T1490" s="4"/>
      <c r="U1490" s="4"/>
      <c r="V1490" s="4"/>
      <c r="W1490" s="4"/>
      <c r="X1490" s="4"/>
      <c r="Y1490" s="4"/>
      <c r="Z1490" s="4"/>
      <c r="AA1490" s="4"/>
      <c r="AB1490" s="4"/>
      <c r="AC1490" s="4"/>
      <c r="AD1490" s="4"/>
      <c r="AE1490" s="4"/>
      <c r="AF1490" s="4"/>
      <c r="AG1490" s="4"/>
      <c r="AH1490" s="4"/>
      <c r="AI1490" s="4"/>
      <c r="AJ1490" s="4"/>
      <c r="AK1490" s="4"/>
      <c r="AL1490" s="4"/>
      <c r="AM1490" s="4"/>
      <c r="AN1490" s="4"/>
      <c r="AO1490" s="4"/>
      <c r="AP1490" s="4"/>
      <c r="AQ1490" s="4"/>
      <c r="AR1490" s="4"/>
      <c r="AS1490" s="4"/>
      <c r="AT1490" s="4"/>
      <c r="AU1490" s="4"/>
      <c r="AV1490" s="4"/>
      <c r="AW1490" s="4"/>
      <c r="AX1490" s="4"/>
      <c r="AY1490" s="4"/>
      <c r="AZ1490" s="4"/>
      <c r="BA1490" s="4"/>
      <c r="BB1490" s="4"/>
      <c r="BC1490" s="4"/>
      <c r="BD1490" s="4"/>
      <c r="BE1490" s="4"/>
      <c r="BF1490" s="4"/>
      <c r="BG1490" s="4"/>
      <c r="BH1490" s="4"/>
      <c r="BI1490" s="4"/>
      <c r="BJ1490" s="4"/>
      <c r="BK1490" s="4"/>
      <c r="BL1490" s="4"/>
      <c r="BM1490" s="4"/>
      <c r="BN1490" s="4"/>
      <c r="BO1490" s="4"/>
      <c r="BP1490" s="4"/>
      <c r="BQ1490" s="4"/>
      <c r="BR1490" s="4"/>
      <c r="BS1490" s="4"/>
      <c r="BT1490" s="4"/>
      <c r="BU1490" s="4"/>
      <c r="BV1490" s="4"/>
      <c r="BW1490" s="4"/>
      <c r="BX1490" s="4"/>
      <c r="BY1490" s="4"/>
      <c r="BZ1490" s="4"/>
      <c r="CA1490" s="4"/>
      <c r="CB1490" s="4"/>
      <c r="CC1490" s="4"/>
      <c r="CD1490" s="4"/>
      <c r="CE1490" s="4"/>
      <c r="CF1490" s="4"/>
      <c r="CG1490" s="4"/>
      <c r="CH1490" s="4"/>
      <c r="CI1490" s="4"/>
      <c r="CJ1490" s="4"/>
      <c r="CK1490" s="4"/>
      <c r="CL1490" s="4"/>
      <c r="CM1490" s="4"/>
      <c r="CN1490" s="4"/>
      <c r="CO1490" s="4"/>
      <c r="CP1490" s="4"/>
      <c r="CQ1490" s="4"/>
      <c r="CR1490" s="4"/>
      <c r="CS1490" s="4"/>
      <c r="CT1490" s="4"/>
      <c r="CU1490" s="4"/>
      <c r="CV1490" s="4"/>
      <c r="CW1490" s="4"/>
      <c r="CX1490" s="4"/>
      <c r="CY1490" s="4"/>
      <c r="CZ1490" s="4"/>
      <c r="DA1490" s="4"/>
      <c r="DB1490" s="4"/>
      <c r="DC1490" s="4"/>
      <c r="DD1490" s="4"/>
      <c r="DE1490" s="4"/>
      <c r="DF1490" s="4"/>
      <c r="DG1490" s="4"/>
      <c r="DH1490" s="4"/>
      <c r="DI1490" s="4"/>
      <c r="DJ1490" s="4"/>
      <c r="DK1490" s="4"/>
      <c r="DL1490" s="4"/>
      <c r="DM1490" s="4"/>
      <c r="DN1490" s="4"/>
      <c r="DO1490" s="4"/>
      <c r="DP1490" s="4"/>
      <c r="DQ1490" s="4"/>
      <c r="DR1490" s="4"/>
      <c r="DS1490" s="4"/>
      <c r="DT1490" s="4"/>
      <c r="DU1490" s="4"/>
      <c r="DV1490" s="4"/>
      <c r="DW1490" s="4"/>
      <c r="DX1490" s="4"/>
      <c r="DY1490" s="4"/>
      <c r="DZ1490" s="4"/>
      <c r="EA1490" s="4"/>
      <c r="EB1490" s="4"/>
      <c r="EC1490" s="4"/>
      <c r="ED1490" s="4"/>
      <c r="EE1490" s="4"/>
      <c r="EF1490" s="4"/>
      <c r="EG1490" s="4"/>
      <c r="EH1490" s="4"/>
      <c r="EI1490" s="4"/>
    </row>
    <row r="1491" spans="1:139" hidden="1" x14ac:dyDescent="0.2">
      <c r="A1491">
        <f>VLOOKUP(B1491,Sheet1!$A$1:$B$18,2,FALSE)</f>
        <v>0</v>
      </c>
      <c r="B1491" t="str">
        <f>LEFT(D1491,3)</f>
        <v>WKT</v>
      </c>
      <c r="C1491" s="2">
        <v>1490</v>
      </c>
      <c r="D1491" s="3" t="str">
        <f>HYPERLINK("https://sitebase.nzcomms.co.nz/spm/spmnominalview/WKT-018-002/","WKT-018-002")</f>
        <v>WKT-018-002</v>
      </c>
      <c r="E1491" s="4" t="s">
        <v>4477</v>
      </c>
      <c r="F1491" s="3" t="str">
        <f>HYPERLINK("https://sitebase.nzcomms.co.nz/spm/spmcandidateview/WKT-018-002-D/","WKT-018-002-D")</f>
        <v>WKT-018-002-D</v>
      </c>
      <c r="G1491" s="4" t="s">
        <v>4478</v>
      </c>
      <c r="H1491" s="4" t="s">
        <v>4476</v>
      </c>
      <c r="I1491" s="4">
        <v>22</v>
      </c>
      <c r="J1491" s="4" t="s">
        <v>165</v>
      </c>
      <c r="K1491" s="4" t="s">
        <v>141</v>
      </c>
      <c r="L1491" s="4" t="s">
        <v>150</v>
      </c>
      <c r="M1491" s="4" t="s">
        <v>190</v>
      </c>
      <c r="N1491" s="4" t="s">
        <v>167</v>
      </c>
      <c r="O1491" s="4"/>
      <c r="P1491" s="4" t="s">
        <v>169</v>
      </c>
      <c r="Q1491" s="4" t="s">
        <v>192</v>
      </c>
      <c r="R1491" s="4">
        <v>19</v>
      </c>
      <c r="S1491" s="4">
        <v>20</v>
      </c>
      <c r="T1491" s="4">
        <v>1</v>
      </c>
      <c r="U1491" s="4">
        <v>-38.173700429999997</v>
      </c>
      <c r="V1491" s="4">
        <v>175.21391285999999</v>
      </c>
      <c r="W1491" s="4"/>
      <c r="X1491" s="4"/>
      <c r="Y1491" s="4"/>
      <c r="Z1491" s="4"/>
      <c r="AA1491" s="4" t="s">
        <v>171</v>
      </c>
      <c r="AB1491" s="3" t="str">
        <f>HYPERLINK("https://sitebase.nzcomms.co.nz/spm/spmcandidateview/WKT-018-004-C/","WKT-018-004-C")</f>
        <v>WKT-018-004-C</v>
      </c>
      <c r="AC1491" s="4" t="b">
        <v>0</v>
      </c>
      <c r="AD1491" s="4" t="b">
        <v>0</v>
      </c>
      <c r="AE1491" s="4"/>
      <c r="AF1491" s="4"/>
      <c r="AG1491" s="4" t="b">
        <v>0</v>
      </c>
      <c r="AH1491" s="4"/>
      <c r="AI1491" s="5">
        <v>41074</v>
      </c>
      <c r="AJ1491" s="5">
        <v>41081</v>
      </c>
      <c r="AK1491" s="5">
        <v>41101</v>
      </c>
      <c r="AL1491" s="5">
        <v>41101</v>
      </c>
      <c r="AM1491" s="5">
        <v>41131</v>
      </c>
      <c r="AN1491" s="5">
        <v>41130</v>
      </c>
      <c r="AO1491" s="4">
        <v>1</v>
      </c>
      <c r="AP1491" s="5">
        <v>41131</v>
      </c>
      <c r="AQ1491" s="5">
        <v>41130</v>
      </c>
      <c r="AR1491" s="5">
        <v>41152</v>
      </c>
      <c r="AS1491" s="5">
        <v>41150</v>
      </c>
      <c r="AT1491" s="5">
        <v>41222</v>
      </c>
      <c r="AU1491" s="5">
        <v>41221</v>
      </c>
      <c r="AV1491" s="4"/>
      <c r="AW1491" s="5">
        <v>41229</v>
      </c>
      <c r="AX1491" s="5">
        <v>41221</v>
      </c>
      <c r="AY1491" s="4" t="s">
        <v>172</v>
      </c>
      <c r="AZ1491" s="5">
        <v>41169</v>
      </c>
      <c r="BA1491" s="5">
        <v>41171</v>
      </c>
      <c r="BB1491" s="5">
        <v>41199</v>
      </c>
      <c r="BC1491" s="5">
        <v>41186</v>
      </c>
      <c r="BD1491" s="4">
        <v>1</v>
      </c>
      <c r="BE1491" s="5">
        <v>41204</v>
      </c>
      <c r="BF1491" s="5">
        <v>41191</v>
      </c>
      <c r="BG1491" s="5">
        <v>41936</v>
      </c>
      <c r="BH1491" s="5">
        <v>41933</v>
      </c>
      <c r="BI1491" s="5">
        <v>42062</v>
      </c>
      <c r="BJ1491" s="5">
        <v>42060</v>
      </c>
      <c r="BK1491" s="4">
        <v>1</v>
      </c>
      <c r="BL1491" s="4"/>
      <c r="BM1491" s="5">
        <v>42062</v>
      </c>
      <c r="BN1491" s="5">
        <v>42060</v>
      </c>
      <c r="BO1491" s="4"/>
      <c r="BP1491" s="4"/>
      <c r="BQ1491" s="4"/>
      <c r="BR1491" s="5">
        <v>42093</v>
      </c>
      <c r="BS1491" s="4"/>
      <c r="BT1491" s="5">
        <v>42149</v>
      </c>
      <c r="BU1491" s="5">
        <v>42152</v>
      </c>
      <c r="BV1491" s="5">
        <v>42216</v>
      </c>
      <c r="BW1491" s="5">
        <v>42216</v>
      </c>
      <c r="BX1491" s="5">
        <v>42179</v>
      </c>
      <c r="BY1491" s="5">
        <v>42230</v>
      </c>
      <c r="BZ1491" s="5">
        <v>42216</v>
      </c>
      <c r="CA1491" s="4"/>
      <c r="CB1491" s="4"/>
      <c r="CC1491" s="4"/>
      <c r="CD1491" s="4"/>
      <c r="CE1491" s="4"/>
      <c r="CF1491" s="4"/>
      <c r="CG1491" s="4"/>
      <c r="CH1491" s="4"/>
      <c r="CI1491" s="4"/>
      <c r="CJ1491" s="5">
        <v>42289</v>
      </c>
      <c r="CK1491" s="5">
        <v>42286</v>
      </c>
      <c r="CL1491" s="5">
        <v>42298</v>
      </c>
      <c r="CM1491" s="4"/>
      <c r="CN1491" s="4"/>
      <c r="CO1491" s="4"/>
      <c r="CP1491" s="4" t="s">
        <v>4479</v>
      </c>
      <c r="CQ1491" s="4"/>
      <c r="CR1491" s="5">
        <v>42193</v>
      </c>
      <c r="CS1491" s="4"/>
      <c r="CT1491" s="4"/>
      <c r="CU1491" s="4"/>
      <c r="CV1491" s="4"/>
      <c r="CW1491" s="4"/>
      <c r="CX1491" s="4"/>
      <c r="CY1491" s="5">
        <v>42179</v>
      </c>
      <c r="CZ1491" s="5">
        <v>42212</v>
      </c>
      <c r="DA1491" s="5">
        <v>42276</v>
      </c>
      <c r="DB1491" s="5">
        <v>42279</v>
      </c>
      <c r="DC1491" s="4"/>
      <c r="DD1491" s="4"/>
      <c r="DE1491" s="4" t="s">
        <v>4444</v>
      </c>
      <c r="DF1491" s="4"/>
      <c r="DG1491" s="4"/>
      <c r="DH1491" s="4" t="s">
        <v>174</v>
      </c>
      <c r="DI1491" s="5">
        <v>42179</v>
      </c>
      <c r="DJ1491" s="4" t="b">
        <v>1</v>
      </c>
      <c r="DK1491" s="4"/>
      <c r="DL1491" s="4">
        <v>2704113</v>
      </c>
      <c r="DM1491" s="4">
        <v>6334245</v>
      </c>
      <c r="DN1491" s="4" t="s">
        <v>4480</v>
      </c>
      <c r="DO1491" s="4"/>
      <c r="DP1491" s="4" t="s">
        <v>4481</v>
      </c>
      <c r="DQ1491" s="4" t="s">
        <v>148</v>
      </c>
      <c r="DR1491" s="4"/>
      <c r="DS1491" s="4"/>
      <c r="DT1491" s="4"/>
      <c r="DU1491" s="4" t="s">
        <v>178</v>
      </c>
      <c r="DV1491" s="4"/>
      <c r="DW1491" s="5">
        <v>42076</v>
      </c>
      <c r="DX1491" s="5">
        <v>42044</v>
      </c>
      <c r="DY1491" s="4"/>
      <c r="DZ1491" s="5">
        <v>42093</v>
      </c>
      <c r="EA1491" s="4"/>
      <c r="EB1491" s="4"/>
      <c r="EC1491" s="4"/>
      <c r="ED1491" s="4"/>
      <c r="EE1491" s="4"/>
      <c r="EF1491" s="5">
        <v>42144</v>
      </c>
      <c r="EG1491" s="5">
        <v>42264</v>
      </c>
      <c r="EH1491" s="4"/>
      <c r="EI1491" s="5">
        <v>41101</v>
      </c>
    </row>
    <row r="1492" spans="1:139" hidden="1" x14ac:dyDescent="0.2">
      <c r="A1492">
        <f>VLOOKUP(B1492,Sheet1!$A$1:$B$18,2,FALSE)</f>
        <v>0</v>
      </c>
      <c r="B1492" t="str">
        <f>LEFT(D1492,3)</f>
        <v>WKT</v>
      </c>
      <c r="C1492" s="2">
        <v>1491</v>
      </c>
      <c r="D1492" s="3" t="str">
        <f>HYPERLINK("https://sitebase.nzcomms.co.nz/spm/spmnominalview/WKT-018-003/","WKT-018-003")</f>
        <v>WKT-018-003</v>
      </c>
      <c r="E1492" s="4"/>
      <c r="F1492" s="4"/>
      <c r="G1492" s="4"/>
      <c r="H1492" s="4" t="s">
        <v>4476</v>
      </c>
      <c r="I1492" s="4"/>
      <c r="J1492" s="4" t="s">
        <v>196</v>
      </c>
      <c r="K1492" s="4"/>
      <c r="L1492" s="4"/>
      <c r="M1492" s="4"/>
      <c r="N1492" s="4"/>
      <c r="O1492" s="4"/>
      <c r="P1492" s="4"/>
      <c r="Q1492" s="4"/>
      <c r="R1492" s="4"/>
      <c r="S1492" s="4"/>
      <c r="T1492" s="4"/>
      <c r="U1492" s="4"/>
      <c r="V1492" s="4"/>
      <c r="W1492" s="4"/>
      <c r="X1492" s="4"/>
      <c r="Y1492" s="4"/>
      <c r="Z1492" s="4"/>
      <c r="AA1492" s="4"/>
      <c r="AB1492" s="4"/>
      <c r="AC1492" s="4"/>
      <c r="AD1492" s="4"/>
      <c r="AE1492" s="4"/>
      <c r="AF1492" s="4"/>
      <c r="AG1492" s="4"/>
      <c r="AH1492" s="4"/>
      <c r="AI1492" s="4"/>
      <c r="AJ1492" s="4"/>
      <c r="AK1492" s="4"/>
      <c r="AL1492" s="4"/>
      <c r="AM1492" s="4"/>
      <c r="AN1492" s="4"/>
      <c r="AO1492" s="4"/>
      <c r="AP1492" s="4"/>
      <c r="AQ1492" s="4"/>
      <c r="AR1492" s="4"/>
      <c r="AS1492" s="4"/>
      <c r="AT1492" s="4"/>
      <c r="AU1492" s="4"/>
      <c r="AV1492" s="4"/>
      <c r="AW1492" s="4"/>
      <c r="AX1492" s="4"/>
      <c r="AY1492" s="4"/>
      <c r="AZ1492" s="4"/>
      <c r="BA1492" s="4"/>
      <c r="BB1492" s="4"/>
      <c r="BC1492" s="4"/>
      <c r="BD1492" s="4"/>
      <c r="BE1492" s="4"/>
      <c r="BF1492" s="4"/>
      <c r="BG1492" s="4"/>
      <c r="BH1492" s="4"/>
      <c r="BI1492" s="4"/>
      <c r="BJ1492" s="4"/>
      <c r="BK1492" s="4"/>
      <c r="BL1492" s="4"/>
      <c r="BM1492" s="4"/>
      <c r="BN1492" s="4"/>
      <c r="BO1492" s="4"/>
      <c r="BP1492" s="4"/>
      <c r="BQ1492" s="4"/>
      <c r="BR1492" s="4"/>
      <c r="BS1492" s="4"/>
      <c r="BT1492" s="4"/>
      <c r="BU1492" s="4"/>
      <c r="BV1492" s="4"/>
      <c r="BW1492" s="4"/>
      <c r="BX1492" s="4"/>
      <c r="BY1492" s="4"/>
      <c r="BZ1492" s="4"/>
      <c r="CA1492" s="4"/>
      <c r="CB1492" s="4"/>
      <c r="CC1492" s="4"/>
      <c r="CD1492" s="4"/>
      <c r="CE1492" s="4"/>
      <c r="CF1492" s="4"/>
      <c r="CG1492" s="4"/>
      <c r="CH1492" s="4"/>
      <c r="CI1492" s="4"/>
      <c r="CJ1492" s="4"/>
      <c r="CK1492" s="4"/>
      <c r="CL1492" s="4"/>
      <c r="CM1492" s="4"/>
      <c r="CN1492" s="4"/>
      <c r="CO1492" s="4"/>
      <c r="CP1492" s="4"/>
      <c r="CQ1492" s="4"/>
      <c r="CR1492" s="4"/>
      <c r="CS1492" s="4"/>
      <c r="CT1492" s="4"/>
      <c r="CU1492" s="4"/>
      <c r="CV1492" s="4"/>
      <c r="CW1492" s="4"/>
      <c r="CX1492" s="4"/>
      <c r="CY1492" s="4"/>
      <c r="CZ1492" s="4"/>
      <c r="DA1492" s="4"/>
      <c r="DB1492" s="4"/>
      <c r="DC1492" s="4"/>
      <c r="DD1492" s="4"/>
      <c r="DE1492" s="4"/>
      <c r="DF1492" s="4"/>
      <c r="DG1492" s="4"/>
      <c r="DH1492" s="4"/>
      <c r="DI1492" s="4"/>
      <c r="DJ1492" s="4"/>
      <c r="DK1492" s="4"/>
      <c r="DL1492" s="4"/>
      <c r="DM1492" s="4"/>
      <c r="DN1492" s="4"/>
      <c r="DO1492" s="4"/>
      <c r="DP1492" s="4"/>
      <c r="DQ1492" s="4"/>
      <c r="DR1492" s="4"/>
      <c r="DS1492" s="4"/>
      <c r="DT1492" s="4"/>
      <c r="DU1492" s="4"/>
      <c r="DV1492" s="4"/>
      <c r="DW1492" s="4"/>
      <c r="DX1492" s="4"/>
      <c r="DY1492" s="4"/>
      <c r="DZ1492" s="4"/>
      <c r="EA1492" s="4"/>
      <c r="EB1492" s="4"/>
      <c r="EC1492" s="4"/>
      <c r="ED1492" s="4"/>
      <c r="EE1492" s="4"/>
      <c r="EF1492" s="4"/>
      <c r="EG1492" s="4"/>
      <c r="EH1492" s="4"/>
      <c r="EI1492" s="4"/>
    </row>
    <row r="1493" spans="1:139" hidden="1" x14ac:dyDescent="0.2">
      <c r="A1493">
        <f>VLOOKUP(B1493,Sheet1!$A$1:$B$18,2,FALSE)</f>
        <v>0</v>
      </c>
      <c r="B1493" t="str">
        <f>LEFT(D1493,3)</f>
        <v>WKT</v>
      </c>
      <c r="C1493" s="2">
        <v>1492</v>
      </c>
      <c r="D1493" s="3" t="str">
        <f>HYPERLINK("https://sitebase.nzcomms.co.nz/spm/spmnominalview/WKT-018-004/","WKT-018-004")</f>
        <v>WKT-018-004</v>
      </c>
      <c r="E1493" s="4" t="s">
        <v>4482</v>
      </c>
      <c r="F1493" s="3" t="str">
        <f>HYPERLINK("https://sitebase.nzcomms.co.nz/spm/spmcandidateview/WKT-018-004-C/","WKT-018-004-C")</f>
        <v>WKT-018-004-C</v>
      </c>
      <c r="G1493" s="4" t="s">
        <v>4483</v>
      </c>
      <c r="H1493" s="4" t="s">
        <v>4476</v>
      </c>
      <c r="I1493" s="4">
        <v>22</v>
      </c>
      <c r="J1493" s="4" t="s">
        <v>165</v>
      </c>
      <c r="K1493" s="4" t="s">
        <v>141</v>
      </c>
      <c r="L1493" s="4" t="s">
        <v>150</v>
      </c>
      <c r="M1493" s="4" t="s">
        <v>190</v>
      </c>
      <c r="N1493" s="4" t="s">
        <v>167</v>
      </c>
      <c r="O1493" s="4"/>
      <c r="P1493" s="4" t="s">
        <v>169</v>
      </c>
      <c r="Q1493" s="4" t="s">
        <v>170</v>
      </c>
      <c r="R1493" s="4"/>
      <c r="S1493" s="4"/>
      <c r="T1493" s="4">
        <v>1</v>
      </c>
      <c r="U1493" s="4">
        <v>-38.013695949999999</v>
      </c>
      <c r="V1493" s="4">
        <v>175.16479451999999</v>
      </c>
      <c r="W1493" s="4"/>
      <c r="X1493" s="4"/>
      <c r="Y1493" s="4"/>
      <c r="Z1493" s="4"/>
      <c r="AA1493" s="4" t="s">
        <v>171</v>
      </c>
      <c r="AB1493" s="3" t="str">
        <f>HYPERLINK("https://sitebase.nzcomms.co.nz/spm/spmcandidateview/WKT-017-005-B/","WKT-017-005-B")</f>
        <v>WKT-017-005-B</v>
      </c>
      <c r="AC1493" s="4" t="b">
        <v>0</v>
      </c>
      <c r="AD1493" s="4" t="b">
        <v>0</v>
      </c>
      <c r="AE1493" s="4"/>
      <c r="AF1493" s="4"/>
      <c r="AG1493" s="4" t="b">
        <v>0</v>
      </c>
      <c r="AH1493" s="4"/>
      <c r="AI1493" s="5">
        <v>41002</v>
      </c>
      <c r="AJ1493" s="5">
        <v>41002</v>
      </c>
      <c r="AK1493" s="5">
        <v>41004</v>
      </c>
      <c r="AL1493" s="5">
        <v>41004</v>
      </c>
      <c r="AM1493" s="5">
        <v>41060</v>
      </c>
      <c r="AN1493" s="5">
        <v>41059</v>
      </c>
      <c r="AO1493" s="4">
        <v>2</v>
      </c>
      <c r="AP1493" s="5">
        <v>41115</v>
      </c>
      <c r="AQ1493" s="5">
        <v>41114</v>
      </c>
      <c r="AR1493" s="5">
        <v>41101</v>
      </c>
      <c r="AS1493" s="5">
        <v>41067</v>
      </c>
      <c r="AT1493" s="5">
        <v>41152</v>
      </c>
      <c r="AU1493" s="5">
        <v>41144</v>
      </c>
      <c r="AV1493" s="4">
        <v>2</v>
      </c>
      <c r="AW1493" s="5">
        <v>41159</v>
      </c>
      <c r="AX1493" s="5">
        <v>41144</v>
      </c>
      <c r="AY1493" s="4" t="s">
        <v>183</v>
      </c>
      <c r="AZ1493" s="5">
        <v>41124</v>
      </c>
      <c r="BA1493" s="5">
        <v>41124</v>
      </c>
      <c r="BB1493" s="5">
        <v>41159</v>
      </c>
      <c r="BC1493" s="5">
        <v>41151</v>
      </c>
      <c r="BD1493" s="4">
        <v>2</v>
      </c>
      <c r="BE1493" s="5">
        <v>41166</v>
      </c>
      <c r="BF1493" s="5">
        <v>41155</v>
      </c>
      <c r="BG1493" s="5">
        <v>42019</v>
      </c>
      <c r="BH1493" s="5">
        <v>42019</v>
      </c>
      <c r="BI1493" s="5">
        <v>42083</v>
      </c>
      <c r="BJ1493" s="5">
        <v>42094</v>
      </c>
      <c r="BK1493" s="4">
        <v>1</v>
      </c>
      <c r="BL1493" s="4"/>
      <c r="BM1493" s="5">
        <v>42083</v>
      </c>
      <c r="BN1493" s="5">
        <v>42094</v>
      </c>
      <c r="BO1493" s="4"/>
      <c r="BP1493" s="4"/>
      <c r="BQ1493" s="4"/>
      <c r="BR1493" s="4"/>
      <c r="BS1493" s="4"/>
      <c r="BT1493" s="5">
        <v>42149</v>
      </c>
      <c r="BU1493" s="5">
        <v>42152</v>
      </c>
      <c r="BV1493" s="5">
        <v>42276</v>
      </c>
      <c r="BW1493" s="5">
        <v>42276</v>
      </c>
      <c r="BX1493" s="4"/>
      <c r="BY1493" s="5">
        <v>42307</v>
      </c>
      <c r="BZ1493" s="4"/>
      <c r="CA1493" s="4"/>
      <c r="CB1493" s="4"/>
      <c r="CC1493" s="4"/>
      <c r="CD1493" s="4"/>
      <c r="CE1493" s="4"/>
      <c r="CF1493" s="4"/>
      <c r="CG1493" s="4"/>
      <c r="CH1493" s="4"/>
      <c r="CI1493" s="4"/>
      <c r="CJ1493" s="5">
        <v>42286</v>
      </c>
      <c r="CK1493" s="5">
        <v>42286</v>
      </c>
      <c r="CL1493" s="5">
        <v>42300</v>
      </c>
      <c r="CM1493" s="5">
        <v>42300</v>
      </c>
      <c r="CN1493" s="4"/>
      <c r="CO1493" s="4"/>
      <c r="CP1493" s="4" t="s">
        <v>4484</v>
      </c>
      <c r="CQ1493" s="4"/>
      <c r="CR1493" s="5">
        <v>42251</v>
      </c>
      <c r="CS1493" s="4"/>
      <c r="CT1493" s="4"/>
      <c r="CU1493" s="4"/>
      <c r="CV1493" s="4"/>
      <c r="CW1493" s="4"/>
      <c r="CX1493" s="4"/>
      <c r="CY1493" s="5">
        <v>42247</v>
      </c>
      <c r="CZ1493" s="4"/>
      <c r="DA1493" s="5">
        <v>42279</v>
      </c>
      <c r="DB1493" s="5">
        <v>42282</v>
      </c>
      <c r="DC1493" s="4"/>
      <c r="DD1493" s="4"/>
      <c r="DE1493" s="4" t="s">
        <v>4444</v>
      </c>
      <c r="DF1493" s="4"/>
      <c r="DG1493" s="4"/>
      <c r="DH1493" s="4" t="s">
        <v>174</v>
      </c>
      <c r="DI1493" s="4"/>
      <c r="DJ1493" s="4" t="b">
        <v>0</v>
      </c>
      <c r="DK1493" s="4"/>
      <c r="DL1493" s="4">
        <v>2700249</v>
      </c>
      <c r="DM1493" s="4">
        <v>6352104</v>
      </c>
      <c r="DN1493" s="4" t="s">
        <v>4485</v>
      </c>
      <c r="DO1493" s="4"/>
      <c r="DP1493" s="4" t="s">
        <v>4486</v>
      </c>
      <c r="DQ1493" s="4" t="s">
        <v>148</v>
      </c>
      <c r="DR1493" s="4"/>
      <c r="DS1493" s="4"/>
      <c r="DT1493" s="4"/>
      <c r="DU1493" s="4" t="s">
        <v>178</v>
      </c>
      <c r="DV1493" s="4"/>
      <c r="DW1493" s="5">
        <v>42076</v>
      </c>
      <c r="DX1493" s="5">
        <v>42044</v>
      </c>
      <c r="DY1493" s="4"/>
      <c r="DZ1493" s="5">
        <v>42095</v>
      </c>
      <c r="EA1493" s="4"/>
      <c r="EB1493" s="4"/>
      <c r="EC1493" s="4"/>
      <c r="ED1493" s="4"/>
      <c r="EE1493" s="4"/>
      <c r="EF1493" s="5">
        <v>42144</v>
      </c>
      <c r="EG1493" s="4"/>
      <c r="EH1493" s="4"/>
      <c r="EI1493" s="5">
        <v>41004</v>
      </c>
    </row>
    <row r="1494" spans="1:139" hidden="1" x14ac:dyDescent="0.2">
      <c r="A1494">
        <f>VLOOKUP(B1494,Sheet1!$A$1:$B$18,2,FALSE)</f>
        <v>0</v>
      </c>
      <c r="B1494" t="str">
        <f>LEFT(D1494,3)</f>
        <v>WKT</v>
      </c>
      <c r="C1494" s="2">
        <v>1493</v>
      </c>
      <c r="D1494" s="3" t="str">
        <f>HYPERLINK("https://sitebase.nzcomms.co.nz/spm/spmnominalview/WKT-018-005/","WKT-018-005")</f>
        <v>WKT-018-005</v>
      </c>
      <c r="E1494" s="4" t="s">
        <v>4487</v>
      </c>
      <c r="F1494" s="4"/>
      <c r="G1494" s="4"/>
      <c r="H1494" s="4" t="s">
        <v>4476</v>
      </c>
      <c r="I1494" s="4"/>
      <c r="J1494" s="4" t="s">
        <v>722</v>
      </c>
      <c r="K1494" s="4"/>
      <c r="L1494" s="4"/>
      <c r="M1494" s="4"/>
      <c r="N1494" s="4"/>
      <c r="O1494" s="4"/>
      <c r="P1494" s="4"/>
      <c r="Q1494" s="4"/>
      <c r="R1494" s="4"/>
      <c r="S1494" s="4"/>
      <c r="T1494" s="4"/>
      <c r="U1494" s="4"/>
      <c r="V1494" s="4"/>
      <c r="W1494" s="4"/>
      <c r="X1494" s="4"/>
      <c r="Y1494" s="4"/>
      <c r="Z1494" s="4"/>
      <c r="AA1494" s="4"/>
      <c r="AB1494" s="4"/>
      <c r="AC1494" s="4"/>
      <c r="AD1494" s="4"/>
      <c r="AE1494" s="4"/>
      <c r="AF1494" s="4"/>
      <c r="AG1494" s="4" t="b">
        <v>0</v>
      </c>
      <c r="AH1494" s="4"/>
      <c r="AI1494" s="4"/>
      <c r="AJ1494" s="4"/>
      <c r="AK1494" s="4"/>
      <c r="AL1494" s="4"/>
      <c r="AM1494" s="4"/>
      <c r="AN1494" s="4"/>
      <c r="AO1494" s="4"/>
      <c r="AP1494" s="4"/>
      <c r="AQ1494" s="4"/>
      <c r="AR1494" s="4"/>
      <c r="AS1494" s="4"/>
      <c r="AT1494" s="4"/>
      <c r="AU1494" s="4"/>
      <c r="AV1494" s="4"/>
      <c r="AW1494" s="4"/>
      <c r="AX1494" s="4"/>
      <c r="AY1494" s="4"/>
      <c r="AZ1494" s="4"/>
      <c r="BA1494" s="4"/>
      <c r="BB1494" s="4"/>
      <c r="BC1494" s="4"/>
      <c r="BD1494" s="4"/>
      <c r="BE1494" s="4"/>
      <c r="BF1494" s="4"/>
      <c r="BG1494" s="4"/>
      <c r="BH1494" s="4"/>
      <c r="BI1494" s="4"/>
      <c r="BJ1494" s="4"/>
      <c r="BK1494" s="4"/>
      <c r="BL1494" s="4"/>
      <c r="BM1494" s="4"/>
      <c r="BN1494" s="4"/>
      <c r="BO1494" s="4"/>
      <c r="BP1494" s="4"/>
      <c r="BQ1494" s="4"/>
      <c r="BR1494" s="4"/>
      <c r="BS1494" s="4"/>
      <c r="BT1494" s="4"/>
      <c r="BU1494" s="4"/>
      <c r="BV1494" s="4"/>
      <c r="BW1494" s="4"/>
      <c r="BX1494" s="4"/>
      <c r="BY1494" s="4"/>
      <c r="BZ1494" s="4"/>
      <c r="CA1494" s="4"/>
      <c r="CB1494" s="4"/>
      <c r="CC1494" s="4"/>
      <c r="CD1494" s="4"/>
      <c r="CE1494" s="4"/>
      <c r="CF1494" s="4"/>
      <c r="CG1494" s="4"/>
      <c r="CH1494" s="4"/>
      <c r="CI1494" s="4"/>
      <c r="CJ1494" s="4"/>
      <c r="CK1494" s="4"/>
      <c r="CL1494" s="4"/>
      <c r="CM1494" s="4"/>
      <c r="CN1494" s="4"/>
      <c r="CO1494" s="4"/>
      <c r="CP1494" s="4"/>
      <c r="CQ1494" s="4"/>
      <c r="CR1494" s="4"/>
      <c r="CS1494" s="4"/>
      <c r="CT1494" s="4"/>
      <c r="CU1494" s="4"/>
      <c r="CV1494" s="4"/>
      <c r="CW1494" s="4"/>
      <c r="CX1494" s="4"/>
      <c r="CY1494" s="4"/>
      <c r="CZ1494" s="4"/>
      <c r="DA1494" s="4"/>
      <c r="DB1494" s="4"/>
      <c r="DC1494" s="4"/>
      <c r="DD1494" s="4"/>
      <c r="DE1494" s="4"/>
      <c r="DF1494" s="4"/>
      <c r="DG1494" s="4"/>
      <c r="DH1494" s="4"/>
      <c r="DI1494" s="4"/>
      <c r="DJ1494" s="4"/>
      <c r="DK1494" s="4"/>
      <c r="DL1494" s="4"/>
      <c r="DM1494" s="4"/>
      <c r="DN1494" s="4"/>
      <c r="DO1494" s="4"/>
      <c r="DP1494" s="4"/>
      <c r="DQ1494" s="4"/>
      <c r="DR1494" s="4"/>
      <c r="DS1494" s="4"/>
      <c r="DT1494" s="4"/>
      <c r="DU1494" s="4"/>
      <c r="DV1494" s="4"/>
      <c r="DW1494" s="4"/>
      <c r="DX1494" s="4"/>
      <c r="DY1494" s="4"/>
      <c r="DZ1494" s="4"/>
      <c r="EA1494" s="4"/>
      <c r="EB1494" s="4"/>
      <c r="EC1494" s="4"/>
      <c r="ED1494" s="4"/>
      <c r="EE1494" s="4"/>
      <c r="EF1494" s="4"/>
      <c r="EG1494" s="4"/>
      <c r="EH1494" s="4"/>
      <c r="EI1494" s="4"/>
    </row>
    <row r="1495" spans="1:139" hidden="1" x14ac:dyDescent="0.2">
      <c r="A1495">
        <f>VLOOKUP(B1495,Sheet1!$A$1:$B$18,2,FALSE)</f>
        <v>0</v>
      </c>
      <c r="B1495" t="str">
        <f>LEFT(D1495,3)</f>
        <v>WKT</v>
      </c>
      <c r="C1495" s="2">
        <v>1494</v>
      </c>
      <c r="D1495" s="3" t="str">
        <f>HYPERLINK("https://sitebase.nzcomms.co.nz/spm/spmnominalview/WKT-018-006/","WKT-018-006")</f>
        <v>WKT-018-006</v>
      </c>
      <c r="E1495" s="4" t="s">
        <v>4488</v>
      </c>
      <c r="F1495" s="4"/>
      <c r="G1495" s="4"/>
      <c r="H1495" s="4" t="s">
        <v>4476</v>
      </c>
      <c r="I1495" s="4"/>
      <c r="J1495" s="4" t="s">
        <v>722</v>
      </c>
      <c r="K1495" s="4"/>
      <c r="L1495" s="4"/>
      <c r="M1495" s="4"/>
      <c r="N1495" s="4"/>
      <c r="O1495" s="4"/>
      <c r="P1495" s="4"/>
      <c r="Q1495" s="4"/>
      <c r="R1495" s="4"/>
      <c r="S1495" s="4"/>
      <c r="T1495" s="4"/>
      <c r="U1495" s="4"/>
      <c r="V1495" s="4"/>
      <c r="W1495" s="4"/>
      <c r="X1495" s="4"/>
      <c r="Y1495" s="4"/>
      <c r="Z1495" s="4"/>
      <c r="AA1495" s="4"/>
      <c r="AB1495" s="4"/>
      <c r="AC1495" s="4"/>
      <c r="AD1495" s="4"/>
      <c r="AE1495" s="4"/>
      <c r="AF1495" s="4"/>
      <c r="AG1495" s="4" t="b">
        <v>0</v>
      </c>
      <c r="AH1495" s="4"/>
      <c r="AI1495" s="4"/>
      <c r="AJ1495" s="4"/>
      <c r="AK1495" s="4"/>
      <c r="AL1495" s="4"/>
      <c r="AM1495" s="4"/>
      <c r="AN1495" s="4"/>
      <c r="AO1495" s="4"/>
      <c r="AP1495" s="4"/>
      <c r="AQ1495" s="4"/>
      <c r="AR1495" s="4"/>
      <c r="AS1495" s="4"/>
      <c r="AT1495" s="4"/>
      <c r="AU1495" s="4"/>
      <c r="AV1495" s="4"/>
      <c r="AW1495" s="4"/>
      <c r="AX1495" s="4"/>
      <c r="AY1495" s="4"/>
      <c r="AZ1495" s="4"/>
      <c r="BA1495" s="4"/>
      <c r="BB1495" s="4"/>
      <c r="BC1495" s="4"/>
      <c r="BD1495" s="4"/>
      <c r="BE1495" s="4"/>
      <c r="BF1495" s="4"/>
      <c r="BG1495" s="4"/>
      <c r="BH1495" s="4"/>
      <c r="BI1495" s="4"/>
      <c r="BJ1495" s="4"/>
      <c r="BK1495" s="4"/>
      <c r="BL1495" s="4"/>
      <c r="BM1495" s="4"/>
      <c r="BN1495" s="4"/>
      <c r="BO1495" s="4"/>
      <c r="BP1495" s="4"/>
      <c r="BQ1495" s="4"/>
      <c r="BR1495" s="4"/>
      <c r="BS1495" s="4"/>
      <c r="BT1495" s="4"/>
      <c r="BU1495" s="4"/>
      <c r="BV1495" s="4"/>
      <c r="BW1495" s="4"/>
      <c r="BX1495" s="4"/>
      <c r="BY1495" s="4"/>
      <c r="BZ1495" s="4"/>
      <c r="CA1495" s="4"/>
      <c r="CB1495" s="4"/>
      <c r="CC1495" s="4"/>
      <c r="CD1495" s="4"/>
      <c r="CE1495" s="4"/>
      <c r="CF1495" s="4"/>
      <c r="CG1495" s="4"/>
      <c r="CH1495" s="4"/>
      <c r="CI1495" s="4"/>
      <c r="CJ1495" s="4"/>
      <c r="CK1495" s="4"/>
      <c r="CL1495" s="4"/>
      <c r="CM1495" s="4"/>
      <c r="CN1495" s="4"/>
      <c r="CO1495" s="4"/>
      <c r="CP1495" s="4"/>
      <c r="CQ1495" s="4"/>
      <c r="CR1495" s="4"/>
      <c r="CS1495" s="4"/>
      <c r="CT1495" s="4"/>
      <c r="CU1495" s="4"/>
      <c r="CV1495" s="4"/>
      <c r="CW1495" s="4"/>
      <c r="CX1495" s="4"/>
      <c r="CY1495" s="4"/>
      <c r="CZ1495" s="4"/>
      <c r="DA1495" s="4"/>
      <c r="DB1495" s="4"/>
      <c r="DC1495" s="4"/>
      <c r="DD1495" s="4"/>
      <c r="DE1495" s="4"/>
      <c r="DF1495" s="4"/>
      <c r="DG1495" s="4"/>
      <c r="DH1495" s="4"/>
      <c r="DI1495" s="4"/>
      <c r="DJ1495" s="4"/>
      <c r="DK1495" s="4"/>
      <c r="DL1495" s="4"/>
      <c r="DM1495" s="4"/>
      <c r="DN1495" s="4"/>
      <c r="DO1495" s="4"/>
      <c r="DP1495" s="4"/>
      <c r="DQ1495" s="4"/>
      <c r="DR1495" s="4"/>
      <c r="DS1495" s="4"/>
      <c r="DT1495" s="4"/>
      <c r="DU1495" s="4"/>
      <c r="DV1495" s="4"/>
      <c r="DW1495" s="4"/>
      <c r="DX1495" s="4"/>
      <c r="DY1495" s="4"/>
      <c r="DZ1495" s="4"/>
      <c r="EA1495" s="4"/>
      <c r="EB1495" s="4"/>
      <c r="EC1495" s="4"/>
      <c r="ED1495" s="4"/>
      <c r="EE1495" s="4"/>
      <c r="EF1495" s="4"/>
      <c r="EG1495" s="4"/>
      <c r="EH1495" s="4"/>
      <c r="EI1495" s="4"/>
    </row>
    <row r="1496" spans="1:139" hidden="1" x14ac:dyDescent="0.2">
      <c r="A1496">
        <f>VLOOKUP(B1496,Sheet1!$A$1:$B$18,2,FALSE)</f>
        <v>0</v>
      </c>
      <c r="B1496" t="str">
        <f>LEFT(D1496,3)</f>
        <v>WKT</v>
      </c>
      <c r="C1496" s="2">
        <v>1495</v>
      </c>
      <c r="D1496" s="3" t="str">
        <f>HYPERLINK("https://sitebase.nzcomms.co.nz/spm/spmnominalview/WKT-019-001/","WKT-019-001")</f>
        <v>WKT-019-001</v>
      </c>
      <c r="E1496" s="4" t="s">
        <v>4489</v>
      </c>
      <c r="F1496" s="3" t="str">
        <f>HYPERLINK("https://sitebase.nzcomms.co.nz/spm/spmcandidateview/WKT-019-001-C/","WKT-019-001-C")</f>
        <v>WKT-019-001-C</v>
      </c>
      <c r="G1496" s="4" t="s">
        <v>4490</v>
      </c>
      <c r="H1496" s="4" t="s">
        <v>4491</v>
      </c>
      <c r="I1496" s="4">
        <v>22</v>
      </c>
      <c r="J1496" s="4" t="s">
        <v>331</v>
      </c>
      <c r="K1496" s="4" t="s">
        <v>141</v>
      </c>
      <c r="L1496" s="4" t="s">
        <v>142</v>
      </c>
      <c r="M1496" s="4" t="s">
        <v>166</v>
      </c>
      <c r="N1496" s="4" t="s">
        <v>142</v>
      </c>
      <c r="O1496" s="4"/>
      <c r="P1496" s="4" t="s">
        <v>169</v>
      </c>
      <c r="Q1496" s="4" t="s">
        <v>142</v>
      </c>
      <c r="R1496" s="4">
        <v>24</v>
      </c>
      <c r="S1496" s="4">
        <v>25</v>
      </c>
      <c r="T1496" s="4"/>
      <c r="U1496" s="4">
        <v>-37.960019610000003</v>
      </c>
      <c r="V1496" s="4">
        <v>175.67757082</v>
      </c>
      <c r="W1496" s="4"/>
      <c r="X1496" s="4"/>
      <c r="Y1496" s="4"/>
      <c r="Z1496" s="4"/>
      <c r="AA1496" s="4" t="s">
        <v>171</v>
      </c>
      <c r="AB1496" s="3" t="str">
        <f>HYPERLINK("https://sitebase.nzcomms.co.nz/spm/spmcandidateview/WKT-017-004-A/","WKT-017-004-A")</f>
        <v>WKT-017-004-A</v>
      </c>
      <c r="AC1496" s="4" t="b">
        <v>0</v>
      </c>
      <c r="AD1496" s="4" t="b">
        <v>0</v>
      </c>
      <c r="AE1496" s="4"/>
      <c r="AF1496" s="4"/>
      <c r="AG1496" s="4" t="b">
        <v>0</v>
      </c>
      <c r="AH1496" s="4"/>
      <c r="AI1496" s="5">
        <v>42334</v>
      </c>
      <c r="AJ1496" s="5">
        <v>42334</v>
      </c>
      <c r="AK1496" s="5">
        <v>42352</v>
      </c>
      <c r="AL1496" s="5">
        <v>42352</v>
      </c>
      <c r="AM1496" s="5">
        <v>42389</v>
      </c>
      <c r="AN1496" s="5">
        <v>42390</v>
      </c>
      <c r="AO1496" s="4">
        <v>1</v>
      </c>
      <c r="AP1496" s="5">
        <v>42396</v>
      </c>
      <c r="AQ1496" s="5">
        <v>42390</v>
      </c>
      <c r="AR1496" s="5">
        <v>42450</v>
      </c>
      <c r="AS1496" s="4"/>
      <c r="AT1496" s="5">
        <v>42506</v>
      </c>
      <c r="AU1496" s="4"/>
      <c r="AV1496" s="4"/>
      <c r="AW1496" s="5">
        <v>42513</v>
      </c>
      <c r="AX1496" s="4"/>
      <c r="AY1496" s="4" t="s">
        <v>172</v>
      </c>
      <c r="AZ1496" s="5">
        <v>42450</v>
      </c>
      <c r="BA1496" s="4"/>
      <c r="BB1496" s="5">
        <v>42489</v>
      </c>
      <c r="BC1496" s="4"/>
      <c r="BD1496" s="4"/>
      <c r="BE1496" s="5">
        <v>42489</v>
      </c>
      <c r="BF1496" s="4"/>
      <c r="BG1496" s="5">
        <v>42450</v>
      </c>
      <c r="BH1496" s="4"/>
      <c r="BI1496" s="5">
        <v>42489</v>
      </c>
      <c r="BJ1496" s="4"/>
      <c r="BK1496" s="4"/>
      <c r="BL1496" s="4"/>
      <c r="BM1496" s="5">
        <v>42496</v>
      </c>
      <c r="BN1496" s="4"/>
      <c r="BO1496" s="4"/>
      <c r="BP1496" s="4"/>
      <c r="BQ1496" s="4"/>
      <c r="BR1496" s="4"/>
      <c r="BS1496" s="4"/>
      <c r="BT1496" s="5">
        <v>42548</v>
      </c>
      <c r="BU1496" s="4"/>
      <c r="BV1496" s="5">
        <v>42569</v>
      </c>
      <c r="BW1496" s="4"/>
      <c r="BX1496" s="4"/>
      <c r="BY1496" s="5">
        <v>42583</v>
      </c>
      <c r="BZ1496" s="4"/>
      <c r="CA1496" s="4"/>
      <c r="CB1496" s="4"/>
      <c r="CC1496" s="4"/>
      <c r="CD1496" s="4"/>
      <c r="CE1496" s="4"/>
      <c r="CF1496" s="4"/>
      <c r="CG1496" s="4"/>
      <c r="CH1496" s="4"/>
      <c r="CI1496" s="4"/>
      <c r="CJ1496" s="5">
        <v>42604</v>
      </c>
      <c r="CK1496" s="4"/>
      <c r="CL1496" s="4"/>
      <c r="CM1496" s="4"/>
      <c r="CN1496" s="4"/>
      <c r="CO1496" s="4"/>
      <c r="CP1496" s="4" t="s">
        <v>4492</v>
      </c>
      <c r="CQ1496" s="4" t="s">
        <v>205</v>
      </c>
      <c r="CR1496" s="4"/>
      <c r="CS1496" s="4"/>
      <c r="CT1496" s="4"/>
      <c r="CU1496" s="4"/>
      <c r="CV1496" s="4"/>
      <c r="CW1496" s="4"/>
      <c r="CX1496" s="4"/>
      <c r="CY1496" s="4"/>
      <c r="CZ1496" s="4"/>
      <c r="DA1496" s="5">
        <v>42597</v>
      </c>
      <c r="DB1496" s="4"/>
      <c r="DC1496" s="4"/>
      <c r="DD1496" s="4"/>
      <c r="DE1496" s="4"/>
      <c r="DF1496" s="4"/>
      <c r="DG1496" s="4"/>
      <c r="DH1496" s="4" t="s">
        <v>174</v>
      </c>
      <c r="DI1496" s="4"/>
      <c r="DJ1496" s="4" t="b">
        <v>0</v>
      </c>
      <c r="DK1496" s="4"/>
      <c r="DL1496" s="4">
        <v>2745434</v>
      </c>
      <c r="DM1496" s="4">
        <v>6356823</v>
      </c>
      <c r="DN1496" s="4" t="s">
        <v>4493</v>
      </c>
      <c r="DO1496" s="4"/>
      <c r="DP1496" s="4"/>
      <c r="DQ1496" s="4" t="s">
        <v>148</v>
      </c>
      <c r="DR1496" s="4" t="s">
        <v>255</v>
      </c>
      <c r="DS1496" s="4"/>
      <c r="DT1496" s="4"/>
      <c r="DU1496" s="4" t="s">
        <v>178</v>
      </c>
      <c r="DV1496" s="4"/>
      <c r="DW1496" s="4"/>
      <c r="DX1496" s="4"/>
      <c r="DY1496" s="5">
        <v>42513</v>
      </c>
      <c r="DZ1496" s="4"/>
      <c r="EA1496" s="4"/>
      <c r="EB1496" s="4"/>
      <c r="EC1496" s="4"/>
      <c r="ED1496" s="4"/>
      <c r="EE1496" s="5">
        <v>42534</v>
      </c>
      <c r="EF1496" s="4"/>
      <c r="EG1496" s="4"/>
      <c r="EH1496" s="4"/>
      <c r="EI1496" s="5">
        <v>42352</v>
      </c>
    </row>
    <row r="1497" spans="1:139" hidden="1" x14ac:dyDescent="0.2">
      <c r="A1497">
        <f>VLOOKUP(B1497,Sheet1!$A$1:$B$18,2,FALSE)</f>
        <v>0</v>
      </c>
      <c r="B1497" t="str">
        <f>LEFT(D1497,3)</f>
        <v>WKT</v>
      </c>
      <c r="C1497" s="2">
        <v>1496</v>
      </c>
      <c r="D1497" s="3" t="str">
        <f>HYPERLINK("https://sitebase.nzcomms.co.nz/spm/spmnominalview/WKT-019-002/","WKT-019-002")</f>
        <v>WKT-019-002</v>
      </c>
      <c r="E1497" s="4" t="s">
        <v>4494</v>
      </c>
      <c r="F1497" s="3" t="str">
        <f>HYPERLINK("https://sitebase.nzcomms.co.nz/spm/spmcandidateview/WKT-019-002-B/","WKT-019-002-B")</f>
        <v>WKT-019-002-B</v>
      </c>
      <c r="G1497" s="4" t="s">
        <v>4495</v>
      </c>
      <c r="H1497" s="4" t="s">
        <v>4491</v>
      </c>
      <c r="I1497" s="4">
        <v>22</v>
      </c>
      <c r="J1497" s="4" t="s">
        <v>165</v>
      </c>
      <c r="K1497" s="4" t="s">
        <v>141</v>
      </c>
      <c r="L1497" s="4" t="s">
        <v>150</v>
      </c>
      <c r="M1497" s="4" t="s">
        <v>166</v>
      </c>
      <c r="N1497" s="4" t="s">
        <v>1572</v>
      </c>
      <c r="O1497" s="4"/>
      <c r="P1497" s="4" t="s">
        <v>169</v>
      </c>
      <c r="Q1497" s="4" t="s">
        <v>170</v>
      </c>
      <c r="R1497" s="4">
        <v>25</v>
      </c>
      <c r="S1497" s="4">
        <v>25</v>
      </c>
      <c r="T1497" s="4"/>
      <c r="U1497" s="4">
        <v>-37.957818850000002</v>
      </c>
      <c r="V1497" s="4">
        <v>175.74538215000001</v>
      </c>
      <c r="W1497" s="4"/>
      <c r="X1497" s="4"/>
      <c r="Y1497" s="4"/>
      <c r="Z1497" s="4"/>
      <c r="AA1497" s="4" t="s">
        <v>171</v>
      </c>
      <c r="AB1497" s="3" t="str">
        <f>HYPERLINK("https://sitebase.nzcomms.co.nz/spm/spmcandidateview/WKT-019-003-D/","WKT-019-003-D")</f>
        <v>WKT-019-003-D</v>
      </c>
      <c r="AC1497" s="4" t="b">
        <v>0</v>
      </c>
      <c r="AD1497" s="4" t="b">
        <v>0</v>
      </c>
      <c r="AE1497" s="4"/>
      <c r="AF1497" s="4"/>
      <c r="AG1497" s="4" t="b">
        <v>0</v>
      </c>
      <c r="AH1497" s="4"/>
      <c r="AI1497" s="5">
        <v>42186</v>
      </c>
      <c r="AJ1497" s="5">
        <v>42185</v>
      </c>
      <c r="AK1497" s="5">
        <v>42193</v>
      </c>
      <c r="AL1497" s="5">
        <v>42191</v>
      </c>
      <c r="AM1497" s="5">
        <v>42222</v>
      </c>
      <c r="AN1497" s="5">
        <v>42237</v>
      </c>
      <c r="AO1497" s="4">
        <v>1</v>
      </c>
      <c r="AP1497" s="5">
        <v>42227</v>
      </c>
      <c r="AQ1497" s="5">
        <v>42237</v>
      </c>
      <c r="AR1497" s="5">
        <v>42331</v>
      </c>
      <c r="AS1497" s="5">
        <v>42320</v>
      </c>
      <c r="AT1497" s="5">
        <v>42394</v>
      </c>
      <c r="AU1497" s="5">
        <v>42395</v>
      </c>
      <c r="AV1497" s="4"/>
      <c r="AW1497" s="5">
        <v>42402</v>
      </c>
      <c r="AX1497" s="4"/>
      <c r="AY1497" s="4" t="s">
        <v>172</v>
      </c>
      <c r="AZ1497" s="5">
        <v>42331</v>
      </c>
      <c r="BA1497" s="5">
        <v>42331</v>
      </c>
      <c r="BB1497" s="5">
        <v>42380</v>
      </c>
      <c r="BC1497" s="5">
        <v>42341</v>
      </c>
      <c r="BD1497" s="4">
        <v>1</v>
      </c>
      <c r="BE1497" s="5">
        <v>42380</v>
      </c>
      <c r="BF1497" s="5">
        <v>42341</v>
      </c>
      <c r="BG1497" s="5">
        <v>42317</v>
      </c>
      <c r="BH1497" s="5">
        <v>42331</v>
      </c>
      <c r="BI1497" s="5">
        <v>42408</v>
      </c>
      <c r="BJ1497" s="4"/>
      <c r="BK1497" s="4"/>
      <c r="BL1497" s="4"/>
      <c r="BM1497" s="5">
        <v>42415</v>
      </c>
      <c r="BN1497" s="4"/>
      <c r="BO1497" s="4"/>
      <c r="BP1497" s="4"/>
      <c r="BQ1497" s="4"/>
      <c r="BR1497" s="4"/>
      <c r="BS1497" s="4"/>
      <c r="BT1497" s="5">
        <v>42443</v>
      </c>
      <c r="BU1497" s="4"/>
      <c r="BV1497" s="5">
        <v>42478</v>
      </c>
      <c r="BW1497" s="4"/>
      <c r="BX1497" s="4"/>
      <c r="BY1497" s="5">
        <v>42492</v>
      </c>
      <c r="BZ1497" s="4"/>
      <c r="CA1497" s="4"/>
      <c r="CB1497" s="4"/>
      <c r="CC1497" s="4"/>
      <c r="CD1497" s="4"/>
      <c r="CE1497" s="4"/>
      <c r="CF1497" s="4"/>
      <c r="CG1497" s="4"/>
      <c r="CH1497" s="4"/>
      <c r="CI1497" s="4"/>
      <c r="CJ1497" s="5">
        <v>42520</v>
      </c>
      <c r="CK1497" s="4"/>
      <c r="CL1497" s="4"/>
      <c r="CM1497" s="4"/>
      <c r="CN1497" s="4"/>
      <c r="CO1497" s="4"/>
      <c r="CP1497" s="4" t="s">
        <v>4496</v>
      </c>
      <c r="CQ1497" s="4"/>
      <c r="CR1497" s="4"/>
      <c r="CS1497" s="4"/>
      <c r="CT1497" s="4"/>
      <c r="CU1497" s="4"/>
      <c r="CV1497" s="4"/>
      <c r="CW1497" s="4"/>
      <c r="CX1497" s="4"/>
      <c r="CY1497" s="4"/>
      <c r="CZ1497" s="4"/>
      <c r="DA1497" s="5">
        <v>42506</v>
      </c>
      <c r="DB1497" s="4"/>
      <c r="DC1497" s="4"/>
      <c r="DD1497" s="4"/>
      <c r="DE1497" s="4"/>
      <c r="DF1497" s="4"/>
      <c r="DG1497" s="4"/>
      <c r="DH1497" s="4" t="s">
        <v>174</v>
      </c>
      <c r="DI1497" s="4"/>
      <c r="DJ1497" s="4" t="b">
        <v>0</v>
      </c>
      <c r="DK1497" s="4"/>
      <c r="DL1497" s="4">
        <v>2751397</v>
      </c>
      <c r="DM1497" s="4">
        <v>6356885</v>
      </c>
      <c r="DN1497" s="4" t="s">
        <v>4497</v>
      </c>
      <c r="DO1497" s="4"/>
      <c r="DP1497" s="4"/>
      <c r="DQ1497" s="4" t="s">
        <v>148</v>
      </c>
      <c r="DR1497" s="4" t="s">
        <v>255</v>
      </c>
      <c r="DS1497" s="4"/>
      <c r="DT1497" s="4"/>
      <c r="DU1497" s="4" t="s">
        <v>178</v>
      </c>
      <c r="DV1497" s="4"/>
      <c r="DW1497" s="5">
        <v>42409</v>
      </c>
      <c r="DX1497" s="5">
        <v>42410</v>
      </c>
      <c r="DY1497" s="5">
        <v>42415</v>
      </c>
      <c r="DZ1497" s="4"/>
      <c r="EA1497" s="4"/>
      <c r="EB1497" s="5">
        <v>42191</v>
      </c>
      <c r="EC1497" s="4"/>
      <c r="ED1497" s="4"/>
      <c r="EE1497" s="5">
        <v>42436</v>
      </c>
      <c r="EF1497" s="4"/>
      <c r="EG1497" s="4"/>
      <c r="EH1497" s="4"/>
      <c r="EI1497" s="5">
        <v>42191</v>
      </c>
    </row>
    <row r="1498" spans="1:139" hidden="1" x14ac:dyDescent="0.2">
      <c r="A1498">
        <f>VLOOKUP(B1498,Sheet1!$A$1:$B$18,2,FALSE)</f>
        <v>0</v>
      </c>
      <c r="B1498" t="str">
        <f>LEFT(D1498,3)</f>
        <v>WKT</v>
      </c>
      <c r="C1498" s="2">
        <v>1497</v>
      </c>
      <c r="D1498" s="3" t="str">
        <f>HYPERLINK("https://sitebase.nzcomms.co.nz/spm/spmnominalview/WKT-019-003/","WKT-019-003")</f>
        <v>WKT-019-003</v>
      </c>
      <c r="E1498" s="4" t="s">
        <v>4498</v>
      </c>
      <c r="F1498" s="3" t="str">
        <f>HYPERLINK("https://sitebase.nzcomms.co.nz/spm/spmcandidateview/WKT-019-003-D/","WKT-019-003-D")</f>
        <v>WKT-019-003-D</v>
      </c>
      <c r="G1498" s="4" t="s">
        <v>4499</v>
      </c>
      <c r="H1498" s="4" t="s">
        <v>4491</v>
      </c>
      <c r="I1498" s="4">
        <v>2</v>
      </c>
      <c r="J1498" s="4" t="s">
        <v>180</v>
      </c>
      <c r="K1498" s="4" t="s">
        <v>141</v>
      </c>
      <c r="L1498" s="4" t="s">
        <v>150</v>
      </c>
      <c r="M1498" s="4" t="s">
        <v>190</v>
      </c>
      <c r="N1498" s="4" t="s">
        <v>730</v>
      </c>
      <c r="O1498" s="4"/>
      <c r="P1498" s="4" t="s">
        <v>169</v>
      </c>
      <c r="Q1498" s="4" t="s">
        <v>192</v>
      </c>
      <c r="R1498" s="4"/>
      <c r="S1498" s="4"/>
      <c r="T1498" s="4">
        <v>1</v>
      </c>
      <c r="U1498" s="4">
        <v>-38.052630800000003</v>
      </c>
      <c r="V1498" s="4">
        <v>175.78128998</v>
      </c>
      <c r="W1498" s="4"/>
      <c r="X1498" s="4"/>
      <c r="Y1498" s="4"/>
      <c r="Z1498" s="4"/>
      <c r="AA1498" s="4" t="s">
        <v>145</v>
      </c>
      <c r="AB1498" s="3" t="str">
        <f>HYPERLINK("https://sitebase.nzcomms.co.nz/spm/spmcandidateview/WKT-016-023-B/","WKT-016-023-B")</f>
        <v>WKT-016-023-B</v>
      </c>
      <c r="AC1498" s="4" t="b">
        <v>0</v>
      </c>
      <c r="AD1498" s="4" t="b">
        <v>0</v>
      </c>
      <c r="AE1498" s="4"/>
      <c r="AF1498" s="4"/>
      <c r="AG1498" s="4" t="b">
        <v>0</v>
      </c>
      <c r="AH1498" s="4"/>
      <c r="AI1498" s="5">
        <v>41156</v>
      </c>
      <c r="AJ1498" s="5">
        <v>41155</v>
      </c>
      <c r="AK1498" s="5">
        <v>41158</v>
      </c>
      <c r="AL1498" s="5">
        <v>41159</v>
      </c>
      <c r="AM1498" s="5">
        <v>41173</v>
      </c>
      <c r="AN1498" s="5">
        <v>41179</v>
      </c>
      <c r="AO1498" s="4">
        <v>2</v>
      </c>
      <c r="AP1498" s="5">
        <v>41173</v>
      </c>
      <c r="AQ1498" s="5">
        <v>41186</v>
      </c>
      <c r="AR1498" s="5">
        <v>41157</v>
      </c>
      <c r="AS1498" s="5">
        <v>41157</v>
      </c>
      <c r="AT1498" s="5">
        <v>41194</v>
      </c>
      <c r="AU1498" s="5">
        <v>41213</v>
      </c>
      <c r="AV1498" s="4"/>
      <c r="AW1498" s="5">
        <v>41201</v>
      </c>
      <c r="AX1498" s="5">
        <v>41213</v>
      </c>
      <c r="AY1498" s="4" t="s">
        <v>172</v>
      </c>
      <c r="AZ1498" s="5">
        <v>41178</v>
      </c>
      <c r="BA1498" s="5">
        <v>41192</v>
      </c>
      <c r="BB1498" s="5">
        <v>41213</v>
      </c>
      <c r="BC1498" s="5">
        <v>41218</v>
      </c>
      <c r="BD1498" s="4">
        <v>2</v>
      </c>
      <c r="BE1498" s="5">
        <v>41220</v>
      </c>
      <c r="BF1498" s="5">
        <v>41220</v>
      </c>
      <c r="BG1498" s="4"/>
      <c r="BH1498" s="5">
        <v>41213</v>
      </c>
      <c r="BI1498" s="5">
        <v>41243</v>
      </c>
      <c r="BJ1498" s="5">
        <v>41243</v>
      </c>
      <c r="BK1498" s="4">
        <v>1</v>
      </c>
      <c r="BL1498" s="4"/>
      <c r="BM1498" s="5">
        <v>41243</v>
      </c>
      <c r="BN1498" s="5">
        <v>41243</v>
      </c>
      <c r="BO1498" s="5">
        <v>41293</v>
      </c>
      <c r="BP1498" s="4"/>
      <c r="BQ1498" s="4"/>
      <c r="BR1498" s="5">
        <v>41233</v>
      </c>
      <c r="BS1498" s="4"/>
      <c r="BT1498" s="5">
        <v>41319</v>
      </c>
      <c r="BU1498" s="5">
        <v>41288</v>
      </c>
      <c r="BV1498" s="5">
        <v>41306</v>
      </c>
      <c r="BW1498" s="5">
        <v>41306</v>
      </c>
      <c r="BX1498" s="5">
        <v>41305</v>
      </c>
      <c r="BY1498" s="5">
        <v>41330</v>
      </c>
      <c r="BZ1498" s="5">
        <v>41325</v>
      </c>
      <c r="CA1498" s="5">
        <v>41327</v>
      </c>
      <c r="CB1498" s="5">
        <v>41324</v>
      </c>
      <c r="CC1498" s="4"/>
      <c r="CD1498" s="4"/>
      <c r="CE1498" s="4"/>
      <c r="CF1498" s="4"/>
      <c r="CG1498" s="4"/>
      <c r="CH1498" s="4"/>
      <c r="CI1498" s="5">
        <v>41325</v>
      </c>
      <c r="CJ1498" s="5">
        <v>41334</v>
      </c>
      <c r="CK1498" s="5">
        <v>41332</v>
      </c>
      <c r="CL1498" s="5">
        <v>41341</v>
      </c>
      <c r="CM1498" s="5">
        <v>41341</v>
      </c>
      <c r="CN1498" s="5">
        <v>41431</v>
      </c>
      <c r="CO1498" s="5">
        <v>41431</v>
      </c>
      <c r="CP1498" s="4" t="s">
        <v>4500</v>
      </c>
      <c r="CQ1498" s="4"/>
      <c r="CR1498" s="5">
        <v>41330</v>
      </c>
      <c r="CS1498" s="5">
        <v>41253</v>
      </c>
      <c r="CT1498" s="5">
        <v>41283</v>
      </c>
      <c r="CU1498" s="5">
        <v>41289</v>
      </c>
      <c r="CV1498" s="5">
        <v>41289</v>
      </c>
      <c r="CW1498" s="5">
        <v>41288</v>
      </c>
      <c r="CX1498" s="5">
        <v>41293</v>
      </c>
      <c r="CY1498" s="5">
        <v>41312</v>
      </c>
      <c r="CZ1498" s="5">
        <v>41312</v>
      </c>
      <c r="DA1498" s="5">
        <v>41331</v>
      </c>
      <c r="DB1498" s="5">
        <v>41330</v>
      </c>
      <c r="DC1498" s="4"/>
      <c r="DD1498" s="4"/>
      <c r="DE1498" s="4" t="s">
        <v>4501</v>
      </c>
      <c r="DF1498" s="5">
        <v>41319</v>
      </c>
      <c r="DG1498" s="5">
        <v>41320</v>
      </c>
      <c r="DH1498" s="4" t="s">
        <v>174</v>
      </c>
      <c r="DI1498" s="5">
        <v>41306</v>
      </c>
      <c r="DJ1498" s="4" t="b">
        <v>1</v>
      </c>
      <c r="DK1498" s="5">
        <v>41228</v>
      </c>
      <c r="DL1498" s="4">
        <v>2754221</v>
      </c>
      <c r="DM1498" s="4">
        <v>6346270</v>
      </c>
      <c r="DN1498" s="4" t="s">
        <v>4502</v>
      </c>
      <c r="DO1498" s="4"/>
      <c r="DP1498" s="4"/>
      <c r="DQ1498" s="4" t="s">
        <v>148</v>
      </c>
      <c r="DR1498" s="4"/>
      <c r="DS1498" s="4"/>
      <c r="DT1498" s="4"/>
      <c r="DU1498" s="4"/>
      <c r="DV1498" s="4"/>
      <c r="DW1498" s="4"/>
      <c r="DX1498" s="4"/>
      <c r="DY1498" s="4"/>
      <c r="DZ1498" s="4"/>
      <c r="EA1498" s="4"/>
      <c r="EB1498" s="4"/>
      <c r="EC1498" s="4"/>
      <c r="ED1498" s="4"/>
      <c r="EE1498" s="4"/>
      <c r="EF1498" s="4"/>
      <c r="EG1498" s="5">
        <v>41333</v>
      </c>
      <c r="EH1498" s="5">
        <v>41330</v>
      </c>
      <c r="EI1498" s="4"/>
    </row>
    <row r="1499" spans="1:139" hidden="1" x14ac:dyDescent="0.2">
      <c r="A1499">
        <f>VLOOKUP(B1499,Sheet1!$A$1:$B$18,2,FALSE)</f>
        <v>0</v>
      </c>
      <c r="B1499" t="str">
        <f>LEFT(D1499,3)</f>
        <v>WKT</v>
      </c>
      <c r="C1499" s="2">
        <v>1498</v>
      </c>
      <c r="D1499" s="3" t="str">
        <f>HYPERLINK("https://sitebase.nzcomms.co.nz/spm/spmnominalview/WKT-019-004/","WKT-019-004")</f>
        <v>WKT-019-004</v>
      </c>
      <c r="E1499" s="4" t="s">
        <v>4503</v>
      </c>
      <c r="F1499" s="4"/>
      <c r="G1499" s="4"/>
      <c r="H1499" s="4" t="s">
        <v>4491</v>
      </c>
      <c r="I1499" s="4"/>
      <c r="J1499" s="4" t="s">
        <v>196</v>
      </c>
      <c r="K1499" s="4"/>
      <c r="L1499" s="4"/>
      <c r="M1499" s="4"/>
      <c r="N1499" s="4"/>
      <c r="O1499" s="4"/>
      <c r="P1499" s="4"/>
      <c r="Q1499" s="4"/>
      <c r="R1499" s="4"/>
      <c r="S1499" s="4"/>
      <c r="T1499" s="4"/>
      <c r="U1499" s="4"/>
      <c r="V1499" s="4"/>
      <c r="W1499" s="4"/>
      <c r="X1499" s="4"/>
      <c r="Y1499" s="4"/>
      <c r="Z1499" s="4"/>
      <c r="AA1499" s="4"/>
      <c r="AB1499" s="4"/>
      <c r="AC1499" s="4"/>
      <c r="AD1499" s="4"/>
      <c r="AE1499" s="4"/>
      <c r="AF1499" s="4"/>
      <c r="AG1499" s="4" t="b">
        <v>0</v>
      </c>
      <c r="AH1499" s="4"/>
      <c r="AI1499" s="4"/>
      <c r="AJ1499" s="4"/>
      <c r="AK1499" s="4"/>
      <c r="AL1499" s="4"/>
      <c r="AM1499" s="4"/>
      <c r="AN1499" s="4"/>
      <c r="AO1499" s="4"/>
      <c r="AP1499" s="4"/>
      <c r="AQ1499" s="4"/>
      <c r="AR1499" s="4"/>
      <c r="AS1499" s="4"/>
      <c r="AT1499" s="4"/>
      <c r="AU1499" s="4"/>
      <c r="AV1499" s="4"/>
      <c r="AW1499" s="4"/>
      <c r="AX1499" s="4"/>
      <c r="AY1499" s="4"/>
      <c r="AZ1499" s="4"/>
      <c r="BA1499" s="4"/>
      <c r="BB1499" s="4"/>
      <c r="BC1499" s="4"/>
      <c r="BD1499" s="4"/>
      <c r="BE1499" s="4"/>
      <c r="BF1499" s="4"/>
      <c r="BG1499" s="4"/>
      <c r="BH1499" s="4"/>
      <c r="BI1499" s="4"/>
      <c r="BJ1499" s="4"/>
      <c r="BK1499" s="4"/>
      <c r="BL1499" s="4"/>
      <c r="BM1499" s="4"/>
      <c r="BN1499" s="4"/>
      <c r="BO1499" s="4"/>
      <c r="BP1499" s="4"/>
      <c r="BQ1499" s="4"/>
      <c r="BR1499" s="4"/>
      <c r="BS1499" s="4"/>
      <c r="BT1499" s="4"/>
      <c r="BU1499" s="4"/>
      <c r="BV1499" s="4"/>
      <c r="BW1499" s="4"/>
      <c r="BX1499" s="4"/>
      <c r="BY1499" s="4"/>
      <c r="BZ1499" s="4"/>
      <c r="CA1499" s="4"/>
      <c r="CB1499" s="4"/>
      <c r="CC1499" s="4"/>
      <c r="CD1499" s="4"/>
      <c r="CE1499" s="4"/>
      <c r="CF1499" s="4"/>
      <c r="CG1499" s="4"/>
      <c r="CH1499" s="4"/>
      <c r="CI1499" s="4"/>
      <c r="CJ1499" s="4"/>
      <c r="CK1499" s="4"/>
      <c r="CL1499" s="4"/>
      <c r="CM1499" s="4"/>
      <c r="CN1499" s="4"/>
      <c r="CO1499" s="4"/>
      <c r="CP1499" s="4"/>
      <c r="CQ1499" s="4"/>
      <c r="CR1499" s="4"/>
      <c r="CS1499" s="4"/>
      <c r="CT1499" s="4"/>
      <c r="CU1499" s="4"/>
      <c r="CV1499" s="4"/>
      <c r="CW1499" s="4"/>
      <c r="CX1499" s="4"/>
      <c r="CY1499" s="4"/>
      <c r="CZ1499" s="4"/>
      <c r="DA1499" s="4"/>
      <c r="DB1499" s="4"/>
      <c r="DC1499" s="4"/>
      <c r="DD1499" s="4"/>
      <c r="DE1499" s="4"/>
      <c r="DF1499" s="4"/>
      <c r="DG1499" s="4"/>
      <c r="DH1499" s="4"/>
      <c r="DI1499" s="4"/>
      <c r="DJ1499" s="4"/>
      <c r="DK1499" s="4"/>
      <c r="DL1499" s="4"/>
      <c r="DM1499" s="4"/>
      <c r="DN1499" s="4"/>
      <c r="DO1499" s="4"/>
      <c r="DP1499" s="4"/>
      <c r="DQ1499" s="4"/>
      <c r="DR1499" s="4"/>
      <c r="DS1499" s="4"/>
      <c r="DT1499" s="4"/>
      <c r="DU1499" s="4"/>
      <c r="DV1499" s="4"/>
      <c r="DW1499" s="4"/>
      <c r="DX1499" s="4"/>
      <c r="DY1499" s="4"/>
      <c r="DZ1499" s="4"/>
      <c r="EA1499" s="4"/>
      <c r="EB1499" s="4"/>
      <c r="EC1499" s="4"/>
      <c r="ED1499" s="4"/>
      <c r="EE1499" s="4"/>
      <c r="EF1499" s="4"/>
      <c r="EG1499" s="4"/>
      <c r="EH1499" s="4"/>
      <c r="EI1499" s="4"/>
    </row>
    <row r="1500" spans="1:139" hidden="1" x14ac:dyDescent="0.2">
      <c r="A1500">
        <f>VLOOKUP(B1500,Sheet1!$A$1:$B$18,2,FALSE)</f>
        <v>0</v>
      </c>
      <c r="B1500" t="str">
        <f>LEFT(D1500,3)</f>
        <v>WKT</v>
      </c>
      <c r="C1500" s="2">
        <v>1499</v>
      </c>
      <c r="D1500" s="3" t="str">
        <f>HYPERLINK("https://sitebase.nzcomms.co.nz/spm/spmnominalview/WKT-019-005/","WKT-019-005")</f>
        <v>WKT-019-005</v>
      </c>
      <c r="E1500" s="4"/>
      <c r="F1500" s="4"/>
      <c r="G1500" s="4"/>
      <c r="H1500" s="4" t="s">
        <v>4491</v>
      </c>
      <c r="I1500" s="4"/>
      <c r="J1500" s="4" t="s">
        <v>196</v>
      </c>
      <c r="K1500" s="4"/>
      <c r="L1500" s="4"/>
      <c r="M1500" s="4"/>
      <c r="N1500" s="4"/>
      <c r="O1500" s="4"/>
      <c r="P1500" s="4"/>
      <c r="Q1500" s="4"/>
      <c r="R1500" s="4"/>
      <c r="S1500" s="4"/>
      <c r="T1500" s="4"/>
      <c r="U1500" s="4"/>
      <c r="V1500" s="4"/>
      <c r="W1500" s="4"/>
      <c r="X1500" s="4"/>
      <c r="Y1500" s="4"/>
      <c r="Z1500" s="4"/>
      <c r="AA1500" s="4"/>
      <c r="AB1500" s="4"/>
      <c r="AC1500" s="4"/>
      <c r="AD1500" s="4"/>
      <c r="AE1500" s="4"/>
      <c r="AF1500" s="4"/>
      <c r="AG1500" s="4"/>
      <c r="AH1500" s="4"/>
      <c r="AI1500" s="4"/>
      <c r="AJ1500" s="4"/>
      <c r="AK1500" s="4"/>
      <c r="AL1500" s="4"/>
      <c r="AM1500" s="4"/>
      <c r="AN1500" s="4"/>
      <c r="AO1500" s="4"/>
      <c r="AP1500" s="4"/>
      <c r="AQ1500" s="4"/>
      <c r="AR1500" s="4"/>
      <c r="AS1500" s="4"/>
      <c r="AT1500" s="4"/>
      <c r="AU1500" s="4"/>
      <c r="AV1500" s="4"/>
      <c r="AW1500" s="4"/>
      <c r="AX1500" s="4"/>
      <c r="AY1500" s="4"/>
      <c r="AZ1500" s="4"/>
      <c r="BA1500" s="4"/>
      <c r="BB1500" s="4"/>
      <c r="BC1500" s="4"/>
      <c r="BD1500" s="4"/>
      <c r="BE1500" s="4"/>
      <c r="BF1500" s="4"/>
      <c r="BG1500" s="4"/>
      <c r="BH1500" s="4"/>
      <c r="BI1500" s="4"/>
      <c r="BJ1500" s="4"/>
      <c r="BK1500" s="4"/>
      <c r="BL1500" s="4"/>
      <c r="BM1500" s="4"/>
      <c r="BN1500" s="4"/>
      <c r="BO1500" s="4"/>
      <c r="BP1500" s="4"/>
      <c r="BQ1500" s="4"/>
      <c r="BR1500" s="4"/>
      <c r="BS1500" s="4"/>
      <c r="BT1500" s="4"/>
      <c r="BU1500" s="4"/>
      <c r="BV1500" s="4"/>
      <c r="BW1500" s="4"/>
      <c r="BX1500" s="4"/>
      <c r="BY1500" s="4"/>
      <c r="BZ1500" s="4"/>
      <c r="CA1500" s="4"/>
      <c r="CB1500" s="4"/>
      <c r="CC1500" s="4"/>
      <c r="CD1500" s="4"/>
      <c r="CE1500" s="4"/>
      <c r="CF1500" s="4"/>
      <c r="CG1500" s="4"/>
      <c r="CH1500" s="4"/>
      <c r="CI1500" s="4"/>
      <c r="CJ1500" s="4"/>
      <c r="CK1500" s="4"/>
      <c r="CL1500" s="4"/>
      <c r="CM1500" s="4"/>
      <c r="CN1500" s="4"/>
      <c r="CO1500" s="4"/>
      <c r="CP1500" s="4"/>
      <c r="CQ1500" s="4"/>
      <c r="CR1500" s="4"/>
      <c r="CS1500" s="4"/>
      <c r="CT1500" s="4"/>
      <c r="CU1500" s="4"/>
      <c r="CV1500" s="4"/>
      <c r="CW1500" s="4"/>
      <c r="CX1500" s="4"/>
      <c r="CY1500" s="4"/>
      <c r="CZ1500" s="4"/>
      <c r="DA1500" s="4"/>
      <c r="DB1500" s="4"/>
      <c r="DC1500" s="4"/>
      <c r="DD1500" s="4"/>
      <c r="DE1500" s="4"/>
      <c r="DF1500" s="4"/>
      <c r="DG1500" s="4"/>
      <c r="DH1500" s="4"/>
      <c r="DI1500" s="4"/>
      <c r="DJ1500" s="4"/>
      <c r="DK1500" s="4"/>
      <c r="DL1500" s="4"/>
      <c r="DM1500" s="4"/>
      <c r="DN1500" s="4"/>
      <c r="DO1500" s="4"/>
      <c r="DP1500" s="4"/>
      <c r="DQ1500" s="4"/>
      <c r="DR1500" s="4"/>
      <c r="DS1500" s="4"/>
      <c r="DT1500" s="4"/>
      <c r="DU1500" s="4"/>
      <c r="DV1500" s="4"/>
      <c r="DW1500" s="4"/>
      <c r="DX1500" s="4"/>
      <c r="DY1500" s="4"/>
      <c r="DZ1500" s="4"/>
      <c r="EA1500" s="4"/>
      <c r="EB1500" s="4"/>
      <c r="EC1500" s="4"/>
      <c r="ED1500" s="4"/>
      <c r="EE1500" s="4"/>
      <c r="EF1500" s="4"/>
      <c r="EG1500" s="4"/>
      <c r="EH1500" s="4"/>
      <c r="EI1500" s="4"/>
    </row>
    <row r="1501" spans="1:139" hidden="1" x14ac:dyDescent="0.2">
      <c r="A1501">
        <f>VLOOKUP(B1501,Sheet1!$A$1:$B$18,2,FALSE)</f>
        <v>0</v>
      </c>
      <c r="B1501" t="str">
        <f>LEFT(D1501,3)</f>
        <v>WKT</v>
      </c>
      <c r="C1501" s="2">
        <v>1500</v>
      </c>
      <c r="D1501" s="3" t="str">
        <f>HYPERLINK("https://sitebase.nzcomms.co.nz/spm/spmnominalview/WKT-019-006/","WKT-019-006")</f>
        <v>WKT-019-006</v>
      </c>
      <c r="E1501" s="4" t="s">
        <v>4504</v>
      </c>
      <c r="F1501" s="4"/>
      <c r="G1501" s="4"/>
      <c r="H1501" s="4" t="s">
        <v>4491</v>
      </c>
      <c r="I1501" s="4"/>
      <c r="J1501" s="4" t="s">
        <v>196</v>
      </c>
      <c r="K1501" s="4"/>
      <c r="L1501" s="4"/>
      <c r="M1501" s="4"/>
      <c r="N1501" s="4"/>
      <c r="O1501" s="4"/>
      <c r="P1501" s="4"/>
      <c r="Q1501" s="4"/>
      <c r="R1501" s="4"/>
      <c r="S1501" s="4"/>
      <c r="T1501" s="4"/>
      <c r="U1501" s="4"/>
      <c r="V1501" s="4"/>
      <c r="W1501" s="4"/>
      <c r="X1501" s="4"/>
      <c r="Y1501" s="4"/>
      <c r="Z1501" s="4"/>
      <c r="AA1501" s="4"/>
      <c r="AB1501" s="4"/>
      <c r="AC1501" s="4"/>
      <c r="AD1501" s="4"/>
      <c r="AE1501" s="4"/>
      <c r="AF1501" s="4"/>
      <c r="AG1501" s="4" t="b">
        <v>0</v>
      </c>
      <c r="AH1501" s="4"/>
      <c r="AI1501" s="4"/>
      <c r="AJ1501" s="4"/>
      <c r="AK1501" s="4"/>
      <c r="AL1501" s="4"/>
      <c r="AM1501" s="4"/>
      <c r="AN1501" s="4"/>
      <c r="AO1501" s="4"/>
      <c r="AP1501" s="4"/>
      <c r="AQ1501" s="4"/>
      <c r="AR1501" s="4"/>
      <c r="AS1501" s="4"/>
      <c r="AT1501" s="4"/>
      <c r="AU1501" s="4"/>
      <c r="AV1501" s="4"/>
      <c r="AW1501" s="4"/>
      <c r="AX1501" s="4"/>
      <c r="AY1501" s="4"/>
      <c r="AZ1501" s="4"/>
      <c r="BA1501" s="4"/>
      <c r="BB1501" s="4"/>
      <c r="BC1501" s="4"/>
      <c r="BD1501" s="4"/>
      <c r="BE1501" s="4"/>
      <c r="BF1501" s="4"/>
      <c r="BG1501" s="4"/>
      <c r="BH1501" s="4"/>
      <c r="BI1501" s="4"/>
      <c r="BJ1501" s="4"/>
      <c r="BK1501" s="4"/>
      <c r="BL1501" s="4"/>
      <c r="BM1501" s="4"/>
      <c r="BN1501" s="4"/>
      <c r="BO1501" s="4"/>
      <c r="BP1501" s="4"/>
      <c r="BQ1501" s="4"/>
      <c r="BR1501" s="4"/>
      <c r="BS1501" s="4"/>
      <c r="BT1501" s="4"/>
      <c r="BU1501" s="4"/>
      <c r="BV1501" s="4"/>
      <c r="BW1501" s="4"/>
      <c r="BX1501" s="4"/>
      <c r="BY1501" s="4"/>
      <c r="BZ1501" s="4"/>
      <c r="CA1501" s="4"/>
      <c r="CB1501" s="4"/>
      <c r="CC1501" s="4"/>
      <c r="CD1501" s="4"/>
      <c r="CE1501" s="4"/>
      <c r="CF1501" s="4"/>
      <c r="CG1501" s="4"/>
      <c r="CH1501" s="4"/>
      <c r="CI1501" s="4"/>
      <c r="CJ1501" s="4"/>
      <c r="CK1501" s="4"/>
      <c r="CL1501" s="4"/>
      <c r="CM1501" s="4"/>
      <c r="CN1501" s="4"/>
      <c r="CO1501" s="4"/>
      <c r="CP1501" s="4"/>
      <c r="CQ1501" s="4"/>
      <c r="CR1501" s="4"/>
      <c r="CS1501" s="4"/>
      <c r="CT1501" s="4"/>
      <c r="CU1501" s="4"/>
      <c r="CV1501" s="4"/>
      <c r="CW1501" s="4"/>
      <c r="CX1501" s="4"/>
      <c r="CY1501" s="4"/>
      <c r="CZ1501" s="4"/>
      <c r="DA1501" s="4"/>
      <c r="DB1501" s="4"/>
      <c r="DC1501" s="4"/>
      <c r="DD1501" s="4"/>
      <c r="DE1501" s="4"/>
      <c r="DF1501" s="4"/>
      <c r="DG1501" s="4"/>
      <c r="DH1501" s="4"/>
      <c r="DI1501" s="4"/>
      <c r="DJ1501" s="4"/>
      <c r="DK1501" s="4"/>
      <c r="DL1501" s="4"/>
      <c r="DM1501" s="4"/>
      <c r="DN1501" s="4"/>
      <c r="DO1501" s="4"/>
      <c r="DP1501" s="4"/>
      <c r="DQ1501" s="4"/>
      <c r="DR1501" s="4"/>
      <c r="DS1501" s="4"/>
      <c r="DT1501" s="4"/>
      <c r="DU1501" s="4"/>
      <c r="DV1501" s="4"/>
      <c r="DW1501" s="4"/>
      <c r="DX1501" s="4"/>
      <c r="DY1501" s="4"/>
      <c r="DZ1501" s="4"/>
      <c r="EA1501" s="4"/>
      <c r="EB1501" s="4"/>
      <c r="EC1501" s="4"/>
      <c r="ED1501" s="4"/>
      <c r="EE1501" s="4"/>
      <c r="EF1501" s="4"/>
      <c r="EG1501" s="4"/>
      <c r="EH1501" s="4"/>
      <c r="EI1501" s="4"/>
    </row>
    <row r="1502" spans="1:139" hidden="1" x14ac:dyDescent="0.2">
      <c r="A1502">
        <f>VLOOKUP(B1502,Sheet1!$A$1:$B$18,2,FALSE)</f>
        <v>0</v>
      </c>
      <c r="B1502" t="str">
        <f>LEFT(D1502,3)</f>
        <v>WKT</v>
      </c>
      <c r="C1502" s="2">
        <v>1501</v>
      </c>
      <c r="D1502" s="3" t="str">
        <f>HYPERLINK("https://sitebase.nzcomms.co.nz/spm/spmnominalview/WKT-019-007/","WKT-019-007")</f>
        <v>WKT-019-007</v>
      </c>
      <c r="E1502" s="4" t="s">
        <v>4505</v>
      </c>
      <c r="F1502" s="3" t="str">
        <f>HYPERLINK("https://sitebase.nzcomms.co.nz/spm/spmcandidateview/WKT-019-007-B/","WKT-019-007-B")</f>
        <v>WKT-019-007-B</v>
      </c>
      <c r="G1502" s="4" t="s">
        <v>4506</v>
      </c>
      <c r="H1502" s="4" t="s">
        <v>4491</v>
      </c>
      <c r="I1502" s="4">
        <v>2</v>
      </c>
      <c r="J1502" s="4" t="s">
        <v>180</v>
      </c>
      <c r="K1502" s="4" t="s">
        <v>141</v>
      </c>
      <c r="L1502" s="4" t="s">
        <v>150</v>
      </c>
      <c r="M1502" s="4" t="s">
        <v>190</v>
      </c>
      <c r="N1502" s="4" t="s">
        <v>216</v>
      </c>
      <c r="O1502" s="4"/>
      <c r="P1502" s="4" t="s">
        <v>169</v>
      </c>
      <c r="Q1502" s="4" t="s">
        <v>170</v>
      </c>
      <c r="R1502" s="4"/>
      <c r="S1502" s="4">
        <v>20</v>
      </c>
      <c r="T1502" s="4">
        <v>1</v>
      </c>
      <c r="U1502" s="4">
        <v>-38.213410979999999</v>
      </c>
      <c r="V1502" s="4">
        <v>175.87474766</v>
      </c>
      <c r="W1502" s="4"/>
      <c r="X1502" s="4"/>
      <c r="Y1502" s="4"/>
      <c r="Z1502" s="4"/>
      <c r="AA1502" s="4" t="s">
        <v>145</v>
      </c>
      <c r="AB1502" s="4"/>
      <c r="AC1502" s="4" t="b">
        <v>0</v>
      </c>
      <c r="AD1502" s="4" t="b">
        <v>0</v>
      </c>
      <c r="AE1502" s="4"/>
      <c r="AF1502" s="4"/>
      <c r="AG1502" s="4" t="b">
        <v>0</v>
      </c>
      <c r="AH1502" s="4"/>
      <c r="AI1502" s="5">
        <v>41040</v>
      </c>
      <c r="AJ1502" s="5">
        <v>41038</v>
      </c>
      <c r="AK1502" s="5">
        <v>41050</v>
      </c>
      <c r="AL1502" s="5">
        <v>41058</v>
      </c>
      <c r="AM1502" s="5">
        <v>41086</v>
      </c>
      <c r="AN1502" s="5">
        <v>41099</v>
      </c>
      <c r="AO1502" s="4">
        <v>1</v>
      </c>
      <c r="AP1502" s="5">
        <v>41088</v>
      </c>
      <c r="AQ1502" s="5">
        <v>41099</v>
      </c>
      <c r="AR1502" s="5">
        <v>41143</v>
      </c>
      <c r="AS1502" s="5">
        <v>41144</v>
      </c>
      <c r="AT1502" s="5">
        <v>41157</v>
      </c>
      <c r="AU1502" s="5">
        <v>41162</v>
      </c>
      <c r="AV1502" s="4"/>
      <c r="AW1502" s="5">
        <v>41157</v>
      </c>
      <c r="AX1502" s="5">
        <v>41162</v>
      </c>
      <c r="AY1502" s="4" t="s">
        <v>172</v>
      </c>
      <c r="AZ1502" s="5">
        <v>41124</v>
      </c>
      <c r="BA1502" s="5">
        <v>41122</v>
      </c>
      <c r="BB1502" s="5">
        <v>41166</v>
      </c>
      <c r="BC1502" s="5">
        <v>41144</v>
      </c>
      <c r="BD1502" s="4">
        <v>1</v>
      </c>
      <c r="BE1502" s="5">
        <v>41173</v>
      </c>
      <c r="BF1502" s="5">
        <v>41144</v>
      </c>
      <c r="BG1502" s="5">
        <v>41138</v>
      </c>
      <c r="BH1502" s="4"/>
      <c r="BI1502" s="5">
        <v>41187</v>
      </c>
      <c r="BJ1502" s="5">
        <v>41184</v>
      </c>
      <c r="BK1502" s="4">
        <v>1</v>
      </c>
      <c r="BL1502" s="4"/>
      <c r="BM1502" s="5">
        <v>41187</v>
      </c>
      <c r="BN1502" s="5">
        <v>41184</v>
      </c>
      <c r="BO1502" s="5">
        <v>41211</v>
      </c>
      <c r="BP1502" s="4"/>
      <c r="BQ1502" s="4"/>
      <c r="BR1502" s="4"/>
      <c r="BS1502" s="4"/>
      <c r="BT1502" s="5">
        <v>41192</v>
      </c>
      <c r="BU1502" s="5">
        <v>41191</v>
      </c>
      <c r="BV1502" s="5">
        <v>41213</v>
      </c>
      <c r="BW1502" s="5">
        <v>41213</v>
      </c>
      <c r="BX1502" s="5">
        <v>41207</v>
      </c>
      <c r="BY1502" s="5">
        <v>41219</v>
      </c>
      <c r="BZ1502" s="5">
        <v>41219</v>
      </c>
      <c r="CA1502" s="5">
        <v>41222</v>
      </c>
      <c r="CB1502" s="5">
        <v>41221</v>
      </c>
      <c r="CC1502" s="4"/>
      <c r="CD1502" s="4"/>
      <c r="CE1502" s="4"/>
      <c r="CF1502" s="4"/>
      <c r="CG1502" s="4"/>
      <c r="CH1502" s="4"/>
      <c r="CI1502" s="5">
        <v>41225</v>
      </c>
      <c r="CJ1502" s="5">
        <v>41239</v>
      </c>
      <c r="CK1502" s="5">
        <v>41243</v>
      </c>
      <c r="CL1502" s="5">
        <v>41255</v>
      </c>
      <c r="CM1502" s="5">
        <v>41243</v>
      </c>
      <c r="CN1502" s="5">
        <v>41432</v>
      </c>
      <c r="CO1502" s="5">
        <v>41432</v>
      </c>
      <c r="CP1502" s="4" t="s">
        <v>4507</v>
      </c>
      <c r="CQ1502" s="4"/>
      <c r="CR1502" s="5">
        <v>41225</v>
      </c>
      <c r="CS1502" s="5">
        <v>41188</v>
      </c>
      <c r="CT1502" s="5">
        <v>41188</v>
      </c>
      <c r="CU1502" s="5">
        <v>41193</v>
      </c>
      <c r="CV1502" s="5">
        <v>41193</v>
      </c>
      <c r="CW1502" s="5">
        <v>41198</v>
      </c>
      <c r="CX1502" s="5">
        <v>41211</v>
      </c>
      <c r="CY1502" s="5">
        <v>41212</v>
      </c>
      <c r="CZ1502" s="5">
        <v>41212</v>
      </c>
      <c r="DA1502" s="5">
        <v>41225</v>
      </c>
      <c r="DB1502" s="5">
        <v>41226</v>
      </c>
      <c r="DC1502" s="5">
        <v>40981</v>
      </c>
      <c r="DD1502" s="4" t="s">
        <v>206</v>
      </c>
      <c r="DE1502" s="4" t="s">
        <v>4501</v>
      </c>
      <c r="DF1502" s="5">
        <v>41208</v>
      </c>
      <c r="DG1502" s="5">
        <v>41212</v>
      </c>
      <c r="DH1502" s="4" t="s">
        <v>174</v>
      </c>
      <c r="DI1502" s="5">
        <v>41207</v>
      </c>
      <c r="DJ1502" s="4" t="b">
        <v>0</v>
      </c>
      <c r="DK1502" s="4"/>
      <c r="DL1502" s="4">
        <v>2761841</v>
      </c>
      <c r="DM1502" s="4">
        <v>6328175</v>
      </c>
      <c r="DN1502" s="4" t="s">
        <v>4508</v>
      </c>
      <c r="DO1502" s="4"/>
      <c r="DP1502" s="4"/>
      <c r="DQ1502" s="4" t="s">
        <v>148</v>
      </c>
      <c r="DR1502" s="4"/>
      <c r="DS1502" s="4"/>
      <c r="DT1502" s="5">
        <v>42348</v>
      </c>
      <c r="DU1502" s="4"/>
      <c r="DV1502" s="4"/>
      <c r="DW1502" s="4"/>
      <c r="DX1502" s="4"/>
      <c r="DY1502" s="4"/>
      <c r="DZ1502" s="4"/>
      <c r="EA1502" s="4"/>
      <c r="EB1502" s="4"/>
      <c r="EC1502" s="4"/>
      <c r="ED1502" s="4"/>
      <c r="EE1502" s="4"/>
      <c r="EF1502" s="4"/>
      <c r="EG1502" s="5">
        <v>41234</v>
      </c>
      <c r="EH1502" s="5">
        <v>41234</v>
      </c>
      <c r="EI1502" s="5">
        <v>41058</v>
      </c>
    </row>
    <row r="1503" spans="1:139" hidden="1" x14ac:dyDescent="0.2">
      <c r="A1503">
        <f>VLOOKUP(B1503,Sheet1!$A$1:$B$18,2,FALSE)</f>
        <v>0</v>
      </c>
      <c r="B1503" t="str">
        <f>LEFT(D1503,3)</f>
        <v>WKT</v>
      </c>
      <c r="C1503" s="2">
        <v>1502</v>
      </c>
      <c r="D1503" s="3" t="str">
        <f>HYPERLINK("https://sitebase.nzcomms.co.nz/spm/spmnominalview/WKT-019-008/","WKT-019-008")</f>
        <v>WKT-019-008</v>
      </c>
      <c r="E1503" s="4"/>
      <c r="F1503" s="4"/>
      <c r="G1503" s="4"/>
      <c r="H1503" s="4" t="s">
        <v>4491</v>
      </c>
      <c r="I1503" s="4"/>
      <c r="J1503" s="4" t="s">
        <v>196</v>
      </c>
      <c r="K1503" s="4"/>
      <c r="L1503" s="4"/>
      <c r="M1503" s="4"/>
      <c r="N1503" s="4"/>
      <c r="O1503" s="4"/>
      <c r="P1503" s="4"/>
      <c r="Q1503" s="4"/>
      <c r="R1503" s="4"/>
      <c r="S1503" s="4"/>
      <c r="T1503" s="4"/>
      <c r="U1503" s="4"/>
      <c r="V1503" s="4"/>
      <c r="W1503" s="4"/>
      <c r="X1503" s="4"/>
      <c r="Y1503" s="4"/>
      <c r="Z1503" s="4"/>
      <c r="AA1503" s="4"/>
      <c r="AB1503" s="4"/>
      <c r="AC1503" s="4"/>
      <c r="AD1503" s="4"/>
      <c r="AE1503" s="4"/>
      <c r="AF1503" s="4"/>
      <c r="AG1503" s="4"/>
      <c r="AH1503" s="4"/>
      <c r="AI1503" s="4"/>
      <c r="AJ1503" s="4"/>
      <c r="AK1503" s="4"/>
      <c r="AL1503" s="4"/>
      <c r="AM1503" s="4"/>
      <c r="AN1503" s="4"/>
      <c r="AO1503" s="4"/>
      <c r="AP1503" s="4"/>
      <c r="AQ1503" s="4"/>
      <c r="AR1503" s="4"/>
      <c r="AS1503" s="4"/>
      <c r="AT1503" s="4"/>
      <c r="AU1503" s="4"/>
      <c r="AV1503" s="4"/>
      <c r="AW1503" s="4"/>
      <c r="AX1503" s="4"/>
      <c r="AY1503" s="4"/>
      <c r="AZ1503" s="4"/>
      <c r="BA1503" s="4"/>
      <c r="BB1503" s="4"/>
      <c r="BC1503" s="4"/>
      <c r="BD1503" s="4"/>
      <c r="BE1503" s="4"/>
      <c r="BF1503" s="4"/>
      <c r="BG1503" s="4"/>
      <c r="BH1503" s="4"/>
      <c r="BI1503" s="4"/>
      <c r="BJ1503" s="4"/>
      <c r="BK1503" s="4"/>
      <c r="BL1503" s="4"/>
      <c r="BM1503" s="4"/>
      <c r="BN1503" s="4"/>
      <c r="BO1503" s="4"/>
      <c r="BP1503" s="4"/>
      <c r="BQ1503" s="4"/>
      <c r="BR1503" s="4"/>
      <c r="BS1503" s="4"/>
      <c r="BT1503" s="4"/>
      <c r="BU1503" s="4"/>
      <c r="BV1503" s="4"/>
      <c r="BW1503" s="4"/>
      <c r="BX1503" s="4"/>
      <c r="BY1503" s="4"/>
      <c r="BZ1503" s="4"/>
      <c r="CA1503" s="4"/>
      <c r="CB1503" s="4"/>
      <c r="CC1503" s="4"/>
      <c r="CD1503" s="4"/>
      <c r="CE1503" s="4"/>
      <c r="CF1503" s="4"/>
      <c r="CG1503" s="4"/>
      <c r="CH1503" s="4"/>
      <c r="CI1503" s="4"/>
      <c r="CJ1503" s="4"/>
      <c r="CK1503" s="4"/>
      <c r="CL1503" s="4"/>
      <c r="CM1503" s="4"/>
      <c r="CN1503" s="4"/>
      <c r="CO1503" s="4"/>
      <c r="CP1503" s="4"/>
      <c r="CQ1503" s="4"/>
      <c r="CR1503" s="4"/>
      <c r="CS1503" s="4"/>
      <c r="CT1503" s="4"/>
      <c r="CU1503" s="4"/>
      <c r="CV1503" s="4"/>
      <c r="CW1503" s="4"/>
      <c r="CX1503" s="4"/>
      <c r="CY1503" s="4"/>
      <c r="CZ1503" s="4"/>
      <c r="DA1503" s="4"/>
      <c r="DB1503" s="4"/>
      <c r="DC1503" s="4"/>
      <c r="DD1503" s="4"/>
      <c r="DE1503" s="4"/>
      <c r="DF1503" s="4"/>
      <c r="DG1503" s="4"/>
      <c r="DH1503" s="4"/>
      <c r="DI1503" s="4"/>
      <c r="DJ1503" s="4"/>
      <c r="DK1503" s="4"/>
      <c r="DL1503" s="4"/>
      <c r="DM1503" s="4"/>
      <c r="DN1503" s="4"/>
      <c r="DO1503" s="4"/>
      <c r="DP1503" s="4"/>
      <c r="DQ1503" s="4"/>
      <c r="DR1503" s="4"/>
      <c r="DS1503" s="4"/>
      <c r="DT1503" s="4"/>
      <c r="DU1503" s="4"/>
      <c r="DV1503" s="4"/>
      <c r="DW1503" s="4"/>
      <c r="DX1503" s="4"/>
      <c r="DY1503" s="4"/>
      <c r="DZ1503" s="4"/>
      <c r="EA1503" s="4"/>
      <c r="EB1503" s="4"/>
      <c r="EC1503" s="4"/>
      <c r="ED1503" s="4"/>
      <c r="EE1503" s="4"/>
      <c r="EF1503" s="4"/>
      <c r="EG1503" s="4"/>
      <c r="EH1503" s="4"/>
      <c r="EI1503" s="4"/>
    </row>
    <row r="1504" spans="1:139" hidden="1" x14ac:dyDescent="0.2">
      <c r="A1504">
        <f>VLOOKUP(B1504,Sheet1!$A$1:$B$18,2,FALSE)</f>
        <v>0</v>
      </c>
      <c r="B1504" t="str">
        <f>LEFT(D1504,3)</f>
        <v>WKT</v>
      </c>
      <c r="C1504" s="2">
        <v>1503</v>
      </c>
      <c r="D1504" s="3" t="str">
        <f>HYPERLINK("https://sitebase.nzcomms.co.nz/spm/spmnominalview/WKT-019-009/","WKT-019-009")</f>
        <v>WKT-019-009</v>
      </c>
      <c r="E1504" s="4" t="s">
        <v>4509</v>
      </c>
      <c r="F1504" s="3" t="str">
        <f>HYPERLINK("https://sitebase.nzcomms.co.nz/spm/spmcandidateview/WKT-019-009-A/","WKT-019-009-A")</f>
        <v>WKT-019-009-A</v>
      </c>
      <c r="G1504" s="4" t="s">
        <v>4510</v>
      </c>
      <c r="H1504" s="4" t="s">
        <v>4491</v>
      </c>
      <c r="I1504" s="4">
        <v>22</v>
      </c>
      <c r="J1504" s="4" t="s">
        <v>331</v>
      </c>
      <c r="K1504" s="4" t="s">
        <v>141</v>
      </c>
      <c r="L1504" s="4" t="s">
        <v>142</v>
      </c>
      <c r="M1504" s="4" t="s">
        <v>166</v>
      </c>
      <c r="N1504" s="4" t="s">
        <v>142</v>
      </c>
      <c r="O1504" s="4"/>
      <c r="P1504" s="4" t="s">
        <v>169</v>
      </c>
      <c r="Q1504" s="4" t="s">
        <v>142</v>
      </c>
      <c r="R1504" s="4">
        <v>30</v>
      </c>
      <c r="S1504" s="4">
        <v>30.65</v>
      </c>
      <c r="T1504" s="4"/>
      <c r="U1504" s="4">
        <v>-38.305629039999999</v>
      </c>
      <c r="V1504" s="4">
        <v>175.96044375</v>
      </c>
      <c r="W1504" s="4"/>
      <c r="X1504" s="4"/>
      <c r="Y1504" s="4"/>
      <c r="Z1504" s="4"/>
      <c r="AA1504" s="4" t="s">
        <v>171</v>
      </c>
      <c r="AB1504" s="3" t="str">
        <f>HYPERLINK("https://sitebase.nzcomms.co.nz/spm/spmcandidateview/WKT-021-015-A/","WKT-021-015-A")</f>
        <v>WKT-021-015-A</v>
      </c>
      <c r="AC1504" s="4" t="b">
        <v>0</v>
      </c>
      <c r="AD1504" s="4" t="b">
        <v>0</v>
      </c>
      <c r="AE1504" s="4"/>
      <c r="AF1504" s="4"/>
      <c r="AG1504" s="4" t="b">
        <v>0</v>
      </c>
      <c r="AH1504" s="4"/>
      <c r="AI1504" s="5">
        <v>42334</v>
      </c>
      <c r="AJ1504" s="5">
        <v>42334</v>
      </c>
      <c r="AK1504" s="5">
        <v>42338</v>
      </c>
      <c r="AL1504" s="5">
        <v>42339</v>
      </c>
      <c r="AM1504" s="5">
        <v>42352</v>
      </c>
      <c r="AN1504" s="5">
        <v>41033</v>
      </c>
      <c r="AO1504" s="4">
        <v>3</v>
      </c>
      <c r="AP1504" s="5">
        <v>42355</v>
      </c>
      <c r="AQ1504" s="5">
        <v>42355</v>
      </c>
      <c r="AR1504" s="5">
        <v>42436</v>
      </c>
      <c r="AS1504" s="4"/>
      <c r="AT1504" s="5">
        <v>42485</v>
      </c>
      <c r="AU1504" s="4"/>
      <c r="AV1504" s="4"/>
      <c r="AW1504" s="5">
        <v>42485</v>
      </c>
      <c r="AX1504" s="4"/>
      <c r="AY1504" s="4" t="s">
        <v>183</v>
      </c>
      <c r="AZ1504" s="5">
        <v>42443</v>
      </c>
      <c r="BA1504" s="4"/>
      <c r="BB1504" s="5">
        <v>42478</v>
      </c>
      <c r="BC1504" s="4"/>
      <c r="BD1504" s="4"/>
      <c r="BE1504" s="5">
        <v>42478</v>
      </c>
      <c r="BF1504" s="4"/>
      <c r="BG1504" s="5">
        <v>42443</v>
      </c>
      <c r="BH1504" s="4"/>
      <c r="BI1504" s="5">
        <v>42485</v>
      </c>
      <c r="BJ1504" s="4"/>
      <c r="BK1504" s="4"/>
      <c r="BL1504" s="4"/>
      <c r="BM1504" s="5">
        <v>42485</v>
      </c>
      <c r="BN1504" s="4"/>
      <c r="BO1504" s="4"/>
      <c r="BP1504" s="4"/>
      <c r="BQ1504" s="4"/>
      <c r="BR1504" s="4"/>
      <c r="BS1504" s="4"/>
      <c r="BT1504" s="5">
        <v>42520</v>
      </c>
      <c r="BU1504" s="4"/>
      <c r="BV1504" s="5">
        <v>42548</v>
      </c>
      <c r="BW1504" s="4"/>
      <c r="BX1504" s="4"/>
      <c r="BY1504" s="5">
        <v>42562</v>
      </c>
      <c r="BZ1504" s="4"/>
      <c r="CA1504" s="4"/>
      <c r="CB1504" s="4"/>
      <c r="CC1504" s="4"/>
      <c r="CD1504" s="4"/>
      <c r="CE1504" s="4"/>
      <c r="CF1504" s="4"/>
      <c r="CG1504" s="4"/>
      <c r="CH1504" s="4"/>
      <c r="CI1504" s="4"/>
      <c r="CJ1504" s="5">
        <v>42593</v>
      </c>
      <c r="CK1504" s="4"/>
      <c r="CL1504" s="4"/>
      <c r="CM1504" s="4"/>
      <c r="CN1504" s="4"/>
      <c r="CO1504" s="4"/>
      <c r="CP1504" s="4" t="s">
        <v>4511</v>
      </c>
      <c r="CQ1504" s="4" t="s">
        <v>230</v>
      </c>
      <c r="CR1504" s="4"/>
      <c r="CS1504" s="4"/>
      <c r="CT1504" s="4"/>
      <c r="CU1504" s="4"/>
      <c r="CV1504" s="4"/>
      <c r="CW1504" s="4"/>
      <c r="CX1504" s="4"/>
      <c r="CY1504" s="4"/>
      <c r="CZ1504" s="4"/>
      <c r="DA1504" s="5">
        <v>42583</v>
      </c>
      <c r="DB1504" s="4"/>
      <c r="DC1504" s="4"/>
      <c r="DD1504" s="4"/>
      <c r="DE1504" s="4" t="s">
        <v>4501</v>
      </c>
      <c r="DF1504" s="4"/>
      <c r="DG1504" s="4"/>
      <c r="DH1504" s="4" t="s">
        <v>174</v>
      </c>
      <c r="DI1504" s="4"/>
      <c r="DJ1504" s="4" t="b">
        <v>0</v>
      </c>
      <c r="DK1504" s="4"/>
      <c r="DL1504" s="4">
        <v>2769000</v>
      </c>
      <c r="DM1504" s="4">
        <v>6317700</v>
      </c>
      <c r="DN1504" s="4" t="s">
        <v>4512</v>
      </c>
      <c r="DO1504" s="4"/>
      <c r="DP1504" s="4"/>
      <c r="DQ1504" s="4" t="s">
        <v>148</v>
      </c>
      <c r="DR1504" s="4" t="s">
        <v>255</v>
      </c>
      <c r="DS1504" s="4"/>
      <c r="DT1504" s="4"/>
      <c r="DU1504" s="4" t="s">
        <v>178</v>
      </c>
      <c r="DV1504" s="4"/>
      <c r="DW1504" s="4"/>
      <c r="DX1504" s="4"/>
      <c r="DY1504" s="5">
        <v>42485</v>
      </c>
      <c r="DZ1504" s="4"/>
      <c r="EA1504" s="4"/>
      <c r="EB1504" s="4"/>
      <c r="EC1504" s="4"/>
      <c r="ED1504" s="4"/>
      <c r="EE1504" s="5">
        <v>42506</v>
      </c>
      <c r="EF1504" s="4"/>
      <c r="EG1504" s="4"/>
      <c r="EH1504" s="4"/>
      <c r="EI1504" s="5">
        <v>42339</v>
      </c>
    </row>
    <row r="1505" spans="1:139" hidden="1" x14ac:dyDescent="0.2">
      <c r="A1505">
        <f>VLOOKUP(B1505,Sheet1!$A$1:$B$18,2,FALSE)</f>
        <v>0</v>
      </c>
      <c r="B1505" t="str">
        <f>LEFT(D1505,3)</f>
        <v>WKT</v>
      </c>
      <c r="C1505" s="2">
        <v>1504</v>
      </c>
      <c r="D1505" s="3" t="str">
        <f>HYPERLINK("https://sitebase.nzcomms.co.nz/spm/spmnominalview/WKT-019-010/","WKT-019-010")</f>
        <v>WKT-019-010</v>
      </c>
      <c r="E1505" s="4" t="s">
        <v>4513</v>
      </c>
      <c r="F1505" s="4"/>
      <c r="G1505" s="4"/>
      <c r="H1505" s="4" t="s">
        <v>4491</v>
      </c>
      <c r="I1505" s="4"/>
      <c r="J1505" s="4" t="s">
        <v>722</v>
      </c>
      <c r="K1505" s="4"/>
      <c r="L1505" s="4"/>
      <c r="M1505" s="4"/>
      <c r="N1505" s="4"/>
      <c r="O1505" s="4"/>
      <c r="P1505" s="4"/>
      <c r="Q1505" s="4"/>
      <c r="R1505" s="4"/>
      <c r="S1505" s="4"/>
      <c r="T1505" s="4"/>
      <c r="U1505" s="4"/>
      <c r="V1505" s="4"/>
      <c r="W1505" s="4"/>
      <c r="X1505" s="4"/>
      <c r="Y1505" s="4"/>
      <c r="Z1505" s="4"/>
      <c r="AA1505" s="4"/>
      <c r="AB1505" s="4"/>
      <c r="AC1505" s="4"/>
      <c r="AD1505" s="4"/>
      <c r="AE1505" s="4"/>
      <c r="AF1505" s="4"/>
      <c r="AG1505" s="4" t="b">
        <v>0</v>
      </c>
      <c r="AH1505" s="4"/>
      <c r="AI1505" s="4"/>
      <c r="AJ1505" s="4"/>
      <c r="AK1505" s="4"/>
      <c r="AL1505" s="4"/>
      <c r="AM1505" s="4"/>
      <c r="AN1505" s="4"/>
      <c r="AO1505" s="4"/>
      <c r="AP1505" s="4"/>
      <c r="AQ1505" s="4"/>
      <c r="AR1505" s="4"/>
      <c r="AS1505" s="4"/>
      <c r="AT1505" s="4"/>
      <c r="AU1505" s="4"/>
      <c r="AV1505" s="4"/>
      <c r="AW1505" s="4"/>
      <c r="AX1505" s="4"/>
      <c r="AY1505" s="4"/>
      <c r="AZ1505" s="4"/>
      <c r="BA1505" s="4"/>
      <c r="BB1505" s="4"/>
      <c r="BC1505" s="4"/>
      <c r="BD1505" s="4"/>
      <c r="BE1505" s="4"/>
      <c r="BF1505" s="4"/>
      <c r="BG1505" s="4"/>
      <c r="BH1505" s="4"/>
      <c r="BI1505" s="4"/>
      <c r="BJ1505" s="4"/>
      <c r="BK1505" s="4"/>
      <c r="BL1505" s="4"/>
      <c r="BM1505" s="4"/>
      <c r="BN1505" s="4"/>
      <c r="BO1505" s="4"/>
      <c r="BP1505" s="4"/>
      <c r="BQ1505" s="4"/>
      <c r="BR1505" s="4"/>
      <c r="BS1505" s="4"/>
      <c r="BT1505" s="4"/>
      <c r="BU1505" s="4"/>
      <c r="BV1505" s="4"/>
      <c r="BW1505" s="4"/>
      <c r="BX1505" s="4"/>
      <c r="BY1505" s="4"/>
      <c r="BZ1505" s="4"/>
      <c r="CA1505" s="4"/>
      <c r="CB1505" s="4"/>
      <c r="CC1505" s="4"/>
      <c r="CD1505" s="4"/>
      <c r="CE1505" s="4"/>
      <c r="CF1505" s="4"/>
      <c r="CG1505" s="4"/>
      <c r="CH1505" s="4"/>
      <c r="CI1505" s="4"/>
      <c r="CJ1505" s="4"/>
      <c r="CK1505" s="4"/>
      <c r="CL1505" s="4"/>
      <c r="CM1505" s="4"/>
      <c r="CN1505" s="4"/>
      <c r="CO1505" s="4"/>
      <c r="CP1505" s="4"/>
      <c r="CQ1505" s="4"/>
      <c r="CR1505" s="4"/>
      <c r="CS1505" s="4"/>
      <c r="CT1505" s="4"/>
      <c r="CU1505" s="4"/>
      <c r="CV1505" s="4"/>
      <c r="CW1505" s="4"/>
      <c r="CX1505" s="4"/>
      <c r="CY1505" s="4"/>
      <c r="CZ1505" s="4"/>
      <c r="DA1505" s="4"/>
      <c r="DB1505" s="4"/>
      <c r="DC1505" s="4"/>
      <c r="DD1505" s="4"/>
      <c r="DE1505" s="4"/>
      <c r="DF1505" s="4"/>
      <c r="DG1505" s="4"/>
      <c r="DH1505" s="4"/>
      <c r="DI1505" s="4"/>
      <c r="DJ1505" s="4"/>
      <c r="DK1505" s="4"/>
      <c r="DL1505" s="4"/>
      <c r="DM1505" s="4"/>
      <c r="DN1505" s="4"/>
      <c r="DO1505" s="4"/>
      <c r="DP1505" s="4"/>
      <c r="DQ1505" s="4"/>
      <c r="DR1505" s="4"/>
      <c r="DS1505" s="4"/>
      <c r="DT1505" s="4"/>
      <c r="DU1505" s="4"/>
      <c r="DV1505" s="4"/>
      <c r="DW1505" s="4"/>
      <c r="DX1505" s="4"/>
      <c r="DY1505" s="4"/>
      <c r="DZ1505" s="4"/>
      <c r="EA1505" s="4"/>
      <c r="EB1505" s="4"/>
      <c r="EC1505" s="4"/>
      <c r="ED1505" s="4"/>
      <c r="EE1505" s="4"/>
      <c r="EF1505" s="4"/>
      <c r="EG1505" s="4"/>
      <c r="EH1505" s="4"/>
      <c r="EI1505" s="4"/>
    </row>
    <row r="1506" spans="1:139" hidden="1" x14ac:dyDescent="0.2">
      <c r="A1506">
        <f>VLOOKUP(B1506,Sheet1!$A$1:$B$18,2,FALSE)</f>
        <v>0</v>
      </c>
      <c r="B1506" t="str">
        <f>LEFT(D1506,3)</f>
        <v>WKT</v>
      </c>
      <c r="C1506" s="2">
        <v>1505</v>
      </c>
      <c r="D1506" s="3" t="str">
        <f>HYPERLINK("https://sitebase.nzcomms.co.nz/spm/spmnominalview/WKT-019-011/","WKT-019-011")</f>
        <v>WKT-019-011</v>
      </c>
      <c r="E1506" s="4" t="s">
        <v>4514</v>
      </c>
      <c r="F1506" s="3" t="str">
        <f>HYPERLINK("https://sitebase.nzcomms.co.nz/spm/spmcandidateview/WKT-019-011-A/","WKT-019-011-A")</f>
        <v>WKT-019-011-A</v>
      </c>
      <c r="G1506" s="4" t="s">
        <v>4515</v>
      </c>
      <c r="H1506" s="4" t="s">
        <v>4491</v>
      </c>
      <c r="I1506" s="4">
        <v>22</v>
      </c>
      <c r="J1506" s="4" t="s">
        <v>570</v>
      </c>
      <c r="K1506" s="4" t="s">
        <v>141</v>
      </c>
      <c r="L1506" s="4" t="s">
        <v>150</v>
      </c>
      <c r="M1506" s="4" t="s">
        <v>190</v>
      </c>
      <c r="N1506" s="4" t="s">
        <v>1572</v>
      </c>
      <c r="O1506" s="4"/>
      <c r="P1506" s="4" t="s">
        <v>169</v>
      </c>
      <c r="Q1506" s="4" t="s">
        <v>192</v>
      </c>
      <c r="R1506" s="4">
        <v>23</v>
      </c>
      <c r="S1506" s="4">
        <v>25</v>
      </c>
      <c r="T1506" s="4"/>
      <c r="U1506" s="4">
        <v>-38.233053939999998</v>
      </c>
      <c r="V1506" s="4">
        <v>175.84783669999999</v>
      </c>
      <c r="W1506" s="4"/>
      <c r="X1506" s="4"/>
      <c r="Y1506" s="4"/>
      <c r="Z1506" s="4"/>
      <c r="AA1506" s="4" t="s">
        <v>171</v>
      </c>
      <c r="AB1506" s="3" t="str">
        <f>HYPERLINK("https://sitebase.nzcomms.co.nz/spm/spmcandidateview/WKT-019-007-B/","WKT-019-007-B")</f>
        <v>WKT-019-007-B</v>
      </c>
      <c r="AC1506" s="4" t="b">
        <v>0</v>
      </c>
      <c r="AD1506" s="4" t="b">
        <v>0</v>
      </c>
      <c r="AE1506" s="4"/>
      <c r="AF1506" s="4"/>
      <c r="AG1506" s="4" t="b">
        <v>0</v>
      </c>
      <c r="AH1506" s="4"/>
      <c r="AI1506" s="5">
        <v>41857</v>
      </c>
      <c r="AJ1506" s="5">
        <v>41857</v>
      </c>
      <c r="AK1506" s="5">
        <v>41862</v>
      </c>
      <c r="AL1506" s="5">
        <v>41862</v>
      </c>
      <c r="AM1506" s="5">
        <v>41883</v>
      </c>
      <c r="AN1506" s="5">
        <v>41884</v>
      </c>
      <c r="AO1506" s="4">
        <v>1</v>
      </c>
      <c r="AP1506" s="5">
        <v>41890</v>
      </c>
      <c r="AQ1506" s="5">
        <v>41884</v>
      </c>
      <c r="AR1506" s="5">
        <v>41894</v>
      </c>
      <c r="AS1506" s="5">
        <v>41876</v>
      </c>
      <c r="AT1506" s="5">
        <v>41922</v>
      </c>
      <c r="AU1506" s="5">
        <v>41921</v>
      </c>
      <c r="AV1506" s="4"/>
      <c r="AW1506" s="5">
        <v>41929</v>
      </c>
      <c r="AX1506" s="5">
        <v>41921</v>
      </c>
      <c r="AY1506" s="4" t="s">
        <v>172</v>
      </c>
      <c r="AZ1506" s="5">
        <v>41887</v>
      </c>
      <c r="BA1506" s="5">
        <v>41887</v>
      </c>
      <c r="BB1506" s="5">
        <v>41929</v>
      </c>
      <c r="BC1506" s="5">
        <v>41907</v>
      </c>
      <c r="BD1506" s="4">
        <v>1</v>
      </c>
      <c r="BE1506" s="5">
        <v>41936</v>
      </c>
      <c r="BF1506" s="5">
        <v>41907</v>
      </c>
      <c r="BG1506" s="5">
        <v>41912</v>
      </c>
      <c r="BH1506" s="5">
        <v>41912</v>
      </c>
      <c r="BI1506" s="5">
        <v>41946</v>
      </c>
      <c r="BJ1506" s="5">
        <v>41941</v>
      </c>
      <c r="BK1506" s="4">
        <v>2</v>
      </c>
      <c r="BL1506" s="4"/>
      <c r="BM1506" s="5">
        <v>41953</v>
      </c>
      <c r="BN1506" s="5">
        <v>42066</v>
      </c>
      <c r="BO1506" s="4"/>
      <c r="BP1506" s="4"/>
      <c r="BQ1506" s="4"/>
      <c r="BR1506" s="4"/>
      <c r="BS1506" s="4"/>
      <c r="BT1506" s="5">
        <v>42212</v>
      </c>
      <c r="BU1506" s="5">
        <v>42202</v>
      </c>
      <c r="BV1506" s="5">
        <v>42255</v>
      </c>
      <c r="BW1506" s="5">
        <v>42255</v>
      </c>
      <c r="BX1506" s="4"/>
      <c r="BY1506" s="5">
        <v>42234</v>
      </c>
      <c r="BZ1506" s="5">
        <v>42234</v>
      </c>
      <c r="CA1506" s="4"/>
      <c r="CB1506" s="4"/>
      <c r="CC1506" s="4"/>
      <c r="CD1506" s="4"/>
      <c r="CE1506" s="4"/>
      <c r="CF1506" s="4"/>
      <c r="CG1506" s="4"/>
      <c r="CH1506" s="4"/>
      <c r="CI1506" s="4"/>
      <c r="CJ1506" s="5">
        <v>42268</v>
      </c>
      <c r="CK1506" s="5">
        <v>42268</v>
      </c>
      <c r="CL1506" s="5">
        <v>42284</v>
      </c>
      <c r="CM1506" s="5">
        <v>42284</v>
      </c>
      <c r="CN1506" s="4"/>
      <c r="CO1506" s="4"/>
      <c r="CP1506" s="4" t="s">
        <v>4516</v>
      </c>
      <c r="CQ1506" s="4"/>
      <c r="CR1506" s="4"/>
      <c r="CS1506" s="4"/>
      <c r="CT1506" s="4"/>
      <c r="CU1506" s="4"/>
      <c r="CV1506" s="4"/>
      <c r="CW1506" s="4"/>
      <c r="CX1506" s="4"/>
      <c r="CY1506" s="4"/>
      <c r="CZ1506" s="4"/>
      <c r="DA1506" s="5">
        <v>42264</v>
      </c>
      <c r="DB1506" s="5">
        <v>42262</v>
      </c>
      <c r="DC1506" s="4"/>
      <c r="DD1506" s="4"/>
      <c r="DE1506" s="4"/>
      <c r="DF1506" s="4"/>
      <c r="DG1506" s="4"/>
      <c r="DH1506" s="4" t="s">
        <v>174</v>
      </c>
      <c r="DI1506" s="4"/>
      <c r="DJ1506" s="4" t="b">
        <v>0</v>
      </c>
      <c r="DK1506" s="4"/>
      <c r="DL1506" s="4">
        <v>2759416</v>
      </c>
      <c r="DM1506" s="4">
        <v>6326072</v>
      </c>
      <c r="DN1506" s="4" t="s">
        <v>4517</v>
      </c>
      <c r="DO1506" s="4"/>
      <c r="DP1506" s="4"/>
      <c r="DQ1506" s="4" t="s">
        <v>148</v>
      </c>
      <c r="DR1506" s="4"/>
      <c r="DS1506" s="4"/>
      <c r="DT1506" s="5">
        <v>42348</v>
      </c>
      <c r="DU1506" s="4" t="s">
        <v>577</v>
      </c>
      <c r="DV1506" s="4"/>
      <c r="DW1506" s="5">
        <v>42074</v>
      </c>
      <c r="DX1506" s="5">
        <v>42093</v>
      </c>
      <c r="DY1506" s="5">
        <v>42095</v>
      </c>
      <c r="DZ1506" s="5">
        <v>42095</v>
      </c>
      <c r="EA1506" s="4"/>
      <c r="EB1506" s="4"/>
      <c r="EC1506" s="4"/>
      <c r="ED1506" s="4"/>
      <c r="EE1506" s="5">
        <v>42167</v>
      </c>
      <c r="EF1506" s="5">
        <v>42188</v>
      </c>
      <c r="EG1506" s="4"/>
      <c r="EH1506" s="4"/>
      <c r="EI1506" s="5">
        <v>41862</v>
      </c>
    </row>
    <row r="1507" spans="1:139" hidden="1" x14ac:dyDescent="0.2">
      <c r="A1507">
        <f>VLOOKUP(B1507,Sheet1!$A$1:$B$18,2,FALSE)</f>
        <v>0</v>
      </c>
      <c r="B1507" t="str">
        <f>LEFT(D1507,3)</f>
        <v>WKT</v>
      </c>
      <c r="C1507" s="2">
        <v>1506</v>
      </c>
      <c r="D1507" s="3" t="str">
        <f>HYPERLINK("https://sitebase.nzcomms.co.nz/spm/spmnominalview/WKT-020-001/","WKT-020-001")</f>
        <v>WKT-020-001</v>
      </c>
      <c r="E1507" s="4" t="s">
        <v>4518</v>
      </c>
      <c r="F1507" s="3" t="str">
        <f>HYPERLINK("https://sitebase.nzcomms.co.nz/spm/spmcandidateview/WKT-020-001-A/","WKT-020-001-A")</f>
        <v>WKT-020-001-A</v>
      </c>
      <c r="G1507" s="4" t="s">
        <v>4519</v>
      </c>
      <c r="H1507" s="4" t="s">
        <v>4520</v>
      </c>
      <c r="I1507" s="4">
        <v>6</v>
      </c>
      <c r="J1507" s="4" t="s">
        <v>584</v>
      </c>
      <c r="K1507" s="4" t="s">
        <v>141</v>
      </c>
      <c r="L1507" s="4" t="s">
        <v>150</v>
      </c>
      <c r="M1507" s="4" t="s">
        <v>190</v>
      </c>
      <c r="N1507" s="4" t="s">
        <v>142</v>
      </c>
      <c r="O1507" s="4" t="s">
        <v>168</v>
      </c>
      <c r="P1507" s="4" t="s">
        <v>169</v>
      </c>
      <c r="Q1507" s="4" t="s">
        <v>170</v>
      </c>
      <c r="R1507" s="4">
        <v>15</v>
      </c>
      <c r="S1507" s="4">
        <v>25</v>
      </c>
      <c r="T1507" s="4">
        <v>1</v>
      </c>
      <c r="U1507" s="4">
        <v>-38.333334579999999</v>
      </c>
      <c r="V1507" s="4">
        <v>175.14106885000001</v>
      </c>
      <c r="W1507" s="4"/>
      <c r="X1507" s="4"/>
      <c r="Y1507" s="4"/>
      <c r="Z1507" s="4"/>
      <c r="AA1507" s="4" t="s">
        <v>171</v>
      </c>
      <c r="AB1507" s="3" t="str">
        <f>HYPERLINK("https://sitebase.nzcomms.co.nz/spm/spmcandidateview/WKT-018-002-C/","WKT-018-002-C")</f>
        <v>WKT-018-002-C</v>
      </c>
      <c r="AC1507" s="4" t="b">
        <v>0</v>
      </c>
      <c r="AD1507" s="4" t="b">
        <v>0</v>
      </c>
      <c r="AE1507" s="4"/>
      <c r="AF1507" s="4"/>
      <c r="AG1507" s="4" t="b">
        <v>0</v>
      </c>
      <c r="AH1507" s="4"/>
      <c r="AI1507" s="5">
        <v>41002</v>
      </c>
      <c r="AJ1507" s="5">
        <v>41002</v>
      </c>
      <c r="AK1507" s="5">
        <v>41004</v>
      </c>
      <c r="AL1507" s="5">
        <v>41004</v>
      </c>
      <c r="AM1507" s="5">
        <v>41071</v>
      </c>
      <c r="AN1507" s="5">
        <v>41059</v>
      </c>
      <c r="AO1507" s="4">
        <v>1</v>
      </c>
      <c r="AP1507" s="5">
        <v>41071</v>
      </c>
      <c r="AQ1507" s="5">
        <v>41059</v>
      </c>
      <c r="AR1507" s="5">
        <v>41108</v>
      </c>
      <c r="AS1507" s="5">
        <v>41067</v>
      </c>
      <c r="AT1507" s="5">
        <v>41117</v>
      </c>
      <c r="AU1507" s="5">
        <v>41100</v>
      </c>
      <c r="AV1507" s="4"/>
      <c r="AW1507" s="5">
        <v>41127</v>
      </c>
      <c r="AX1507" s="5">
        <v>41128</v>
      </c>
      <c r="AY1507" s="4" t="s">
        <v>172</v>
      </c>
      <c r="AZ1507" s="5">
        <v>41089</v>
      </c>
      <c r="BA1507" s="5">
        <v>41089</v>
      </c>
      <c r="BB1507" s="5">
        <v>41127</v>
      </c>
      <c r="BC1507" s="5">
        <v>41101</v>
      </c>
      <c r="BD1507" s="4">
        <v>1</v>
      </c>
      <c r="BE1507" s="5">
        <v>41110</v>
      </c>
      <c r="BF1507" s="5">
        <v>41109</v>
      </c>
      <c r="BG1507" s="5">
        <v>41775</v>
      </c>
      <c r="BH1507" s="4"/>
      <c r="BI1507" s="5">
        <v>41824</v>
      </c>
      <c r="BJ1507" s="5">
        <v>41829</v>
      </c>
      <c r="BK1507" s="4">
        <v>1</v>
      </c>
      <c r="BL1507" s="4"/>
      <c r="BM1507" s="5">
        <v>41828</v>
      </c>
      <c r="BN1507" s="5">
        <v>41829</v>
      </c>
      <c r="BO1507" s="4"/>
      <c r="BP1507" s="4"/>
      <c r="BQ1507" s="4"/>
      <c r="BR1507" s="4"/>
      <c r="BS1507" s="4"/>
      <c r="BT1507" s="5">
        <v>41852</v>
      </c>
      <c r="BU1507" s="5">
        <v>41852</v>
      </c>
      <c r="BV1507" s="5">
        <v>41869</v>
      </c>
      <c r="BW1507" s="5">
        <v>41880</v>
      </c>
      <c r="BX1507" s="5">
        <v>41873</v>
      </c>
      <c r="BY1507" s="5">
        <v>41890</v>
      </c>
      <c r="BZ1507" s="5">
        <v>41891</v>
      </c>
      <c r="CA1507" s="5">
        <v>41885</v>
      </c>
      <c r="CB1507" s="5">
        <v>41887</v>
      </c>
      <c r="CC1507" s="4"/>
      <c r="CD1507" s="4"/>
      <c r="CE1507" s="4"/>
      <c r="CF1507" s="4"/>
      <c r="CG1507" s="4"/>
      <c r="CH1507" s="4"/>
      <c r="CI1507" s="4"/>
      <c r="CJ1507" s="5">
        <v>41912</v>
      </c>
      <c r="CK1507" s="5">
        <v>41905</v>
      </c>
      <c r="CL1507" s="4"/>
      <c r="CM1507" s="4"/>
      <c r="CN1507" s="4"/>
      <c r="CO1507" s="4"/>
      <c r="CP1507" s="4" t="s">
        <v>4521</v>
      </c>
      <c r="CQ1507" s="4"/>
      <c r="CR1507" s="4"/>
      <c r="CS1507" s="4"/>
      <c r="CT1507" s="4"/>
      <c r="CU1507" s="4"/>
      <c r="CV1507" s="4"/>
      <c r="CW1507" s="4"/>
      <c r="CX1507" s="4"/>
      <c r="CY1507" s="4"/>
      <c r="CZ1507" s="4"/>
      <c r="DA1507" s="5">
        <v>41899</v>
      </c>
      <c r="DB1507" s="5">
        <v>41898</v>
      </c>
      <c r="DC1507" s="4"/>
      <c r="DD1507" s="4"/>
      <c r="DE1507" s="4" t="s">
        <v>4444</v>
      </c>
      <c r="DF1507" s="4"/>
      <c r="DG1507" s="4"/>
      <c r="DH1507" s="4" t="s">
        <v>174</v>
      </c>
      <c r="DI1507" s="4"/>
      <c r="DJ1507" s="4" t="b">
        <v>0</v>
      </c>
      <c r="DK1507" s="4"/>
      <c r="DL1507" s="4">
        <v>2697301</v>
      </c>
      <c r="DM1507" s="4">
        <v>6316692</v>
      </c>
      <c r="DN1507" s="4" t="s">
        <v>4522</v>
      </c>
      <c r="DO1507" s="4"/>
      <c r="DP1507" s="4"/>
      <c r="DQ1507" s="4" t="s">
        <v>148</v>
      </c>
      <c r="DR1507" s="4"/>
      <c r="DS1507" s="4"/>
      <c r="DT1507" s="4"/>
      <c r="DU1507" s="4"/>
      <c r="DV1507" s="4"/>
      <c r="DW1507" s="4"/>
      <c r="DX1507" s="4"/>
      <c r="DY1507" s="5">
        <v>41835</v>
      </c>
      <c r="DZ1507" s="5">
        <v>41835</v>
      </c>
      <c r="EA1507" s="4"/>
      <c r="EB1507" s="4"/>
      <c r="EC1507" s="4"/>
      <c r="ED1507" s="4"/>
      <c r="EE1507" s="4"/>
      <c r="EF1507" s="4"/>
      <c r="EG1507" s="4"/>
      <c r="EH1507" s="4"/>
      <c r="EI1507" s="4"/>
    </row>
    <row r="1508" spans="1:139" hidden="1" x14ac:dyDescent="0.2">
      <c r="A1508">
        <f>VLOOKUP(B1508,Sheet1!$A$1:$B$18,2,FALSE)</f>
        <v>0</v>
      </c>
      <c r="B1508" t="str">
        <f>LEFT(D1508,3)</f>
        <v>WKT</v>
      </c>
      <c r="C1508" s="2">
        <v>1507</v>
      </c>
      <c r="D1508" s="3" t="str">
        <f>HYPERLINK("https://sitebase.nzcomms.co.nz/spm/spmnominalview/WKT-020-002/","WKT-020-002")</f>
        <v>WKT-020-002</v>
      </c>
      <c r="E1508" s="4"/>
      <c r="F1508" s="4"/>
      <c r="G1508" s="4"/>
      <c r="H1508" s="4" t="s">
        <v>4520</v>
      </c>
      <c r="I1508" s="4"/>
      <c r="J1508" s="4" t="s">
        <v>196</v>
      </c>
      <c r="K1508" s="4"/>
      <c r="L1508" s="4"/>
      <c r="M1508" s="4"/>
      <c r="N1508" s="4"/>
      <c r="O1508" s="4"/>
      <c r="P1508" s="4"/>
      <c r="Q1508" s="4"/>
      <c r="R1508" s="4"/>
      <c r="S1508" s="4"/>
      <c r="T1508" s="4"/>
      <c r="U1508" s="4"/>
      <c r="V1508" s="4"/>
      <c r="W1508" s="4"/>
      <c r="X1508" s="4"/>
      <c r="Y1508" s="4"/>
      <c r="Z1508" s="4"/>
      <c r="AA1508" s="4"/>
      <c r="AB1508" s="4"/>
      <c r="AC1508" s="4"/>
      <c r="AD1508" s="4"/>
      <c r="AE1508" s="4"/>
      <c r="AF1508" s="4"/>
      <c r="AG1508" s="4"/>
      <c r="AH1508" s="4"/>
      <c r="AI1508" s="4"/>
      <c r="AJ1508" s="4"/>
      <c r="AK1508" s="4"/>
      <c r="AL1508" s="4"/>
      <c r="AM1508" s="4"/>
      <c r="AN1508" s="4"/>
      <c r="AO1508" s="4"/>
      <c r="AP1508" s="4"/>
      <c r="AQ1508" s="4"/>
      <c r="AR1508" s="4"/>
      <c r="AS1508" s="4"/>
      <c r="AT1508" s="4"/>
      <c r="AU1508" s="4"/>
      <c r="AV1508" s="4"/>
      <c r="AW1508" s="4"/>
      <c r="AX1508" s="4"/>
      <c r="AY1508" s="4"/>
      <c r="AZ1508" s="4"/>
      <c r="BA1508" s="4"/>
      <c r="BB1508" s="4"/>
      <c r="BC1508" s="4"/>
      <c r="BD1508" s="4"/>
      <c r="BE1508" s="4"/>
      <c r="BF1508" s="4"/>
      <c r="BG1508" s="4"/>
      <c r="BH1508" s="4"/>
      <c r="BI1508" s="4"/>
      <c r="BJ1508" s="4"/>
      <c r="BK1508" s="4"/>
      <c r="BL1508" s="4"/>
      <c r="BM1508" s="4"/>
      <c r="BN1508" s="4"/>
      <c r="BO1508" s="4"/>
      <c r="BP1508" s="4"/>
      <c r="BQ1508" s="4"/>
      <c r="BR1508" s="4"/>
      <c r="BS1508" s="4"/>
      <c r="BT1508" s="4"/>
      <c r="BU1508" s="4"/>
      <c r="BV1508" s="4"/>
      <c r="BW1508" s="4"/>
      <c r="BX1508" s="4"/>
      <c r="BY1508" s="4"/>
      <c r="BZ1508" s="4"/>
      <c r="CA1508" s="4"/>
      <c r="CB1508" s="4"/>
      <c r="CC1508" s="4"/>
      <c r="CD1508" s="4"/>
      <c r="CE1508" s="4"/>
      <c r="CF1508" s="4"/>
      <c r="CG1508" s="4"/>
      <c r="CH1508" s="4"/>
      <c r="CI1508" s="4"/>
      <c r="CJ1508" s="4"/>
      <c r="CK1508" s="4"/>
      <c r="CL1508" s="4"/>
      <c r="CM1508" s="4"/>
      <c r="CN1508" s="4"/>
      <c r="CO1508" s="4"/>
      <c r="CP1508" s="4"/>
      <c r="CQ1508" s="4"/>
      <c r="CR1508" s="4"/>
      <c r="CS1508" s="4"/>
      <c r="CT1508" s="4"/>
      <c r="CU1508" s="4"/>
      <c r="CV1508" s="4"/>
      <c r="CW1508" s="4"/>
      <c r="CX1508" s="4"/>
      <c r="CY1508" s="4"/>
      <c r="CZ1508" s="4"/>
      <c r="DA1508" s="4"/>
      <c r="DB1508" s="4"/>
      <c r="DC1508" s="4"/>
      <c r="DD1508" s="4"/>
      <c r="DE1508" s="4"/>
      <c r="DF1508" s="4"/>
      <c r="DG1508" s="4"/>
      <c r="DH1508" s="4"/>
      <c r="DI1508" s="4"/>
      <c r="DJ1508" s="4"/>
      <c r="DK1508" s="4"/>
      <c r="DL1508" s="4"/>
      <c r="DM1508" s="4"/>
      <c r="DN1508" s="4"/>
      <c r="DO1508" s="4"/>
      <c r="DP1508" s="4"/>
      <c r="DQ1508" s="4"/>
      <c r="DR1508" s="4"/>
      <c r="DS1508" s="4"/>
      <c r="DT1508" s="4"/>
      <c r="DU1508" s="4"/>
      <c r="DV1508" s="4"/>
      <c r="DW1508" s="4"/>
      <c r="DX1508" s="4"/>
      <c r="DY1508" s="4"/>
      <c r="DZ1508" s="4"/>
      <c r="EA1508" s="4"/>
      <c r="EB1508" s="4"/>
      <c r="EC1508" s="4"/>
      <c r="ED1508" s="4"/>
      <c r="EE1508" s="4"/>
      <c r="EF1508" s="4"/>
      <c r="EG1508" s="4"/>
      <c r="EH1508" s="4"/>
      <c r="EI1508" s="4"/>
    </row>
    <row r="1509" spans="1:139" hidden="1" x14ac:dyDescent="0.2">
      <c r="A1509">
        <f>VLOOKUP(B1509,Sheet1!$A$1:$B$18,2,FALSE)</f>
        <v>0</v>
      </c>
      <c r="B1509" t="str">
        <f>LEFT(D1509,3)</f>
        <v>WKT</v>
      </c>
      <c r="C1509" s="2">
        <v>1508</v>
      </c>
      <c r="D1509" s="3" t="str">
        <f>HYPERLINK("https://sitebase.nzcomms.co.nz/spm/spmnominalview/WKT-020-004/","WKT-020-004")</f>
        <v>WKT-020-004</v>
      </c>
      <c r="E1509" s="4"/>
      <c r="F1509" s="4"/>
      <c r="G1509" s="4"/>
      <c r="H1509" s="4" t="s">
        <v>4520</v>
      </c>
      <c r="I1509" s="4"/>
      <c r="J1509" s="4" t="s">
        <v>196</v>
      </c>
      <c r="K1509" s="4"/>
      <c r="L1509" s="4"/>
      <c r="M1509" s="4"/>
      <c r="N1509" s="4"/>
      <c r="O1509" s="4"/>
      <c r="P1509" s="4"/>
      <c r="Q1509" s="4"/>
      <c r="R1509" s="4"/>
      <c r="S1509" s="4"/>
      <c r="T1509" s="4"/>
      <c r="U1509" s="4"/>
      <c r="V1509" s="4"/>
      <c r="W1509" s="4"/>
      <c r="X1509" s="4"/>
      <c r="Y1509" s="4"/>
      <c r="Z1509" s="4"/>
      <c r="AA1509" s="4"/>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B1509" s="4"/>
      <c r="BC1509" s="4"/>
      <c r="BD1509" s="4"/>
      <c r="BE1509" s="4"/>
      <c r="BF1509" s="4"/>
      <c r="BG1509" s="4"/>
      <c r="BH1509" s="4"/>
      <c r="BI1509" s="4"/>
      <c r="BJ1509" s="4"/>
      <c r="BK1509" s="4"/>
      <c r="BL1509" s="4"/>
      <c r="BM1509" s="4"/>
      <c r="BN1509" s="4"/>
      <c r="BO1509" s="4"/>
      <c r="BP1509" s="4"/>
      <c r="BQ1509" s="4"/>
      <c r="BR1509" s="4"/>
      <c r="BS1509" s="4"/>
      <c r="BT1509" s="4"/>
      <c r="BU1509" s="4"/>
      <c r="BV1509" s="4"/>
      <c r="BW1509" s="4"/>
      <c r="BX1509" s="4"/>
      <c r="BY1509" s="4"/>
      <c r="BZ1509" s="4"/>
      <c r="CA1509" s="4"/>
      <c r="CB1509" s="4"/>
      <c r="CC1509" s="4"/>
      <c r="CD1509" s="4"/>
      <c r="CE1509" s="4"/>
      <c r="CF1509" s="4"/>
      <c r="CG1509" s="4"/>
      <c r="CH1509" s="4"/>
      <c r="CI1509" s="4"/>
      <c r="CJ1509" s="4"/>
      <c r="CK1509" s="4"/>
      <c r="CL1509" s="4"/>
      <c r="CM1509" s="4"/>
      <c r="CN1509" s="4"/>
      <c r="CO1509" s="4"/>
      <c r="CP1509" s="4"/>
      <c r="CQ1509" s="4"/>
      <c r="CR1509" s="4"/>
      <c r="CS1509" s="4"/>
      <c r="CT1509" s="4"/>
      <c r="CU1509" s="4"/>
      <c r="CV1509" s="4"/>
      <c r="CW1509" s="4"/>
      <c r="CX1509" s="4"/>
      <c r="CY1509" s="4"/>
      <c r="CZ1509" s="4"/>
      <c r="DA1509" s="4"/>
      <c r="DB1509" s="4"/>
      <c r="DC1509" s="4"/>
      <c r="DD1509" s="4"/>
      <c r="DE1509" s="4"/>
      <c r="DF1509" s="4"/>
      <c r="DG1509" s="4"/>
      <c r="DH1509" s="4"/>
      <c r="DI1509" s="4"/>
      <c r="DJ1509" s="4"/>
      <c r="DK1509" s="4"/>
      <c r="DL1509" s="4"/>
      <c r="DM1509" s="4"/>
      <c r="DN1509" s="4"/>
      <c r="DO1509" s="4"/>
      <c r="DP1509" s="4"/>
      <c r="DQ1509" s="4"/>
      <c r="DR1509" s="4"/>
      <c r="DS1509" s="4"/>
      <c r="DT1509" s="4"/>
      <c r="DU1509" s="4"/>
      <c r="DV1509" s="4"/>
      <c r="DW1509" s="4"/>
      <c r="DX1509" s="4"/>
      <c r="DY1509" s="4"/>
      <c r="DZ1509" s="4"/>
      <c r="EA1509" s="4"/>
      <c r="EB1509" s="4"/>
      <c r="EC1509" s="4"/>
      <c r="ED1509" s="4"/>
      <c r="EE1509" s="4"/>
      <c r="EF1509" s="4"/>
      <c r="EG1509" s="4"/>
      <c r="EH1509" s="4"/>
      <c r="EI1509" s="4"/>
    </row>
    <row r="1510" spans="1:139" hidden="1" x14ac:dyDescent="0.2">
      <c r="A1510">
        <f>VLOOKUP(B1510,Sheet1!$A$1:$B$18,2,FALSE)</f>
        <v>0</v>
      </c>
      <c r="B1510" t="str">
        <f>LEFT(D1510,3)</f>
        <v>WKT</v>
      </c>
      <c r="C1510" s="2">
        <v>1509</v>
      </c>
      <c r="D1510" s="3" t="str">
        <f>HYPERLINK("https://sitebase.nzcomms.co.nz/spm/spmnominalview/WKT-020-005/","WKT-020-005")</f>
        <v>WKT-020-005</v>
      </c>
      <c r="E1510" s="4" t="s">
        <v>4523</v>
      </c>
      <c r="F1510" s="4"/>
      <c r="G1510" s="4"/>
      <c r="H1510" s="4" t="s">
        <v>4520</v>
      </c>
      <c r="I1510" s="4"/>
      <c r="J1510" s="4" t="s">
        <v>722</v>
      </c>
      <c r="K1510" s="4"/>
      <c r="L1510" s="4"/>
      <c r="M1510" s="4"/>
      <c r="N1510" s="4"/>
      <c r="O1510" s="4"/>
      <c r="P1510" s="4"/>
      <c r="Q1510" s="4"/>
      <c r="R1510" s="4"/>
      <c r="S1510" s="4"/>
      <c r="T1510" s="4"/>
      <c r="U1510" s="4"/>
      <c r="V1510" s="4"/>
      <c r="W1510" s="4"/>
      <c r="X1510" s="4"/>
      <c r="Y1510" s="4"/>
      <c r="Z1510" s="4"/>
      <c r="AA1510" s="4"/>
      <c r="AB1510" s="4"/>
      <c r="AC1510" s="4"/>
      <c r="AD1510" s="4"/>
      <c r="AE1510" s="4"/>
      <c r="AF1510" s="4"/>
      <c r="AG1510" s="4" t="b">
        <v>0</v>
      </c>
      <c r="AH1510" s="4"/>
      <c r="AI1510" s="4"/>
      <c r="AJ1510" s="4"/>
      <c r="AK1510" s="4"/>
      <c r="AL1510" s="4"/>
      <c r="AM1510" s="4"/>
      <c r="AN1510" s="4"/>
      <c r="AO1510" s="4"/>
      <c r="AP1510" s="4"/>
      <c r="AQ1510" s="4"/>
      <c r="AR1510" s="4"/>
      <c r="AS1510" s="4"/>
      <c r="AT1510" s="4"/>
      <c r="AU1510" s="4"/>
      <c r="AV1510" s="4"/>
      <c r="AW1510" s="4"/>
      <c r="AX1510" s="4"/>
      <c r="AY1510" s="4"/>
      <c r="AZ1510" s="4"/>
      <c r="BA1510" s="4"/>
      <c r="BB1510" s="4"/>
      <c r="BC1510" s="4"/>
      <c r="BD1510" s="4"/>
      <c r="BE1510" s="4"/>
      <c r="BF1510" s="4"/>
      <c r="BG1510" s="4"/>
      <c r="BH1510" s="4"/>
      <c r="BI1510" s="4"/>
      <c r="BJ1510" s="4"/>
      <c r="BK1510" s="4"/>
      <c r="BL1510" s="4"/>
      <c r="BM1510" s="4"/>
      <c r="BN1510" s="4"/>
      <c r="BO1510" s="4"/>
      <c r="BP1510" s="4"/>
      <c r="BQ1510" s="4"/>
      <c r="BR1510" s="4"/>
      <c r="BS1510" s="4"/>
      <c r="BT1510" s="4"/>
      <c r="BU1510" s="4"/>
      <c r="BV1510" s="4"/>
      <c r="BW1510" s="4"/>
      <c r="BX1510" s="4"/>
      <c r="BY1510" s="4"/>
      <c r="BZ1510" s="4"/>
      <c r="CA1510" s="4"/>
      <c r="CB1510" s="4"/>
      <c r="CC1510" s="4"/>
      <c r="CD1510" s="4"/>
      <c r="CE1510" s="4"/>
      <c r="CF1510" s="4"/>
      <c r="CG1510" s="4"/>
      <c r="CH1510" s="4"/>
      <c r="CI1510" s="4"/>
      <c r="CJ1510" s="4"/>
      <c r="CK1510" s="4"/>
      <c r="CL1510" s="4"/>
      <c r="CM1510" s="4"/>
      <c r="CN1510" s="4"/>
      <c r="CO1510" s="4"/>
      <c r="CP1510" s="4"/>
      <c r="CQ1510" s="4"/>
      <c r="CR1510" s="4"/>
      <c r="CS1510" s="4"/>
      <c r="CT1510" s="4"/>
      <c r="CU1510" s="4"/>
      <c r="CV1510" s="4"/>
      <c r="CW1510" s="4"/>
      <c r="CX1510" s="4"/>
      <c r="CY1510" s="4"/>
      <c r="CZ1510" s="4"/>
      <c r="DA1510" s="4"/>
      <c r="DB1510" s="4"/>
      <c r="DC1510" s="4"/>
      <c r="DD1510" s="4"/>
      <c r="DE1510" s="4"/>
      <c r="DF1510" s="4"/>
      <c r="DG1510" s="4"/>
      <c r="DH1510" s="4"/>
      <c r="DI1510" s="4"/>
      <c r="DJ1510" s="4"/>
      <c r="DK1510" s="4"/>
      <c r="DL1510" s="4"/>
      <c r="DM1510" s="4"/>
      <c r="DN1510" s="4"/>
      <c r="DO1510" s="4"/>
      <c r="DP1510" s="4"/>
      <c r="DQ1510" s="4"/>
      <c r="DR1510" s="4"/>
      <c r="DS1510" s="4"/>
      <c r="DT1510" s="4"/>
      <c r="DU1510" s="4"/>
      <c r="DV1510" s="4"/>
      <c r="DW1510" s="4"/>
      <c r="DX1510" s="4"/>
      <c r="DY1510" s="4"/>
      <c r="DZ1510" s="4"/>
      <c r="EA1510" s="4"/>
      <c r="EB1510" s="4"/>
      <c r="EC1510" s="4"/>
      <c r="ED1510" s="4"/>
      <c r="EE1510" s="4"/>
      <c r="EF1510" s="4"/>
      <c r="EG1510" s="4"/>
      <c r="EH1510" s="4"/>
      <c r="EI1510" s="4"/>
    </row>
    <row r="1511" spans="1:139" hidden="1" x14ac:dyDescent="0.2">
      <c r="A1511">
        <f>VLOOKUP(B1511,Sheet1!$A$1:$B$18,2,FALSE)</f>
        <v>0</v>
      </c>
      <c r="B1511" t="str">
        <f>LEFT(D1511,3)</f>
        <v>WKT</v>
      </c>
      <c r="C1511" s="2">
        <v>1510</v>
      </c>
      <c r="D1511" s="3" t="str">
        <f>HYPERLINK("https://sitebase.nzcomms.co.nz/spm/spmnominalview/WKT-020-006/","WKT-020-006")</f>
        <v>WKT-020-006</v>
      </c>
      <c r="E1511" s="4" t="s">
        <v>4524</v>
      </c>
      <c r="F1511" s="4"/>
      <c r="G1511" s="4"/>
      <c r="H1511" s="4" t="s">
        <v>4520</v>
      </c>
      <c r="I1511" s="4"/>
      <c r="J1511" s="4" t="s">
        <v>722</v>
      </c>
      <c r="K1511" s="4"/>
      <c r="L1511" s="4"/>
      <c r="M1511" s="4"/>
      <c r="N1511" s="4"/>
      <c r="O1511" s="4"/>
      <c r="P1511" s="4"/>
      <c r="Q1511" s="4"/>
      <c r="R1511" s="4"/>
      <c r="S1511" s="4"/>
      <c r="T1511" s="4"/>
      <c r="U1511" s="4"/>
      <c r="V1511" s="4"/>
      <c r="W1511" s="4"/>
      <c r="X1511" s="4"/>
      <c r="Y1511" s="4"/>
      <c r="Z1511" s="4"/>
      <c r="AA1511" s="4"/>
      <c r="AB1511" s="4"/>
      <c r="AC1511" s="4"/>
      <c r="AD1511" s="4"/>
      <c r="AE1511" s="4"/>
      <c r="AF1511" s="4"/>
      <c r="AG1511" s="4" t="b">
        <v>0</v>
      </c>
      <c r="AH1511" s="4"/>
      <c r="AI1511" s="4"/>
      <c r="AJ1511" s="4"/>
      <c r="AK1511" s="4"/>
      <c r="AL1511" s="4"/>
      <c r="AM1511" s="4"/>
      <c r="AN1511" s="4"/>
      <c r="AO1511" s="4"/>
      <c r="AP1511" s="4"/>
      <c r="AQ1511" s="4"/>
      <c r="AR1511" s="4"/>
      <c r="AS1511" s="4"/>
      <c r="AT1511" s="4"/>
      <c r="AU1511" s="4"/>
      <c r="AV1511" s="4"/>
      <c r="AW1511" s="4"/>
      <c r="AX1511" s="4"/>
      <c r="AY1511" s="4"/>
      <c r="AZ1511" s="4"/>
      <c r="BA1511" s="4"/>
      <c r="BB1511" s="4"/>
      <c r="BC1511" s="4"/>
      <c r="BD1511" s="4"/>
      <c r="BE1511" s="4"/>
      <c r="BF1511" s="4"/>
      <c r="BG1511" s="4"/>
      <c r="BH1511" s="4"/>
      <c r="BI1511" s="4"/>
      <c r="BJ1511" s="4"/>
      <c r="BK1511" s="4"/>
      <c r="BL1511" s="4"/>
      <c r="BM1511" s="4"/>
      <c r="BN1511" s="4"/>
      <c r="BO1511" s="4"/>
      <c r="BP1511" s="4"/>
      <c r="BQ1511" s="4"/>
      <c r="BR1511" s="4"/>
      <c r="BS1511" s="4"/>
      <c r="BT1511" s="4"/>
      <c r="BU1511" s="4"/>
      <c r="BV1511" s="4"/>
      <c r="BW1511" s="4"/>
      <c r="BX1511" s="4"/>
      <c r="BY1511" s="4"/>
      <c r="BZ1511" s="4"/>
      <c r="CA1511" s="4"/>
      <c r="CB1511" s="4"/>
      <c r="CC1511" s="4"/>
      <c r="CD1511" s="4"/>
      <c r="CE1511" s="4"/>
      <c r="CF1511" s="4"/>
      <c r="CG1511" s="4"/>
      <c r="CH1511" s="4"/>
      <c r="CI1511" s="4"/>
      <c r="CJ1511" s="4"/>
      <c r="CK1511" s="4"/>
      <c r="CL1511" s="4"/>
      <c r="CM1511" s="4"/>
      <c r="CN1511" s="4"/>
      <c r="CO1511" s="4"/>
      <c r="CP1511" s="4"/>
      <c r="CQ1511" s="4"/>
      <c r="CR1511" s="4"/>
      <c r="CS1511" s="4"/>
      <c r="CT1511" s="4"/>
      <c r="CU1511" s="4"/>
      <c r="CV1511" s="4"/>
      <c r="CW1511" s="4"/>
      <c r="CX1511" s="4"/>
      <c r="CY1511" s="4"/>
      <c r="CZ1511" s="4"/>
      <c r="DA1511" s="4"/>
      <c r="DB1511" s="4"/>
      <c r="DC1511" s="4"/>
      <c r="DD1511" s="4"/>
      <c r="DE1511" s="4"/>
      <c r="DF1511" s="4"/>
      <c r="DG1511" s="4"/>
      <c r="DH1511" s="4"/>
      <c r="DI1511" s="4"/>
      <c r="DJ1511" s="4"/>
      <c r="DK1511" s="4"/>
      <c r="DL1511" s="4"/>
      <c r="DM1511" s="4"/>
      <c r="DN1511" s="4"/>
      <c r="DO1511" s="4"/>
      <c r="DP1511" s="4"/>
      <c r="DQ1511" s="4"/>
      <c r="DR1511" s="4"/>
      <c r="DS1511" s="4"/>
      <c r="DT1511" s="4"/>
      <c r="DU1511" s="4"/>
      <c r="DV1511" s="4"/>
      <c r="DW1511" s="4"/>
      <c r="DX1511" s="4"/>
      <c r="DY1511" s="4"/>
      <c r="DZ1511" s="4"/>
      <c r="EA1511" s="4"/>
      <c r="EB1511" s="4"/>
      <c r="EC1511" s="4"/>
      <c r="ED1511" s="4"/>
      <c r="EE1511" s="4"/>
      <c r="EF1511" s="4"/>
      <c r="EG1511" s="4"/>
      <c r="EH1511" s="4"/>
      <c r="EI1511" s="4"/>
    </row>
    <row r="1512" spans="1:139" hidden="1" x14ac:dyDescent="0.2">
      <c r="A1512">
        <f>VLOOKUP(B1512,Sheet1!$A$1:$B$18,2,FALSE)</f>
        <v>0</v>
      </c>
      <c r="B1512" t="str">
        <f>LEFT(D1512,3)</f>
        <v>WKT</v>
      </c>
      <c r="C1512" s="2">
        <v>1511</v>
      </c>
      <c r="D1512" s="3" t="str">
        <f>HYPERLINK("https://sitebase.nzcomms.co.nz/spm/spmnominalview/WKT-021-001/","WKT-021-001")</f>
        <v>WKT-021-001</v>
      </c>
      <c r="E1512" s="4" t="s">
        <v>4525</v>
      </c>
      <c r="F1512" s="3" t="str">
        <f>HYPERLINK("https://sitebase.nzcomms.co.nz/spm/spmcandidateview/WKT-021-001-A/","WKT-021-001-A")</f>
        <v>WKT-021-001-A</v>
      </c>
      <c r="G1512" s="4" t="s">
        <v>4526</v>
      </c>
      <c r="H1512" s="4" t="s">
        <v>4527</v>
      </c>
      <c r="I1512" s="4">
        <v>2</v>
      </c>
      <c r="J1512" s="4" t="s">
        <v>1633</v>
      </c>
      <c r="K1512" s="4" t="s">
        <v>141</v>
      </c>
      <c r="L1512" s="4" t="s">
        <v>142</v>
      </c>
      <c r="M1512" s="4" t="s">
        <v>190</v>
      </c>
      <c r="N1512" s="4" t="s">
        <v>142</v>
      </c>
      <c r="O1512" s="4"/>
      <c r="P1512" s="4" t="s">
        <v>169</v>
      </c>
      <c r="Q1512" s="4" t="s">
        <v>142</v>
      </c>
      <c r="R1512" s="4"/>
      <c r="S1512" s="4"/>
      <c r="T1512" s="4">
        <v>1</v>
      </c>
      <c r="U1512" s="4">
        <v>-38.70896741</v>
      </c>
      <c r="V1512" s="4">
        <v>175.99691748999999</v>
      </c>
      <c r="W1512" s="4"/>
      <c r="X1512" s="5">
        <v>40308</v>
      </c>
      <c r="Y1512" s="4"/>
      <c r="Z1512" s="5">
        <v>40296</v>
      </c>
      <c r="AA1512" s="4" t="s">
        <v>171</v>
      </c>
      <c r="AB1512" s="3" t="str">
        <f>HYPERLINK("https://sitebase.nzcomms.co.nz/spm/spmcandidateview/WKT-021-003-A/","WKT-021-003-A")</f>
        <v>WKT-021-003-A</v>
      </c>
      <c r="AC1512" s="4" t="b">
        <v>0</v>
      </c>
      <c r="AD1512" s="4" t="b">
        <v>0</v>
      </c>
      <c r="AE1512" s="5">
        <v>40308</v>
      </c>
      <c r="AF1512" s="4"/>
      <c r="AG1512" s="4" t="b">
        <v>0</v>
      </c>
      <c r="AH1512" s="4" t="s">
        <v>1863</v>
      </c>
      <c r="AI1512" s="5">
        <v>40365</v>
      </c>
      <c r="AJ1512" s="5">
        <v>40365</v>
      </c>
      <c r="AK1512" s="5">
        <v>40624</v>
      </c>
      <c r="AL1512" s="5">
        <v>40624</v>
      </c>
      <c r="AM1512" s="5">
        <v>40690</v>
      </c>
      <c r="AN1512" s="5">
        <v>40695</v>
      </c>
      <c r="AO1512" s="4">
        <v>1</v>
      </c>
      <c r="AP1512" s="5">
        <v>40690</v>
      </c>
      <c r="AQ1512" s="5">
        <v>40695</v>
      </c>
      <c r="AR1512" s="5">
        <v>40683</v>
      </c>
      <c r="AS1512" s="5">
        <v>40675</v>
      </c>
      <c r="AT1512" s="5">
        <v>40724</v>
      </c>
      <c r="AU1512" s="5">
        <v>40711</v>
      </c>
      <c r="AV1512" s="4"/>
      <c r="AW1512" s="5">
        <v>40724</v>
      </c>
      <c r="AX1512" s="5">
        <v>40717</v>
      </c>
      <c r="AY1512" s="4" t="s">
        <v>172</v>
      </c>
      <c r="AZ1512" s="5">
        <v>40693</v>
      </c>
      <c r="BA1512" s="5">
        <v>40689</v>
      </c>
      <c r="BB1512" s="5">
        <v>40724</v>
      </c>
      <c r="BC1512" s="5">
        <v>40695</v>
      </c>
      <c r="BD1512" s="4">
        <v>1</v>
      </c>
      <c r="BE1512" s="5">
        <v>40724</v>
      </c>
      <c r="BF1512" s="5">
        <v>40695</v>
      </c>
      <c r="BG1512" s="4"/>
      <c r="BH1512" s="4"/>
      <c r="BI1512" s="5">
        <v>40928</v>
      </c>
      <c r="BJ1512" s="5">
        <v>41359</v>
      </c>
      <c r="BK1512" s="4">
        <v>1</v>
      </c>
      <c r="BL1512" s="4"/>
      <c r="BM1512" s="5">
        <v>40928</v>
      </c>
      <c r="BN1512" s="5">
        <v>41359</v>
      </c>
      <c r="BO1512" s="5">
        <v>40822</v>
      </c>
      <c r="BP1512" s="4"/>
      <c r="BQ1512" s="4"/>
      <c r="BR1512" s="4"/>
      <c r="BS1512" s="4"/>
      <c r="BT1512" s="5">
        <v>40819</v>
      </c>
      <c r="BU1512" s="5">
        <v>40822</v>
      </c>
      <c r="BV1512" s="5">
        <v>40830</v>
      </c>
      <c r="BW1512" s="5">
        <v>40829</v>
      </c>
      <c r="BX1512" s="5">
        <v>40827</v>
      </c>
      <c r="BY1512" s="5">
        <v>40855</v>
      </c>
      <c r="BZ1512" s="5">
        <v>40857</v>
      </c>
      <c r="CA1512" s="5">
        <v>40837</v>
      </c>
      <c r="CB1512" s="5">
        <v>40868</v>
      </c>
      <c r="CC1512" s="5">
        <v>40823</v>
      </c>
      <c r="CD1512" s="4"/>
      <c r="CE1512" s="5">
        <v>40823</v>
      </c>
      <c r="CF1512" s="4"/>
      <c r="CG1512" s="4"/>
      <c r="CH1512" s="4"/>
      <c r="CI1512" s="5">
        <v>40857</v>
      </c>
      <c r="CJ1512" s="5">
        <v>40861</v>
      </c>
      <c r="CK1512" s="5">
        <v>40861</v>
      </c>
      <c r="CL1512" s="5">
        <v>40968</v>
      </c>
      <c r="CM1512" s="5">
        <v>40893</v>
      </c>
      <c r="CN1512" s="5">
        <v>41379</v>
      </c>
      <c r="CO1512" s="5">
        <v>41375</v>
      </c>
      <c r="CP1512" s="4" t="s">
        <v>4528</v>
      </c>
      <c r="CQ1512" s="4" t="s">
        <v>1657</v>
      </c>
      <c r="CR1512" s="5">
        <v>40855</v>
      </c>
      <c r="CS1512" s="5">
        <v>40777</v>
      </c>
      <c r="CT1512" s="5">
        <v>40777</v>
      </c>
      <c r="CU1512" s="5">
        <v>40823</v>
      </c>
      <c r="CV1512" s="5">
        <v>40822</v>
      </c>
      <c r="CW1512" s="5">
        <v>40819</v>
      </c>
      <c r="CX1512" s="5">
        <v>40822</v>
      </c>
      <c r="CY1512" s="5">
        <v>40830</v>
      </c>
      <c r="CZ1512" s="5">
        <v>40828</v>
      </c>
      <c r="DA1512" s="4"/>
      <c r="DB1512" s="5">
        <v>40882</v>
      </c>
      <c r="DC1512" s="4"/>
      <c r="DD1512" s="4"/>
      <c r="DE1512" s="4"/>
      <c r="DF1512" s="4"/>
      <c r="DG1512" s="4"/>
      <c r="DH1512" s="4"/>
      <c r="DI1512" s="5">
        <v>40826</v>
      </c>
      <c r="DJ1512" s="4" t="b">
        <v>0</v>
      </c>
      <c r="DK1512" s="4"/>
      <c r="DL1512" s="4">
        <v>2770680</v>
      </c>
      <c r="DM1512" s="4">
        <v>6272854</v>
      </c>
      <c r="DN1512" s="4" t="s">
        <v>4529</v>
      </c>
      <c r="DO1512" s="4"/>
      <c r="DP1512" s="4" t="s">
        <v>1726</v>
      </c>
      <c r="DQ1512" s="4" t="s">
        <v>148</v>
      </c>
      <c r="DR1512" s="4"/>
      <c r="DS1512" s="4"/>
      <c r="DT1512" s="4"/>
      <c r="DU1512" s="4"/>
      <c r="DV1512" s="4"/>
      <c r="DW1512" s="4"/>
      <c r="DX1512" s="4"/>
      <c r="DY1512" s="5">
        <v>40801</v>
      </c>
      <c r="DZ1512" s="5">
        <v>40801</v>
      </c>
      <c r="EA1512" s="4"/>
      <c r="EB1512" s="4"/>
      <c r="EC1512" s="4"/>
      <c r="ED1512" s="4"/>
      <c r="EE1512" s="4"/>
      <c r="EF1512" s="4"/>
      <c r="EG1512" s="5">
        <v>40877</v>
      </c>
      <c r="EH1512" s="5">
        <v>40879</v>
      </c>
      <c r="EI1512" s="5">
        <v>40624</v>
      </c>
    </row>
    <row r="1513" spans="1:139" hidden="1" x14ac:dyDescent="0.2">
      <c r="A1513">
        <f>VLOOKUP(B1513,Sheet1!$A$1:$B$18,2,FALSE)</f>
        <v>0</v>
      </c>
      <c r="B1513" t="str">
        <f>LEFT(D1513,3)</f>
        <v>WKT</v>
      </c>
      <c r="C1513" s="2">
        <v>1512</v>
      </c>
      <c r="D1513" s="3" t="str">
        <f>HYPERLINK("https://sitebase.nzcomms.co.nz/spm/spmnominalview/WKT-021-002/","WKT-021-002")</f>
        <v>WKT-021-002</v>
      </c>
      <c r="E1513" s="4" t="s">
        <v>4530</v>
      </c>
      <c r="F1513" s="3" t="str">
        <f>HYPERLINK("https://sitebase.nzcomms.co.nz/spm/spmcandidateview/WKT-021-002-D/","WKT-021-002-D")</f>
        <v>WKT-021-002-D</v>
      </c>
      <c r="G1513" s="4" t="s">
        <v>4531</v>
      </c>
      <c r="H1513" s="4" t="s">
        <v>4527</v>
      </c>
      <c r="I1513" s="4">
        <v>2</v>
      </c>
      <c r="J1513" s="4" t="s">
        <v>1633</v>
      </c>
      <c r="K1513" s="4" t="s">
        <v>141</v>
      </c>
      <c r="L1513" s="4" t="s">
        <v>150</v>
      </c>
      <c r="M1513" s="4" t="s">
        <v>190</v>
      </c>
      <c r="N1513" s="4" t="s">
        <v>291</v>
      </c>
      <c r="O1513" s="4" t="s">
        <v>144</v>
      </c>
      <c r="P1513" s="4" t="s">
        <v>169</v>
      </c>
      <c r="Q1513" s="4" t="s">
        <v>192</v>
      </c>
      <c r="R1513" s="4">
        <v>14.5</v>
      </c>
      <c r="S1513" s="4">
        <v>15</v>
      </c>
      <c r="T1513" s="4">
        <v>1</v>
      </c>
      <c r="U1513" s="4">
        <v>-38.682556429999998</v>
      </c>
      <c r="V1513" s="4">
        <v>176.07595848</v>
      </c>
      <c r="W1513" s="4"/>
      <c r="X1513" s="5">
        <v>40308</v>
      </c>
      <c r="Y1513" s="4"/>
      <c r="Z1513" s="5">
        <v>40296</v>
      </c>
      <c r="AA1513" s="4" t="s">
        <v>171</v>
      </c>
      <c r="AB1513" s="3" t="str">
        <f>HYPERLINK("https://sitebase.nzcomms.co.nz/spm/spmcandidateview/WKT-021-006-A/","WKT-021-006-A")</f>
        <v>WKT-021-006-A</v>
      </c>
      <c r="AC1513" s="4" t="b">
        <v>0</v>
      </c>
      <c r="AD1513" s="4" t="b">
        <v>0</v>
      </c>
      <c r="AE1513" s="5">
        <v>40308</v>
      </c>
      <c r="AF1513" s="4"/>
      <c r="AG1513" s="4" t="b">
        <v>0</v>
      </c>
      <c r="AH1513" s="4" t="s">
        <v>1857</v>
      </c>
      <c r="AI1513" s="5">
        <v>40620</v>
      </c>
      <c r="AJ1513" s="5">
        <v>40611</v>
      </c>
      <c r="AK1513" s="5">
        <v>40620</v>
      </c>
      <c r="AL1513" s="5">
        <v>40616</v>
      </c>
      <c r="AM1513" s="5">
        <v>40648</v>
      </c>
      <c r="AN1513" s="5">
        <v>40648</v>
      </c>
      <c r="AO1513" s="4">
        <v>3</v>
      </c>
      <c r="AP1513" s="5">
        <v>40648</v>
      </c>
      <c r="AQ1513" s="5">
        <v>40863</v>
      </c>
      <c r="AR1513" s="5">
        <v>40676</v>
      </c>
      <c r="AS1513" s="5">
        <v>40676</v>
      </c>
      <c r="AT1513" s="5">
        <v>40816</v>
      </c>
      <c r="AU1513" s="5">
        <v>40815</v>
      </c>
      <c r="AV1513" s="4">
        <v>2</v>
      </c>
      <c r="AW1513" s="5">
        <v>40816</v>
      </c>
      <c r="AX1513" s="5">
        <v>40815</v>
      </c>
      <c r="AY1513" s="4" t="s">
        <v>172</v>
      </c>
      <c r="AZ1513" s="5">
        <v>40676</v>
      </c>
      <c r="BA1513" s="5">
        <v>40676</v>
      </c>
      <c r="BB1513" s="5">
        <v>40703</v>
      </c>
      <c r="BC1513" s="5">
        <v>40689</v>
      </c>
      <c r="BD1513" s="4">
        <v>2</v>
      </c>
      <c r="BE1513" s="5">
        <v>40710</v>
      </c>
      <c r="BF1513" s="5">
        <v>40693</v>
      </c>
      <c r="BG1513" s="4"/>
      <c r="BH1513" s="4"/>
      <c r="BI1513" s="4"/>
      <c r="BJ1513" s="5">
        <v>40872</v>
      </c>
      <c r="BK1513" s="4">
        <v>1</v>
      </c>
      <c r="BL1513" s="4"/>
      <c r="BM1513" s="4"/>
      <c r="BN1513" s="5">
        <v>40872</v>
      </c>
      <c r="BO1513" s="5">
        <v>40889</v>
      </c>
      <c r="BP1513" s="4"/>
      <c r="BQ1513" s="4"/>
      <c r="BR1513" s="4"/>
      <c r="BS1513" s="4"/>
      <c r="BT1513" s="5">
        <v>40876</v>
      </c>
      <c r="BU1513" s="5">
        <v>40878</v>
      </c>
      <c r="BV1513" s="5">
        <v>40890</v>
      </c>
      <c r="BW1513" s="5">
        <v>40892</v>
      </c>
      <c r="BX1513" s="5">
        <v>40891</v>
      </c>
      <c r="BY1513" s="5">
        <v>40893</v>
      </c>
      <c r="BZ1513" s="5">
        <v>40897</v>
      </c>
      <c r="CA1513" s="4"/>
      <c r="CB1513" s="4"/>
      <c r="CC1513" s="4"/>
      <c r="CD1513" s="4"/>
      <c r="CE1513" s="4"/>
      <c r="CF1513" s="4"/>
      <c r="CG1513" s="4"/>
      <c r="CH1513" s="4"/>
      <c r="CI1513" s="5">
        <v>40897</v>
      </c>
      <c r="CJ1513" s="5">
        <v>40897</v>
      </c>
      <c r="CK1513" s="5">
        <v>40897</v>
      </c>
      <c r="CL1513" s="5">
        <v>40957</v>
      </c>
      <c r="CM1513" s="5">
        <v>40939</v>
      </c>
      <c r="CN1513" s="5">
        <v>41423</v>
      </c>
      <c r="CO1513" s="5">
        <v>41417</v>
      </c>
      <c r="CP1513" s="4" t="s">
        <v>4532</v>
      </c>
      <c r="CQ1513" s="4"/>
      <c r="CR1513" s="5">
        <v>40897</v>
      </c>
      <c r="CS1513" s="5">
        <v>40889</v>
      </c>
      <c r="CT1513" s="5">
        <v>40889</v>
      </c>
      <c r="CU1513" s="5">
        <v>40889</v>
      </c>
      <c r="CV1513" s="5">
        <v>40892</v>
      </c>
      <c r="CW1513" s="5">
        <v>40889</v>
      </c>
      <c r="CX1513" s="5">
        <v>40889</v>
      </c>
      <c r="CY1513" s="5">
        <v>40891</v>
      </c>
      <c r="CZ1513" s="5">
        <v>40893</v>
      </c>
      <c r="DA1513" s="4"/>
      <c r="DB1513" s="5">
        <v>40925</v>
      </c>
      <c r="DC1513" s="4"/>
      <c r="DD1513" s="4"/>
      <c r="DE1513" s="4"/>
      <c r="DF1513" s="4"/>
      <c r="DG1513" s="4"/>
      <c r="DH1513" s="4" t="s">
        <v>174</v>
      </c>
      <c r="DI1513" s="5">
        <v>40891</v>
      </c>
      <c r="DJ1513" s="4" t="b">
        <v>0</v>
      </c>
      <c r="DK1513" s="4"/>
      <c r="DL1513" s="4">
        <v>2777651</v>
      </c>
      <c r="DM1513" s="4">
        <v>6275549</v>
      </c>
      <c r="DN1513" s="4" t="s">
        <v>4533</v>
      </c>
      <c r="DO1513" s="4"/>
      <c r="DP1513" s="4" t="s">
        <v>4534</v>
      </c>
      <c r="DQ1513" s="4" t="s">
        <v>148</v>
      </c>
      <c r="DR1513" s="4"/>
      <c r="DS1513" s="4"/>
      <c r="DT1513" s="4"/>
      <c r="DU1513" s="4"/>
      <c r="DV1513" s="4"/>
      <c r="DW1513" s="4"/>
      <c r="DX1513" s="4"/>
      <c r="DY1513" s="4"/>
      <c r="DZ1513" s="4"/>
      <c r="EA1513" s="4"/>
      <c r="EB1513" s="4"/>
      <c r="EC1513" s="4"/>
      <c r="ED1513" s="4"/>
      <c r="EE1513" s="4"/>
      <c r="EF1513" s="4"/>
      <c r="EG1513" s="5">
        <v>40928</v>
      </c>
      <c r="EH1513" s="5">
        <v>40925</v>
      </c>
      <c r="EI1513" s="5">
        <v>40616</v>
      </c>
    </row>
    <row r="1514" spans="1:139" hidden="1" x14ac:dyDescent="0.2">
      <c r="A1514">
        <f>VLOOKUP(B1514,Sheet1!$A$1:$B$18,2,FALSE)</f>
        <v>0</v>
      </c>
      <c r="B1514" t="str">
        <f>LEFT(D1514,3)</f>
        <v>WKT</v>
      </c>
      <c r="C1514" s="2">
        <v>1513</v>
      </c>
      <c r="D1514" s="3" t="str">
        <f>HYPERLINK("https://sitebase.nzcomms.co.nz/spm/spmnominalview/WKT-021-003/","WKT-021-003")</f>
        <v>WKT-021-003</v>
      </c>
      <c r="E1514" s="4" t="s">
        <v>4535</v>
      </c>
      <c r="F1514" s="3" t="str">
        <f>HYPERLINK("https://sitebase.nzcomms.co.nz/spm/spmcandidateview/WKT-021-003-C/","WKT-021-003-C")</f>
        <v>WKT-021-003-C</v>
      </c>
      <c r="G1514" s="4" t="s">
        <v>4536</v>
      </c>
      <c r="H1514" s="4" t="s">
        <v>4527</v>
      </c>
      <c r="I1514" s="4">
        <v>2</v>
      </c>
      <c r="J1514" s="4" t="s">
        <v>1633</v>
      </c>
      <c r="K1514" s="4" t="s">
        <v>141</v>
      </c>
      <c r="L1514" s="4" t="s">
        <v>150</v>
      </c>
      <c r="M1514" s="4" t="s">
        <v>190</v>
      </c>
      <c r="N1514" s="4" t="s">
        <v>216</v>
      </c>
      <c r="O1514" s="4"/>
      <c r="P1514" s="4" t="s">
        <v>169</v>
      </c>
      <c r="Q1514" s="4" t="s">
        <v>192</v>
      </c>
      <c r="R1514" s="4"/>
      <c r="S1514" s="4">
        <v>25</v>
      </c>
      <c r="T1514" s="4">
        <v>1</v>
      </c>
      <c r="U1514" s="4">
        <v>-38.689490890000002</v>
      </c>
      <c r="V1514" s="4">
        <v>176.10635579999999</v>
      </c>
      <c r="W1514" s="4"/>
      <c r="X1514" s="5">
        <v>40308</v>
      </c>
      <c r="Y1514" s="4"/>
      <c r="Z1514" s="5">
        <v>40296</v>
      </c>
      <c r="AA1514" s="4" t="s">
        <v>145</v>
      </c>
      <c r="AB1514" s="3" t="str">
        <f>HYPERLINK("https://sitebase.nzcomms.co.nz/spm/spmcandidateview/AKL-007-166-A/","AKL-007-166-A")</f>
        <v>AKL-007-166-A</v>
      </c>
      <c r="AC1514" s="4" t="b">
        <v>0</v>
      </c>
      <c r="AD1514" s="4" t="b">
        <v>0</v>
      </c>
      <c r="AE1514" s="5">
        <v>40308</v>
      </c>
      <c r="AF1514" s="4"/>
      <c r="AG1514" s="4" t="b">
        <v>0</v>
      </c>
      <c r="AH1514" s="4"/>
      <c r="AI1514" s="5">
        <v>40743</v>
      </c>
      <c r="AJ1514" s="5">
        <v>40743</v>
      </c>
      <c r="AK1514" s="5">
        <v>40749</v>
      </c>
      <c r="AL1514" s="5">
        <v>40749</v>
      </c>
      <c r="AM1514" s="5">
        <v>40770</v>
      </c>
      <c r="AN1514" s="5">
        <v>40781</v>
      </c>
      <c r="AO1514" s="4">
        <v>2</v>
      </c>
      <c r="AP1514" s="5">
        <v>40806</v>
      </c>
      <c r="AQ1514" s="5">
        <v>40806</v>
      </c>
      <c r="AR1514" s="5">
        <v>40781</v>
      </c>
      <c r="AS1514" s="5">
        <v>40766</v>
      </c>
      <c r="AT1514" s="5">
        <v>40788</v>
      </c>
      <c r="AU1514" s="5">
        <v>40779</v>
      </c>
      <c r="AV1514" s="4"/>
      <c r="AW1514" s="5">
        <v>40795</v>
      </c>
      <c r="AX1514" s="5">
        <v>40787</v>
      </c>
      <c r="AY1514" s="4" t="s">
        <v>183</v>
      </c>
      <c r="AZ1514" s="5">
        <v>40809</v>
      </c>
      <c r="BA1514" s="5">
        <v>40815</v>
      </c>
      <c r="BB1514" s="5">
        <v>40844</v>
      </c>
      <c r="BC1514" s="5">
        <v>40844</v>
      </c>
      <c r="BD1514" s="4">
        <v>2</v>
      </c>
      <c r="BE1514" s="5">
        <v>40849</v>
      </c>
      <c r="BF1514" s="5">
        <v>40847</v>
      </c>
      <c r="BG1514" s="4"/>
      <c r="BH1514" s="4"/>
      <c r="BI1514" s="4"/>
      <c r="BJ1514" s="5">
        <v>40882</v>
      </c>
      <c r="BK1514" s="4">
        <v>1</v>
      </c>
      <c r="BL1514" s="4"/>
      <c r="BM1514" s="4"/>
      <c r="BN1514" s="5">
        <v>40882</v>
      </c>
      <c r="BO1514" s="5">
        <v>40921</v>
      </c>
      <c r="BP1514" s="4"/>
      <c r="BQ1514" s="4"/>
      <c r="BR1514" s="4"/>
      <c r="BS1514" s="4"/>
      <c r="BT1514" s="5">
        <v>40918</v>
      </c>
      <c r="BU1514" s="5">
        <v>40918</v>
      </c>
      <c r="BV1514" s="5">
        <v>40942</v>
      </c>
      <c r="BW1514" s="5">
        <v>40948</v>
      </c>
      <c r="BX1514" s="5">
        <v>40947</v>
      </c>
      <c r="BY1514" s="5">
        <v>40956</v>
      </c>
      <c r="BZ1514" s="5">
        <v>40959</v>
      </c>
      <c r="CA1514" s="5">
        <v>40969</v>
      </c>
      <c r="CB1514" s="5">
        <v>40969</v>
      </c>
      <c r="CC1514" s="4"/>
      <c r="CD1514" s="4"/>
      <c r="CE1514" s="4"/>
      <c r="CF1514" s="4"/>
      <c r="CG1514" s="4"/>
      <c r="CH1514" s="4"/>
      <c r="CI1514" s="5">
        <v>40959</v>
      </c>
      <c r="CJ1514" s="5">
        <v>40974</v>
      </c>
      <c r="CK1514" s="5">
        <v>40975</v>
      </c>
      <c r="CL1514" s="5">
        <v>40953</v>
      </c>
      <c r="CM1514" s="5">
        <v>40982</v>
      </c>
      <c r="CN1514" s="5">
        <v>41516</v>
      </c>
      <c r="CO1514" s="5">
        <v>41612</v>
      </c>
      <c r="CP1514" s="4" t="s">
        <v>4537</v>
      </c>
      <c r="CQ1514" s="4"/>
      <c r="CR1514" s="5">
        <v>40957</v>
      </c>
      <c r="CS1514" s="5">
        <v>40921</v>
      </c>
      <c r="CT1514" s="5">
        <v>40921</v>
      </c>
      <c r="CU1514" s="5">
        <v>40921</v>
      </c>
      <c r="CV1514" s="5">
        <v>40921</v>
      </c>
      <c r="CW1514" s="5">
        <v>40935</v>
      </c>
      <c r="CX1514" s="5">
        <v>40921</v>
      </c>
      <c r="CY1514" s="5">
        <v>40954</v>
      </c>
      <c r="CZ1514" s="5">
        <v>40928</v>
      </c>
      <c r="DA1514" s="4"/>
      <c r="DB1514" s="5">
        <v>40968</v>
      </c>
      <c r="DC1514" s="4"/>
      <c r="DD1514" s="4"/>
      <c r="DE1514" s="4"/>
      <c r="DF1514" s="5">
        <v>40969</v>
      </c>
      <c r="DG1514" s="5">
        <v>40969</v>
      </c>
      <c r="DH1514" s="4" t="s">
        <v>174</v>
      </c>
      <c r="DI1514" s="5">
        <v>40946</v>
      </c>
      <c r="DJ1514" s="4" t="b">
        <v>0</v>
      </c>
      <c r="DK1514" s="4"/>
      <c r="DL1514" s="4">
        <v>2780267</v>
      </c>
      <c r="DM1514" s="4">
        <v>6274688</v>
      </c>
      <c r="DN1514" s="4" t="s">
        <v>4538</v>
      </c>
      <c r="DO1514" s="4"/>
      <c r="DP1514" s="4" t="s">
        <v>4539</v>
      </c>
      <c r="DQ1514" s="4" t="s">
        <v>148</v>
      </c>
      <c r="DR1514" s="4"/>
      <c r="DS1514" s="4"/>
      <c r="DT1514" s="4"/>
      <c r="DU1514" s="4"/>
      <c r="DV1514" s="4"/>
      <c r="DW1514" s="4"/>
      <c r="DX1514" s="4"/>
      <c r="DY1514" s="4"/>
      <c r="DZ1514" s="4"/>
      <c r="EA1514" s="4"/>
      <c r="EB1514" s="4"/>
      <c r="EC1514" s="4"/>
      <c r="ED1514" s="4"/>
      <c r="EE1514" s="4"/>
      <c r="EF1514" s="4"/>
      <c r="EG1514" s="5">
        <v>40968</v>
      </c>
      <c r="EH1514" s="5">
        <v>40968</v>
      </c>
      <c r="EI1514" s="5">
        <v>40749</v>
      </c>
    </row>
    <row r="1515" spans="1:139" hidden="1" x14ac:dyDescent="0.2">
      <c r="A1515">
        <f>VLOOKUP(B1515,Sheet1!$A$1:$B$18,2,FALSE)</f>
        <v>0</v>
      </c>
      <c r="B1515" t="str">
        <f>LEFT(D1515,3)</f>
        <v>WKT</v>
      </c>
      <c r="C1515" s="2">
        <v>1514</v>
      </c>
      <c r="D1515" s="3" t="str">
        <f>HYPERLINK("https://sitebase.nzcomms.co.nz/spm/spmnominalview/WKT-021-004/","WKT-021-004")</f>
        <v>WKT-021-004</v>
      </c>
      <c r="E1515" s="4" t="s">
        <v>4540</v>
      </c>
      <c r="F1515" s="4"/>
      <c r="G1515" s="4"/>
      <c r="H1515" s="4" t="s">
        <v>4527</v>
      </c>
      <c r="I1515" s="4"/>
      <c r="J1515" s="4" t="s">
        <v>196</v>
      </c>
      <c r="K1515" s="4"/>
      <c r="L1515" s="4"/>
      <c r="M1515" s="4"/>
      <c r="N1515" s="4"/>
      <c r="O1515" s="4"/>
      <c r="P1515" s="4"/>
      <c r="Q1515" s="4"/>
      <c r="R1515" s="4"/>
      <c r="S1515" s="4"/>
      <c r="T1515" s="4"/>
      <c r="U1515" s="4"/>
      <c r="V1515" s="4"/>
      <c r="W1515" s="4"/>
      <c r="X1515" s="4"/>
      <c r="Y1515" s="4"/>
      <c r="Z1515" s="4"/>
      <c r="AA1515" s="4"/>
      <c r="AB1515" s="4"/>
      <c r="AC1515" s="4"/>
      <c r="AD1515" s="4"/>
      <c r="AE1515" s="4"/>
      <c r="AF1515" s="4"/>
      <c r="AG1515" s="4" t="b">
        <v>0</v>
      </c>
      <c r="AH1515" s="4"/>
      <c r="AI1515" s="4"/>
      <c r="AJ1515" s="4"/>
      <c r="AK1515" s="4"/>
      <c r="AL1515" s="4"/>
      <c r="AM1515" s="4"/>
      <c r="AN1515" s="4"/>
      <c r="AO1515" s="4"/>
      <c r="AP1515" s="4"/>
      <c r="AQ1515" s="4"/>
      <c r="AR1515" s="4"/>
      <c r="AS1515" s="4"/>
      <c r="AT1515" s="4"/>
      <c r="AU1515" s="4"/>
      <c r="AV1515" s="4"/>
      <c r="AW1515" s="4"/>
      <c r="AX1515" s="4"/>
      <c r="AY1515" s="4"/>
      <c r="AZ1515" s="4"/>
      <c r="BA1515" s="4"/>
      <c r="BB1515" s="4"/>
      <c r="BC1515" s="4"/>
      <c r="BD1515" s="4"/>
      <c r="BE1515" s="4"/>
      <c r="BF1515" s="4"/>
      <c r="BG1515" s="4"/>
      <c r="BH1515" s="4"/>
      <c r="BI1515" s="4"/>
      <c r="BJ1515" s="4"/>
      <c r="BK1515" s="4"/>
      <c r="BL1515" s="4"/>
      <c r="BM1515" s="4"/>
      <c r="BN1515" s="4"/>
      <c r="BO1515" s="4"/>
      <c r="BP1515" s="4"/>
      <c r="BQ1515" s="4"/>
      <c r="BR1515" s="4"/>
      <c r="BS1515" s="4"/>
      <c r="BT1515" s="4"/>
      <c r="BU1515" s="4"/>
      <c r="BV1515" s="4"/>
      <c r="BW1515" s="4"/>
      <c r="BX1515" s="4"/>
      <c r="BY1515" s="4"/>
      <c r="BZ1515" s="4"/>
      <c r="CA1515" s="4"/>
      <c r="CB1515" s="4"/>
      <c r="CC1515" s="4"/>
      <c r="CD1515" s="4"/>
      <c r="CE1515" s="4"/>
      <c r="CF1515" s="4"/>
      <c r="CG1515" s="4"/>
      <c r="CH1515" s="4"/>
      <c r="CI1515" s="4"/>
      <c r="CJ1515" s="4"/>
      <c r="CK1515" s="4"/>
      <c r="CL1515" s="4"/>
      <c r="CM1515" s="4"/>
      <c r="CN1515" s="4"/>
      <c r="CO1515" s="4"/>
      <c r="CP1515" s="4" t="s">
        <v>4541</v>
      </c>
      <c r="CQ1515" s="4"/>
      <c r="CR1515" s="4"/>
      <c r="CS1515" s="4"/>
      <c r="CT1515" s="4"/>
      <c r="CU1515" s="4"/>
      <c r="CV1515" s="4"/>
      <c r="CW1515" s="4"/>
      <c r="CX1515" s="4"/>
      <c r="CY1515" s="4"/>
      <c r="CZ1515" s="4"/>
      <c r="DA1515" s="4"/>
      <c r="DB1515" s="4"/>
      <c r="DC1515" s="4"/>
      <c r="DD1515" s="4"/>
      <c r="DE1515" s="4"/>
      <c r="DF1515" s="4"/>
      <c r="DG1515" s="4"/>
      <c r="DH1515" s="4"/>
      <c r="DI1515" s="4"/>
      <c r="DJ1515" s="4"/>
      <c r="DK1515" s="4"/>
      <c r="DL1515" s="4"/>
      <c r="DM1515" s="4"/>
      <c r="DN1515" s="4"/>
      <c r="DO1515" s="4"/>
      <c r="DP1515" s="4"/>
      <c r="DQ1515" s="4"/>
      <c r="DR1515" s="4"/>
      <c r="DS1515" s="4"/>
      <c r="DT1515" s="4"/>
      <c r="DU1515" s="4"/>
      <c r="DV1515" s="4"/>
      <c r="DW1515" s="4"/>
      <c r="DX1515" s="4"/>
      <c r="DY1515" s="4"/>
      <c r="DZ1515" s="4"/>
      <c r="EA1515" s="4"/>
      <c r="EB1515" s="4"/>
      <c r="EC1515" s="4"/>
      <c r="ED1515" s="4"/>
      <c r="EE1515" s="4"/>
      <c r="EF1515" s="4"/>
      <c r="EG1515" s="4"/>
      <c r="EH1515" s="4"/>
      <c r="EI1515" s="4"/>
    </row>
    <row r="1516" spans="1:139" hidden="1" x14ac:dyDescent="0.2">
      <c r="A1516">
        <f>VLOOKUP(B1516,Sheet1!$A$1:$B$18,2,FALSE)</f>
        <v>0</v>
      </c>
      <c r="B1516" t="str">
        <f>LEFT(D1516,3)</f>
        <v>WKT</v>
      </c>
      <c r="C1516" s="2">
        <v>1515</v>
      </c>
      <c r="D1516" s="3" t="str">
        <f>HYPERLINK("https://sitebase.nzcomms.co.nz/spm/spmnominalview/WKT-021-005/","WKT-021-005")</f>
        <v>WKT-021-005</v>
      </c>
      <c r="E1516" s="4" t="s">
        <v>4542</v>
      </c>
      <c r="F1516" s="3" t="str">
        <f>HYPERLINK("https://sitebase.nzcomms.co.nz/spm/spmcandidateview/WKT-021-005-C/","WKT-021-005-C")</f>
        <v>WKT-021-005-C</v>
      </c>
      <c r="G1516" s="4" t="s">
        <v>4543</v>
      </c>
      <c r="H1516" s="4" t="s">
        <v>4527</v>
      </c>
      <c r="I1516" s="4">
        <v>2</v>
      </c>
      <c r="J1516" s="4" t="s">
        <v>1633</v>
      </c>
      <c r="K1516" s="4" t="s">
        <v>141</v>
      </c>
      <c r="L1516" s="4" t="s">
        <v>189</v>
      </c>
      <c r="M1516" s="4" t="s">
        <v>190</v>
      </c>
      <c r="N1516" s="4" t="s">
        <v>274</v>
      </c>
      <c r="O1516" s="4" t="s">
        <v>297</v>
      </c>
      <c r="P1516" s="4" t="s">
        <v>182</v>
      </c>
      <c r="Q1516" s="4" t="s">
        <v>192</v>
      </c>
      <c r="R1516" s="4">
        <v>7.8</v>
      </c>
      <c r="S1516" s="4">
        <v>7.8</v>
      </c>
      <c r="T1516" s="4">
        <v>1</v>
      </c>
      <c r="U1516" s="4">
        <v>-38.706374910000001</v>
      </c>
      <c r="V1516" s="4">
        <v>176.02429193</v>
      </c>
      <c r="W1516" s="4"/>
      <c r="X1516" s="5">
        <v>40308</v>
      </c>
      <c r="Y1516" s="4"/>
      <c r="Z1516" s="5">
        <v>40296</v>
      </c>
      <c r="AA1516" s="4" t="s">
        <v>171</v>
      </c>
      <c r="AB1516" s="3" t="str">
        <f>HYPERLINK("https://sitebase.nzcomms.co.nz/spm/spmcandidateview/WKT-021-010-D/","WKT-021-010-D")</f>
        <v>WKT-021-010-D</v>
      </c>
      <c r="AC1516" s="4" t="b">
        <v>0</v>
      </c>
      <c r="AD1516" s="4" t="b">
        <v>0</v>
      </c>
      <c r="AE1516" s="5">
        <v>40308</v>
      </c>
      <c r="AF1516" s="4"/>
      <c r="AG1516" s="4" t="b">
        <v>0</v>
      </c>
      <c r="AH1516" s="4"/>
      <c r="AI1516" s="5">
        <v>40648</v>
      </c>
      <c r="AJ1516" s="5">
        <v>40611</v>
      </c>
      <c r="AK1516" s="5">
        <v>40616</v>
      </c>
      <c r="AL1516" s="5">
        <v>40616</v>
      </c>
      <c r="AM1516" s="5">
        <v>40618</v>
      </c>
      <c r="AN1516" s="5">
        <v>40619</v>
      </c>
      <c r="AO1516" s="4">
        <v>2</v>
      </c>
      <c r="AP1516" s="5">
        <v>40618</v>
      </c>
      <c r="AQ1516" s="5">
        <v>40732</v>
      </c>
      <c r="AR1516" s="5">
        <v>40774</v>
      </c>
      <c r="AS1516" s="5">
        <v>40774</v>
      </c>
      <c r="AT1516" s="5">
        <v>40785</v>
      </c>
      <c r="AU1516" s="5">
        <v>40786</v>
      </c>
      <c r="AV1516" s="4"/>
      <c r="AW1516" s="5">
        <v>40785</v>
      </c>
      <c r="AX1516" s="5">
        <v>40786</v>
      </c>
      <c r="AY1516" s="4" t="s">
        <v>193</v>
      </c>
      <c r="AZ1516" s="5">
        <v>40793</v>
      </c>
      <c r="BA1516" s="5">
        <v>40738</v>
      </c>
      <c r="BB1516" s="5">
        <v>40814</v>
      </c>
      <c r="BC1516" s="5">
        <v>40801</v>
      </c>
      <c r="BD1516" s="4">
        <v>2</v>
      </c>
      <c r="BE1516" s="5">
        <v>40821</v>
      </c>
      <c r="BF1516" s="5">
        <v>40802</v>
      </c>
      <c r="BG1516" s="4"/>
      <c r="BH1516" s="4"/>
      <c r="BI1516" s="4"/>
      <c r="BJ1516" s="5">
        <v>40872</v>
      </c>
      <c r="BK1516" s="4">
        <v>1</v>
      </c>
      <c r="BL1516" s="4"/>
      <c r="BM1516" s="4"/>
      <c r="BN1516" s="5">
        <v>40872</v>
      </c>
      <c r="BO1516" s="4"/>
      <c r="BP1516" s="4"/>
      <c r="BQ1516" s="4"/>
      <c r="BR1516" s="4"/>
      <c r="BS1516" s="4"/>
      <c r="BT1516" s="4"/>
      <c r="BU1516" s="4"/>
      <c r="BV1516" s="4"/>
      <c r="BW1516" s="4"/>
      <c r="BX1516" s="4"/>
      <c r="BY1516" s="4"/>
      <c r="BZ1516" s="4"/>
      <c r="CA1516" s="4"/>
      <c r="CB1516" s="4"/>
      <c r="CC1516" s="4"/>
      <c r="CD1516" s="4"/>
      <c r="CE1516" s="4"/>
      <c r="CF1516" s="4"/>
      <c r="CG1516" s="4"/>
      <c r="CH1516" s="4"/>
      <c r="CI1516" s="4"/>
      <c r="CJ1516" s="4"/>
      <c r="CK1516" s="4"/>
      <c r="CL1516" s="4"/>
      <c r="CM1516" s="4"/>
      <c r="CN1516" s="4"/>
      <c r="CO1516" s="4"/>
      <c r="CP1516" s="4" t="s">
        <v>4544</v>
      </c>
      <c r="CQ1516" s="4"/>
      <c r="CR1516" s="4"/>
      <c r="CS1516" s="4"/>
      <c r="CT1516" s="4"/>
      <c r="CU1516" s="4"/>
      <c r="CV1516" s="4"/>
      <c r="CW1516" s="4"/>
      <c r="CX1516" s="4"/>
      <c r="CY1516" s="4"/>
      <c r="CZ1516" s="4"/>
      <c r="DA1516" s="4"/>
      <c r="DB1516" s="4"/>
      <c r="DC1516" s="4"/>
      <c r="DD1516" s="4"/>
      <c r="DE1516" s="4"/>
      <c r="DF1516" s="4"/>
      <c r="DG1516" s="4"/>
      <c r="DH1516" s="4" t="s">
        <v>240</v>
      </c>
      <c r="DI1516" s="4"/>
      <c r="DJ1516" s="4" t="b">
        <v>0</v>
      </c>
      <c r="DK1516" s="4"/>
      <c r="DL1516" s="4">
        <v>2773069</v>
      </c>
      <c r="DM1516" s="4">
        <v>6273061</v>
      </c>
      <c r="DN1516" s="4" t="s">
        <v>4545</v>
      </c>
      <c r="DO1516" s="4"/>
      <c r="DP1516" s="4" t="s">
        <v>4546</v>
      </c>
      <c r="DQ1516" s="4"/>
      <c r="DR1516" s="4"/>
      <c r="DS1516" s="4"/>
      <c r="DT1516" s="4"/>
      <c r="DU1516" s="4"/>
      <c r="DV1516" s="4"/>
      <c r="DW1516" s="4"/>
      <c r="DX1516" s="4"/>
      <c r="DY1516" s="4"/>
      <c r="DZ1516" s="4"/>
      <c r="EA1516" s="4"/>
      <c r="EB1516" s="4"/>
      <c r="EC1516" s="4"/>
      <c r="ED1516" s="4"/>
      <c r="EE1516" s="4"/>
      <c r="EF1516" s="4"/>
      <c r="EG1516" s="4"/>
      <c r="EH1516" s="4"/>
      <c r="EI1516" s="5">
        <v>40616</v>
      </c>
    </row>
    <row r="1517" spans="1:139" hidden="1" x14ac:dyDescent="0.2">
      <c r="A1517">
        <f>VLOOKUP(B1517,Sheet1!$A$1:$B$18,2,FALSE)</f>
        <v>0</v>
      </c>
      <c r="B1517" t="str">
        <f>LEFT(D1517,3)</f>
        <v>WKT</v>
      </c>
      <c r="C1517" s="2">
        <v>1516</v>
      </c>
      <c r="D1517" s="3" t="str">
        <f>HYPERLINK("https://sitebase.nzcomms.co.nz/spm/spmnominalview/WKT-021-006/","WKT-021-006")</f>
        <v>WKT-021-006</v>
      </c>
      <c r="E1517" s="4" t="s">
        <v>4547</v>
      </c>
      <c r="F1517" s="3" t="str">
        <f>HYPERLINK("https://sitebase.nzcomms.co.nz/spm/spmcandidateview/WKT-021-006-A/","WKT-021-006-A")</f>
        <v>WKT-021-006-A</v>
      </c>
      <c r="G1517" s="4" t="s">
        <v>4548</v>
      </c>
      <c r="H1517" s="4" t="s">
        <v>4527</v>
      </c>
      <c r="I1517" s="4">
        <v>2</v>
      </c>
      <c r="J1517" s="4" t="s">
        <v>1633</v>
      </c>
      <c r="K1517" s="4" t="s">
        <v>141</v>
      </c>
      <c r="L1517" s="4" t="s">
        <v>150</v>
      </c>
      <c r="M1517" s="4" t="s">
        <v>190</v>
      </c>
      <c r="N1517" s="4" t="s">
        <v>156</v>
      </c>
      <c r="O1517" s="4" t="s">
        <v>144</v>
      </c>
      <c r="P1517" s="4" t="s">
        <v>169</v>
      </c>
      <c r="Q1517" s="4" t="s">
        <v>192</v>
      </c>
      <c r="R1517" s="4">
        <v>19.5</v>
      </c>
      <c r="S1517" s="4">
        <v>20</v>
      </c>
      <c r="T1517" s="4">
        <v>1</v>
      </c>
      <c r="U1517" s="4">
        <v>-38.670353509999998</v>
      </c>
      <c r="V1517" s="4">
        <v>176.06081571000001</v>
      </c>
      <c r="W1517" s="4"/>
      <c r="X1517" s="5">
        <v>40308</v>
      </c>
      <c r="Y1517" s="4"/>
      <c r="Z1517" s="5">
        <v>40296</v>
      </c>
      <c r="AA1517" s="4" t="s">
        <v>171</v>
      </c>
      <c r="AB1517" s="3" t="str">
        <f>HYPERLINK("https://sitebase.nzcomms.co.nz/spm/spmcandidateview/WKT-021-003-A/","WKT-021-003-A")</f>
        <v>WKT-021-003-A</v>
      </c>
      <c r="AC1517" s="4" t="b">
        <v>0</v>
      </c>
      <c r="AD1517" s="4" t="b">
        <v>0</v>
      </c>
      <c r="AE1517" s="5">
        <v>40308</v>
      </c>
      <c r="AF1517" s="4"/>
      <c r="AG1517" s="4" t="b">
        <v>0</v>
      </c>
      <c r="AH1517" s="4"/>
      <c r="AI1517" s="4"/>
      <c r="AJ1517" s="5">
        <v>40520</v>
      </c>
      <c r="AK1517" s="5">
        <v>40564</v>
      </c>
      <c r="AL1517" s="5">
        <v>40570</v>
      </c>
      <c r="AM1517" s="5">
        <v>40599</v>
      </c>
      <c r="AN1517" s="5">
        <v>40604</v>
      </c>
      <c r="AO1517" s="4">
        <v>1</v>
      </c>
      <c r="AP1517" s="5">
        <v>40599</v>
      </c>
      <c r="AQ1517" s="5">
        <v>40604</v>
      </c>
      <c r="AR1517" s="5">
        <v>40641</v>
      </c>
      <c r="AS1517" s="5">
        <v>40640</v>
      </c>
      <c r="AT1517" s="5">
        <v>40669</v>
      </c>
      <c r="AU1517" s="5">
        <v>40660</v>
      </c>
      <c r="AV1517" s="4"/>
      <c r="AW1517" s="5">
        <v>40676</v>
      </c>
      <c r="AX1517" s="5">
        <v>40660</v>
      </c>
      <c r="AY1517" s="4" t="s">
        <v>172</v>
      </c>
      <c r="AZ1517" s="5">
        <v>40644</v>
      </c>
      <c r="BA1517" s="5">
        <v>40638</v>
      </c>
      <c r="BB1517" s="5">
        <v>40669</v>
      </c>
      <c r="BC1517" s="5">
        <v>40659</v>
      </c>
      <c r="BD1517" s="4">
        <v>1</v>
      </c>
      <c r="BE1517" s="5">
        <v>40676</v>
      </c>
      <c r="BF1517" s="5">
        <v>40665</v>
      </c>
      <c r="BG1517" s="4"/>
      <c r="BH1517" s="4"/>
      <c r="BI1517" s="4"/>
      <c r="BJ1517" s="4"/>
      <c r="BK1517" s="4"/>
      <c r="BL1517" s="4"/>
      <c r="BM1517" s="5">
        <v>40725</v>
      </c>
      <c r="BN1517" s="4"/>
      <c r="BO1517" s="4"/>
      <c r="BP1517" s="4"/>
      <c r="BQ1517" s="4"/>
      <c r="BR1517" s="4"/>
      <c r="BS1517" s="4"/>
      <c r="BT1517" s="4"/>
      <c r="BU1517" s="4"/>
      <c r="BV1517" s="4"/>
      <c r="BW1517" s="4"/>
      <c r="BX1517" s="4"/>
      <c r="BY1517" s="4"/>
      <c r="BZ1517" s="4"/>
      <c r="CA1517" s="4"/>
      <c r="CB1517" s="4"/>
      <c r="CC1517" s="4"/>
      <c r="CD1517" s="4"/>
      <c r="CE1517" s="4"/>
      <c r="CF1517" s="4"/>
      <c r="CG1517" s="4"/>
      <c r="CH1517" s="4"/>
      <c r="CI1517" s="4"/>
      <c r="CJ1517" s="4"/>
      <c r="CK1517" s="4"/>
      <c r="CL1517" s="4"/>
      <c r="CM1517" s="4"/>
      <c r="CN1517" s="4"/>
      <c r="CO1517" s="4"/>
      <c r="CP1517" s="4" t="s">
        <v>4549</v>
      </c>
      <c r="CQ1517" s="4"/>
      <c r="CR1517" s="4"/>
      <c r="CS1517" s="4"/>
      <c r="CT1517" s="4"/>
      <c r="CU1517" s="4"/>
      <c r="CV1517" s="4"/>
      <c r="CW1517" s="4"/>
      <c r="CX1517" s="4"/>
      <c r="CY1517" s="4"/>
      <c r="CZ1517" s="4"/>
      <c r="DA1517" s="4"/>
      <c r="DB1517" s="4"/>
      <c r="DC1517" s="4"/>
      <c r="DD1517" s="4"/>
      <c r="DE1517" s="4"/>
      <c r="DF1517" s="4"/>
      <c r="DG1517" s="4"/>
      <c r="DH1517" s="4" t="s">
        <v>240</v>
      </c>
      <c r="DI1517" s="4"/>
      <c r="DJ1517" s="4" t="b">
        <v>0</v>
      </c>
      <c r="DK1517" s="4"/>
      <c r="DL1517" s="4">
        <v>2776381</v>
      </c>
      <c r="DM1517" s="4">
        <v>6276948</v>
      </c>
      <c r="DN1517" s="4" t="s">
        <v>4550</v>
      </c>
      <c r="DO1517" s="4"/>
      <c r="DP1517" s="4" t="s">
        <v>4551</v>
      </c>
      <c r="DQ1517" s="4" t="s">
        <v>148</v>
      </c>
      <c r="DR1517" s="4" t="s">
        <v>244</v>
      </c>
      <c r="DS1517" s="4"/>
      <c r="DT1517" s="4"/>
      <c r="DU1517" s="4"/>
      <c r="DV1517" s="4"/>
      <c r="DW1517" s="4"/>
      <c r="DX1517" s="4"/>
      <c r="DY1517" s="4"/>
      <c r="DZ1517" s="4"/>
      <c r="EA1517" s="4"/>
      <c r="EB1517" s="4"/>
      <c r="EC1517" s="4"/>
      <c r="ED1517" s="4"/>
      <c r="EE1517" s="4"/>
      <c r="EF1517" s="4"/>
      <c r="EG1517" s="4"/>
      <c r="EH1517" s="4"/>
      <c r="EI1517" s="5">
        <v>40570</v>
      </c>
    </row>
    <row r="1518" spans="1:139" hidden="1" x14ac:dyDescent="0.2">
      <c r="A1518">
        <f>VLOOKUP(B1518,Sheet1!$A$1:$B$18,2,FALSE)</f>
        <v>0</v>
      </c>
      <c r="B1518" t="str">
        <f>LEFT(D1518,3)</f>
        <v>WKT</v>
      </c>
      <c r="C1518" s="2">
        <v>1517</v>
      </c>
      <c r="D1518" s="3" t="str">
        <f>HYPERLINK("https://sitebase.nzcomms.co.nz/spm/spmnominalview/WKT-021-007/","WKT-021-007")</f>
        <v>WKT-021-007</v>
      </c>
      <c r="E1518" s="4" t="s">
        <v>4552</v>
      </c>
      <c r="F1518" s="3" t="str">
        <f>HYPERLINK("https://sitebase.nzcomms.co.nz/spm/spmcandidateview/WKT-021-007-B/","WKT-021-007-B")</f>
        <v>WKT-021-007-B</v>
      </c>
      <c r="G1518" s="4" t="s">
        <v>4553</v>
      </c>
      <c r="H1518" s="4" t="s">
        <v>4527</v>
      </c>
      <c r="I1518" s="4">
        <v>2</v>
      </c>
      <c r="J1518" s="4" t="s">
        <v>1633</v>
      </c>
      <c r="K1518" s="4" t="s">
        <v>141</v>
      </c>
      <c r="L1518" s="4" t="s">
        <v>150</v>
      </c>
      <c r="M1518" s="4" t="s">
        <v>190</v>
      </c>
      <c r="N1518" s="4" t="s">
        <v>355</v>
      </c>
      <c r="O1518" s="4" t="s">
        <v>144</v>
      </c>
      <c r="P1518" s="4" t="s">
        <v>169</v>
      </c>
      <c r="Q1518" s="4" t="s">
        <v>192</v>
      </c>
      <c r="R1518" s="4">
        <v>14.5</v>
      </c>
      <c r="S1518" s="4">
        <v>15</v>
      </c>
      <c r="T1518" s="4">
        <v>1</v>
      </c>
      <c r="U1518" s="4">
        <v>-38.688244779999998</v>
      </c>
      <c r="V1518" s="4">
        <v>176.07064220000001</v>
      </c>
      <c r="W1518" s="4"/>
      <c r="X1518" s="5">
        <v>40308</v>
      </c>
      <c r="Y1518" s="4"/>
      <c r="Z1518" s="5">
        <v>40296</v>
      </c>
      <c r="AA1518" s="4" t="s">
        <v>171</v>
      </c>
      <c r="AB1518" s="3" t="str">
        <f>HYPERLINK("https://sitebase.nzcomms.co.nz/spm/spmcandidateview/WKT-021-002-D/","WKT-021-002-D")</f>
        <v>WKT-021-002-D</v>
      </c>
      <c r="AC1518" s="4" t="b">
        <v>0</v>
      </c>
      <c r="AD1518" s="4" t="b">
        <v>0</v>
      </c>
      <c r="AE1518" s="5">
        <v>40308</v>
      </c>
      <c r="AF1518" s="4"/>
      <c r="AG1518" s="4" t="b">
        <v>0</v>
      </c>
      <c r="AH1518" s="4"/>
      <c r="AI1518" s="5">
        <v>40620</v>
      </c>
      <c r="AJ1518" s="5">
        <v>40605</v>
      </c>
      <c r="AK1518" s="5">
        <v>40610</v>
      </c>
      <c r="AL1518" s="5">
        <v>40610</v>
      </c>
      <c r="AM1518" s="5">
        <v>40652</v>
      </c>
      <c r="AN1518" s="5">
        <v>40655</v>
      </c>
      <c r="AO1518" s="4">
        <v>4</v>
      </c>
      <c r="AP1518" s="4"/>
      <c r="AQ1518" s="5">
        <v>40946</v>
      </c>
      <c r="AR1518" s="5">
        <v>40683</v>
      </c>
      <c r="AS1518" s="5">
        <v>40682</v>
      </c>
      <c r="AT1518" s="5">
        <v>40711</v>
      </c>
      <c r="AU1518" s="5">
        <v>40690</v>
      </c>
      <c r="AV1518" s="4"/>
      <c r="AW1518" s="5">
        <v>40718</v>
      </c>
      <c r="AX1518" s="5">
        <v>40696</v>
      </c>
      <c r="AY1518" s="4" t="s">
        <v>172</v>
      </c>
      <c r="AZ1518" s="5">
        <v>40686</v>
      </c>
      <c r="BA1518" s="5">
        <v>40690</v>
      </c>
      <c r="BB1518" s="5">
        <v>40717</v>
      </c>
      <c r="BC1518" s="5">
        <v>40703</v>
      </c>
      <c r="BD1518" s="4">
        <v>2</v>
      </c>
      <c r="BE1518" s="5">
        <v>40724</v>
      </c>
      <c r="BF1518" s="5">
        <v>40709</v>
      </c>
      <c r="BG1518" s="4"/>
      <c r="BH1518" s="4"/>
      <c r="BI1518" s="4"/>
      <c r="BJ1518" s="5">
        <v>40946</v>
      </c>
      <c r="BK1518" s="4">
        <v>1</v>
      </c>
      <c r="BL1518" s="4"/>
      <c r="BM1518" s="4"/>
      <c r="BN1518" s="5">
        <v>40946</v>
      </c>
      <c r="BO1518" s="5">
        <v>40885</v>
      </c>
      <c r="BP1518" s="4"/>
      <c r="BQ1518" s="4"/>
      <c r="BR1518" s="4"/>
      <c r="BS1518" s="4"/>
      <c r="BT1518" s="5">
        <v>40885</v>
      </c>
      <c r="BU1518" s="5">
        <v>40885</v>
      </c>
      <c r="BV1518" s="5">
        <v>40891</v>
      </c>
      <c r="BW1518" s="5">
        <v>40892</v>
      </c>
      <c r="BX1518" s="5">
        <v>40891</v>
      </c>
      <c r="BY1518" s="5">
        <v>40893</v>
      </c>
      <c r="BZ1518" s="5">
        <v>40897</v>
      </c>
      <c r="CA1518" s="4"/>
      <c r="CB1518" s="4"/>
      <c r="CC1518" s="4"/>
      <c r="CD1518" s="4"/>
      <c r="CE1518" s="4"/>
      <c r="CF1518" s="4"/>
      <c r="CG1518" s="4"/>
      <c r="CH1518" s="4"/>
      <c r="CI1518" s="5">
        <v>40897</v>
      </c>
      <c r="CJ1518" s="5">
        <v>40897</v>
      </c>
      <c r="CK1518" s="5">
        <v>40898</v>
      </c>
      <c r="CL1518" s="5">
        <v>40949</v>
      </c>
      <c r="CM1518" s="5">
        <v>40939</v>
      </c>
      <c r="CN1518" s="5">
        <v>41029</v>
      </c>
      <c r="CO1518" s="5">
        <v>41121</v>
      </c>
      <c r="CP1518" s="4" t="s">
        <v>4554</v>
      </c>
      <c r="CQ1518" s="4"/>
      <c r="CR1518" s="5">
        <v>40897</v>
      </c>
      <c r="CS1518" s="5">
        <v>40885</v>
      </c>
      <c r="CT1518" s="5">
        <v>40885</v>
      </c>
      <c r="CU1518" s="5">
        <v>40885</v>
      </c>
      <c r="CV1518" s="5">
        <v>40885</v>
      </c>
      <c r="CW1518" s="5">
        <v>40885</v>
      </c>
      <c r="CX1518" s="5">
        <v>40885</v>
      </c>
      <c r="CY1518" s="5">
        <v>40891</v>
      </c>
      <c r="CZ1518" s="5">
        <v>40892</v>
      </c>
      <c r="DA1518" s="4"/>
      <c r="DB1518" s="5">
        <v>40925</v>
      </c>
      <c r="DC1518" s="4"/>
      <c r="DD1518" s="4"/>
      <c r="DE1518" s="4"/>
      <c r="DF1518" s="4"/>
      <c r="DG1518" s="4"/>
      <c r="DH1518" s="4"/>
      <c r="DI1518" s="5">
        <v>40891</v>
      </c>
      <c r="DJ1518" s="4" t="b">
        <v>0</v>
      </c>
      <c r="DK1518" s="4"/>
      <c r="DL1518" s="4">
        <v>2777167</v>
      </c>
      <c r="DM1518" s="4">
        <v>6274934</v>
      </c>
      <c r="DN1518" s="4" t="s">
        <v>4555</v>
      </c>
      <c r="DO1518" s="4"/>
      <c r="DP1518" s="4" t="s">
        <v>4556</v>
      </c>
      <c r="DQ1518" s="4" t="s">
        <v>148</v>
      </c>
      <c r="DR1518" s="4"/>
      <c r="DS1518" s="4"/>
      <c r="DT1518" s="4"/>
      <c r="DU1518" s="4"/>
      <c r="DV1518" s="4"/>
      <c r="DW1518" s="4"/>
      <c r="DX1518" s="4"/>
      <c r="DY1518" s="4"/>
      <c r="DZ1518" s="4"/>
      <c r="EA1518" s="4"/>
      <c r="EB1518" s="4"/>
      <c r="EC1518" s="4"/>
      <c r="ED1518" s="4"/>
      <c r="EE1518" s="4"/>
      <c r="EF1518" s="4"/>
      <c r="EG1518" s="5">
        <v>40928</v>
      </c>
      <c r="EH1518" s="5">
        <v>40925</v>
      </c>
      <c r="EI1518" s="5">
        <v>40610</v>
      </c>
    </row>
    <row r="1519" spans="1:139" hidden="1" x14ac:dyDescent="0.2">
      <c r="A1519">
        <f>VLOOKUP(B1519,Sheet1!$A$1:$B$18,2,FALSE)</f>
        <v>0</v>
      </c>
      <c r="B1519" t="str">
        <f>LEFT(D1519,3)</f>
        <v>WKT</v>
      </c>
      <c r="C1519" s="2">
        <v>1518</v>
      </c>
      <c r="D1519" s="3" t="str">
        <f>HYPERLINK("https://sitebase.nzcomms.co.nz/spm/spmnominalview/WKT-021-008/","WKT-021-008")</f>
        <v>WKT-021-008</v>
      </c>
      <c r="E1519" s="4" t="s">
        <v>1727</v>
      </c>
      <c r="F1519" s="3" t="str">
        <f>HYPERLINK("https://sitebase.nzcomms.co.nz/spm/spmcandidateview/WKT-021-008-D/","WKT-021-008-D")</f>
        <v>WKT-021-008-D</v>
      </c>
      <c r="G1519" s="4" t="s">
        <v>4557</v>
      </c>
      <c r="H1519" s="4" t="s">
        <v>4527</v>
      </c>
      <c r="I1519" s="4">
        <v>2</v>
      </c>
      <c r="J1519" s="4" t="s">
        <v>1633</v>
      </c>
      <c r="K1519" s="4" t="s">
        <v>141</v>
      </c>
      <c r="L1519" s="4" t="s">
        <v>150</v>
      </c>
      <c r="M1519" s="4" t="s">
        <v>190</v>
      </c>
      <c r="N1519" s="4" t="s">
        <v>291</v>
      </c>
      <c r="O1519" s="4"/>
      <c r="P1519" s="4" t="s">
        <v>169</v>
      </c>
      <c r="Q1519" s="4" t="s">
        <v>192</v>
      </c>
      <c r="R1519" s="4">
        <v>19.3</v>
      </c>
      <c r="S1519" s="4">
        <v>20</v>
      </c>
      <c r="T1519" s="4">
        <v>1</v>
      </c>
      <c r="U1519" s="4">
        <v>-38.680450579999999</v>
      </c>
      <c r="V1519" s="4">
        <v>176.09009273999999</v>
      </c>
      <c r="W1519" s="4"/>
      <c r="X1519" s="5">
        <v>40308</v>
      </c>
      <c r="Y1519" s="4"/>
      <c r="Z1519" s="5">
        <v>40296</v>
      </c>
      <c r="AA1519" s="4" t="s">
        <v>171</v>
      </c>
      <c r="AB1519" s="3" t="str">
        <f>HYPERLINK("https://sitebase.nzcomms.co.nz/spm/spmcandidateview/WKT-021-003-C/","WKT-021-003-C")</f>
        <v>WKT-021-003-C</v>
      </c>
      <c r="AC1519" s="4" t="b">
        <v>0</v>
      </c>
      <c r="AD1519" s="4" t="b">
        <v>0</v>
      </c>
      <c r="AE1519" s="5">
        <v>40308</v>
      </c>
      <c r="AF1519" s="4"/>
      <c r="AG1519" s="4" t="b">
        <v>0</v>
      </c>
      <c r="AH1519" s="4"/>
      <c r="AI1519" s="5">
        <v>40989</v>
      </c>
      <c r="AJ1519" s="5">
        <v>40997</v>
      </c>
      <c r="AK1519" s="5">
        <v>40991</v>
      </c>
      <c r="AL1519" s="5">
        <v>40997</v>
      </c>
      <c r="AM1519" s="5">
        <v>41012</v>
      </c>
      <c r="AN1519" s="5">
        <v>41010</v>
      </c>
      <c r="AO1519" s="4">
        <v>1</v>
      </c>
      <c r="AP1519" s="5">
        <v>41012</v>
      </c>
      <c r="AQ1519" s="5">
        <v>41010</v>
      </c>
      <c r="AR1519" s="5">
        <v>41012</v>
      </c>
      <c r="AS1519" s="5">
        <v>40990</v>
      </c>
      <c r="AT1519" s="5">
        <v>41026</v>
      </c>
      <c r="AU1519" s="5">
        <v>40998</v>
      </c>
      <c r="AV1519" s="4"/>
      <c r="AW1519" s="5">
        <v>41026</v>
      </c>
      <c r="AX1519" s="5">
        <v>40998</v>
      </c>
      <c r="AY1519" s="4" t="s">
        <v>172</v>
      </c>
      <c r="AZ1519" s="5">
        <v>41012</v>
      </c>
      <c r="BA1519" s="5">
        <v>41010</v>
      </c>
      <c r="BB1519" s="5">
        <v>41049</v>
      </c>
      <c r="BC1519" s="5">
        <v>41025</v>
      </c>
      <c r="BD1519" s="4">
        <v>1</v>
      </c>
      <c r="BE1519" s="5">
        <v>41056</v>
      </c>
      <c r="BF1519" s="5">
        <v>41025</v>
      </c>
      <c r="BG1519" s="4"/>
      <c r="BH1519" s="4"/>
      <c r="BI1519" s="5">
        <v>41073</v>
      </c>
      <c r="BJ1519" s="5">
        <v>41086</v>
      </c>
      <c r="BK1519" s="4">
        <v>1</v>
      </c>
      <c r="BL1519" s="4"/>
      <c r="BM1519" s="5">
        <v>41073</v>
      </c>
      <c r="BN1519" s="5">
        <v>41086</v>
      </c>
      <c r="BO1519" s="5">
        <v>41087</v>
      </c>
      <c r="BP1519" s="4"/>
      <c r="BQ1519" s="4"/>
      <c r="BR1519" s="4"/>
      <c r="BS1519" s="4"/>
      <c r="BT1519" s="5">
        <v>41078</v>
      </c>
      <c r="BU1519" s="5">
        <v>41078</v>
      </c>
      <c r="BV1519" s="5">
        <v>41089</v>
      </c>
      <c r="BW1519" s="5">
        <v>41088</v>
      </c>
      <c r="BX1519" s="5">
        <v>41089</v>
      </c>
      <c r="BY1519" s="5">
        <v>41099</v>
      </c>
      <c r="BZ1519" s="5">
        <v>41099</v>
      </c>
      <c r="CA1519" s="4"/>
      <c r="CB1519" s="4"/>
      <c r="CC1519" s="4"/>
      <c r="CD1519" s="4"/>
      <c r="CE1519" s="4"/>
      <c r="CF1519" s="4"/>
      <c r="CG1519" s="4"/>
      <c r="CH1519" s="4"/>
      <c r="CI1519" s="5">
        <v>41102</v>
      </c>
      <c r="CJ1519" s="5">
        <v>41103</v>
      </c>
      <c r="CK1519" s="5">
        <v>41103</v>
      </c>
      <c r="CL1519" s="5">
        <v>41137</v>
      </c>
      <c r="CM1519" s="5">
        <v>41114</v>
      </c>
      <c r="CN1519" s="5">
        <v>41390</v>
      </c>
      <c r="CO1519" s="5">
        <v>41374</v>
      </c>
      <c r="CP1519" s="4" t="s">
        <v>4558</v>
      </c>
      <c r="CQ1519" s="4"/>
      <c r="CR1519" s="5">
        <v>41099</v>
      </c>
      <c r="CS1519" s="5">
        <v>41087</v>
      </c>
      <c r="CT1519" s="5">
        <v>41087</v>
      </c>
      <c r="CU1519" s="5">
        <v>41087</v>
      </c>
      <c r="CV1519" s="5">
        <v>41087</v>
      </c>
      <c r="CW1519" s="5">
        <v>41087</v>
      </c>
      <c r="CX1519" s="5">
        <v>41087</v>
      </c>
      <c r="CY1519" s="5">
        <v>41095</v>
      </c>
      <c r="CZ1519" s="5">
        <v>41093</v>
      </c>
      <c r="DA1519" s="4"/>
      <c r="DB1519" s="5">
        <v>41100</v>
      </c>
      <c r="DC1519" s="4"/>
      <c r="DD1519" s="4"/>
      <c r="DE1519" s="4"/>
      <c r="DF1519" s="4"/>
      <c r="DG1519" s="4"/>
      <c r="DH1519" s="4"/>
      <c r="DI1519" s="5">
        <v>41092</v>
      </c>
      <c r="DJ1519" s="4" t="b">
        <v>0</v>
      </c>
      <c r="DK1519" s="4"/>
      <c r="DL1519" s="4">
        <v>2778888</v>
      </c>
      <c r="DM1519" s="4">
        <v>6275740</v>
      </c>
      <c r="DN1519" s="4" t="s">
        <v>4559</v>
      </c>
      <c r="DO1519" s="4"/>
      <c r="DP1519" s="4"/>
      <c r="DQ1519" s="4" t="s">
        <v>148</v>
      </c>
      <c r="DR1519" s="4"/>
      <c r="DS1519" s="4"/>
      <c r="DT1519" s="4"/>
      <c r="DU1519" s="4"/>
      <c r="DV1519" s="4"/>
      <c r="DW1519" s="4"/>
      <c r="DX1519" s="4"/>
      <c r="DY1519" s="4"/>
      <c r="DZ1519" s="4"/>
      <c r="EA1519" s="4"/>
      <c r="EB1519" s="4"/>
      <c r="EC1519" s="4"/>
      <c r="ED1519" s="4"/>
      <c r="EE1519" s="4"/>
      <c r="EF1519" s="4"/>
      <c r="EG1519" s="5">
        <v>41103</v>
      </c>
      <c r="EH1519" s="5">
        <v>41103</v>
      </c>
      <c r="EI1519" s="5">
        <v>40997</v>
      </c>
    </row>
    <row r="1520" spans="1:139" hidden="1" x14ac:dyDescent="0.2">
      <c r="A1520">
        <f>VLOOKUP(B1520,Sheet1!$A$1:$B$18,2,FALSE)</f>
        <v>0</v>
      </c>
      <c r="B1520" t="str">
        <f>LEFT(D1520,3)</f>
        <v>WKT</v>
      </c>
      <c r="C1520" s="2">
        <v>1519</v>
      </c>
      <c r="D1520" s="3" t="str">
        <f>HYPERLINK("https://sitebase.nzcomms.co.nz/spm/spmnominalview/WKT-021-009/","WKT-021-009")</f>
        <v>WKT-021-009</v>
      </c>
      <c r="E1520" s="4" t="s">
        <v>4560</v>
      </c>
      <c r="F1520" s="3" t="str">
        <f>HYPERLINK("https://sitebase.nzcomms.co.nz/spm/spmcandidateview/WKT-021-009-C/","WKT-021-009-C")</f>
        <v>WKT-021-009-C</v>
      </c>
      <c r="G1520" s="4" t="s">
        <v>4561</v>
      </c>
      <c r="H1520" s="4" t="s">
        <v>4527</v>
      </c>
      <c r="I1520" s="4">
        <v>2</v>
      </c>
      <c r="J1520" s="4" t="s">
        <v>1633</v>
      </c>
      <c r="K1520" s="4" t="s">
        <v>141</v>
      </c>
      <c r="L1520" s="4" t="s">
        <v>150</v>
      </c>
      <c r="M1520" s="4" t="s">
        <v>190</v>
      </c>
      <c r="N1520" s="4" t="s">
        <v>355</v>
      </c>
      <c r="O1520" s="4" t="s">
        <v>356</v>
      </c>
      <c r="P1520" s="4" t="s">
        <v>182</v>
      </c>
      <c r="Q1520" s="4" t="s">
        <v>192</v>
      </c>
      <c r="R1520" s="4">
        <v>10</v>
      </c>
      <c r="S1520" s="4">
        <v>10</v>
      </c>
      <c r="T1520" s="4">
        <v>1</v>
      </c>
      <c r="U1520" s="4">
        <v>-38.687811859999996</v>
      </c>
      <c r="V1520" s="4">
        <v>176.08892360999999</v>
      </c>
      <c r="W1520" s="4"/>
      <c r="X1520" s="5">
        <v>40308</v>
      </c>
      <c r="Y1520" s="4"/>
      <c r="Z1520" s="5">
        <v>40296</v>
      </c>
      <c r="AA1520" s="4" t="s">
        <v>171</v>
      </c>
      <c r="AB1520" s="3" t="str">
        <f>HYPERLINK("https://sitebase.nzcomms.co.nz/spm/spmcandidateview/WKT-021-001-B/","WKT-021-001-B")</f>
        <v>WKT-021-001-B</v>
      </c>
      <c r="AC1520" s="4" t="b">
        <v>0</v>
      </c>
      <c r="AD1520" s="4" t="b">
        <v>0</v>
      </c>
      <c r="AE1520" s="5">
        <v>40308</v>
      </c>
      <c r="AF1520" s="4"/>
      <c r="AG1520" s="4" t="b">
        <v>0</v>
      </c>
      <c r="AH1520" s="4"/>
      <c r="AI1520" s="4"/>
      <c r="AJ1520" s="5">
        <v>40521</v>
      </c>
      <c r="AK1520" s="5">
        <v>40564</v>
      </c>
      <c r="AL1520" s="5">
        <v>40570</v>
      </c>
      <c r="AM1520" s="5">
        <v>40605</v>
      </c>
      <c r="AN1520" s="5">
        <v>40610</v>
      </c>
      <c r="AO1520" s="4">
        <v>3</v>
      </c>
      <c r="AP1520" s="5">
        <v>40605</v>
      </c>
      <c r="AQ1520" s="5">
        <v>40682</v>
      </c>
      <c r="AR1520" s="5">
        <v>40641</v>
      </c>
      <c r="AS1520" s="5">
        <v>40626</v>
      </c>
      <c r="AT1520" s="5">
        <v>40648</v>
      </c>
      <c r="AU1520" s="4"/>
      <c r="AV1520" s="4"/>
      <c r="AW1520" s="5">
        <v>40655</v>
      </c>
      <c r="AX1520" s="4"/>
      <c r="AY1520" s="4" t="s">
        <v>172</v>
      </c>
      <c r="AZ1520" s="5">
        <v>40693</v>
      </c>
      <c r="BA1520" s="5">
        <v>40690</v>
      </c>
      <c r="BB1520" s="5">
        <v>40717</v>
      </c>
      <c r="BC1520" s="5">
        <v>40707</v>
      </c>
      <c r="BD1520" s="4">
        <v>3</v>
      </c>
      <c r="BE1520" s="5">
        <v>40722</v>
      </c>
      <c r="BF1520" s="5">
        <v>40709</v>
      </c>
      <c r="BG1520" s="4"/>
      <c r="BH1520" s="4"/>
      <c r="BI1520" s="4"/>
      <c r="BJ1520" s="4"/>
      <c r="BK1520" s="4"/>
      <c r="BL1520" s="4"/>
      <c r="BM1520" s="4"/>
      <c r="BN1520" s="4"/>
      <c r="BO1520" s="4"/>
      <c r="BP1520" s="4"/>
      <c r="BQ1520" s="4"/>
      <c r="BR1520" s="4"/>
      <c r="BS1520" s="4"/>
      <c r="BT1520" s="4"/>
      <c r="BU1520" s="4"/>
      <c r="BV1520" s="4"/>
      <c r="BW1520" s="4"/>
      <c r="BX1520" s="4"/>
      <c r="BY1520" s="4"/>
      <c r="BZ1520" s="4"/>
      <c r="CA1520" s="4"/>
      <c r="CB1520" s="4"/>
      <c r="CC1520" s="4"/>
      <c r="CD1520" s="4"/>
      <c r="CE1520" s="4"/>
      <c r="CF1520" s="4"/>
      <c r="CG1520" s="4"/>
      <c r="CH1520" s="4"/>
      <c r="CI1520" s="4"/>
      <c r="CJ1520" s="4"/>
      <c r="CK1520" s="4"/>
      <c r="CL1520" s="4"/>
      <c r="CM1520" s="4"/>
      <c r="CN1520" s="4"/>
      <c r="CO1520" s="4"/>
      <c r="CP1520" s="4" t="s">
        <v>4562</v>
      </c>
      <c r="CQ1520" s="4"/>
      <c r="CR1520" s="4"/>
      <c r="CS1520" s="4"/>
      <c r="CT1520" s="4"/>
      <c r="CU1520" s="4"/>
      <c r="CV1520" s="4"/>
      <c r="CW1520" s="4"/>
      <c r="CX1520" s="4"/>
      <c r="CY1520" s="4"/>
      <c r="CZ1520" s="4"/>
      <c r="DA1520" s="4"/>
      <c r="DB1520" s="4"/>
      <c r="DC1520" s="4"/>
      <c r="DD1520" s="4"/>
      <c r="DE1520" s="4"/>
      <c r="DF1520" s="4"/>
      <c r="DG1520" s="4"/>
      <c r="DH1520" s="4" t="s">
        <v>240</v>
      </c>
      <c r="DI1520" s="4"/>
      <c r="DJ1520" s="4" t="b">
        <v>0</v>
      </c>
      <c r="DK1520" s="4"/>
      <c r="DL1520" s="4">
        <v>2778758</v>
      </c>
      <c r="DM1520" s="4">
        <v>6274927</v>
      </c>
      <c r="DN1520" s="4" t="s">
        <v>4563</v>
      </c>
      <c r="DO1520" s="4" t="s">
        <v>242</v>
      </c>
      <c r="DP1520" s="4" t="s">
        <v>4564</v>
      </c>
      <c r="DQ1520" s="4"/>
      <c r="DR1520" s="4"/>
      <c r="DS1520" s="4"/>
      <c r="DT1520" s="4"/>
      <c r="DU1520" s="4"/>
      <c r="DV1520" s="4"/>
      <c r="DW1520" s="4"/>
      <c r="DX1520" s="4"/>
      <c r="DY1520" s="4"/>
      <c r="DZ1520" s="4"/>
      <c r="EA1520" s="4"/>
      <c r="EB1520" s="4"/>
      <c r="EC1520" s="4"/>
      <c r="ED1520" s="4"/>
      <c r="EE1520" s="4"/>
      <c r="EF1520" s="4"/>
      <c r="EG1520" s="4"/>
      <c r="EH1520" s="4"/>
      <c r="EI1520" s="5">
        <v>40570</v>
      </c>
    </row>
    <row r="1521" spans="1:139" hidden="1" x14ac:dyDescent="0.2">
      <c r="A1521">
        <f>VLOOKUP(B1521,Sheet1!$A$1:$B$18,2,FALSE)</f>
        <v>0</v>
      </c>
      <c r="B1521" t="str">
        <f>LEFT(D1521,3)</f>
        <v>WKT</v>
      </c>
      <c r="C1521" s="2">
        <v>1520</v>
      </c>
      <c r="D1521" s="3" t="str">
        <f>HYPERLINK("https://sitebase.nzcomms.co.nz/spm/spmnominalview/WKT-021-010/","WKT-021-010")</f>
        <v>WKT-021-010</v>
      </c>
      <c r="E1521" s="4" t="s">
        <v>4565</v>
      </c>
      <c r="F1521" s="4"/>
      <c r="G1521" s="4"/>
      <c r="H1521" s="4" t="s">
        <v>4527</v>
      </c>
      <c r="I1521" s="4"/>
      <c r="J1521" s="4" t="s">
        <v>196</v>
      </c>
      <c r="K1521" s="4"/>
      <c r="L1521" s="4"/>
      <c r="M1521" s="4"/>
      <c r="N1521" s="4"/>
      <c r="O1521" s="4"/>
      <c r="P1521" s="4"/>
      <c r="Q1521" s="4"/>
      <c r="R1521" s="4"/>
      <c r="S1521" s="4"/>
      <c r="T1521" s="4"/>
      <c r="U1521" s="4"/>
      <c r="V1521" s="4"/>
      <c r="W1521" s="4"/>
      <c r="X1521" s="4"/>
      <c r="Y1521" s="4"/>
      <c r="Z1521" s="4"/>
      <c r="AA1521" s="4"/>
      <c r="AB1521" s="4"/>
      <c r="AC1521" s="4"/>
      <c r="AD1521" s="4"/>
      <c r="AE1521" s="4"/>
      <c r="AF1521" s="4"/>
      <c r="AG1521" s="4" t="b">
        <v>0</v>
      </c>
      <c r="AH1521" s="4"/>
      <c r="AI1521" s="4"/>
      <c r="AJ1521" s="4"/>
      <c r="AK1521" s="4"/>
      <c r="AL1521" s="4"/>
      <c r="AM1521" s="4"/>
      <c r="AN1521" s="4"/>
      <c r="AO1521" s="4"/>
      <c r="AP1521" s="4"/>
      <c r="AQ1521" s="4"/>
      <c r="AR1521" s="4"/>
      <c r="AS1521" s="4"/>
      <c r="AT1521" s="4"/>
      <c r="AU1521" s="4"/>
      <c r="AV1521" s="4"/>
      <c r="AW1521" s="4"/>
      <c r="AX1521" s="4"/>
      <c r="AY1521" s="4"/>
      <c r="AZ1521" s="4"/>
      <c r="BA1521" s="4"/>
      <c r="BB1521" s="4"/>
      <c r="BC1521" s="4"/>
      <c r="BD1521" s="4"/>
      <c r="BE1521" s="4"/>
      <c r="BF1521" s="4"/>
      <c r="BG1521" s="4"/>
      <c r="BH1521" s="4"/>
      <c r="BI1521" s="4"/>
      <c r="BJ1521" s="4"/>
      <c r="BK1521" s="4"/>
      <c r="BL1521" s="4"/>
      <c r="BM1521" s="4"/>
      <c r="BN1521" s="4"/>
      <c r="BO1521" s="4"/>
      <c r="BP1521" s="4"/>
      <c r="BQ1521" s="4"/>
      <c r="BR1521" s="4"/>
      <c r="BS1521" s="4"/>
      <c r="BT1521" s="4"/>
      <c r="BU1521" s="4"/>
      <c r="BV1521" s="4"/>
      <c r="BW1521" s="4"/>
      <c r="BX1521" s="4"/>
      <c r="BY1521" s="4"/>
      <c r="BZ1521" s="4"/>
      <c r="CA1521" s="4"/>
      <c r="CB1521" s="4"/>
      <c r="CC1521" s="4"/>
      <c r="CD1521" s="4"/>
      <c r="CE1521" s="4"/>
      <c r="CF1521" s="4"/>
      <c r="CG1521" s="4"/>
      <c r="CH1521" s="4"/>
      <c r="CI1521" s="4"/>
      <c r="CJ1521" s="4"/>
      <c r="CK1521" s="4"/>
      <c r="CL1521" s="4"/>
      <c r="CM1521" s="4"/>
      <c r="CN1521" s="4"/>
      <c r="CO1521" s="4"/>
      <c r="CP1521" s="4" t="s">
        <v>4566</v>
      </c>
      <c r="CQ1521" s="4"/>
      <c r="CR1521" s="4"/>
      <c r="CS1521" s="4"/>
      <c r="CT1521" s="4"/>
      <c r="CU1521" s="4"/>
      <c r="CV1521" s="4"/>
      <c r="CW1521" s="4"/>
      <c r="CX1521" s="4"/>
      <c r="CY1521" s="4"/>
      <c r="CZ1521" s="4"/>
      <c r="DA1521" s="4"/>
      <c r="DB1521" s="4"/>
      <c r="DC1521" s="4"/>
      <c r="DD1521" s="4"/>
      <c r="DE1521" s="4"/>
      <c r="DF1521" s="4"/>
      <c r="DG1521" s="4"/>
      <c r="DH1521" s="4"/>
      <c r="DI1521" s="4"/>
      <c r="DJ1521" s="4"/>
      <c r="DK1521" s="4"/>
      <c r="DL1521" s="4"/>
      <c r="DM1521" s="4"/>
      <c r="DN1521" s="4"/>
      <c r="DO1521" s="4"/>
      <c r="DP1521" s="4"/>
      <c r="DQ1521" s="4"/>
      <c r="DR1521" s="4"/>
      <c r="DS1521" s="4"/>
      <c r="DT1521" s="4"/>
      <c r="DU1521" s="4"/>
      <c r="DV1521" s="4"/>
      <c r="DW1521" s="4"/>
      <c r="DX1521" s="4"/>
      <c r="DY1521" s="4"/>
      <c r="DZ1521" s="4"/>
      <c r="EA1521" s="4"/>
      <c r="EB1521" s="4"/>
      <c r="EC1521" s="4"/>
      <c r="ED1521" s="4"/>
      <c r="EE1521" s="4"/>
      <c r="EF1521" s="4"/>
      <c r="EG1521" s="4"/>
      <c r="EH1521" s="4"/>
      <c r="EI1521" s="4"/>
    </row>
    <row r="1522" spans="1:139" hidden="1" x14ac:dyDescent="0.2">
      <c r="A1522">
        <f>VLOOKUP(B1522,Sheet1!$A$1:$B$18,2,FALSE)</f>
        <v>0</v>
      </c>
      <c r="B1522" t="str">
        <f>LEFT(D1522,3)</f>
        <v>WKT</v>
      </c>
      <c r="C1522" s="2">
        <v>1521</v>
      </c>
      <c r="D1522" s="3" t="str">
        <f>HYPERLINK("https://sitebase.nzcomms.co.nz/spm/spmnominalview/WKT-021-011/","WKT-021-011")</f>
        <v>WKT-021-011</v>
      </c>
      <c r="E1522" s="4" t="s">
        <v>4567</v>
      </c>
      <c r="F1522" s="3" t="str">
        <f>HYPERLINK("https://sitebase.nzcomms.co.nz/spm/spmcandidateview/WKT-021-011-A/","WKT-021-011-A")</f>
        <v>WKT-021-011-A</v>
      </c>
      <c r="G1522" s="4" t="s">
        <v>4568</v>
      </c>
      <c r="H1522" s="4" t="s">
        <v>4527</v>
      </c>
      <c r="I1522" s="4">
        <v>2</v>
      </c>
      <c r="J1522" s="4" t="s">
        <v>1633</v>
      </c>
      <c r="K1522" s="4" t="s">
        <v>141</v>
      </c>
      <c r="L1522" s="4" t="s">
        <v>150</v>
      </c>
      <c r="M1522" s="4" t="s">
        <v>190</v>
      </c>
      <c r="N1522" s="4" t="s">
        <v>291</v>
      </c>
      <c r="O1522" s="4" t="s">
        <v>144</v>
      </c>
      <c r="P1522" s="4" t="s">
        <v>169</v>
      </c>
      <c r="Q1522" s="4" t="s">
        <v>192</v>
      </c>
      <c r="R1522" s="4">
        <v>19.5</v>
      </c>
      <c r="S1522" s="4">
        <v>20</v>
      </c>
      <c r="T1522" s="4">
        <v>1</v>
      </c>
      <c r="U1522" s="4">
        <v>-38.704270899999997</v>
      </c>
      <c r="V1522" s="4">
        <v>176.10291838000001</v>
      </c>
      <c r="W1522" s="4"/>
      <c r="X1522" s="5">
        <v>40308</v>
      </c>
      <c r="Y1522" s="4"/>
      <c r="Z1522" s="5">
        <v>40296</v>
      </c>
      <c r="AA1522" s="4"/>
      <c r="AB1522" s="4"/>
      <c r="AC1522" s="4" t="b">
        <v>0</v>
      </c>
      <c r="AD1522" s="4" t="b">
        <v>0</v>
      </c>
      <c r="AE1522" s="5">
        <v>40308</v>
      </c>
      <c r="AF1522" s="4"/>
      <c r="AG1522" s="4" t="b">
        <v>0</v>
      </c>
      <c r="AH1522" s="4"/>
      <c r="AI1522" s="4"/>
      <c r="AJ1522" s="5">
        <v>40564</v>
      </c>
      <c r="AK1522" s="5">
        <v>40661</v>
      </c>
      <c r="AL1522" s="5">
        <v>40662</v>
      </c>
      <c r="AM1522" s="5">
        <v>40716</v>
      </c>
      <c r="AN1522" s="5">
        <v>40710</v>
      </c>
      <c r="AO1522" s="4">
        <v>2</v>
      </c>
      <c r="AP1522" s="5">
        <v>40716</v>
      </c>
      <c r="AQ1522" s="5">
        <v>40710</v>
      </c>
      <c r="AR1522" s="5">
        <v>40732</v>
      </c>
      <c r="AS1522" s="5">
        <v>40724</v>
      </c>
      <c r="AT1522" s="5">
        <v>40760</v>
      </c>
      <c r="AU1522" s="5">
        <v>40753</v>
      </c>
      <c r="AV1522" s="4">
        <v>2</v>
      </c>
      <c r="AW1522" s="5">
        <v>40760</v>
      </c>
      <c r="AX1522" s="5">
        <v>40753</v>
      </c>
      <c r="AY1522" s="4" t="s">
        <v>247</v>
      </c>
      <c r="AZ1522" s="5">
        <v>40722</v>
      </c>
      <c r="BA1522" s="5">
        <v>40711</v>
      </c>
      <c r="BB1522" s="5">
        <v>40739</v>
      </c>
      <c r="BC1522" s="5">
        <v>40736</v>
      </c>
      <c r="BD1522" s="4">
        <v>2</v>
      </c>
      <c r="BE1522" s="5">
        <v>40739</v>
      </c>
      <c r="BF1522" s="5">
        <v>40736</v>
      </c>
      <c r="BG1522" s="4"/>
      <c r="BH1522" s="4"/>
      <c r="BI1522" s="5">
        <v>40854</v>
      </c>
      <c r="BJ1522" s="5">
        <v>40854</v>
      </c>
      <c r="BK1522" s="4">
        <v>1</v>
      </c>
      <c r="BL1522" s="4"/>
      <c r="BM1522" s="5">
        <v>40854</v>
      </c>
      <c r="BN1522" s="5">
        <v>40854</v>
      </c>
      <c r="BO1522" s="5">
        <v>40921</v>
      </c>
      <c r="BP1522" s="4"/>
      <c r="BQ1522" s="4"/>
      <c r="BR1522" s="4"/>
      <c r="BS1522" s="4"/>
      <c r="BT1522" s="5">
        <v>40917</v>
      </c>
      <c r="BU1522" s="5">
        <v>40917</v>
      </c>
      <c r="BV1522" s="5">
        <v>40948</v>
      </c>
      <c r="BW1522" s="5">
        <v>40948</v>
      </c>
      <c r="BX1522" s="5">
        <v>40949</v>
      </c>
      <c r="BY1522" s="5">
        <v>40961</v>
      </c>
      <c r="BZ1522" s="5">
        <v>40967</v>
      </c>
      <c r="CA1522" s="4"/>
      <c r="CB1522" s="4"/>
      <c r="CC1522" s="4"/>
      <c r="CD1522" s="4"/>
      <c r="CE1522" s="4"/>
      <c r="CF1522" s="4"/>
      <c r="CG1522" s="4"/>
      <c r="CH1522" s="4"/>
      <c r="CI1522" s="5">
        <v>40967</v>
      </c>
      <c r="CJ1522" s="5">
        <v>40974</v>
      </c>
      <c r="CK1522" s="5">
        <v>40976</v>
      </c>
      <c r="CL1522" s="5">
        <v>40949</v>
      </c>
      <c r="CM1522" s="5">
        <v>40982</v>
      </c>
      <c r="CN1522" s="5">
        <v>41039</v>
      </c>
      <c r="CO1522" s="5">
        <v>41179</v>
      </c>
      <c r="CP1522" s="4" t="s">
        <v>4569</v>
      </c>
      <c r="CQ1522" s="4"/>
      <c r="CR1522" s="5">
        <v>40961</v>
      </c>
      <c r="CS1522" s="5">
        <v>40921</v>
      </c>
      <c r="CT1522" s="5">
        <v>40921</v>
      </c>
      <c r="CU1522" s="5">
        <v>40921</v>
      </c>
      <c r="CV1522" s="5">
        <v>40921</v>
      </c>
      <c r="CW1522" s="5">
        <v>40921</v>
      </c>
      <c r="CX1522" s="5">
        <v>40921</v>
      </c>
      <c r="CY1522" s="5">
        <v>40948</v>
      </c>
      <c r="CZ1522" s="5">
        <v>40956</v>
      </c>
      <c r="DA1522" s="4"/>
      <c r="DB1522" s="5">
        <v>40970</v>
      </c>
      <c r="DC1522" s="4"/>
      <c r="DD1522" s="4"/>
      <c r="DE1522" s="4"/>
      <c r="DF1522" s="4"/>
      <c r="DG1522" s="4"/>
      <c r="DH1522" s="4"/>
      <c r="DI1522" s="5">
        <v>40948</v>
      </c>
      <c r="DJ1522" s="4" t="b">
        <v>0</v>
      </c>
      <c r="DK1522" s="4"/>
      <c r="DL1522" s="4">
        <v>2779911</v>
      </c>
      <c r="DM1522" s="4">
        <v>6273059</v>
      </c>
      <c r="DN1522" s="4" t="s">
        <v>4570</v>
      </c>
      <c r="DO1522" s="4"/>
      <c r="DP1522" s="4" t="s">
        <v>4571</v>
      </c>
      <c r="DQ1522" s="4" t="s">
        <v>148</v>
      </c>
      <c r="DR1522" s="4"/>
      <c r="DS1522" s="4"/>
      <c r="DT1522" s="4"/>
      <c r="DU1522" s="4"/>
      <c r="DV1522" s="4"/>
      <c r="DW1522" s="4"/>
      <c r="DX1522" s="4"/>
      <c r="DY1522" s="4"/>
      <c r="DZ1522" s="4"/>
      <c r="EA1522" s="4"/>
      <c r="EB1522" s="4"/>
      <c r="EC1522" s="4"/>
      <c r="ED1522" s="4"/>
      <c r="EE1522" s="4"/>
      <c r="EF1522" s="4"/>
      <c r="EG1522" s="5">
        <v>40970</v>
      </c>
      <c r="EH1522" s="5">
        <v>40970</v>
      </c>
      <c r="EI1522" s="5">
        <v>40661</v>
      </c>
    </row>
    <row r="1523" spans="1:139" hidden="1" x14ac:dyDescent="0.2">
      <c r="A1523">
        <f>VLOOKUP(B1523,Sheet1!$A$1:$B$18,2,FALSE)</f>
        <v>0</v>
      </c>
      <c r="B1523" t="str">
        <f>LEFT(D1523,3)</f>
        <v>WKT</v>
      </c>
      <c r="C1523" s="2">
        <v>1522</v>
      </c>
      <c r="D1523" s="3" t="str">
        <f>HYPERLINK("https://sitebase.nzcomms.co.nz/spm/spmnominalview/WKT-021-012/","WKT-021-012")</f>
        <v>WKT-021-012</v>
      </c>
      <c r="E1523" s="4" t="s">
        <v>4572</v>
      </c>
      <c r="F1523" s="3" t="str">
        <f>HYPERLINK("https://sitebase.nzcomms.co.nz/spm/spmcandidateview/WKT-021-012-A/","WKT-021-012-A")</f>
        <v>WKT-021-012-A</v>
      </c>
      <c r="G1523" s="4" t="s">
        <v>4572</v>
      </c>
      <c r="H1523" s="4" t="s">
        <v>4527</v>
      </c>
      <c r="I1523" s="4">
        <v>2</v>
      </c>
      <c r="J1523" s="4" t="s">
        <v>1633</v>
      </c>
      <c r="K1523" s="4" t="s">
        <v>141</v>
      </c>
      <c r="L1523" s="4" t="s">
        <v>150</v>
      </c>
      <c r="M1523" s="4" t="s">
        <v>190</v>
      </c>
      <c r="N1523" s="4" t="s">
        <v>1557</v>
      </c>
      <c r="O1523" s="4" t="s">
        <v>144</v>
      </c>
      <c r="P1523" s="4" t="s">
        <v>169</v>
      </c>
      <c r="Q1523" s="4" t="s">
        <v>192</v>
      </c>
      <c r="R1523" s="4">
        <v>24.5</v>
      </c>
      <c r="S1523" s="4">
        <v>25</v>
      </c>
      <c r="T1523" s="4">
        <v>1</v>
      </c>
      <c r="U1523" s="4">
        <v>-38.740010769999998</v>
      </c>
      <c r="V1523" s="4">
        <v>176.07762027999999</v>
      </c>
      <c r="W1523" s="4"/>
      <c r="X1523" s="5">
        <v>40308</v>
      </c>
      <c r="Y1523" s="4"/>
      <c r="Z1523" s="5">
        <v>40296</v>
      </c>
      <c r="AA1523" s="4" t="s">
        <v>171</v>
      </c>
      <c r="AB1523" s="3" t="str">
        <f>HYPERLINK("https://sitebase.nzcomms.co.nz/spm/spmcandidateview/WKT-021-001-B/","WKT-021-001-B")</f>
        <v>WKT-021-001-B</v>
      </c>
      <c r="AC1523" s="4" t="b">
        <v>0</v>
      </c>
      <c r="AD1523" s="4" t="b">
        <v>0</v>
      </c>
      <c r="AE1523" s="5">
        <v>40308</v>
      </c>
      <c r="AF1523" s="4"/>
      <c r="AG1523" s="4" t="b">
        <v>0</v>
      </c>
      <c r="AH1523" s="4"/>
      <c r="AI1523" s="5">
        <v>40620</v>
      </c>
      <c r="AJ1523" s="5">
        <v>40611</v>
      </c>
      <c r="AK1523" s="5">
        <v>40620</v>
      </c>
      <c r="AL1523" s="5">
        <v>40616</v>
      </c>
      <c r="AM1523" s="5">
        <v>40641</v>
      </c>
      <c r="AN1523" s="5">
        <v>40640</v>
      </c>
      <c r="AO1523" s="4">
        <v>1</v>
      </c>
      <c r="AP1523" s="5">
        <v>40641</v>
      </c>
      <c r="AQ1523" s="5">
        <v>40640</v>
      </c>
      <c r="AR1523" s="5">
        <v>40690</v>
      </c>
      <c r="AS1523" s="5">
        <v>40689</v>
      </c>
      <c r="AT1523" s="5">
        <v>40718</v>
      </c>
      <c r="AU1523" s="5">
        <v>40710</v>
      </c>
      <c r="AV1523" s="4">
        <v>1</v>
      </c>
      <c r="AW1523" s="5">
        <v>40725</v>
      </c>
      <c r="AX1523" s="5">
        <v>40711</v>
      </c>
      <c r="AY1523" s="4" t="s">
        <v>247</v>
      </c>
      <c r="AZ1523" s="5">
        <v>40715</v>
      </c>
      <c r="BA1523" s="5">
        <v>40717</v>
      </c>
      <c r="BB1523" s="5">
        <v>40750</v>
      </c>
      <c r="BC1523" s="5">
        <v>40746</v>
      </c>
      <c r="BD1523" s="4">
        <v>1</v>
      </c>
      <c r="BE1523" s="5">
        <v>40758</v>
      </c>
      <c r="BF1523" s="5">
        <v>40752</v>
      </c>
      <c r="BG1523" s="4"/>
      <c r="BH1523" s="4"/>
      <c r="BI1523" s="5">
        <v>40865</v>
      </c>
      <c r="BJ1523" s="5">
        <v>40865</v>
      </c>
      <c r="BK1523" s="4">
        <v>1</v>
      </c>
      <c r="BL1523" s="4"/>
      <c r="BM1523" s="5">
        <v>40865</v>
      </c>
      <c r="BN1523" s="5">
        <v>40865</v>
      </c>
      <c r="BO1523" s="5">
        <v>40921</v>
      </c>
      <c r="BP1523" s="4"/>
      <c r="BQ1523" s="4"/>
      <c r="BR1523" s="4"/>
      <c r="BS1523" s="4"/>
      <c r="BT1523" s="5">
        <v>40920</v>
      </c>
      <c r="BU1523" s="5">
        <v>40920</v>
      </c>
      <c r="BV1523" s="5">
        <v>40939</v>
      </c>
      <c r="BW1523" s="5">
        <v>40983</v>
      </c>
      <c r="BX1523" s="5">
        <v>40942</v>
      </c>
      <c r="BY1523" s="5">
        <v>40948</v>
      </c>
      <c r="BZ1523" s="5">
        <v>40948</v>
      </c>
      <c r="CA1523" s="4"/>
      <c r="CB1523" s="4"/>
      <c r="CC1523" s="4"/>
      <c r="CD1523" s="4"/>
      <c r="CE1523" s="4"/>
      <c r="CF1523" s="4"/>
      <c r="CG1523" s="4"/>
      <c r="CH1523" s="4"/>
      <c r="CI1523" s="5">
        <v>40959</v>
      </c>
      <c r="CJ1523" s="5">
        <v>40967</v>
      </c>
      <c r="CK1523" s="5">
        <v>40975</v>
      </c>
      <c r="CL1523" s="5">
        <v>40949</v>
      </c>
      <c r="CM1523" s="5">
        <v>40982</v>
      </c>
      <c r="CN1523" s="5">
        <v>41039</v>
      </c>
      <c r="CO1523" s="5">
        <v>41149</v>
      </c>
      <c r="CP1523" s="4" t="s">
        <v>4573</v>
      </c>
      <c r="CQ1523" s="4"/>
      <c r="CR1523" s="5">
        <v>40958</v>
      </c>
      <c r="CS1523" s="5">
        <v>40921</v>
      </c>
      <c r="CT1523" s="5">
        <v>40921</v>
      </c>
      <c r="CU1523" s="5">
        <v>40921</v>
      </c>
      <c r="CV1523" s="5">
        <v>40921</v>
      </c>
      <c r="CW1523" s="5">
        <v>40872</v>
      </c>
      <c r="CX1523" s="5">
        <v>40921</v>
      </c>
      <c r="CY1523" s="5">
        <v>40947</v>
      </c>
      <c r="CZ1523" s="5">
        <v>40946</v>
      </c>
      <c r="DA1523" s="4"/>
      <c r="DB1523" s="5">
        <v>40966</v>
      </c>
      <c r="DC1523" s="4"/>
      <c r="DD1523" s="4"/>
      <c r="DE1523" s="4"/>
      <c r="DF1523" s="4"/>
      <c r="DG1523" s="4"/>
      <c r="DH1523" s="4"/>
      <c r="DI1523" s="5">
        <v>40947</v>
      </c>
      <c r="DJ1523" s="4" t="b">
        <v>0</v>
      </c>
      <c r="DK1523" s="4"/>
      <c r="DL1523" s="4">
        <v>2777575</v>
      </c>
      <c r="DM1523" s="4">
        <v>6269171</v>
      </c>
      <c r="DN1523" s="4" t="s">
        <v>4574</v>
      </c>
      <c r="DO1523" s="4"/>
      <c r="DP1523" s="4" t="s">
        <v>4575</v>
      </c>
      <c r="DQ1523" s="4" t="s">
        <v>148</v>
      </c>
      <c r="DR1523" s="4"/>
      <c r="DS1523" s="4"/>
      <c r="DT1523" s="4"/>
      <c r="DU1523" s="4"/>
      <c r="DV1523" s="4"/>
      <c r="DW1523" s="4"/>
      <c r="DX1523" s="4"/>
      <c r="DY1523" s="4"/>
      <c r="DZ1523" s="4"/>
      <c r="EA1523" s="4"/>
      <c r="EB1523" s="4"/>
      <c r="EC1523" s="4"/>
      <c r="ED1523" s="4"/>
      <c r="EE1523" s="4"/>
      <c r="EF1523" s="4"/>
      <c r="EG1523" s="5">
        <v>40966</v>
      </c>
      <c r="EH1523" s="5">
        <v>40966</v>
      </c>
      <c r="EI1523" s="5">
        <v>40616</v>
      </c>
    </row>
    <row r="1524" spans="1:139" hidden="1" x14ac:dyDescent="0.2">
      <c r="A1524">
        <f>VLOOKUP(B1524,Sheet1!$A$1:$B$18,2,FALSE)</f>
        <v>0</v>
      </c>
      <c r="B1524" t="str">
        <f>LEFT(D1524,3)</f>
        <v>WKT</v>
      </c>
      <c r="C1524" s="2">
        <v>1523</v>
      </c>
      <c r="D1524" s="3" t="str">
        <f>HYPERLINK("https://sitebase.nzcomms.co.nz/spm/spmnominalview/WKT-021-013/","WKT-021-013")</f>
        <v>WKT-021-013</v>
      </c>
      <c r="E1524" s="4" t="s">
        <v>4576</v>
      </c>
      <c r="F1524" s="3" t="str">
        <f>HYPERLINK("https://sitebase.nzcomms.co.nz/spm/spmcandidateview/WKT-021-013-A/","WKT-021-013-A")</f>
        <v>WKT-021-013-A</v>
      </c>
      <c r="G1524" s="4" t="s">
        <v>4577</v>
      </c>
      <c r="H1524" s="4" t="s">
        <v>4527</v>
      </c>
      <c r="I1524" s="4">
        <v>22</v>
      </c>
      <c r="J1524" s="4" t="s">
        <v>165</v>
      </c>
      <c r="K1524" s="4" t="s">
        <v>141</v>
      </c>
      <c r="L1524" s="4" t="s">
        <v>142</v>
      </c>
      <c r="M1524" s="4" t="s">
        <v>190</v>
      </c>
      <c r="N1524" s="4" t="s">
        <v>142</v>
      </c>
      <c r="O1524" s="4"/>
      <c r="P1524" s="4" t="s">
        <v>169</v>
      </c>
      <c r="Q1524" s="4" t="s">
        <v>142</v>
      </c>
      <c r="R1524" s="4">
        <v>25</v>
      </c>
      <c r="S1524" s="4">
        <v>30</v>
      </c>
      <c r="T1524" s="4"/>
      <c r="U1524" s="4">
        <v>-38.66690646</v>
      </c>
      <c r="V1524" s="4">
        <v>175.95593245000001</v>
      </c>
      <c r="W1524" s="4"/>
      <c r="X1524" s="4"/>
      <c r="Y1524" s="4"/>
      <c r="Z1524" s="4"/>
      <c r="AA1524" s="4" t="s">
        <v>171</v>
      </c>
      <c r="AB1524" s="3" t="str">
        <f>HYPERLINK("https://sitebase.nzcomms.co.nz/spm/spmcandidateview/WKT-021-003-C/","WKT-021-003-C")</f>
        <v>WKT-021-003-C</v>
      </c>
      <c r="AC1524" s="4" t="b">
        <v>0</v>
      </c>
      <c r="AD1524" s="4" t="b">
        <v>0</v>
      </c>
      <c r="AE1524" s="4"/>
      <c r="AF1524" s="4"/>
      <c r="AG1524" s="4" t="b">
        <v>0</v>
      </c>
      <c r="AH1524" s="4"/>
      <c r="AI1524" s="5">
        <v>40991</v>
      </c>
      <c r="AJ1524" s="5">
        <v>40988</v>
      </c>
      <c r="AK1524" s="5">
        <v>40996</v>
      </c>
      <c r="AL1524" s="5">
        <v>40995</v>
      </c>
      <c r="AM1524" s="5">
        <v>41016</v>
      </c>
      <c r="AN1524" s="5">
        <v>41045</v>
      </c>
      <c r="AO1524" s="4">
        <v>2</v>
      </c>
      <c r="AP1524" s="5">
        <v>41018</v>
      </c>
      <c r="AQ1524" s="5">
        <v>42059</v>
      </c>
      <c r="AR1524" s="5">
        <v>42153</v>
      </c>
      <c r="AS1524" s="5">
        <v>42107</v>
      </c>
      <c r="AT1524" s="5">
        <v>42241</v>
      </c>
      <c r="AU1524" s="5">
        <v>42234</v>
      </c>
      <c r="AV1524" s="4"/>
      <c r="AW1524" s="5">
        <v>42248</v>
      </c>
      <c r="AX1524" s="5">
        <v>42234</v>
      </c>
      <c r="AY1524" s="4" t="s">
        <v>183</v>
      </c>
      <c r="AZ1524" s="5">
        <v>42128</v>
      </c>
      <c r="BA1524" s="5">
        <v>42128</v>
      </c>
      <c r="BB1524" s="5">
        <v>42170</v>
      </c>
      <c r="BC1524" s="5">
        <v>42152</v>
      </c>
      <c r="BD1524" s="4">
        <v>2</v>
      </c>
      <c r="BE1524" s="5">
        <v>42177</v>
      </c>
      <c r="BF1524" s="5">
        <v>42153</v>
      </c>
      <c r="BG1524" s="5">
        <v>42115</v>
      </c>
      <c r="BH1524" s="5">
        <v>42114</v>
      </c>
      <c r="BI1524" s="5">
        <v>42150</v>
      </c>
      <c r="BJ1524" s="5">
        <v>42150</v>
      </c>
      <c r="BK1524" s="4">
        <v>1</v>
      </c>
      <c r="BL1524" s="4"/>
      <c r="BM1524" s="5">
        <v>42149</v>
      </c>
      <c r="BN1524" s="5">
        <v>42150</v>
      </c>
      <c r="BO1524" s="4"/>
      <c r="BP1524" s="4"/>
      <c r="BQ1524" s="4"/>
      <c r="BR1524" s="4"/>
      <c r="BS1524" s="4"/>
      <c r="BT1524" s="5">
        <v>42254</v>
      </c>
      <c r="BU1524" s="5">
        <v>42240</v>
      </c>
      <c r="BV1524" s="5">
        <v>42277</v>
      </c>
      <c r="BW1524" s="5">
        <v>42277</v>
      </c>
      <c r="BX1524" s="4"/>
      <c r="BY1524" s="5">
        <v>42258</v>
      </c>
      <c r="BZ1524" s="5">
        <v>42261</v>
      </c>
      <c r="CA1524" s="5">
        <v>42244</v>
      </c>
      <c r="CB1524" s="4"/>
      <c r="CC1524" s="4"/>
      <c r="CD1524" s="4"/>
      <c r="CE1524" s="4"/>
      <c r="CF1524" s="4"/>
      <c r="CG1524" s="4"/>
      <c r="CH1524" s="4"/>
      <c r="CI1524" s="4"/>
      <c r="CJ1524" s="5">
        <v>42298</v>
      </c>
      <c r="CK1524" s="5">
        <v>42296</v>
      </c>
      <c r="CL1524" s="5">
        <v>42326</v>
      </c>
      <c r="CM1524" s="5">
        <v>42326</v>
      </c>
      <c r="CN1524" s="4"/>
      <c r="CO1524" s="4"/>
      <c r="CP1524" s="4" t="s">
        <v>4578</v>
      </c>
      <c r="CQ1524" s="4" t="s">
        <v>230</v>
      </c>
      <c r="CR1524" s="4"/>
      <c r="CS1524" s="4"/>
      <c r="CT1524" s="4"/>
      <c r="CU1524" s="4"/>
      <c r="CV1524" s="4"/>
      <c r="CW1524" s="4"/>
      <c r="CX1524" s="4"/>
      <c r="CY1524" s="4"/>
      <c r="CZ1524" s="4"/>
      <c r="DA1524" s="5">
        <v>42291</v>
      </c>
      <c r="DB1524" s="5">
        <v>42292</v>
      </c>
      <c r="DC1524" s="4"/>
      <c r="DD1524" s="4"/>
      <c r="DE1524" s="4" t="s">
        <v>4501</v>
      </c>
      <c r="DF1524" s="5">
        <v>42230</v>
      </c>
      <c r="DG1524" s="4"/>
      <c r="DH1524" s="4" t="s">
        <v>174</v>
      </c>
      <c r="DI1524" s="4"/>
      <c r="DJ1524" s="4" t="b">
        <v>0</v>
      </c>
      <c r="DK1524" s="4"/>
      <c r="DL1524" s="4">
        <v>2767273</v>
      </c>
      <c r="DM1524" s="4">
        <v>6277639</v>
      </c>
      <c r="DN1524" s="4" t="s">
        <v>4579</v>
      </c>
      <c r="DO1524" s="4"/>
      <c r="DP1524" s="4"/>
      <c r="DQ1524" s="4" t="s">
        <v>148</v>
      </c>
      <c r="DR1524" s="4"/>
      <c r="DS1524" s="4"/>
      <c r="DT1524" s="4"/>
      <c r="DU1524" s="4" t="s">
        <v>178</v>
      </c>
      <c r="DV1524" s="4"/>
      <c r="DW1524" s="4"/>
      <c r="DX1524" s="5">
        <v>42178</v>
      </c>
      <c r="DY1524" s="5">
        <v>42202</v>
      </c>
      <c r="DZ1524" s="5">
        <v>42166</v>
      </c>
      <c r="EA1524" s="4"/>
      <c r="EB1524" s="5">
        <v>42110</v>
      </c>
      <c r="EC1524" s="5">
        <v>42139</v>
      </c>
      <c r="ED1524" s="4"/>
      <c r="EE1524" s="5">
        <v>42216</v>
      </c>
      <c r="EF1524" s="5">
        <v>42198</v>
      </c>
      <c r="EG1524" s="4"/>
      <c r="EH1524" s="4"/>
      <c r="EI1524" s="5">
        <v>40995</v>
      </c>
    </row>
    <row r="1525" spans="1:139" hidden="1" x14ac:dyDescent="0.2">
      <c r="A1525">
        <f>VLOOKUP(B1525,Sheet1!$A$1:$B$18,2,FALSE)</f>
        <v>0</v>
      </c>
      <c r="B1525" t="str">
        <f>LEFT(D1525,3)</f>
        <v>WKT</v>
      </c>
      <c r="C1525" s="2">
        <v>1524</v>
      </c>
      <c r="D1525" s="3" t="str">
        <f>HYPERLINK("https://sitebase.nzcomms.co.nz/spm/spmnominalview/WKT-021-014/","WKT-021-014")</f>
        <v>WKT-021-014</v>
      </c>
      <c r="E1525" s="4"/>
      <c r="F1525" s="4"/>
      <c r="G1525" s="4"/>
      <c r="H1525" s="4" t="s">
        <v>4527</v>
      </c>
      <c r="I1525" s="4"/>
      <c r="J1525" s="4" t="s">
        <v>196</v>
      </c>
      <c r="K1525" s="4"/>
      <c r="L1525" s="4"/>
      <c r="M1525" s="4"/>
      <c r="N1525" s="4"/>
      <c r="O1525" s="4"/>
      <c r="P1525" s="4"/>
      <c r="Q1525" s="4"/>
      <c r="R1525" s="4"/>
      <c r="S1525" s="4"/>
      <c r="T1525" s="4"/>
      <c r="U1525" s="4"/>
      <c r="V1525" s="4"/>
      <c r="W1525" s="4"/>
      <c r="X1525" s="4"/>
      <c r="Y1525" s="4"/>
      <c r="Z1525" s="4"/>
      <c r="AA1525" s="4"/>
      <c r="AB1525" s="4"/>
      <c r="AC1525" s="4"/>
      <c r="AD1525" s="4"/>
      <c r="AE1525" s="4"/>
      <c r="AF1525" s="4"/>
      <c r="AG1525" s="4"/>
      <c r="AH1525" s="4"/>
      <c r="AI1525" s="4"/>
      <c r="AJ1525" s="4"/>
      <c r="AK1525" s="4"/>
      <c r="AL1525" s="4"/>
      <c r="AM1525" s="4"/>
      <c r="AN1525" s="4"/>
      <c r="AO1525" s="4"/>
      <c r="AP1525" s="4"/>
      <c r="AQ1525" s="4"/>
      <c r="AR1525" s="4"/>
      <c r="AS1525" s="4"/>
      <c r="AT1525" s="4"/>
      <c r="AU1525" s="4"/>
      <c r="AV1525" s="4"/>
      <c r="AW1525" s="4"/>
      <c r="AX1525" s="4"/>
      <c r="AY1525" s="4"/>
      <c r="AZ1525" s="4"/>
      <c r="BA1525" s="4"/>
      <c r="BB1525" s="4"/>
      <c r="BC1525" s="4"/>
      <c r="BD1525" s="4"/>
      <c r="BE1525" s="4"/>
      <c r="BF1525" s="4"/>
      <c r="BG1525" s="4"/>
      <c r="BH1525" s="4"/>
      <c r="BI1525" s="4"/>
      <c r="BJ1525" s="4"/>
      <c r="BK1525" s="4"/>
      <c r="BL1525" s="4"/>
      <c r="BM1525" s="4"/>
      <c r="BN1525" s="4"/>
      <c r="BO1525" s="4"/>
      <c r="BP1525" s="4"/>
      <c r="BQ1525" s="4"/>
      <c r="BR1525" s="4"/>
      <c r="BS1525" s="4"/>
      <c r="BT1525" s="4"/>
      <c r="BU1525" s="4"/>
      <c r="BV1525" s="4"/>
      <c r="BW1525" s="4"/>
      <c r="BX1525" s="4"/>
      <c r="BY1525" s="4"/>
      <c r="BZ1525" s="4"/>
      <c r="CA1525" s="4"/>
      <c r="CB1525" s="4"/>
      <c r="CC1525" s="4"/>
      <c r="CD1525" s="4"/>
      <c r="CE1525" s="4"/>
      <c r="CF1525" s="4"/>
      <c r="CG1525" s="4"/>
      <c r="CH1525" s="4"/>
      <c r="CI1525" s="4"/>
      <c r="CJ1525" s="4"/>
      <c r="CK1525" s="4"/>
      <c r="CL1525" s="4"/>
      <c r="CM1525" s="4"/>
      <c r="CN1525" s="4"/>
      <c r="CO1525" s="4"/>
      <c r="CP1525" s="4"/>
      <c r="CQ1525" s="4"/>
      <c r="CR1525" s="4"/>
      <c r="CS1525" s="4"/>
      <c r="CT1525" s="4"/>
      <c r="CU1525" s="4"/>
      <c r="CV1525" s="4"/>
      <c r="CW1525" s="4"/>
      <c r="CX1525" s="4"/>
      <c r="CY1525" s="4"/>
      <c r="CZ1525" s="4"/>
      <c r="DA1525" s="4"/>
      <c r="DB1525" s="4"/>
      <c r="DC1525" s="4"/>
      <c r="DD1525" s="4"/>
      <c r="DE1525" s="4"/>
      <c r="DF1525" s="4"/>
      <c r="DG1525" s="4"/>
      <c r="DH1525" s="4"/>
      <c r="DI1525" s="4"/>
      <c r="DJ1525" s="4"/>
      <c r="DK1525" s="4"/>
      <c r="DL1525" s="4"/>
      <c r="DM1525" s="4"/>
      <c r="DN1525" s="4"/>
      <c r="DO1525" s="4"/>
      <c r="DP1525" s="4"/>
      <c r="DQ1525" s="4"/>
      <c r="DR1525" s="4"/>
      <c r="DS1525" s="4"/>
      <c r="DT1525" s="4"/>
      <c r="DU1525" s="4"/>
      <c r="DV1525" s="4"/>
      <c r="DW1525" s="4"/>
      <c r="DX1525" s="4"/>
      <c r="DY1525" s="4"/>
      <c r="DZ1525" s="4"/>
      <c r="EA1525" s="4"/>
      <c r="EB1525" s="4"/>
      <c r="EC1525" s="4"/>
      <c r="ED1525" s="4"/>
      <c r="EE1525" s="4"/>
      <c r="EF1525" s="4"/>
      <c r="EG1525" s="4"/>
      <c r="EH1525" s="4"/>
      <c r="EI1525" s="4"/>
    </row>
    <row r="1526" spans="1:139" hidden="1" x14ac:dyDescent="0.2">
      <c r="A1526">
        <f>VLOOKUP(B1526,Sheet1!$A$1:$B$18,2,FALSE)</f>
        <v>0</v>
      </c>
      <c r="B1526" t="str">
        <f>LEFT(D1526,3)</f>
        <v>WKT</v>
      </c>
      <c r="C1526" s="2">
        <v>1525</v>
      </c>
      <c r="D1526" s="3" t="str">
        <f>HYPERLINK("https://sitebase.nzcomms.co.nz/spm/spmnominalview/WKT-021-015/","WKT-021-015")</f>
        <v>WKT-021-015</v>
      </c>
      <c r="E1526" s="4" t="s">
        <v>4580</v>
      </c>
      <c r="F1526" s="3" t="str">
        <f>HYPERLINK("https://sitebase.nzcomms.co.nz/spm/spmcandidateview/WKT-021-015-A/","WKT-021-015-A")</f>
        <v>WKT-021-015-A</v>
      </c>
      <c r="G1526" s="4" t="s">
        <v>4581</v>
      </c>
      <c r="H1526" s="4" t="s">
        <v>4527</v>
      </c>
      <c r="I1526" s="4">
        <v>2</v>
      </c>
      <c r="J1526" s="4" t="s">
        <v>180</v>
      </c>
      <c r="K1526" s="4" t="s">
        <v>141</v>
      </c>
      <c r="L1526" s="4" t="s">
        <v>142</v>
      </c>
      <c r="M1526" s="4" t="s">
        <v>190</v>
      </c>
      <c r="N1526" s="4" t="s">
        <v>142</v>
      </c>
      <c r="O1526" s="4" t="s">
        <v>144</v>
      </c>
      <c r="P1526" s="4" t="s">
        <v>169</v>
      </c>
      <c r="Q1526" s="4" t="s">
        <v>142</v>
      </c>
      <c r="R1526" s="4">
        <v>17</v>
      </c>
      <c r="S1526" s="4">
        <v>36.4</v>
      </c>
      <c r="T1526" s="4">
        <v>1</v>
      </c>
      <c r="U1526" s="4">
        <v>-38.519609340000002</v>
      </c>
      <c r="V1526" s="4">
        <v>176.02181863999999</v>
      </c>
      <c r="W1526" s="4"/>
      <c r="X1526" s="5">
        <v>40695</v>
      </c>
      <c r="Y1526" s="4"/>
      <c r="Z1526" s="5">
        <v>40695</v>
      </c>
      <c r="AA1526" s="4" t="s">
        <v>171</v>
      </c>
      <c r="AB1526" s="3" t="str">
        <f>HYPERLINK("https://sitebase.nzcomms.co.nz/spm/spmcandidateview/WKT-021-001-A/","WKT-021-001-A")</f>
        <v>WKT-021-001-A</v>
      </c>
      <c r="AC1526" s="4" t="b">
        <v>1</v>
      </c>
      <c r="AD1526" s="4" t="b">
        <v>1</v>
      </c>
      <c r="AE1526" s="5">
        <v>40695</v>
      </c>
      <c r="AF1526" s="4"/>
      <c r="AG1526" s="4" t="b">
        <v>1</v>
      </c>
      <c r="AH1526" s="4"/>
      <c r="AI1526" s="5">
        <v>40745</v>
      </c>
      <c r="AJ1526" s="5">
        <v>40742</v>
      </c>
      <c r="AK1526" s="5">
        <v>40746</v>
      </c>
      <c r="AL1526" s="5">
        <v>40744</v>
      </c>
      <c r="AM1526" s="5">
        <v>40760</v>
      </c>
      <c r="AN1526" s="5">
        <v>40753</v>
      </c>
      <c r="AO1526" s="4">
        <v>5</v>
      </c>
      <c r="AP1526" s="5">
        <v>40760</v>
      </c>
      <c r="AQ1526" s="5">
        <v>42226</v>
      </c>
      <c r="AR1526" s="5">
        <v>40879</v>
      </c>
      <c r="AS1526" s="5">
        <v>40878</v>
      </c>
      <c r="AT1526" s="5">
        <v>41075</v>
      </c>
      <c r="AU1526" s="5">
        <v>41081</v>
      </c>
      <c r="AV1526" s="4"/>
      <c r="AW1526" s="5">
        <v>41096</v>
      </c>
      <c r="AX1526" s="5">
        <v>41107</v>
      </c>
      <c r="AY1526" s="4" t="s">
        <v>247</v>
      </c>
      <c r="AZ1526" s="5">
        <v>40767</v>
      </c>
      <c r="BA1526" s="5">
        <v>40772</v>
      </c>
      <c r="BB1526" s="5">
        <v>40795</v>
      </c>
      <c r="BC1526" s="5">
        <v>40792</v>
      </c>
      <c r="BD1526" s="4">
        <v>1</v>
      </c>
      <c r="BE1526" s="5">
        <v>40802</v>
      </c>
      <c r="BF1526" s="5">
        <v>40795</v>
      </c>
      <c r="BG1526" s="5">
        <v>40955</v>
      </c>
      <c r="BH1526" s="5">
        <v>40957</v>
      </c>
      <c r="BI1526" s="5">
        <v>41031</v>
      </c>
      <c r="BJ1526" s="5">
        <v>41026</v>
      </c>
      <c r="BK1526" s="4">
        <v>3</v>
      </c>
      <c r="BL1526" s="4"/>
      <c r="BM1526" s="5">
        <v>41031</v>
      </c>
      <c r="BN1526" s="5">
        <v>42228</v>
      </c>
      <c r="BO1526" s="5">
        <v>41050</v>
      </c>
      <c r="BP1526" s="5">
        <v>41017</v>
      </c>
      <c r="BQ1526" s="4"/>
      <c r="BR1526" s="4"/>
      <c r="BS1526" s="4"/>
      <c r="BT1526" s="5">
        <v>41040</v>
      </c>
      <c r="BU1526" s="5">
        <v>41047</v>
      </c>
      <c r="BV1526" s="5">
        <v>41053</v>
      </c>
      <c r="BW1526" s="5">
        <v>41053</v>
      </c>
      <c r="BX1526" s="5">
        <v>41050</v>
      </c>
      <c r="BY1526" s="5">
        <v>41079</v>
      </c>
      <c r="BZ1526" s="5">
        <v>41078</v>
      </c>
      <c r="CA1526" s="4"/>
      <c r="CB1526" s="4"/>
      <c r="CC1526" s="4"/>
      <c r="CD1526" s="4"/>
      <c r="CE1526" s="4"/>
      <c r="CF1526" s="4"/>
      <c r="CG1526" s="4"/>
      <c r="CH1526" s="4"/>
      <c r="CI1526" s="5">
        <v>41078</v>
      </c>
      <c r="CJ1526" s="5">
        <v>41075</v>
      </c>
      <c r="CK1526" s="5">
        <v>41079</v>
      </c>
      <c r="CL1526" s="5">
        <v>41096</v>
      </c>
      <c r="CM1526" s="5">
        <v>41088</v>
      </c>
      <c r="CN1526" s="5">
        <v>41353</v>
      </c>
      <c r="CO1526" s="5">
        <v>41358</v>
      </c>
      <c r="CP1526" s="4" t="s">
        <v>4582</v>
      </c>
      <c r="CQ1526" s="4" t="s">
        <v>230</v>
      </c>
      <c r="CR1526" s="5">
        <v>41079</v>
      </c>
      <c r="CS1526" s="5">
        <v>41050</v>
      </c>
      <c r="CT1526" s="5">
        <v>41050</v>
      </c>
      <c r="CU1526" s="5">
        <v>41050</v>
      </c>
      <c r="CV1526" s="5">
        <v>41050</v>
      </c>
      <c r="CW1526" s="5">
        <v>41045</v>
      </c>
      <c r="CX1526" s="5">
        <v>41050</v>
      </c>
      <c r="CY1526" s="5">
        <v>41058</v>
      </c>
      <c r="CZ1526" s="5">
        <v>41058</v>
      </c>
      <c r="DA1526" s="4"/>
      <c r="DB1526" s="5">
        <v>41080</v>
      </c>
      <c r="DC1526" s="4"/>
      <c r="DD1526" s="4"/>
      <c r="DE1526" s="4" t="s">
        <v>4501</v>
      </c>
      <c r="DF1526" s="4"/>
      <c r="DG1526" s="4"/>
      <c r="DH1526" s="4" t="s">
        <v>174</v>
      </c>
      <c r="DI1526" s="5">
        <v>41047</v>
      </c>
      <c r="DJ1526" s="4" t="b">
        <v>0</v>
      </c>
      <c r="DK1526" s="4"/>
      <c r="DL1526" s="4">
        <v>2773558</v>
      </c>
      <c r="DM1526" s="4">
        <v>6293785</v>
      </c>
      <c r="DN1526" s="4" t="s">
        <v>4583</v>
      </c>
      <c r="DO1526" s="4"/>
      <c r="DP1526" s="4" t="s">
        <v>4584</v>
      </c>
      <c r="DQ1526" s="4" t="s">
        <v>148</v>
      </c>
      <c r="DR1526" s="4"/>
      <c r="DS1526" s="4"/>
      <c r="DT1526" s="4"/>
      <c r="DU1526" s="4"/>
      <c r="DV1526" s="4"/>
      <c r="DW1526" s="4"/>
      <c r="DX1526" s="4"/>
      <c r="DY1526" s="5">
        <v>41019</v>
      </c>
      <c r="DZ1526" s="4"/>
      <c r="EA1526" s="4"/>
      <c r="EB1526" s="4"/>
      <c r="EC1526" s="4"/>
      <c r="ED1526" s="4"/>
      <c r="EE1526" s="4"/>
      <c r="EF1526" s="4"/>
      <c r="EG1526" s="5">
        <v>41082</v>
      </c>
      <c r="EH1526" s="5">
        <v>41080</v>
      </c>
      <c r="EI1526" s="5">
        <v>40744</v>
      </c>
    </row>
    <row r="1527" spans="1:139" hidden="1" x14ac:dyDescent="0.2">
      <c r="A1527">
        <f>VLOOKUP(B1527,Sheet1!$A$1:$B$18,2,FALSE)</f>
        <v>0</v>
      </c>
      <c r="B1527" t="str">
        <f>LEFT(D1527,3)</f>
        <v>WKT</v>
      </c>
      <c r="C1527" s="2">
        <v>1526</v>
      </c>
      <c r="D1527" s="3" t="str">
        <f>HYPERLINK("https://sitebase.nzcomms.co.nz/spm/spmnominalview/WKT-021-016/","WKT-021-016")</f>
        <v>WKT-021-016</v>
      </c>
      <c r="E1527" s="4" t="s">
        <v>2447</v>
      </c>
      <c r="F1527" s="3" t="str">
        <f>HYPERLINK("https://sitebase.nzcomms.co.nz/spm/spmcandidateview/WKT-021-016-A/","WKT-021-016-A")</f>
        <v>WKT-021-016-A</v>
      </c>
      <c r="G1527" s="4" t="s">
        <v>4585</v>
      </c>
      <c r="H1527" s="4" t="s">
        <v>4527</v>
      </c>
      <c r="I1527" s="4">
        <v>2</v>
      </c>
      <c r="J1527" s="4" t="s">
        <v>180</v>
      </c>
      <c r="K1527" s="4" t="s">
        <v>141</v>
      </c>
      <c r="L1527" s="4" t="s">
        <v>142</v>
      </c>
      <c r="M1527" s="4" t="s">
        <v>190</v>
      </c>
      <c r="N1527" s="4" t="s">
        <v>142</v>
      </c>
      <c r="O1527" s="4"/>
      <c r="P1527" s="4" t="s">
        <v>169</v>
      </c>
      <c r="Q1527" s="4" t="s">
        <v>142</v>
      </c>
      <c r="R1527" s="4">
        <v>24</v>
      </c>
      <c r="S1527" s="4">
        <v>26</v>
      </c>
      <c r="T1527" s="4">
        <v>1</v>
      </c>
      <c r="U1527" s="4">
        <v>-38.63818921</v>
      </c>
      <c r="V1527" s="4">
        <v>176.11373958999999</v>
      </c>
      <c r="W1527" s="4"/>
      <c r="X1527" s="4"/>
      <c r="Y1527" s="4"/>
      <c r="Z1527" s="5">
        <v>40695</v>
      </c>
      <c r="AA1527" s="4" t="s">
        <v>145</v>
      </c>
      <c r="AB1527" s="4"/>
      <c r="AC1527" s="4" t="b">
        <v>1</v>
      </c>
      <c r="AD1527" s="4" t="b">
        <v>1</v>
      </c>
      <c r="AE1527" s="5">
        <v>40695</v>
      </c>
      <c r="AF1527" s="4"/>
      <c r="AG1527" s="4" t="b">
        <v>1</v>
      </c>
      <c r="AH1527" s="4"/>
      <c r="AI1527" s="5">
        <v>40745</v>
      </c>
      <c r="AJ1527" s="5">
        <v>40742</v>
      </c>
      <c r="AK1527" s="5">
        <v>40746</v>
      </c>
      <c r="AL1527" s="5">
        <v>40744</v>
      </c>
      <c r="AM1527" s="5">
        <v>40753</v>
      </c>
      <c r="AN1527" s="5">
        <v>40749</v>
      </c>
      <c r="AO1527" s="4">
        <v>1</v>
      </c>
      <c r="AP1527" s="5">
        <v>40753</v>
      </c>
      <c r="AQ1527" s="5">
        <v>40749</v>
      </c>
      <c r="AR1527" s="5">
        <v>40774</v>
      </c>
      <c r="AS1527" s="5">
        <v>40878</v>
      </c>
      <c r="AT1527" s="5">
        <v>41040</v>
      </c>
      <c r="AU1527" s="5">
        <v>41016</v>
      </c>
      <c r="AV1527" s="4"/>
      <c r="AW1527" s="5">
        <v>41040</v>
      </c>
      <c r="AX1527" s="5">
        <v>41101</v>
      </c>
      <c r="AY1527" s="4" t="s">
        <v>247</v>
      </c>
      <c r="AZ1527" s="5">
        <v>40760</v>
      </c>
      <c r="BA1527" s="5">
        <v>40760</v>
      </c>
      <c r="BB1527" s="5">
        <v>40788</v>
      </c>
      <c r="BC1527" s="5">
        <v>40777</v>
      </c>
      <c r="BD1527" s="4">
        <v>1</v>
      </c>
      <c r="BE1527" s="5">
        <v>40795</v>
      </c>
      <c r="BF1527" s="5">
        <v>40779</v>
      </c>
      <c r="BG1527" s="5">
        <v>40957</v>
      </c>
      <c r="BH1527" s="5">
        <v>40957</v>
      </c>
      <c r="BI1527" s="5">
        <v>41031</v>
      </c>
      <c r="BJ1527" s="5">
        <v>41023</v>
      </c>
      <c r="BK1527" s="4">
        <v>1</v>
      </c>
      <c r="BL1527" s="4"/>
      <c r="BM1527" s="5">
        <v>41031</v>
      </c>
      <c r="BN1527" s="5">
        <v>41023</v>
      </c>
      <c r="BO1527" s="5">
        <v>41053</v>
      </c>
      <c r="BP1527" s="5">
        <v>41017</v>
      </c>
      <c r="BQ1527" s="5">
        <v>41017</v>
      </c>
      <c r="BR1527" s="4"/>
      <c r="BS1527" s="4"/>
      <c r="BT1527" s="5">
        <v>41041</v>
      </c>
      <c r="BU1527" s="5">
        <v>41039</v>
      </c>
      <c r="BV1527" s="5">
        <v>41050</v>
      </c>
      <c r="BW1527" s="5">
        <v>41045</v>
      </c>
      <c r="BX1527" s="5">
        <v>41047</v>
      </c>
      <c r="BY1527" s="5">
        <v>41064</v>
      </c>
      <c r="BZ1527" s="5">
        <v>41068</v>
      </c>
      <c r="CA1527" s="5">
        <v>41070</v>
      </c>
      <c r="CB1527" s="5">
        <v>41070</v>
      </c>
      <c r="CC1527" s="4"/>
      <c r="CD1527" s="4"/>
      <c r="CE1527" s="4"/>
      <c r="CF1527" s="4"/>
      <c r="CG1527" s="4"/>
      <c r="CH1527" s="4"/>
      <c r="CI1527" s="5">
        <v>41070</v>
      </c>
      <c r="CJ1527" s="5">
        <v>41075</v>
      </c>
      <c r="CK1527" s="5">
        <v>41074</v>
      </c>
      <c r="CL1527" s="5">
        <v>41083</v>
      </c>
      <c r="CM1527" s="5">
        <v>41081</v>
      </c>
      <c r="CN1527" s="5">
        <v>41383</v>
      </c>
      <c r="CO1527" s="5">
        <v>41374</v>
      </c>
      <c r="CP1527" s="4" t="s">
        <v>4586</v>
      </c>
      <c r="CQ1527" s="4" t="s">
        <v>230</v>
      </c>
      <c r="CR1527" s="5">
        <v>41068</v>
      </c>
      <c r="CS1527" s="4"/>
      <c r="CT1527" s="5">
        <v>41050</v>
      </c>
      <c r="CU1527" s="5">
        <v>41053</v>
      </c>
      <c r="CV1527" s="5">
        <v>41050</v>
      </c>
      <c r="CW1527" s="5">
        <v>41054</v>
      </c>
      <c r="CX1527" s="5">
        <v>41053</v>
      </c>
      <c r="CY1527" s="5">
        <v>41053</v>
      </c>
      <c r="CZ1527" s="5">
        <v>41053</v>
      </c>
      <c r="DA1527" s="4"/>
      <c r="DB1527" s="5">
        <v>41072</v>
      </c>
      <c r="DC1527" s="4"/>
      <c r="DD1527" s="4"/>
      <c r="DE1527" s="4" t="s">
        <v>4501</v>
      </c>
      <c r="DF1527" s="5">
        <v>41070</v>
      </c>
      <c r="DG1527" s="5">
        <v>41070</v>
      </c>
      <c r="DH1527" s="4" t="s">
        <v>174</v>
      </c>
      <c r="DI1527" s="5">
        <v>41024</v>
      </c>
      <c r="DJ1527" s="4" t="b">
        <v>0</v>
      </c>
      <c r="DK1527" s="4"/>
      <c r="DL1527" s="4">
        <v>2781108</v>
      </c>
      <c r="DM1527" s="4">
        <v>6280356</v>
      </c>
      <c r="DN1527" s="4" t="s">
        <v>4587</v>
      </c>
      <c r="DO1527" s="4"/>
      <c r="DP1527" s="4" t="s">
        <v>4588</v>
      </c>
      <c r="DQ1527" s="4" t="s">
        <v>148</v>
      </c>
      <c r="DR1527" s="4"/>
      <c r="DS1527" s="4"/>
      <c r="DT1527" s="4"/>
      <c r="DU1527" s="4"/>
      <c r="DV1527" s="4"/>
      <c r="DW1527" s="4"/>
      <c r="DX1527" s="4"/>
      <c r="DY1527" s="5">
        <v>41019</v>
      </c>
      <c r="DZ1527" s="4"/>
      <c r="EA1527" s="4"/>
      <c r="EB1527" s="4"/>
      <c r="EC1527" s="4"/>
      <c r="ED1527" s="4"/>
      <c r="EE1527" s="4"/>
      <c r="EF1527" s="4"/>
      <c r="EG1527" s="5">
        <v>41072</v>
      </c>
      <c r="EH1527" s="5">
        <v>41072</v>
      </c>
      <c r="EI1527" s="5">
        <v>40744</v>
      </c>
    </row>
    <row r="1528" spans="1:139" hidden="1" x14ac:dyDescent="0.2">
      <c r="A1528">
        <f>VLOOKUP(B1528,Sheet1!$A$1:$B$18,2,FALSE)</f>
        <v>0</v>
      </c>
      <c r="B1528" t="str">
        <f>LEFT(D1528,3)</f>
        <v>WKT</v>
      </c>
      <c r="C1528" s="2">
        <v>1527</v>
      </c>
      <c r="D1528" s="3" t="str">
        <f>HYPERLINK("https://sitebase.nzcomms.co.nz/spm/spmnominalview/WKT-021-017/","WKT-021-017")</f>
        <v>WKT-021-017</v>
      </c>
      <c r="E1528" s="4"/>
      <c r="F1528" s="4"/>
      <c r="G1528" s="4"/>
      <c r="H1528" s="4" t="s">
        <v>4527</v>
      </c>
      <c r="I1528" s="4"/>
      <c r="J1528" s="4" t="s">
        <v>196</v>
      </c>
      <c r="K1528" s="4"/>
      <c r="L1528" s="4"/>
      <c r="M1528" s="4"/>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c r="AK1528" s="4"/>
      <c r="AL1528" s="4"/>
      <c r="AM1528" s="4"/>
      <c r="AN1528" s="4"/>
      <c r="AO1528" s="4"/>
      <c r="AP1528" s="4"/>
      <c r="AQ1528" s="4"/>
      <c r="AR1528" s="4"/>
      <c r="AS1528" s="4"/>
      <c r="AT1528" s="4"/>
      <c r="AU1528" s="4"/>
      <c r="AV1528" s="4"/>
      <c r="AW1528" s="4"/>
      <c r="AX1528" s="4"/>
      <c r="AY1528" s="4"/>
      <c r="AZ1528" s="4"/>
      <c r="BA1528" s="4"/>
      <c r="BB1528" s="4"/>
      <c r="BC1528" s="4"/>
      <c r="BD1528" s="4"/>
      <c r="BE1528" s="4"/>
      <c r="BF1528" s="4"/>
      <c r="BG1528" s="4"/>
      <c r="BH1528" s="4"/>
      <c r="BI1528" s="4"/>
      <c r="BJ1528" s="4"/>
      <c r="BK1528" s="4"/>
      <c r="BL1528" s="4"/>
      <c r="BM1528" s="4"/>
      <c r="BN1528" s="4"/>
      <c r="BO1528" s="4"/>
      <c r="BP1528" s="4"/>
      <c r="BQ1528" s="4"/>
      <c r="BR1528" s="4"/>
      <c r="BS1528" s="4"/>
      <c r="BT1528" s="4"/>
      <c r="BU1528" s="4"/>
      <c r="BV1528" s="4"/>
      <c r="BW1528" s="4"/>
      <c r="BX1528" s="4"/>
      <c r="BY1528" s="4"/>
      <c r="BZ1528" s="4"/>
      <c r="CA1528" s="4"/>
      <c r="CB1528" s="4"/>
      <c r="CC1528" s="4"/>
      <c r="CD1528" s="4"/>
      <c r="CE1528" s="4"/>
      <c r="CF1528" s="4"/>
      <c r="CG1528" s="4"/>
      <c r="CH1528" s="4"/>
      <c r="CI1528" s="4"/>
      <c r="CJ1528" s="4"/>
      <c r="CK1528" s="4"/>
      <c r="CL1528" s="4"/>
      <c r="CM1528" s="4"/>
      <c r="CN1528" s="4"/>
      <c r="CO1528" s="4"/>
      <c r="CP1528" s="4"/>
      <c r="CQ1528" s="4"/>
      <c r="CR1528" s="4"/>
      <c r="CS1528" s="4"/>
      <c r="CT1528" s="4"/>
      <c r="CU1528" s="4"/>
      <c r="CV1528" s="4"/>
      <c r="CW1528" s="4"/>
      <c r="CX1528" s="4"/>
      <c r="CY1528" s="4"/>
      <c r="CZ1528" s="4"/>
      <c r="DA1528" s="4"/>
      <c r="DB1528" s="4"/>
      <c r="DC1528" s="4"/>
      <c r="DD1528" s="4"/>
      <c r="DE1528" s="4"/>
      <c r="DF1528" s="4"/>
      <c r="DG1528" s="4"/>
      <c r="DH1528" s="4"/>
      <c r="DI1528" s="4"/>
      <c r="DJ1528" s="4"/>
      <c r="DK1528" s="4"/>
      <c r="DL1528" s="4"/>
      <c r="DM1528" s="4"/>
      <c r="DN1528" s="4"/>
      <c r="DO1528" s="4"/>
      <c r="DP1528" s="4"/>
      <c r="DQ1528" s="4"/>
      <c r="DR1528" s="4"/>
      <c r="DS1528" s="4"/>
      <c r="DT1528" s="4"/>
      <c r="DU1528" s="4"/>
      <c r="DV1528" s="4"/>
      <c r="DW1528" s="4"/>
      <c r="DX1528" s="4"/>
      <c r="DY1528" s="4"/>
      <c r="DZ1528" s="4"/>
      <c r="EA1528" s="4"/>
      <c r="EB1528" s="4"/>
      <c r="EC1528" s="4"/>
      <c r="ED1528" s="4"/>
      <c r="EE1528" s="4"/>
      <c r="EF1528" s="4"/>
      <c r="EG1528" s="4"/>
      <c r="EH1528" s="4"/>
      <c r="EI1528" s="4"/>
    </row>
    <row r="1529" spans="1:139" hidden="1" x14ac:dyDescent="0.2">
      <c r="A1529">
        <f>VLOOKUP(B1529,Sheet1!$A$1:$B$18,2,FALSE)</f>
        <v>0</v>
      </c>
      <c r="B1529" t="str">
        <f>LEFT(D1529,3)</f>
        <v>WKT</v>
      </c>
      <c r="C1529" s="2">
        <v>1528</v>
      </c>
      <c r="D1529" s="3" t="str">
        <f>HYPERLINK("https://sitebase.nzcomms.co.nz/spm/spmnominalview/WKT-021-018/","WKT-021-018")</f>
        <v>WKT-021-018</v>
      </c>
      <c r="E1529" s="4" t="s">
        <v>4589</v>
      </c>
      <c r="F1529" s="3" t="str">
        <f>HYPERLINK("https://sitebase.nzcomms.co.nz/spm/spmcandidateview/WKT-021-018-C/","WKT-021-018-C")</f>
        <v>WKT-021-018-C</v>
      </c>
      <c r="G1529" s="4" t="s">
        <v>4590</v>
      </c>
      <c r="H1529" s="4" t="s">
        <v>4527</v>
      </c>
      <c r="I1529" s="4">
        <v>22</v>
      </c>
      <c r="J1529" s="4" t="s">
        <v>165</v>
      </c>
      <c r="K1529" s="4" t="s">
        <v>141</v>
      </c>
      <c r="L1529" s="4" t="s">
        <v>150</v>
      </c>
      <c r="M1529" s="4" t="s">
        <v>190</v>
      </c>
      <c r="N1529" s="4" t="s">
        <v>224</v>
      </c>
      <c r="O1529" s="4"/>
      <c r="P1529" s="4" t="s">
        <v>169</v>
      </c>
      <c r="Q1529" s="4" t="s">
        <v>192</v>
      </c>
      <c r="R1529" s="4"/>
      <c r="S1529" s="4">
        <v>15</v>
      </c>
      <c r="T1529" s="4"/>
      <c r="U1529" s="4">
        <v>-38.983070609999999</v>
      </c>
      <c r="V1529" s="4">
        <v>175.76576077999999</v>
      </c>
      <c r="W1529" s="4"/>
      <c r="X1529" s="4"/>
      <c r="Y1529" s="4"/>
      <c r="Z1529" s="4"/>
      <c r="AA1529" s="4" t="s">
        <v>145</v>
      </c>
      <c r="AB1529" s="3" t="str">
        <f>HYPERLINK("https://sitebase.nzcomms.co.nz/spm/spmcandidateview/WKT-016-023-B/","WKT-016-023-B")</f>
        <v>WKT-016-023-B</v>
      </c>
      <c r="AC1529" s="4" t="b">
        <v>0</v>
      </c>
      <c r="AD1529" s="4" t="b">
        <v>0</v>
      </c>
      <c r="AE1529" s="4"/>
      <c r="AF1529" s="4"/>
      <c r="AG1529" s="4" t="b">
        <v>0</v>
      </c>
      <c r="AH1529" s="4"/>
      <c r="AI1529" s="5">
        <v>41012</v>
      </c>
      <c r="AJ1529" s="5">
        <v>41010</v>
      </c>
      <c r="AK1529" s="5">
        <v>41012</v>
      </c>
      <c r="AL1529" s="5">
        <v>41010</v>
      </c>
      <c r="AM1529" s="5">
        <v>41079</v>
      </c>
      <c r="AN1529" s="5">
        <v>41081</v>
      </c>
      <c r="AO1529" s="4">
        <v>1</v>
      </c>
      <c r="AP1529" s="5">
        <v>41079</v>
      </c>
      <c r="AQ1529" s="5">
        <v>41081</v>
      </c>
      <c r="AR1529" s="5">
        <v>41173</v>
      </c>
      <c r="AS1529" s="5">
        <v>41187</v>
      </c>
      <c r="AT1529" s="5">
        <v>41208</v>
      </c>
      <c r="AU1529" s="5">
        <v>41257</v>
      </c>
      <c r="AV1529" s="4"/>
      <c r="AW1529" s="5">
        <v>41215</v>
      </c>
      <c r="AX1529" s="5">
        <v>41257</v>
      </c>
      <c r="AY1529" s="4" t="s">
        <v>247</v>
      </c>
      <c r="AZ1529" s="5">
        <v>41152</v>
      </c>
      <c r="BA1529" s="5">
        <v>41150</v>
      </c>
      <c r="BB1529" s="5">
        <v>41187</v>
      </c>
      <c r="BC1529" s="5">
        <v>41178</v>
      </c>
      <c r="BD1529" s="4">
        <v>1</v>
      </c>
      <c r="BE1529" s="5">
        <v>41194</v>
      </c>
      <c r="BF1529" s="5">
        <v>41178</v>
      </c>
      <c r="BG1529" s="5">
        <v>41936</v>
      </c>
      <c r="BH1529" s="5">
        <v>41933</v>
      </c>
      <c r="BI1529" s="5">
        <v>42048</v>
      </c>
      <c r="BJ1529" s="5">
        <v>42040</v>
      </c>
      <c r="BK1529" s="4">
        <v>1</v>
      </c>
      <c r="BL1529" s="4"/>
      <c r="BM1529" s="5">
        <v>42055</v>
      </c>
      <c r="BN1529" s="5">
        <v>42040</v>
      </c>
      <c r="BO1529" s="5">
        <v>42081</v>
      </c>
      <c r="BP1529" s="4"/>
      <c r="BQ1529" s="4"/>
      <c r="BR1529" s="4"/>
      <c r="BS1529" s="4"/>
      <c r="BT1529" s="5">
        <v>42124</v>
      </c>
      <c r="BU1529" s="5">
        <v>42123</v>
      </c>
      <c r="BV1529" s="5">
        <v>42179</v>
      </c>
      <c r="BW1529" s="5">
        <v>42180</v>
      </c>
      <c r="BX1529" s="5">
        <v>42143</v>
      </c>
      <c r="BY1529" s="5">
        <v>42153</v>
      </c>
      <c r="BZ1529" s="5">
        <v>42146</v>
      </c>
      <c r="CA1529" s="4"/>
      <c r="CB1529" s="5">
        <v>42104</v>
      </c>
      <c r="CC1529" s="4"/>
      <c r="CD1529" s="4"/>
      <c r="CE1529" s="4"/>
      <c r="CF1529" s="4"/>
      <c r="CG1529" s="4"/>
      <c r="CH1529" s="4"/>
      <c r="CI1529" s="4"/>
      <c r="CJ1529" s="5">
        <v>42201</v>
      </c>
      <c r="CK1529" s="5">
        <v>42195</v>
      </c>
      <c r="CL1529" s="5">
        <v>42184</v>
      </c>
      <c r="CM1529" s="5">
        <v>42216</v>
      </c>
      <c r="CN1529" s="4"/>
      <c r="CO1529" s="4"/>
      <c r="CP1529" s="4" t="s">
        <v>4591</v>
      </c>
      <c r="CQ1529" s="4"/>
      <c r="CR1529" s="5">
        <v>42183</v>
      </c>
      <c r="CS1529" s="4"/>
      <c r="CT1529" s="4"/>
      <c r="CU1529" s="4"/>
      <c r="CV1529" s="4"/>
      <c r="CW1529" s="5">
        <v>42081</v>
      </c>
      <c r="CX1529" s="5">
        <v>42081</v>
      </c>
      <c r="CY1529" s="5">
        <v>42173</v>
      </c>
      <c r="CZ1529" s="4"/>
      <c r="DA1529" s="5">
        <v>42193</v>
      </c>
      <c r="DB1529" s="5">
        <v>42186</v>
      </c>
      <c r="DC1529" s="5">
        <v>40977</v>
      </c>
      <c r="DD1529" s="4" t="s">
        <v>586</v>
      </c>
      <c r="DE1529" s="4" t="s">
        <v>3201</v>
      </c>
      <c r="DF1529" s="4"/>
      <c r="DG1529" s="5">
        <v>42104</v>
      </c>
      <c r="DH1529" s="4" t="s">
        <v>174</v>
      </c>
      <c r="DI1529" s="5">
        <v>42143</v>
      </c>
      <c r="DJ1529" s="4" t="b">
        <v>0</v>
      </c>
      <c r="DK1529" s="4"/>
      <c r="DL1529" s="4">
        <v>2749640</v>
      </c>
      <c r="DM1529" s="4">
        <v>6243098</v>
      </c>
      <c r="DN1529" s="4" t="s">
        <v>4592</v>
      </c>
      <c r="DO1529" s="4"/>
      <c r="DP1529" s="4"/>
      <c r="DQ1529" s="4" t="s">
        <v>148</v>
      </c>
      <c r="DR1529" s="4"/>
      <c r="DS1529" s="4"/>
      <c r="DT1529" s="4"/>
      <c r="DU1529" s="4" t="s">
        <v>178</v>
      </c>
      <c r="DV1529" s="4"/>
      <c r="DW1529" s="5">
        <v>41991</v>
      </c>
      <c r="DX1529" s="5">
        <v>41984</v>
      </c>
      <c r="DY1529" s="4"/>
      <c r="DZ1529" s="5">
        <v>42107</v>
      </c>
      <c r="EA1529" s="4"/>
      <c r="EB1529" s="4"/>
      <c r="EC1529" s="4"/>
      <c r="ED1529" s="5">
        <v>42086</v>
      </c>
      <c r="EE1529" s="4"/>
      <c r="EF1529" s="5">
        <v>42107</v>
      </c>
      <c r="EG1529" s="5">
        <v>42191</v>
      </c>
      <c r="EH1529" s="4"/>
      <c r="EI1529" s="5">
        <v>41010</v>
      </c>
    </row>
    <row r="1530" spans="1:139" hidden="1" x14ac:dyDescent="0.2">
      <c r="A1530">
        <f>VLOOKUP(B1530,Sheet1!$A$1:$B$18,2,FALSE)</f>
        <v>0</v>
      </c>
      <c r="B1530" t="str">
        <f>LEFT(D1530,3)</f>
        <v>WKT</v>
      </c>
      <c r="C1530" s="2">
        <v>1529</v>
      </c>
      <c r="D1530" s="3" t="str">
        <f>HYPERLINK("https://sitebase.nzcomms.co.nz/spm/spmnominalview/WKT-021-019/","WKT-021-019")</f>
        <v>WKT-021-019</v>
      </c>
      <c r="E1530" s="4"/>
      <c r="F1530" s="4"/>
      <c r="G1530" s="4"/>
      <c r="H1530" s="4" t="s">
        <v>4527</v>
      </c>
      <c r="I1530" s="4"/>
      <c r="J1530" s="4" t="s">
        <v>196</v>
      </c>
      <c r="K1530" s="4"/>
      <c r="L1530" s="4"/>
      <c r="M1530" s="4"/>
      <c r="N1530" s="4"/>
      <c r="O1530" s="4"/>
      <c r="P1530" s="4"/>
      <c r="Q1530" s="4"/>
      <c r="R1530" s="4"/>
      <c r="S1530" s="4"/>
      <c r="T1530" s="4"/>
      <c r="U1530" s="4"/>
      <c r="V1530" s="4"/>
      <c r="W1530" s="4"/>
      <c r="X1530" s="4"/>
      <c r="Y1530" s="4"/>
      <c r="Z1530" s="4"/>
      <c r="AA1530" s="4"/>
      <c r="AB1530" s="4"/>
      <c r="AC1530" s="4"/>
      <c r="AD1530" s="4"/>
      <c r="AE1530" s="4"/>
      <c r="AF1530" s="4"/>
      <c r="AG1530" s="4"/>
      <c r="AH1530" s="4"/>
      <c r="AI1530" s="4"/>
      <c r="AJ1530" s="4"/>
      <c r="AK1530" s="4"/>
      <c r="AL1530" s="4"/>
      <c r="AM1530" s="4"/>
      <c r="AN1530" s="4"/>
      <c r="AO1530" s="4"/>
      <c r="AP1530" s="4"/>
      <c r="AQ1530" s="4"/>
      <c r="AR1530" s="4"/>
      <c r="AS1530" s="4"/>
      <c r="AT1530" s="4"/>
      <c r="AU1530" s="4"/>
      <c r="AV1530" s="4"/>
      <c r="AW1530" s="4"/>
      <c r="AX1530" s="4"/>
      <c r="AY1530" s="4"/>
      <c r="AZ1530" s="4"/>
      <c r="BA1530" s="4"/>
      <c r="BB1530" s="4"/>
      <c r="BC1530" s="4"/>
      <c r="BD1530" s="4"/>
      <c r="BE1530" s="4"/>
      <c r="BF1530" s="4"/>
      <c r="BG1530" s="4"/>
      <c r="BH1530" s="4"/>
      <c r="BI1530" s="4"/>
      <c r="BJ1530" s="4"/>
      <c r="BK1530" s="4"/>
      <c r="BL1530" s="4"/>
      <c r="BM1530" s="4"/>
      <c r="BN1530" s="4"/>
      <c r="BO1530" s="4"/>
      <c r="BP1530" s="4"/>
      <c r="BQ1530" s="4"/>
      <c r="BR1530" s="4"/>
      <c r="BS1530" s="4"/>
      <c r="BT1530" s="4"/>
      <c r="BU1530" s="4"/>
      <c r="BV1530" s="4"/>
      <c r="BW1530" s="4"/>
      <c r="BX1530" s="4"/>
      <c r="BY1530" s="4"/>
      <c r="BZ1530" s="4"/>
      <c r="CA1530" s="4"/>
      <c r="CB1530" s="4"/>
      <c r="CC1530" s="4"/>
      <c r="CD1530" s="4"/>
      <c r="CE1530" s="4"/>
      <c r="CF1530" s="4"/>
      <c r="CG1530" s="4"/>
      <c r="CH1530" s="4"/>
      <c r="CI1530" s="4"/>
      <c r="CJ1530" s="4"/>
      <c r="CK1530" s="4"/>
      <c r="CL1530" s="4"/>
      <c r="CM1530" s="4"/>
      <c r="CN1530" s="4"/>
      <c r="CO1530" s="4"/>
      <c r="CP1530" s="4"/>
      <c r="CQ1530" s="4"/>
      <c r="CR1530" s="4"/>
      <c r="CS1530" s="4"/>
      <c r="CT1530" s="4"/>
      <c r="CU1530" s="4"/>
      <c r="CV1530" s="4"/>
      <c r="CW1530" s="4"/>
      <c r="CX1530" s="4"/>
      <c r="CY1530" s="4"/>
      <c r="CZ1530" s="4"/>
      <c r="DA1530" s="4"/>
      <c r="DB1530" s="4"/>
      <c r="DC1530" s="4"/>
      <c r="DD1530" s="4"/>
      <c r="DE1530" s="4"/>
      <c r="DF1530" s="4"/>
      <c r="DG1530" s="4"/>
      <c r="DH1530" s="4"/>
      <c r="DI1530" s="4"/>
      <c r="DJ1530" s="4"/>
      <c r="DK1530" s="4"/>
      <c r="DL1530" s="4"/>
      <c r="DM1530" s="4"/>
      <c r="DN1530" s="4"/>
      <c r="DO1530" s="4"/>
      <c r="DP1530" s="4"/>
      <c r="DQ1530" s="4"/>
      <c r="DR1530" s="4"/>
      <c r="DS1530" s="4"/>
      <c r="DT1530" s="4"/>
      <c r="DU1530" s="4"/>
      <c r="DV1530" s="4"/>
      <c r="DW1530" s="4"/>
      <c r="DX1530" s="4"/>
      <c r="DY1530" s="4"/>
      <c r="DZ1530" s="4"/>
      <c r="EA1530" s="4"/>
      <c r="EB1530" s="4"/>
      <c r="EC1530" s="4"/>
      <c r="ED1530" s="4"/>
      <c r="EE1530" s="4"/>
      <c r="EF1530" s="4"/>
      <c r="EG1530" s="4"/>
      <c r="EH1530" s="4"/>
      <c r="EI1530" s="4"/>
    </row>
    <row r="1531" spans="1:139" hidden="1" x14ac:dyDescent="0.2">
      <c r="A1531">
        <f>VLOOKUP(B1531,Sheet1!$A$1:$B$18,2,FALSE)</f>
        <v>0</v>
      </c>
      <c r="B1531" t="str">
        <f>LEFT(D1531,3)</f>
        <v>WKT</v>
      </c>
      <c r="C1531" s="2">
        <v>1530</v>
      </c>
      <c r="D1531" s="3" t="str">
        <f>HYPERLINK("https://sitebase.nzcomms.co.nz/spm/spmnominalview/WKT-021-020/","WKT-021-020")</f>
        <v>WKT-021-020</v>
      </c>
      <c r="E1531" s="4"/>
      <c r="F1531" s="4"/>
      <c r="G1531" s="4"/>
      <c r="H1531" s="4" t="s">
        <v>4527</v>
      </c>
      <c r="I1531" s="4"/>
      <c r="J1531" s="4" t="s">
        <v>196</v>
      </c>
      <c r="K1531" s="4"/>
      <c r="L1531" s="4"/>
      <c r="M1531" s="4"/>
      <c r="N1531" s="4"/>
      <c r="O1531" s="4"/>
      <c r="P1531" s="4"/>
      <c r="Q1531" s="4"/>
      <c r="R1531" s="4"/>
      <c r="S1531" s="4"/>
      <c r="T1531" s="4"/>
      <c r="U1531" s="4"/>
      <c r="V1531" s="4"/>
      <c r="W1531" s="4"/>
      <c r="X1531" s="4"/>
      <c r="Y1531" s="4"/>
      <c r="Z1531" s="4"/>
      <c r="AA1531" s="4"/>
      <c r="AB1531" s="4"/>
      <c r="AC1531" s="4"/>
      <c r="AD1531" s="4"/>
      <c r="AE1531" s="4"/>
      <c r="AF1531" s="4"/>
      <c r="AG1531" s="4"/>
      <c r="AH1531" s="4"/>
      <c r="AI1531" s="4"/>
      <c r="AJ1531" s="4"/>
      <c r="AK1531" s="4"/>
      <c r="AL1531" s="4"/>
      <c r="AM1531" s="4"/>
      <c r="AN1531" s="4"/>
      <c r="AO1531" s="4"/>
      <c r="AP1531" s="4"/>
      <c r="AQ1531" s="4"/>
      <c r="AR1531" s="4"/>
      <c r="AS1531" s="4"/>
      <c r="AT1531" s="4"/>
      <c r="AU1531" s="4"/>
      <c r="AV1531" s="4"/>
      <c r="AW1531" s="4"/>
      <c r="AX1531" s="4"/>
      <c r="AY1531" s="4"/>
      <c r="AZ1531" s="4"/>
      <c r="BA1531" s="4"/>
      <c r="BB1531" s="4"/>
      <c r="BC1531" s="4"/>
      <c r="BD1531" s="4"/>
      <c r="BE1531" s="4"/>
      <c r="BF1531" s="4"/>
      <c r="BG1531" s="4"/>
      <c r="BH1531" s="4"/>
      <c r="BI1531" s="4"/>
      <c r="BJ1531" s="4"/>
      <c r="BK1531" s="4"/>
      <c r="BL1531" s="4"/>
      <c r="BM1531" s="4"/>
      <c r="BN1531" s="4"/>
      <c r="BO1531" s="4"/>
      <c r="BP1531" s="4"/>
      <c r="BQ1531" s="4"/>
      <c r="BR1531" s="4"/>
      <c r="BS1531" s="4"/>
      <c r="BT1531" s="4"/>
      <c r="BU1531" s="4"/>
      <c r="BV1531" s="4"/>
      <c r="BW1531" s="4"/>
      <c r="BX1531" s="4"/>
      <c r="BY1531" s="4"/>
      <c r="BZ1531" s="4"/>
      <c r="CA1531" s="4"/>
      <c r="CB1531" s="4"/>
      <c r="CC1531" s="4"/>
      <c r="CD1531" s="4"/>
      <c r="CE1531" s="4"/>
      <c r="CF1531" s="4"/>
      <c r="CG1531" s="4"/>
      <c r="CH1531" s="4"/>
      <c r="CI1531" s="4"/>
      <c r="CJ1531" s="4"/>
      <c r="CK1531" s="4"/>
      <c r="CL1531" s="4"/>
      <c r="CM1531" s="4"/>
      <c r="CN1531" s="4"/>
      <c r="CO1531" s="4"/>
      <c r="CP1531" s="4"/>
      <c r="CQ1531" s="4"/>
      <c r="CR1531" s="4"/>
      <c r="CS1531" s="4"/>
      <c r="CT1531" s="4"/>
      <c r="CU1531" s="4"/>
      <c r="CV1531" s="4"/>
      <c r="CW1531" s="4"/>
      <c r="CX1531" s="4"/>
      <c r="CY1531" s="4"/>
      <c r="CZ1531" s="4"/>
      <c r="DA1531" s="4"/>
      <c r="DB1531" s="4"/>
      <c r="DC1531" s="4"/>
      <c r="DD1531" s="4"/>
      <c r="DE1531" s="4"/>
      <c r="DF1531" s="4"/>
      <c r="DG1531" s="4"/>
      <c r="DH1531" s="4"/>
      <c r="DI1531" s="4"/>
      <c r="DJ1531" s="4"/>
      <c r="DK1531" s="4"/>
      <c r="DL1531" s="4"/>
      <c r="DM1531" s="4"/>
      <c r="DN1531" s="4"/>
      <c r="DO1531" s="4"/>
      <c r="DP1531" s="4"/>
      <c r="DQ1531" s="4"/>
      <c r="DR1531" s="4"/>
      <c r="DS1531" s="4"/>
      <c r="DT1531" s="4"/>
      <c r="DU1531" s="4"/>
      <c r="DV1531" s="4"/>
      <c r="DW1531" s="4"/>
      <c r="DX1531" s="4"/>
      <c r="DY1531" s="4"/>
      <c r="DZ1531" s="4"/>
      <c r="EA1531" s="4"/>
      <c r="EB1531" s="4"/>
      <c r="EC1531" s="4"/>
      <c r="ED1531" s="4"/>
      <c r="EE1531" s="4"/>
      <c r="EF1531" s="4"/>
      <c r="EG1531" s="4"/>
      <c r="EH1531" s="4"/>
      <c r="EI1531" s="4"/>
    </row>
    <row r="1532" spans="1:139" hidden="1" x14ac:dyDescent="0.2">
      <c r="A1532">
        <f>VLOOKUP(B1532,Sheet1!$A$1:$B$18,2,FALSE)</f>
        <v>0</v>
      </c>
      <c r="B1532" t="str">
        <f>LEFT(D1532,3)</f>
        <v>WKT</v>
      </c>
      <c r="C1532" s="2">
        <v>1531</v>
      </c>
      <c r="D1532" s="3" t="str">
        <f>HYPERLINK("https://sitebase.nzcomms.co.nz/spm/spmnominalview/WKT-021-021/","WKT-021-021")</f>
        <v>WKT-021-021</v>
      </c>
      <c r="E1532" s="4" t="s">
        <v>4593</v>
      </c>
      <c r="F1532" s="4"/>
      <c r="G1532" s="4"/>
      <c r="H1532" s="4" t="s">
        <v>4527</v>
      </c>
      <c r="I1532" s="4"/>
      <c r="J1532" s="4" t="s">
        <v>196</v>
      </c>
      <c r="K1532" s="4"/>
      <c r="L1532" s="4"/>
      <c r="M1532" s="4"/>
      <c r="N1532" s="4"/>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c r="AT1532" s="4"/>
      <c r="AU1532" s="4"/>
      <c r="AV1532" s="4"/>
      <c r="AW1532" s="4"/>
      <c r="AX1532" s="4"/>
      <c r="AY1532" s="4"/>
      <c r="AZ1532" s="4"/>
      <c r="BA1532" s="4"/>
      <c r="BB1532" s="4"/>
      <c r="BC1532" s="4"/>
      <c r="BD1532" s="4"/>
      <c r="BE1532" s="4"/>
      <c r="BF1532" s="4"/>
      <c r="BG1532" s="4"/>
      <c r="BH1532" s="4"/>
      <c r="BI1532" s="4"/>
      <c r="BJ1532" s="4"/>
      <c r="BK1532" s="4"/>
      <c r="BL1532" s="4"/>
      <c r="BM1532" s="4"/>
      <c r="BN1532" s="4"/>
      <c r="BO1532" s="4"/>
      <c r="BP1532" s="4"/>
      <c r="BQ1532" s="4"/>
      <c r="BR1532" s="4"/>
      <c r="BS1532" s="4"/>
      <c r="BT1532" s="4"/>
      <c r="BU1532" s="4"/>
      <c r="BV1532" s="4"/>
      <c r="BW1532" s="4"/>
      <c r="BX1532" s="4"/>
      <c r="BY1532" s="4"/>
      <c r="BZ1532" s="4"/>
      <c r="CA1532" s="4"/>
      <c r="CB1532" s="4"/>
      <c r="CC1532" s="4"/>
      <c r="CD1532" s="4"/>
      <c r="CE1532" s="4"/>
      <c r="CF1532" s="4"/>
      <c r="CG1532" s="4"/>
      <c r="CH1532" s="4"/>
      <c r="CI1532" s="4"/>
      <c r="CJ1532" s="4"/>
      <c r="CK1532" s="4"/>
      <c r="CL1532" s="4"/>
      <c r="CM1532" s="4"/>
      <c r="CN1532" s="4"/>
      <c r="CO1532" s="4"/>
      <c r="CP1532" s="4"/>
      <c r="CQ1532" s="4"/>
      <c r="CR1532" s="4"/>
      <c r="CS1532" s="4"/>
      <c r="CT1532" s="4"/>
      <c r="CU1532" s="4"/>
      <c r="CV1532" s="4"/>
      <c r="CW1532" s="4"/>
      <c r="CX1532" s="4"/>
      <c r="CY1532" s="4"/>
      <c r="CZ1532" s="4"/>
      <c r="DA1532" s="4"/>
      <c r="DB1532" s="4"/>
      <c r="DC1532" s="4"/>
      <c r="DD1532" s="4"/>
      <c r="DE1532" s="4"/>
      <c r="DF1532" s="4"/>
      <c r="DG1532" s="4"/>
      <c r="DH1532" s="4"/>
      <c r="DI1532" s="4"/>
      <c r="DJ1532" s="4"/>
      <c r="DK1532" s="4"/>
      <c r="DL1532" s="4"/>
      <c r="DM1532" s="4"/>
      <c r="DN1532" s="4"/>
      <c r="DO1532" s="4"/>
      <c r="DP1532" s="4"/>
      <c r="DQ1532" s="4"/>
      <c r="DR1532" s="4"/>
      <c r="DS1532" s="4"/>
      <c r="DT1532" s="4"/>
      <c r="DU1532" s="4"/>
      <c r="DV1532" s="4"/>
      <c r="DW1532" s="4"/>
      <c r="DX1532" s="4"/>
      <c r="DY1532" s="4"/>
      <c r="DZ1532" s="4"/>
      <c r="EA1532" s="4"/>
      <c r="EB1532" s="4"/>
      <c r="EC1532" s="4"/>
      <c r="ED1532" s="4"/>
      <c r="EE1532" s="4"/>
      <c r="EF1532" s="4"/>
      <c r="EG1532" s="4"/>
      <c r="EH1532" s="4"/>
      <c r="EI1532" s="4"/>
    </row>
    <row r="1533" spans="1:139" hidden="1" x14ac:dyDescent="0.2">
      <c r="A1533">
        <f>VLOOKUP(B1533,Sheet1!$A$1:$B$18,2,FALSE)</f>
        <v>0</v>
      </c>
      <c r="B1533" t="str">
        <f>LEFT(D1533,3)</f>
        <v>WKT</v>
      </c>
      <c r="C1533" s="2">
        <v>1532</v>
      </c>
      <c r="D1533" s="3" t="str">
        <f>HYPERLINK("https://sitebase.nzcomms.co.nz/spm/spmnominalview/WKT-021-022/","WKT-021-022")</f>
        <v>WKT-021-022</v>
      </c>
      <c r="E1533" s="4" t="s">
        <v>4594</v>
      </c>
      <c r="F1533" s="4"/>
      <c r="G1533" s="4"/>
      <c r="H1533" s="4" t="s">
        <v>4527</v>
      </c>
      <c r="I1533" s="4"/>
      <c r="J1533" s="4" t="s">
        <v>196</v>
      </c>
      <c r="K1533" s="4"/>
      <c r="L1533" s="4"/>
      <c r="M1533" s="4"/>
      <c r="N1533" s="4"/>
      <c r="O1533" s="4"/>
      <c r="P1533" s="4"/>
      <c r="Q1533" s="4"/>
      <c r="R1533" s="4"/>
      <c r="S1533" s="4"/>
      <c r="T1533" s="4"/>
      <c r="U1533" s="4"/>
      <c r="V1533" s="4"/>
      <c r="W1533" s="4"/>
      <c r="X1533" s="4"/>
      <c r="Y1533" s="4"/>
      <c r="Z1533" s="4"/>
      <c r="AA1533" s="4"/>
      <c r="AB1533" s="4"/>
      <c r="AC1533" s="4"/>
      <c r="AD1533" s="4"/>
      <c r="AE1533" s="4"/>
      <c r="AF1533" s="4"/>
      <c r="AG1533" s="4"/>
      <c r="AH1533" s="4"/>
      <c r="AI1533" s="4"/>
      <c r="AJ1533" s="4"/>
      <c r="AK1533" s="4"/>
      <c r="AL1533" s="4"/>
      <c r="AM1533" s="4"/>
      <c r="AN1533" s="4"/>
      <c r="AO1533" s="4"/>
      <c r="AP1533" s="4"/>
      <c r="AQ1533" s="4"/>
      <c r="AR1533" s="4"/>
      <c r="AS1533" s="4"/>
      <c r="AT1533" s="4"/>
      <c r="AU1533" s="4"/>
      <c r="AV1533" s="4"/>
      <c r="AW1533" s="4"/>
      <c r="AX1533" s="4"/>
      <c r="AY1533" s="4"/>
      <c r="AZ1533" s="4"/>
      <c r="BA1533" s="4"/>
      <c r="BB1533" s="4"/>
      <c r="BC1533" s="4"/>
      <c r="BD1533" s="4"/>
      <c r="BE1533" s="4"/>
      <c r="BF1533" s="4"/>
      <c r="BG1533" s="4"/>
      <c r="BH1533" s="4"/>
      <c r="BI1533" s="4"/>
      <c r="BJ1533" s="4"/>
      <c r="BK1533" s="4"/>
      <c r="BL1533" s="4"/>
      <c r="BM1533" s="4"/>
      <c r="BN1533" s="4"/>
      <c r="BO1533" s="4"/>
      <c r="BP1533" s="4"/>
      <c r="BQ1533" s="4"/>
      <c r="BR1533" s="4"/>
      <c r="BS1533" s="4"/>
      <c r="BT1533" s="4"/>
      <c r="BU1533" s="4"/>
      <c r="BV1533" s="4"/>
      <c r="BW1533" s="4"/>
      <c r="BX1533" s="4"/>
      <c r="BY1533" s="4"/>
      <c r="BZ1533" s="4"/>
      <c r="CA1533" s="4"/>
      <c r="CB1533" s="4"/>
      <c r="CC1533" s="4"/>
      <c r="CD1533" s="4"/>
      <c r="CE1533" s="4"/>
      <c r="CF1533" s="4"/>
      <c r="CG1533" s="4"/>
      <c r="CH1533" s="4"/>
      <c r="CI1533" s="4"/>
      <c r="CJ1533" s="4"/>
      <c r="CK1533" s="4"/>
      <c r="CL1533" s="4"/>
      <c r="CM1533" s="4"/>
      <c r="CN1533" s="4"/>
      <c r="CO1533" s="4"/>
      <c r="CP1533" s="4"/>
      <c r="CQ1533" s="4"/>
      <c r="CR1533" s="4"/>
      <c r="CS1533" s="4"/>
      <c r="CT1533" s="4"/>
      <c r="CU1533" s="4"/>
      <c r="CV1533" s="4"/>
      <c r="CW1533" s="4"/>
      <c r="CX1533" s="4"/>
      <c r="CY1533" s="4"/>
      <c r="CZ1533" s="4"/>
      <c r="DA1533" s="4"/>
      <c r="DB1533" s="4"/>
      <c r="DC1533" s="4"/>
      <c r="DD1533" s="4"/>
      <c r="DE1533" s="4"/>
      <c r="DF1533" s="4"/>
      <c r="DG1533" s="4"/>
      <c r="DH1533" s="4"/>
      <c r="DI1533" s="4"/>
      <c r="DJ1533" s="4"/>
      <c r="DK1533" s="4"/>
      <c r="DL1533" s="4"/>
      <c r="DM1533" s="4"/>
      <c r="DN1533" s="4"/>
      <c r="DO1533" s="4"/>
      <c r="DP1533" s="4"/>
      <c r="DQ1533" s="4"/>
      <c r="DR1533" s="4"/>
      <c r="DS1533" s="4"/>
      <c r="DT1533" s="4"/>
      <c r="DU1533" s="4"/>
      <c r="DV1533" s="4"/>
      <c r="DW1533" s="4"/>
      <c r="DX1533" s="4"/>
      <c r="DY1533" s="4"/>
      <c r="DZ1533" s="4"/>
      <c r="EA1533" s="4"/>
      <c r="EB1533" s="4"/>
      <c r="EC1533" s="4"/>
      <c r="ED1533" s="4"/>
      <c r="EE1533" s="4"/>
      <c r="EF1533" s="4"/>
      <c r="EG1533" s="4"/>
      <c r="EH1533" s="4"/>
      <c r="EI1533" s="4"/>
    </row>
    <row r="1534" spans="1:139" hidden="1" x14ac:dyDescent="0.2">
      <c r="A1534">
        <f>VLOOKUP(B1534,Sheet1!$A$1:$B$18,2,FALSE)</f>
        <v>0</v>
      </c>
      <c r="B1534" t="str">
        <f>LEFT(D1534,3)</f>
        <v>WKT</v>
      </c>
      <c r="C1534" s="2">
        <v>1533</v>
      </c>
      <c r="D1534" s="3" t="str">
        <f>HYPERLINK("https://sitebase.nzcomms.co.nz/spm/spmnominalview/WKT-021-023/","WKT-021-023")</f>
        <v>WKT-021-023</v>
      </c>
      <c r="E1534" s="4" t="s">
        <v>4595</v>
      </c>
      <c r="F1534" s="4"/>
      <c r="G1534" s="4"/>
      <c r="H1534" s="4" t="s">
        <v>4527</v>
      </c>
      <c r="I1534" s="4"/>
      <c r="J1534" s="4" t="s">
        <v>196</v>
      </c>
      <c r="K1534" s="4"/>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c r="AT1534" s="4"/>
      <c r="AU1534" s="4"/>
      <c r="AV1534" s="4"/>
      <c r="AW1534" s="4"/>
      <c r="AX1534" s="4"/>
      <c r="AY1534" s="4"/>
      <c r="AZ1534" s="4"/>
      <c r="BA1534" s="4"/>
      <c r="BB1534" s="4"/>
      <c r="BC1534" s="4"/>
      <c r="BD1534" s="4"/>
      <c r="BE1534" s="4"/>
      <c r="BF1534" s="4"/>
      <c r="BG1534" s="4"/>
      <c r="BH1534" s="4"/>
      <c r="BI1534" s="4"/>
      <c r="BJ1534" s="4"/>
      <c r="BK1534" s="4"/>
      <c r="BL1534" s="4"/>
      <c r="BM1534" s="4"/>
      <c r="BN1534" s="4"/>
      <c r="BO1534" s="4"/>
      <c r="BP1534" s="4"/>
      <c r="BQ1534" s="4"/>
      <c r="BR1534" s="4"/>
      <c r="BS1534" s="4"/>
      <c r="BT1534" s="4"/>
      <c r="BU1534" s="4"/>
      <c r="BV1534" s="4"/>
      <c r="BW1534" s="4"/>
      <c r="BX1534" s="4"/>
      <c r="BY1534" s="4"/>
      <c r="BZ1534" s="4"/>
      <c r="CA1534" s="4"/>
      <c r="CB1534" s="4"/>
      <c r="CC1534" s="4"/>
      <c r="CD1534" s="4"/>
      <c r="CE1534" s="4"/>
      <c r="CF1534" s="4"/>
      <c r="CG1534" s="4"/>
      <c r="CH1534" s="4"/>
      <c r="CI1534" s="4"/>
      <c r="CJ1534" s="4"/>
      <c r="CK1534" s="4"/>
      <c r="CL1534" s="4"/>
      <c r="CM1534" s="4"/>
      <c r="CN1534" s="4"/>
      <c r="CO1534" s="4"/>
      <c r="CP1534" s="4"/>
      <c r="CQ1534" s="4"/>
      <c r="CR1534" s="4"/>
      <c r="CS1534" s="4"/>
      <c r="CT1534" s="4"/>
      <c r="CU1534" s="4"/>
      <c r="CV1534" s="4"/>
      <c r="CW1534" s="4"/>
      <c r="CX1534" s="4"/>
      <c r="CY1534" s="4"/>
      <c r="CZ1534" s="4"/>
      <c r="DA1534" s="4"/>
      <c r="DB1534" s="4"/>
      <c r="DC1534" s="4"/>
      <c r="DD1534" s="4"/>
      <c r="DE1534" s="4"/>
      <c r="DF1534" s="4"/>
      <c r="DG1534" s="4"/>
      <c r="DH1534" s="4"/>
      <c r="DI1534" s="4"/>
      <c r="DJ1534" s="4"/>
      <c r="DK1534" s="4"/>
      <c r="DL1534" s="4"/>
      <c r="DM1534" s="4"/>
      <c r="DN1534" s="4"/>
      <c r="DO1534" s="4"/>
      <c r="DP1534" s="4"/>
      <c r="DQ1534" s="4"/>
      <c r="DR1534" s="4"/>
      <c r="DS1534" s="4"/>
      <c r="DT1534" s="4"/>
      <c r="DU1534" s="4"/>
      <c r="DV1534" s="4"/>
      <c r="DW1534" s="4"/>
      <c r="DX1534" s="4"/>
      <c r="DY1534" s="4"/>
      <c r="DZ1534" s="4"/>
      <c r="EA1534" s="4"/>
      <c r="EB1534" s="4"/>
      <c r="EC1534" s="4"/>
      <c r="ED1534" s="4"/>
      <c r="EE1534" s="4"/>
      <c r="EF1534" s="4"/>
      <c r="EG1534" s="4"/>
      <c r="EH1534" s="4"/>
      <c r="EI1534" s="4"/>
    </row>
    <row r="1535" spans="1:139" hidden="1" x14ac:dyDescent="0.2">
      <c r="A1535">
        <f>VLOOKUP(B1535,Sheet1!$A$1:$B$18,2,FALSE)</f>
        <v>0</v>
      </c>
      <c r="B1535" t="str">
        <f>LEFT(D1535,3)</f>
        <v>WKT</v>
      </c>
      <c r="C1535" s="2">
        <v>1534</v>
      </c>
      <c r="D1535" s="3" t="str">
        <f>HYPERLINK("https://sitebase.nzcomms.co.nz/spm/spmnominalview/WKT-021-024/","WKT-021-024")</f>
        <v>WKT-021-024</v>
      </c>
      <c r="E1535" s="4" t="s">
        <v>4596</v>
      </c>
      <c r="F1535" s="3" t="str">
        <f>HYPERLINK("https://sitebase.nzcomms.co.nz/spm/spmcandidateview/WKT-021-024-A/","WKT-021-024-A")</f>
        <v>WKT-021-024-A</v>
      </c>
      <c r="G1535" s="4" t="s">
        <v>4597</v>
      </c>
      <c r="H1535" s="4" t="s">
        <v>4527</v>
      </c>
      <c r="I1535" s="4">
        <v>22</v>
      </c>
      <c r="J1535" s="4" t="s">
        <v>165</v>
      </c>
      <c r="K1535" s="4" t="s">
        <v>141</v>
      </c>
      <c r="L1535" s="4" t="s">
        <v>142</v>
      </c>
      <c r="M1535" s="4" t="s">
        <v>190</v>
      </c>
      <c r="N1535" s="4" t="s">
        <v>1986</v>
      </c>
      <c r="O1535" s="4"/>
      <c r="P1535" s="4" t="s">
        <v>169</v>
      </c>
      <c r="Q1535" s="4" t="s">
        <v>142</v>
      </c>
      <c r="R1535" s="4"/>
      <c r="S1535" s="4"/>
      <c r="T1535" s="4"/>
      <c r="U1535" s="4">
        <v>-38.454208770000001</v>
      </c>
      <c r="V1535" s="4">
        <v>175.81926577999999</v>
      </c>
      <c r="W1535" s="4"/>
      <c r="X1535" s="4"/>
      <c r="Y1535" s="4"/>
      <c r="Z1535" s="4"/>
      <c r="AA1535" s="4" t="s">
        <v>217</v>
      </c>
      <c r="AB1535" s="4" t="s">
        <v>4598</v>
      </c>
      <c r="AC1535" s="4" t="b">
        <v>0</v>
      </c>
      <c r="AD1535" s="4" t="b">
        <v>0</v>
      </c>
      <c r="AE1535" s="4"/>
      <c r="AF1535" s="4"/>
      <c r="AG1535" s="4" t="b">
        <v>0</v>
      </c>
      <c r="AH1535" s="4"/>
      <c r="AI1535" s="5">
        <v>41984</v>
      </c>
      <c r="AJ1535" s="5">
        <v>41961</v>
      </c>
      <c r="AK1535" s="5">
        <v>41988</v>
      </c>
      <c r="AL1535" s="5">
        <v>41961</v>
      </c>
      <c r="AM1535" s="5">
        <v>41971</v>
      </c>
      <c r="AN1535" s="5">
        <v>41144</v>
      </c>
      <c r="AO1535" s="4">
        <v>3</v>
      </c>
      <c r="AP1535" s="5">
        <v>42027</v>
      </c>
      <c r="AQ1535" s="5">
        <v>42124</v>
      </c>
      <c r="AR1535" s="5">
        <v>42118</v>
      </c>
      <c r="AS1535" s="5">
        <v>42093</v>
      </c>
      <c r="AT1535" s="5">
        <v>42247</v>
      </c>
      <c r="AU1535" s="5">
        <v>42256</v>
      </c>
      <c r="AV1535" s="4"/>
      <c r="AW1535" s="5">
        <v>42247</v>
      </c>
      <c r="AX1535" s="5">
        <v>42268</v>
      </c>
      <c r="AY1535" s="4" t="s">
        <v>183</v>
      </c>
      <c r="AZ1535" s="5">
        <v>42124</v>
      </c>
      <c r="BA1535" s="5">
        <v>42124</v>
      </c>
      <c r="BB1535" s="5">
        <v>42174</v>
      </c>
      <c r="BC1535" s="5">
        <v>42152</v>
      </c>
      <c r="BD1535" s="4">
        <v>3</v>
      </c>
      <c r="BE1535" s="5">
        <v>42181</v>
      </c>
      <c r="BF1535" s="5">
        <v>42152</v>
      </c>
      <c r="BG1535" s="5">
        <v>42185</v>
      </c>
      <c r="BH1535" s="5">
        <v>42093</v>
      </c>
      <c r="BI1535" s="5">
        <v>42153</v>
      </c>
      <c r="BJ1535" s="5">
        <v>42158</v>
      </c>
      <c r="BK1535" s="4">
        <v>1</v>
      </c>
      <c r="BL1535" s="4"/>
      <c r="BM1535" s="5">
        <v>42153</v>
      </c>
      <c r="BN1535" s="5">
        <v>42158</v>
      </c>
      <c r="BO1535" s="4"/>
      <c r="BP1535" s="4"/>
      <c r="BQ1535" s="4"/>
      <c r="BR1535" s="4"/>
      <c r="BS1535" s="4"/>
      <c r="BT1535" s="5">
        <v>42262</v>
      </c>
      <c r="BU1535" s="5">
        <v>42262</v>
      </c>
      <c r="BV1535" s="5">
        <v>42292</v>
      </c>
      <c r="BW1535" s="5">
        <v>42292</v>
      </c>
      <c r="BX1535" s="4"/>
      <c r="BY1535" s="5">
        <v>42293</v>
      </c>
      <c r="BZ1535" s="5">
        <v>42293</v>
      </c>
      <c r="CA1535" s="5">
        <v>42261</v>
      </c>
      <c r="CB1535" s="4"/>
      <c r="CC1535" s="4"/>
      <c r="CD1535" s="4"/>
      <c r="CE1535" s="4"/>
      <c r="CF1535" s="4"/>
      <c r="CG1535" s="4"/>
      <c r="CH1535" s="4"/>
      <c r="CI1535" s="4"/>
      <c r="CJ1535" s="5">
        <v>42307</v>
      </c>
      <c r="CK1535" s="5">
        <v>42307</v>
      </c>
      <c r="CL1535" s="5">
        <v>42328</v>
      </c>
      <c r="CM1535" s="5">
        <v>42328</v>
      </c>
      <c r="CN1535" s="4"/>
      <c r="CO1535" s="4"/>
      <c r="CP1535" s="4" t="s">
        <v>4599</v>
      </c>
      <c r="CQ1535" s="4" t="s">
        <v>230</v>
      </c>
      <c r="CR1535" s="4"/>
      <c r="CS1535" s="4"/>
      <c r="CT1535" s="4"/>
      <c r="CU1535" s="4"/>
      <c r="CV1535" s="4"/>
      <c r="CW1535" s="4"/>
      <c r="CX1535" s="4"/>
      <c r="CY1535" s="4"/>
      <c r="CZ1535" s="4"/>
      <c r="DA1535" s="5">
        <v>42304</v>
      </c>
      <c r="DB1535" s="5">
        <v>42305</v>
      </c>
      <c r="DC1535" s="4"/>
      <c r="DD1535" s="4"/>
      <c r="DE1535" s="4" t="s">
        <v>4501</v>
      </c>
      <c r="DF1535" s="4"/>
      <c r="DG1535" s="4"/>
      <c r="DH1535" s="4" t="s">
        <v>174</v>
      </c>
      <c r="DI1535" s="4"/>
      <c r="DJ1535" s="4" t="b">
        <v>0</v>
      </c>
      <c r="DK1535" s="4"/>
      <c r="DL1535" s="4">
        <v>2756137</v>
      </c>
      <c r="DM1535" s="4">
        <v>6301623</v>
      </c>
      <c r="DN1535" s="4" t="s">
        <v>4600</v>
      </c>
      <c r="DO1535" s="4"/>
      <c r="DP1535" s="4"/>
      <c r="DQ1535" s="4" t="s">
        <v>148</v>
      </c>
      <c r="DR1535" s="4"/>
      <c r="DS1535" s="4"/>
      <c r="DT1535" s="4"/>
      <c r="DU1535" s="4" t="s">
        <v>178</v>
      </c>
      <c r="DV1535" s="4"/>
      <c r="DW1535" s="4"/>
      <c r="DX1535" s="5">
        <v>42198</v>
      </c>
      <c r="DY1535" s="5">
        <v>42185</v>
      </c>
      <c r="DZ1535" s="5">
        <v>42166</v>
      </c>
      <c r="EA1535" s="4"/>
      <c r="EB1535" s="5">
        <v>42110</v>
      </c>
      <c r="EC1535" s="4"/>
      <c r="ED1535" s="4"/>
      <c r="EE1535" s="5">
        <v>42219</v>
      </c>
      <c r="EF1535" s="5">
        <v>42198</v>
      </c>
      <c r="EG1535" s="4"/>
      <c r="EH1535" s="4"/>
      <c r="EI1535" s="5">
        <v>41961</v>
      </c>
    </row>
    <row r="1536" spans="1:139" hidden="1" x14ac:dyDescent="0.2">
      <c r="A1536">
        <f>VLOOKUP(B1536,Sheet1!$A$1:$B$18,2,FALSE)</f>
        <v>0</v>
      </c>
      <c r="B1536" t="str">
        <f>LEFT(D1536,3)</f>
        <v>WKT</v>
      </c>
      <c r="C1536" s="2">
        <v>1535</v>
      </c>
      <c r="D1536" s="3" t="str">
        <f>HYPERLINK("https://sitebase.nzcomms.co.nz/spm/spmnominalview/WKT-021-025/","WKT-021-025")</f>
        <v>WKT-021-025</v>
      </c>
      <c r="E1536" s="4" t="s">
        <v>4601</v>
      </c>
      <c r="F1536" s="4"/>
      <c r="G1536" s="4"/>
      <c r="H1536" s="4" t="s">
        <v>4527</v>
      </c>
      <c r="I1536" s="4">
        <v>2</v>
      </c>
      <c r="J1536" s="4" t="s">
        <v>196</v>
      </c>
      <c r="K1536" s="4"/>
      <c r="L1536" s="4"/>
      <c r="M1536" s="4"/>
      <c r="N1536" s="4"/>
      <c r="O1536" s="4"/>
      <c r="P1536" s="4"/>
      <c r="Q1536" s="4"/>
      <c r="R1536" s="4"/>
      <c r="S1536" s="4"/>
      <c r="T1536" s="4"/>
      <c r="U1536" s="4"/>
      <c r="V1536" s="4"/>
      <c r="W1536" s="4"/>
      <c r="X1536" s="4"/>
      <c r="Y1536" s="4"/>
      <c r="Z1536" s="4"/>
      <c r="AA1536" s="4"/>
      <c r="AB1536" s="4"/>
      <c r="AC1536" s="4"/>
      <c r="AD1536" s="4"/>
      <c r="AE1536" s="4"/>
      <c r="AF1536" s="4"/>
      <c r="AG1536" s="4" t="b">
        <v>0</v>
      </c>
      <c r="AH1536" s="4"/>
      <c r="AI1536" s="4"/>
      <c r="AJ1536" s="4"/>
      <c r="AK1536" s="4"/>
      <c r="AL1536" s="4"/>
      <c r="AM1536" s="4"/>
      <c r="AN1536" s="4"/>
      <c r="AO1536" s="4"/>
      <c r="AP1536" s="4"/>
      <c r="AQ1536" s="4"/>
      <c r="AR1536" s="4"/>
      <c r="AS1536" s="4"/>
      <c r="AT1536" s="4"/>
      <c r="AU1536" s="4"/>
      <c r="AV1536" s="4"/>
      <c r="AW1536" s="4"/>
      <c r="AX1536" s="4"/>
      <c r="AY1536" s="4"/>
      <c r="AZ1536" s="4"/>
      <c r="BA1536" s="4"/>
      <c r="BB1536" s="4"/>
      <c r="BC1536" s="4"/>
      <c r="BD1536" s="4"/>
      <c r="BE1536" s="4"/>
      <c r="BF1536" s="4"/>
      <c r="BG1536" s="4"/>
      <c r="BH1536" s="4"/>
      <c r="BI1536" s="4"/>
      <c r="BJ1536" s="4"/>
      <c r="BK1536" s="4"/>
      <c r="BL1536" s="4"/>
      <c r="BM1536" s="4"/>
      <c r="BN1536" s="4"/>
      <c r="BO1536" s="4"/>
      <c r="BP1536" s="4"/>
      <c r="BQ1536" s="4"/>
      <c r="BR1536" s="4"/>
      <c r="BS1536" s="4"/>
      <c r="BT1536" s="4"/>
      <c r="BU1536" s="4"/>
      <c r="BV1536" s="4"/>
      <c r="BW1536" s="4"/>
      <c r="BX1536" s="4"/>
      <c r="BY1536" s="4"/>
      <c r="BZ1536" s="4"/>
      <c r="CA1536" s="4"/>
      <c r="CB1536" s="4"/>
      <c r="CC1536" s="4"/>
      <c r="CD1536" s="4"/>
      <c r="CE1536" s="4"/>
      <c r="CF1536" s="4"/>
      <c r="CG1536" s="4"/>
      <c r="CH1536" s="4"/>
      <c r="CI1536" s="4"/>
      <c r="CJ1536" s="4"/>
      <c r="CK1536" s="4"/>
      <c r="CL1536" s="4"/>
      <c r="CM1536" s="4"/>
      <c r="CN1536" s="4"/>
      <c r="CO1536" s="4"/>
      <c r="CP1536" s="4"/>
      <c r="CQ1536" s="4"/>
      <c r="CR1536" s="4"/>
      <c r="CS1536" s="4"/>
      <c r="CT1536" s="4"/>
      <c r="CU1536" s="4"/>
      <c r="CV1536" s="4"/>
      <c r="CW1536" s="4"/>
      <c r="CX1536" s="4"/>
      <c r="CY1536" s="4"/>
      <c r="CZ1536" s="4"/>
      <c r="DA1536" s="4"/>
      <c r="DB1536" s="4"/>
      <c r="DC1536" s="4"/>
      <c r="DD1536" s="4"/>
      <c r="DE1536" s="4"/>
      <c r="DF1536" s="4"/>
      <c r="DG1536" s="4"/>
      <c r="DH1536" s="4"/>
      <c r="DI1536" s="4"/>
      <c r="DJ1536" s="4"/>
      <c r="DK1536" s="4"/>
      <c r="DL1536" s="4"/>
      <c r="DM1536" s="4"/>
      <c r="DN1536" s="4"/>
      <c r="DO1536" s="4"/>
      <c r="DP1536" s="4"/>
      <c r="DQ1536" s="4"/>
      <c r="DR1536" s="4"/>
      <c r="DS1536" s="4"/>
      <c r="DT1536" s="4"/>
      <c r="DU1536" s="4"/>
      <c r="DV1536" s="4"/>
      <c r="DW1536" s="4"/>
      <c r="DX1536" s="4"/>
      <c r="DY1536" s="4"/>
      <c r="DZ1536" s="4"/>
      <c r="EA1536" s="4"/>
      <c r="EB1536" s="4"/>
      <c r="EC1536" s="4"/>
      <c r="ED1536" s="4"/>
      <c r="EE1536" s="4"/>
      <c r="EF1536" s="4"/>
      <c r="EG1536" s="4"/>
      <c r="EH1536" s="4"/>
      <c r="EI1536" s="4"/>
    </row>
    <row r="1537" spans="1:139" hidden="1" x14ac:dyDescent="0.2">
      <c r="A1537">
        <f>VLOOKUP(B1537,Sheet1!$A$1:$B$18,2,FALSE)</f>
        <v>0</v>
      </c>
      <c r="B1537" t="str">
        <f>LEFT(D1537,3)</f>
        <v>WKT</v>
      </c>
      <c r="C1537" s="2">
        <v>1536</v>
      </c>
      <c r="D1537" s="3" t="str">
        <f>HYPERLINK("https://sitebase.nzcomms.co.nz/spm/spmnominalview/WKT-021-026/","WKT-021-026")</f>
        <v>WKT-021-026</v>
      </c>
      <c r="E1537" s="4" t="s">
        <v>4602</v>
      </c>
      <c r="F1537" s="3" t="str">
        <f>HYPERLINK("https://sitebase.nzcomms.co.nz/spm/spmcandidateview/WKT-021-026-C/","WKT-021-026-C")</f>
        <v>WKT-021-026-C</v>
      </c>
      <c r="G1537" s="4" t="s">
        <v>4603</v>
      </c>
      <c r="H1537" s="4" t="s">
        <v>4527</v>
      </c>
      <c r="I1537" s="4">
        <v>2</v>
      </c>
      <c r="J1537" s="4" t="s">
        <v>1633</v>
      </c>
      <c r="K1537" s="4" t="s">
        <v>141</v>
      </c>
      <c r="L1537" s="4" t="s">
        <v>150</v>
      </c>
      <c r="M1537" s="4" t="s">
        <v>190</v>
      </c>
      <c r="N1537" s="4" t="s">
        <v>335</v>
      </c>
      <c r="O1537" s="4"/>
      <c r="P1537" s="4" t="s">
        <v>169</v>
      </c>
      <c r="Q1537" s="4" t="s">
        <v>192</v>
      </c>
      <c r="R1537" s="4">
        <v>14</v>
      </c>
      <c r="S1537" s="4">
        <v>15</v>
      </c>
      <c r="T1537" s="4">
        <v>1</v>
      </c>
      <c r="U1537" s="4">
        <v>-38.716976219999999</v>
      </c>
      <c r="V1537" s="4">
        <v>176.10413983999999</v>
      </c>
      <c r="W1537" s="5">
        <v>40829</v>
      </c>
      <c r="X1537" s="4"/>
      <c r="Y1537" s="5">
        <v>40829</v>
      </c>
      <c r="Z1537" s="4"/>
      <c r="AA1537" s="4" t="s">
        <v>171</v>
      </c>
      <c r="AB1537" s="3" t="str">
        <f>HYPERLINK("https://sitebase.nzcomms.co.nz/spm/spmcandidateview/WKT-021-007-B/","WKT-021-007-B")</f>
        <v>WKT-021-007-B</v>
      </c>
      <c r="AC1537" s="4" t="b">
        <v>1</v>
      </c>
      <c r="AD1537" s="4" t="b">
        <v>1</v>
      </c>
      <c r="AE1537" s="5">
        <v>40829</v>
      </c>
      <c r="AF1537" s="5">
        <v>40829</v>
      </c>
      <c r="AG1537" s="4" t="b">
        <v>1</v>
      </c>
      <c r="AH1537" s="4"/>
      <c r="AI1537" s="5">
        <v>41038</v>
      </c>
      <c r="AJ1537" s="5">
        <v>41038</v>
      </c>
      <c r="AK1537" s="5">
        <v>41040</v>
      </c>
      <c r="AL1537" s="5">
        <v>41040</v>
      </c>
      <c r="AM1537" s="5">
        <v>41052</v>
      </c>
      <c r="AN1537" s="5">
        <v>41054</v>
      </c>
      <c r="AO1537" s="4">
        <v>1</v>
      </c>
      <c r="AP1537" s="5">
        <v>41052</v>
      </c>
      <c r="AQ1537" s="5">
        <v>41054</v>
      </c>
      <c r="AR1537" s="5">
        <v>41060</v>
      </c>
      <c r="AS1537" s="5">
        <v>41071</v>
      </c>
      <c r="AT1537" s="5">
        <v>41075</v>
      </c>
      <c r="AU1537" s="5">
        <v>41107</v>
      </c>
      <c r="AV1537" s="4"/>
      <c r="AW1537" s="5">
        <v>41082</v>
      </c>
      <c r="AX1537" s="5">
        <v>41107</v>
      </c>
      <c r="AY1537" s="4" t="s">
        <v>247</v>
      </c>
      <c r="AZ1537" s="5">
        <v>41068</v>
      </c>
      <c r="BA1537" s="5">
        <v>41061</v>
      </c>
      <c r="BB1537" s="5">
        <v>41089</v>
      </c>
      <c r="BC1537" s="5">
        <v>41088</v>
      </c>
      <c r="BD1537" s="4">
        <v>1</v>
      </c>
      <c r="BE1537" s="5">
        <v>41089</v>
      </c>
      <c r="BF1537" s="5">
        <v>41088</v>
      </c>
      <c r="BG1537" s="4"/>
      <c r="BH1537" s="4"/>
      <c r="BI1537" s="5">
        <v>41138</v>
      </c>
      <c r="BJ1537" s="5">
        <v>41138</v>
      </c>
      <c r="BK1537" s="4">
        <v>1</v>
      </c>
      <c r="BL1537" s="4"/>
      <c r="BM1537" s="5">
        <v>41138</v>
      </c>
      <c r="BN1537" s="5">
        <v>41138</v>
      </c>
      <c r="BO1537" s="5">
        <v>41139</v>
      </c>
      <c r="BP1537" s="4"/>
      <c r="BQ1537" s="4"/>
      <c r="BR1537" s="5">
        <v>41117</v>
      </c>
      <c r="BS1537" s="4"/>
      <c r="BT1537" s="5">
        <v>41143</v>
      </c>
      <c r="BU1537" s="5">
        <v>41143</v>
      </c>
      <c r="BV1537" s="5">
        <v>41159</v>
      </c>
      <c r="BW1537" s="5">
        <v>41157</v>
      </c>
      <c r="BX1537" s="5">
        <v>41155</v>
      </c>
      <c r="BY1537" s="5">
        <v>41166</v>
      </c>
      <c r="BZ1537" s="5">
        <v>41159</v>
      </c>
      <c r="CA1537" s="4"/>
      <c r="CB1537" s="4"/>
      <c r="CC1537" s="4"/>
      <c r="CD1537" s="4"/>
      <c r="CE1537" s="4"/>
      <c r="CF1537" s="4"/>
      <c r="CG1537" s="4"/>
      <c r="CH1537" s="4"/>
      <c r="CI1537" s="5">
        <v>41160</v>
      </c>
      <c r="CJ1537" s="5">
        <v>41187</v>
      </c>
      <c r="CK1537" s="5">
        <v>41180</v>
      </c>
      <c r="CL1537" s="5">
        <v>41186</v>
      </c>
      <c r="CM1537" s="5">
        <v>41177</v>
      </c>
      <c r="CN1537" s="5">
        <v>41404</v>
      </c>
      <c r="CO1537" s="5">
        <v>41402</v>
      </c>
      <c r="CP1537" s="4" t="s">
        <v>4604</v>
      </c>
      <c r="CQ1537" s="4"/>
      <c r="CR1537" s="5">
        <v>41169</v>
      </c>
      <c r="CS1537" s="5">
        <v>41139</v>
      </c>
      <c r="CT1537" s="5">
        <v>41139</v>
      </c>
      <c r="CU1537" s="5">
        <v>41139</v>
      </c>
      <c r="CV1537" s="5">
        <v>41139</v>
      </c>
      <c r="CW1537" s="5">
        <v>41139</v>
      </c>
      <c r="CX1537" s="5">
        <v>41139</v>
      </c>
      <c r="CY1537" s="5">
        <v>41162</v>
      </c>
      <c r="CZ1537" s="5">
        <v>41158</v>
      </c>
      <c r="DA1537" s="5">
        <v>41173</v>
      </c>
      <c r="DB1537" s="5">
        <v>41170</v>
      </c>
      <c r="DC1537" s="4"/>
      <c r="DD1537" s="4"/>
      <c r="DE1537" s="4"/>
      <c r="DF1537" s="4"/>
      <c r="DG1537" s="4"/>
      <c r="DH1537" s="4" t="s">
        <v>174</v>
      </c>
      <c r="DI1537" s="5">
        <v>41162</v>
      </c>
      <c r="DJ1537" s="4" t="b">
        <v>1</v>
      </c>
      <c r="DK1537" s="4"/>
      <c r="DL1537" s="4">
        <v>2779968</v>
      </c>
      <c r="DM1537" s="4">
        <v>6271646</v>
      </c>
      <c r="DN1537" s="4" t="s">
        <v>4605</v>
      </c>
      <c r="DO1537" s="4"/>
      <c r="DP1537" s="4"/>
      <c r="DQ1537" s="4" t="s">
        <v>148</v>
      </c>
      <c r="DR1537" s="4"/>
      <c r="DS1537" s="4"/>
      <c r="DT1537" s="4"/>
      <c r="DU1537" s="4"/>
      <c r="DV1537" s="4"/>
      <c r="DW1537" s="4"/>
      <c r="DX1537" s="4"/>
      <c r="DY1537" s="4"/>
      <c r="DZ1537" s="4"/>
      <c r="EA1537" s="4"/>
      <c r="EB1537" s="4"/>
      <c r="EC1537" s="4"/>
      <c r="ED1537" s="4"/>
      <c r="EE1537" s="4"/>
      <c r="EF1537" s="4"/>
      <c r="EG1537" s="5">
        <v>41169</v>
      </c>
      <c r="EH1537" s="5">
        <v>41171</v>
      </c>
      <c r="EI1537" s="5">
        <v>41040</v>
      </c>
    </row>
    <row r="1538" spans="1:139" hidden="1" x14ac:dyDescent="0.2">
      <c r="A1538">
        <f>VLOOKUP(B1538,Sheet1!$A$1:$B$18,2,FALSE)</f>
        <v>0</v>
      </c>
      <c r="B1538" t="str">
        <f>LEFT(D1538,3)</f>
        <v>WKT</v>
      </c>
      <c r="C1538" s="2">
        <v>1537</v>
      </c>
      <c r="D1538" s="3" t="str">
        <f>HYPERLINK("https://sitebase.nzcomms.co.nz/spm/spmnominalview/WKT-021-027/","WKT-021-027")</f>
        <v>WKT-021-027</v>
      </c>
      <c r="E1538" s="4" t="s">
        <v>4606</v>
      </c>
      <c r="F1538" s="4"/>
      <c r="G1538" s="4"/>
      <c r="H1538" s="4" t="s">
        <v>4527</v>
      </c>
      <c r="I1538" s="4">
        <v>2</v>
      </c>
      <c r="J1538" s="4" t="s">
        <v>196</v>
      </c>
      <c r="K1538" s="4"/>
      <c r="L1538" s="4"/>
      <c r="M1538" s="4"/>
      <c r="N1538" s="4"/>
      <c r="O1538" s="4"/>
      <c r="P1538" s="4"/>
      <c r="Q1538" s="4"/>
      <c r="R1538" s="4"/>
      <c r="S1538" s="4"/>
      <c r="T1538" s="4"/>
      <c r="U1538" s="4"/>
      <c r="V1538" s="4"/>
      <c r="W1538" s="4"/>
      <c r="X1538" s="4"/>
      <c r="Y1538" s="4"/>
      <c r="Z1538" s="4"/>
      <c r="AA1538" s="4"/>
      <c r="AB1538" s="4"/>
      <c r="AC1538" s="4"/>
      <c r="AD1538" s="4"/>
      <c r="AE1538" s="4"/>
      <c r="AF1538" s="4"/>
      <c r="AG1538" s="4" t="b">
        <v>0</v>
      </c>
      <c r="AH1538" s="4"/>
      <c r="AI1538" s="4"/>
      <c r="AJ1538" s="4"/>
      <c r="AK1538" s="4"/>
      <c r="AL1538" s="4"/>
      <c r="AM1538" s="4"/>
      <c r="AN1538" s="4"/>
      <c r="AO1538" s="4"/>
      <c r="AP1538" s="4"/>
      <c r="AQ1538" s="4"/>
      <c r="AR1538" s="4"/>
      <c r="AS1538" s="4"/>
      <c r="AT1538" s="4"/>
      <c r="AU1538" s="4"/>
      <c r="AV1538" s="4"/>
      <c r="AW1538" s="4"/>
      <c r="AX1538" s="4"/>
      <c r="AY1538" s="4"/>
      <c r="AZ1538" s="4"/>
      <c r="BA1538" s="4"/>
      <c r="BB1538" s="4"/>
      <c r="BC1538" s="4"/>
      <c r="BD1538" s="4"/>
      <c r="BE1538" s="4"/>
      <c r="BF1538" s="4"/>
      <c r="BG1538" s="4"/>
      <c r="BH1538" s="4"/>
      <c r="BI1538" s="4"/>
      <c r="BJ1538" s="4"/>
      <c r="BK1538" s="4"/>
      <c r="BL1538" s="4"/>
      <c r="BM1538" s="4"/>
      <c r="BN1538" s="4"/>
      <c r="BO1538" s="4"/>
      <c r="BP1538" s="4"/>
      <c r="BQ1538" s="4"/>
      <c r="BR1538" s="4"/>
      <c r="BS1538" s="4"/>
      <c r="BT1538" s="4"/>
      <c r="BU1538" s="4"/>
      <c r="BV1538" s="4"/>
      <c r="BW1538" s="4"/>
      <c r="BX1538" s="4"/>
      <c r="BY1538" s="4"/>
      <c r="BZ1538" s="4"/>
      <c r="CA1538" s="4"/>
      <c r="CB1538" s="4"/>
      <c r="CC1538" s="4"/>
      <c r="CD1538" s="4"/>
      <c r="CE1538" s="4"/>
      <c r="CF1538" s="4"/>
      <c r="CG1538" s="4"/>
      <c r="CH1538" s="4"/>
      <c r="CI1538" s="4"/>
      <c r="CJ1538" s="4"/>
      <c r="CK1538" s="4"/>
      <c r="CL1538" s="4"/>
      <c r="CM1538" s="4"/>
      <c r="CN1538" s="4"/>
      <c r="CO1538" s="4"/>
      <c r="CP1538" s="4"/>
      <c r="CQ1538" s="4"/>
      <c r="CR1538" s="4"/>
      <c r="CS1538" s="4"/>
      <c r="CT1538" s="4"/>
      <c r="CU1538" s="4"/>
      <c r="CV1538" s="4"/>
      <c r="CW1538" s="4"/>
      <c r="CX1538" s="4"/>
      <c r="CY1538" s="4"/>
      <c r="CZ1538" s="4"/>
      <c r="DA1538" s="4"/>
      <c r="DB1538" s="4"/>
      <c r="DC1538" s="4"/>
      <c r="DD1538" s="4"/>
      <c r="DE1538" s="4"/>
      <c r="DF1538" s="4"/>
      <c r="DG1538" s="4"/>
      <c r="DH1538" s="4"/>
      <c r="DI1538" s="4"/>
      <c r="DJ1538" s="4"/>
      <c r="DK1538" s="4"/>
      <c r="DL1538" s="4"/>
      <c r="DM1538" s="4"/>
      <c r="DN1538" s="4"/>
      <c r="DO1538" s="4"/>
      <c r="DP1538" s="4"/>
      <c r="DQ1538" s="4"/>
      <c r="DR1538" s="4"/>
      <c r="DS1538" s="4"/>
      <c r="DT1538" s="4"/>
      <c r="DU1538" s="4"/>
      <c r="DV1538" s="4"/>
      <c r="DW1538" s="4"/>
      <c r="DX1538" s="4"/>
      <c r="DY1538" s="4"/>
      <c r="DZ1538" s="4"/>
      <c r="EA1538" s="4"/>
      <c r="EB1538" s="4"/>
      <c r="EC1538" s="4"/>
      <c r="ED1538" s="4"/>
      <c r="EE1538" s="4"/>
      <c r="EF1538" s="4"/>
      <c r="EG1538" s="4"/>
      <c r="EH1538" s="4"/>
      <c r="EI1538" s="4"/>
    </row>
    <row r="1539" spans="1:139" hidden="1" x14ac:dyDescent="0.2">
      <c r="A1539">
        <f>VLOOKUP(B1539,Sheet1!$A$1:$B$18,2,FALSE)</f>
        <v>0</v>
      </c>
      <c r="B1539" t="str">
        <f>LEFT(D1539,3)</f>
        <v>WKT</v>
      </c>
      <c r="C1539" s="2">
        <v>1538</v>
      </c>
      <c r="D1539" s="3" t="str">
        <f>HYPERLINK("https://sitebase.nzcomms.co.nz/spm/spmnominalview/WKT-021-028/","WKT-021-028")</f>
        <v>WKT-021-028</v>
      </c>
      <c r="E1539" s="4" t="s">
        <v>4607</v>
      </c>
      <c r="F1539" s="3" t="str">
        <f>HYPERLINK("https://sitebase.nzcomms.co.nz/spm/spmcandidateview/WKT-021-028-A/","WKT-021-028-A")</f>
        <v>WKT-021-028-A</v>
      </c>
      <c r="G1539" s="4" t="s">
        <v>4608</v>
      </c>
      <c r="H1539" s="4" t="s">
        <v>4527</v>
      </c>
      <c r="I1539" s="4">
        <v>25</v>
      </c>
      <c r="J1539" s="4" t="s">
        <v>331</v>
      </c>
      <c r="K1539" s="4" t="s">
        <v>141</v>
      </c>
      <c r="L1539" s="4" t="s">
        <v>722</v>
      </c>
      <c r="M1539" s="4" t="s">
        <v>166</v>
      </c>
      <c r="N1539" s="4" t="s">
        <v>142</v>
      </c>
      <c r="O1539" s="4"/>
      <c r="P1539" s="4" t="s">
        <v>169</v>
      </c>
      <c r="Q1539" s="4" t="s">
        <v>142</v>
      </c>
      <c r="R1539" s="4">
        <v>28</v>
      </c>
      <c r="S1539" s="4">
        <v>30</v>
      </c>
      <c r="T1539" s="4"/>
      <c r="U1539" s="4">
        <v>-38.894001959999997</v>
      </c>
      <c r="V1539" s="4">
        <v>175.73943596000001</v>
      </c>
      <c r="W1539" s="4"/>
      <c r="X1539" s="4"/>
      <c r="Y1539" s="4"/>
      <c r="Z1539" s="4"/>
      <c r="AA1539" s="4" t="s">
        <v>145</v>
      </c>
      <c r="AB1539" s="3" t="str">
        <f>HYPERLINK("https://sitebase.nzcomms.co.nz/spm/spmcandidateview/WKT-016-044-A/","WKT-016-044-A")</f>
        <v>WKT-016-044-A</v>
      </c>
      <c r="AC1539" s="4" t="b">
        <v>0</v>
      </c>
      <c r="AD1539" s="4" t="b">
        <v>0</v>
      </c>
      <c r="AE1539" s="5">
        <v>42352</v>
      </c>
      <c r="AF1539" s="4"/>
      <c r="AG1539" s="4" t="b">
        <v>0</v>
      </c>
      <c r="AH1539" s="4"/>
      <c r="AI1539" s="5">
        <v>42293</v>
      </c>
      <c r="AJ1539" s="5">
        <v>42293</v>
      </c>
      <c r="AK1539" s="5">
        <v>42299</v>
      </c>
      <c r="AL1539" s="5">
        <v>42299</v>
      </c>
      <c r="AM1539" s="5">
        <v>42299</v>
      </c>
      <c r="AN1539" s="5">
        <v>42310</v>
      </c>
      <c r="AO1539" s="4">
        <v>1</v>
      </c>
      <c r="AP1539" s="5">
        <v>42299</v>
      </c>
      <c r="AQ1539" s="5">
        <v>42310</v>
      </c>
      <c r="AR1539" s="5">
        <v>42433</v>
      </c>
      <c r="AS1539" s="4"/>
      <c r="AT1539" s="5">
        <v>42454</v>
      </c>
      <c r="AU1539" s="4"/>
      <c r="AV1539" s="4"/>
      <c r="AW1539" s="5">
        <v>42457</v>
      </c>
      <c r="AX1539" s="4"/>
      <c r="AY1539" s="4" t="s">
        <v>172</v>
      </c>
      <c r="AZ1539" s="5">
        <v>42433</v>
      </c>
      <c r="BA1539" s="4"/>
      <c r="BB1539" s="5">
        <v>42437</v>
      </c>
      <c r="BC1539" s="4"/>
      <c r="BD1539" s="4"/>
      <c r="BE1539" s="5">
        <v>42439</v>
      </c>
      <c r="BF1539" s="4"/>
      <c r="BG1539" s="5">
        <v>42426</v>
      </c>
      <c r="BH1539" s="4"/>
      <c r="BI1539" s="5">
        <v>42437</v>
      </c>
      <c r="BJ1539" s="4"/>
      <c r="BK1539" s="4"/>
      <c r="BL1539" s="4"/>
      <c r="BM1539" s="5">
        <v>42440</v>
      </c>
      <c r="BN1539" s="4"/>
      <c r="BO1539" s="4"/>
      <c r="BP1539" s="4"/>
      <c r="BQ1539" s="4"/>
      <c r="BR1539" s="4"/>
      <c r="BS1539" s="4"/>
      <c r="BT1539" s="5">
        <v>42464</v>
      </c>
      <c r="BU1539" s="4"/>
      <c r="BV1539" s="5">
        <v>42468</v>
      </c>
      <c r="BW1539" s="4"/>
      <c r="BX1539" s="4"/>
      <c r="BY1539" s="5">
        <v>42468</v>
      </c>
      <c r="BZ1539" s="4"/>
      <c r="CA1539" s="5">
        <v>42468</v>
      </c>
      <c r="CB1539" s="4"/>
      <c r="CC1539" s="5">
        <v>42452</v>
      </c>
      <c r="CD1539" s="4"/>
      <c r="CE1539" s="5">
        <v>42459</v>
      </c>
      <c r="CF1539" s="4"/>
      <c r="CG1539" s="5">
        <v>42459</v>
      </c>
      <c r="CH1539" s="4"/>
      <c r="CI1539" s="4"/>
      <c r="CJ1539" s="5">
        <v>42482</v>
      </c>
      <c r="CK1539" s="4"/>
      <c r="CL1539" s="4"/>
      <c r="CM1539" s="4"/>
      <c r="CN1539" s="4"/>
      <c r="CO1539" s="4"/>
      <c r="CP1539" s="4" t="s">
        <v>4609</v>
      </c>
      <c r="CQ1539" s="4" t="s">
        <v>230</v>
      </c>
      <c r="CR1539" s="4"/>
      <c r="CS1539" s="4"/>
      <c r="CT1539" s="4"/>
      <c r="CU1539" s="4"/>
      <c r="CV1539" s="4"/>
      <c r="CW1539" s="4"/>
      <c r="CX1539" s="4"/>
      <c r="CY1539" s="4"/>
      <c r="CZ1539" s="4"/>
      <c r="DA1539" s="5">
        <v>42475</v>
      </c>
      <c r="DB1539" s="4"/>
      <c r="DC1539" s="4"/>
      <c r="DD1539" s="4"/>
      <c r="DE1539" s="4"/>
      <c r="DF1539" s="5">
        <v>42465</v>
      </c>
      <c r="DG1539" s="4"/>
      <c r="DH1539" s="4" t="s">
        <v>174</v>
      </c>
      <c r="DI1539" s="5">
        <v>42464</v>
      </c>
      <c r="DJ1539" s="4" t="b">
        <v>0</v>
      </c>
      <c r="DK1539" s="4"/>
      <c r="DL1539" s="4">
        <v>2747666</v>
      </c>
      <c r="DM1539" s="4">
        <v>6253050</v>
      </c>
      <c r="DN1539" s="4" t="s">
        <v>4610</v>
      </c>
      <c r="DO1539" s="4"/>
      <c r="DP1539" s="4"/>
      <c r="DQ1539" s="4" t="s">
        <v>148</v>
      </c>
      <c r="DR1539" s="4"/>
      <c r="DS1539" s="4"/>
      <c r="DT1539" s="4"/>
      <c r="DU1539" s="4" t="s">
        <v>178</v>
      </c>
      <c r="DV1539" s="4"/>
      <c r="DW1539" s="4"/>
      <c r="DX1539" s="5">
        <v>42410</v>
      </c>
      <c r="DY1539" s="5">
        <v>42331</v>
      </c>
      <c r="DZ1539" s="5">
        <v>42333</v>
      </c>
      <c r="EA1539" s="5">
        <v>42300</v>
      </c>
      <c r="EB1539" s="5">
        <v>42300</v>
      </c>
      <c r="EC1539" s="5">
        <v>42326</v>
      </c>
      <c r="ED1539" s="5">
        <v>42328</v>
      </c>
      <c r="EE1539" s="5">
        <v>42454</v>
      </c>
      <c r="EF1539" s="4"/>
      <c r="EG1539" s="4"/>
      <c r="EH1539" s="4"/>
      <c r="EI1539" s="5">
        <v>42299</v>
      </c>
    </row>
    <row r="1540" spans="1:139" hidden="1" x14ac:dyDescent="0.2">
      <c r="A1540">
        <f>VLOOKUP(B1540,Sheet1!$A$1:$B$18,2,FALSE)</f>
        <v>0</v>
      </c>
      <c r="B1540" t="str">
        <f>LEFT(D1540,3)</f>
        <v>WKT</v>
      </c>
      <c r="C1540" s="2">
        <v>1539</v>
      </c>
      <c r="D1540" s="3" t="str">
        <f>HYPERLINK("https://sitebase.nzcomms.co.nz/spm/spmnominalview/WKT-021-029/","WKT-021-029")</f>
        <v>WKT-021-029</v>
      </c>
      <c r="E1540" s="4" t="s">
        <v>4611</v>
      </c>
      <c r="F1540" s="3" t="str">
        <f>HYPERLINK("https://sitebase.nzcomms.co.nz/spm/spmcandidateview/WKT-021-029-A/","WKT-021-029-A")</f>
        <v>WKT-021-029-A</v>
      </c>
      <c r="G1540" s="4" t="s">
        <v>4612</v>
      </c>
      <c r="H1540" s="4" t="s">
        <v>4527</v>
      </c>
      <c r="I1540" s="4">
        <v>2</v>
      </c>
      <c r="J1540" s="4" t="s">
        <v>317</v>
      </c>
      <c r="K1540" s="4" t="s">
        <v>141</v>
      </c>
      <c r="L1540" s="4" t="s">
        <v>1124</v>
      </c>
      <c r="M1540" s="4" t="s">
        <v>738</v>
      </c>
      <c r="N1540" s="4" t="s">
        <v>325</v>
      </c>
      <c r="O1540" s="4"/>
      <c r="P1540" s="4"/>
      <c r="Q1540" s="4" t="s">
        <v>192</v>
      </c>
      <c r="R1540" s="4"/>
      <c r="S1540" s="4"/>
      <c r="T1540" s="4"/>
      <c r="U1540" s="4">
        <v>-38.916315969999999</v>
      </c>
      <c r="V1540" s="4">
        <v>175.75303374999999</v>
      </c>
      <c r="W1540" s="4"/>
      <c r="X1540" s="4"/>
      <c r="Y1540" s="4"/>
      <c r="Z1540" s="4"/>
      <c r="AA1540" s="4"/>
      <c r="AB1540" s="4"/>
      <c r="AC1540" s="4" t="b">
        <v>0</v>
      </c>
      <c r="AD1540" s="4" t="b">
        <v>0</v>
      </c>
      <c r="AE1540" s="4"/>
      <c r="AF1540" s="4"/>
      <c r="AG1540" s="4" t="b">
        <v>0</v>
      </c>
      <c r="AH1540" s="4"/>
      <c r="AI1540" s="4"/>
      <c r="AJ1540" s="4"/>
      <c r="AK1540" s="4"/>
      <c r="AL1540" s="4"/>
      <c r="AM1540" s="4"/>
      <c r="AN1540" s="4"/>
      <c r="AO1540" s="4"/>
      <c r="AP1540" s="4"/>
      <c r="AQ1540" s="4"/>
      <c r="AR1540" s="4"/>
      <c r="AS1540" s="4"/>
      <c r="AT1540" s="4"/>
      <c r="AU1540" s="4"/>
      <c r="AV1540" s="4"/>
      <c r="AW1540" s="4"/>
      <c r="AX1540" s="4"/>
      <c r="AY1540" s="4"/>
      <c r="AZ1540" s="4"/>
      <c r="BA1540" s="4"/>
      <c r="BB1540" s="4"/>
      <c r="BC1540" s="4"/>
      <c r="BD1540" s="4"/>
      <c r="BE1540" s="4"/>
      <c r="BF1540" s="4"/>
      <c r="BG1540" s="4"/>
      <c r="BH1540" s="4"/>
      <c r="BI1540" s="4"/>
      <c r="BJ1540" s="4"/>
      <c r="BK1540" s="4"/>
      <c r="BL1540" s="4"/>
      <c r="BM1540" s="4"/>
      <c r="BN1540" s="4"/>
      <c r="BO1540" s="4"/>
      <c r="BP1540" s="4"/>
      <c r="BQ1540" s="4"/>
      <c r="BR1540" s="4"/>
      <c r="BS1540" s="4"/>
      <c r="BT1540" s="4"/>
      <c r="BU1540" s="4"/>
      <c r="BV1540" s="4"/>
      <c r="BW1540" s="4"/>
      <c r="BX1540" s="4"/>
      <c r="BY1540" s="4"/>
      <c r="BZ1540" s="4"/>
      <c r="CA1540" s="4"/>
      <c r="CB1540" s="4"/>
      <c r="CC1540" s="4"/>
      <c r="CD1540" s="4"/>
      <c r="CE1540" s="4"/>
      <c r="CF1540" s="4"/>
      <c r="CG1540" s="4"/>
      <c r="CH1540" s="4"/>
      <c r="CI1540" s="4"/>
      <c r="CJ1540" s="4"/>
      <c r="CK1540" s="4"/>
      <c r="CL1540" s="4"/>
      <c r="CM1540" s="4"/>
      <c r="CN1540" s="4"/>
      <c r="CO1540" s="4"/>
      <c r="CP1540" s="4"/>
      <c r="CQ1540" s="4"/>
      <c r="CR1540" s="4"/>
      <c r="CS1540" s="4"/>
      <c r="CT1540" s="4"/>
      <c r="CU1540" s="4"/>
      <c r="CV1540" s="4"/>
      <c r="CW1540" s="4"/>
      <c r="CX1540" s="4"/>
      <c r="CY1540" s="4"/>
      <c r="CZ1540" s="4"/>
      <c r="DA1540" s="4"/>
      <c r="DB1540" s="4"/>
      <c r="DC1540" s="4"/>
      <c r="DD1540" s="4"/>
      <c r="DE1540" s="4" t="s">
        <v>1892</v>
      </c>
      <c r="DF1540" s="4"/>
      <c r="DG1540" s="4"/>
      <c r="DH1540" s="4"/>
      <c r="DI1540" s="4"/>
      <c r="DJ1540" s="4"/>
      <c r="DK1540" s="4"/>
      <c r="DL1540" s="4">
        <v>2748768</v>
      </c>
      <c r="DM1540" s="4">
        <v>6250538</v>
      </c>
      <c r="DN1540" s="4" t="s">
        <v>4613</v>
      </c>
      <c r="DO1540" s="4"/>
      <c r="DP1540" s="4"/>
      <c r="DQ1540" s="4"/>
      <c r="DR1540" s="4"/>
      <c r="DS1540" s="4"/>
      <c r="DT1540" s="4"/>
      <c r="DU1540" s="4"/>
      <c r="DV1540" s="4"/>
      <c r="DW1540" s="4"/>
      <c r="DX1540" s="4"/>
      <c r="DY1540" s="4"/>
      <c r="DZ1540" s="4"/>
      <c r="EA1540" s="4"/>
      <c r="EB1540" s="4"/>
      <c r="EC1540" s="4"/>
      <c r="ED1540" s="4"/>
      <c r="EE1540" s="4"/>
      <c r="EF1540" s="4"/>
      <c r="EG1540" s="4"/>
      <c r="EH1540" s="4"/>
      <c r="EI1540" s="4"/>
    </row>
    <row r="1541" spans="1:139" hidden="1" x14ac:dyDescent="0.2">
      <c r="A1541">
        <f>VLOOKUP(B1541,Sheet1!$A$1:$B$18,2,FALSE)</f>
        <v>0</v>
      </c>
      <c r="B1541" t="str">
        <f>LEFT(D1541,3)</f>
        <v>WKT</v>
      </c>
      <c r="C1541" s="2">
        <v>1540</v>
      </c>
      <c r="D1541" s="3" t="str">
        <f>HYPERLINK("https://sitebase.nzcomms.co.nz/spm/spmnominalview/WKT-021-030/","WKT-021-030")</f>
        <v>WKT-021-030</v>
      </c>
      <c r="E1541" s="4" t="s">
        <v>4614</v>
      </c>
      <c r="F1541" s="4"/>
      <c r="G1541" s="4"/>
      <c r="H1541" s="4" t="s">
        <v>4527</v>
      </c>
      <c r="I1541" s="4"/>
      <c r="J1541" s="4" t="s">
        <v>317</v>
      </c>
      <c r="K1541" s="4"/>
      <c r="L1541" s="4"/>
      <c r="M1541" s="4"/>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c r="AT1541" s="4"/>
      <c r="AU1541" s="4"/>
      <c r="AV1541" s="4"/>
      <c r="AW1541" s="4"/>
      <c r="AX1541" s="4"/>
      <c r="AY1541" s="4"/>
      <c r="AZ1541" s="4"/>
      <c r="BA1541" s="4"/>
      <c r="BB1541" s="4"/>
      <c r="BC1541" s="4"/>
      <c r="BD1541" s="4"/>
      <c r="BE1541" s="4"/>
      <c r="BF1541" s="4"/>
      <c r="BG1541" s="4"/>
      <c r="BH1541" s="4"/>
      <c r="BI1541" s="4"/>
      <c r="BJ1541" s="4"/>
      <c r="BK1541" s="4"/>
      <c r="BL1541" s="4"/>
      <c r="BM1541" s="4"/>
      <c r="BN1541" s="4"/>
      <c r="BO1541" s="4"/>
      <c r="BP1541" s="4"/>
      <c r="BQ1541" s="4"/>
      <c r="BR1541" s="4"/>
      <c r="BS1541" s="4"/>
      <c r="BT1541" s="4"/>
      <c r="BU1541" s="4"/>
      <c r="BV1541" s="4"/>
      <c r="BW1541" s="4"/>
      <c r="BX1541" s="4"/>
      <c r="BY1541" s="4"/>
      <c r="BZ1541" s="4"/>
      <c r="CA1541" s="4"/>
      <c r="CB1541" s="4"/>
      <c r="CC1541" s="4"/>
      <c r="CD1541" s="4"/>
      <c r="CE1541" s="4"/>
      <c r="CF1541" s="4"/>
      <c r="CG1541" s="4"/>
      <c r="CH1541" s="4"/>
      <c r="CI1541" s="4"/>
      <c r="CJ1541" s="4"/>
      <c r="CK1541" s="4"/>
      <c r="CL1541" s="4"/>
      <c r="CM1541" s="4"/>
      <c r="CN1541" s="4"/>
      <c r="CO1541" s="4"/>
      <c r="CP1541" s="4"/>
      <c r="CQ1541" s="4"/>
      <c r="CR1541" s="4"/>
      <c r="CS1541" s="4"/>
      <c r="CT1541" s="4"/>
      <c r="CU1541" s="4"/>
      <c r="CV1541" s="4"/>
      <c r="CW1541" s="4"/>
      <c r="CX1541" s="4"/>
      <c r="CY1541" s="4"/>
      <c r="CZ1541" s="4"/>
      <c r="DA1541" s="4"/>
      <c r="DB1541" s="4"/>
      <c r="DC1541" s="4"/>
      <c r="DD1541" s="4"/>
      <c r="DE1541" s="4"/>
      <c r="DF1541" s="4"/>
      <c r="DG1541" s="4"/>
      <c r="DH1541" s="4"/>
      <c r="DI1541" s="4"/>
      <c r="DJ1541" s="4"/>
      <c r="DK1541" s="4"/>
      <c r="DL1541" s="4"/>
      <c r="DM1541" s="4"/>
      <c r="DN1541" s="4"/>
      <c r="DO1541" s="4"/>
      <c r="DP1541" s="4"/>
      <c r="DQ1541" s="4"/>
      <c r="DR1541" s="4"/>
      <c r="DS1541" s="4"/>
      <c r="DT1541" s="4"/>
      <c r="DU1541" s="4"/>
      <c r="DV1541" s="4"/>
      <c r="DW1541" s="4"/>
      <c r="DX1541" s="4"/>
      <c r="DY1541" s="4"/>
      <c r="DZ1541" s="4"/>
      <c r="EA1541" s="4"/>
      <c r="EB1541" s="4"/>
      <c r="EC1541" s="4"/>
      <c r="ED1541" s="4"/>
      <c r="EE1541" s="4"/>
      <c r="EF1541" s="4"/>
      <c r="EG1541" s="4"/>
      <c r="EH1541" s="4"/>
      <c r="EI1541" s="4"/>
    </row>
    <row r="1542" spans="1:139" hidden="1" x14ac:dyDescent="0.2">
      <c r="A1542">
        <f>VLOOKUP(B1542,Sheet1!$A$1:$B$18,2,FALSE)</f>
        <v>0</v>
      </c>
      <c r="B1542" t="str">
        <f>LEFT(D1542,3)</f>
        <v>WLG</v>
      </c>
      <c r="C1542" s="2">
        <v>1541</v>
      </c>
      <c r="D1542" s="3" t="str">
        <f>HYPERLINK("https://sitebase.nzcomms.co.nz/spm/spmnominalview/WLG-043-001/","WLG-043-001")</f>
        <v>WLG-043-001</v>
      </c>
      <c r="E1542" s="4"/>
      <c r="F1542" s="3" t="str">
        <f>HYPERLINK("https://sitebase.nzcomms.co.nz/spm/spmcandidateview/WLG-043-001-A/","WLG-043-001-A")</f>
        <v>WLG-043-001-A</v>
      </c>
      <c r="G1542" s="4" t="s">
        <v>4615</v>
      </c>
      <c r="H1542" s="4" t="s">
        <v>4616</v>
      </c>
      <c r="I1542" s="4"/>
      <c r="J1542" s="4" t="s">
        <v>139</v>
      </c>
      <c r="K1542" s="4" t="s">
        <v>141</v>
      </c>
      <c r="L1542" s="4" t="s">
        <v>150</v>
      </c>
      <c r="M1542" s="4" t="s">
        <v>143</v>
      </c>
      <c r="N1542" s="4" t="s">
        <v>1986</v>
      </c>
      <c r="O1542" s="4" t="s">
        <v>144</v>
      </c>
      <c r="P1542" s="4"/>
      <c r="Q1542" s="4"/>
      <c r="R1542" s="4">
        <v>12.2</v>
      </c>
      <c r="S1542" s="4">
        <v>12.2</v>
      </c>
      <c r="T1542" s="4"/>
      <c r="U1542" s="4">
        <v>-40.989303409999998</v>
      </c>
      <c r="V1542" s="4">
        <v>174.95738205000001</v>
      </c>
      <c r="W1542" s="4"/>
      <c r="X1542" s="4"/>
      <c r="Y1542" s="4"/>
      <c r="Z1542" s="4"/>
      <c r="AA1542" s="4" t="s">
        <v>217</v>
      </c>
      <c r="AB1542" s="4" t="s">
        <v>4617</v>
      </c>
      <c r="AC1542" s="4"/>
      <c r="AD1542" s="4"/>
      <c r="AE1542" s="4"/>
      <c r="AF1542" s="4"/>
      <c r="AG1542" s="4"/>
      <c r="AH1542" s="4" t="s">
        <v>4618</v>
      </c>
      <c r="AI1542" s="4"/>
      <c r="AJ1542" s="4"/>
      <c r="AK1542" s="4"/>
      <c r="AL1542" s="4"/>
      <c r="AM1542" s="4"/>
      <c r="AN1542" s="5">
        <v>39694</v>
      </c>
      <c r="AO1542" s="4">
        <v>2</v>
      </c>
      <c r="AP1542" s="5">
        <v>39878</v>
      </c>
      <c r="AQ1542" s="5">
        <v>39875</v>
      </c>
      <c r="AR1542" s="4"/>
      <c r="AS1542" s="4"/>
      <c r="AT1542" s="5">
        <v>39752</v>
      </c>
      <c r="AU1542" s="5">
        <v>39724</v>
      </c>
      <c r="AV1542" s="4">
        <v>2</v>
      </c>
      <c r="AW1542" s="5">
        <v>39933</v>
      </c>
      <c r="AX1542" s="5">
        <v>39931</v>
      </c>
      <c r="AY1542" s="4"/>
      <c r="AZ1542" s="5">
        <v>39874</v>
      </c>
      <c r="BA1542" s="4"/>
      <c r="BB1542" s="5">
        <v>39909</v>
      </c>
      <c r="BC1542" s="4"/>
      <c r="BD1542" s="4"/>
      <c r="BE1542" s="5">
        <v>39935</v>
      </c>
      <c r="BF1542" s="5">
        <v>39905</v>
      </c>
      <c r="BG1542" s="4"/>
      <c r="BH1542" s="5">
        <v>39764</v>
      </c>
      <c r="BI1542" s="4"/>
      <c r="BJ1542" s="5">
        <v>39931</v>
      </c>
      <c r="BK1542" s="4">
        <v>1</v>
      </c>
      <c r="BL1542" s="4">
        <v>1</v>
      </c>
      <c r="BM1542" s="5">
        <v>39931</v>
      </c>
      <c r="BN1542" s="5">
        <v>39931</v>
      </c>
      <c r="BO1542" s="4"/>
      <c r="BP1542" s="4"/>
      <c r="BQ1542" s="4"/>
      <c r="BR1542" s="4"/>
      <c r="BS1542" s="4"/>
      <c r="BT1542" s="5">
        <v>39948</v>
      </c>
      <c r="BU1542" s="5">
        <v>39944</v>
      </c>
      <c r="BV1542" s="5">
        <v>39987</v>
      </c>
      <c r="BW1542" s="5">
        <v>39983</v>
      </c>
      <c r="BX1542" s="4"/>
      <c r="BY1542" s="5">
        <v>39994</v>
      </c>
      <c r="BZ1542" s="5">
        <v>39993</v>
      </c>
      <c r="CA1542" s="4"/>
      <c r="CB1542" s="4"/>
      <c r="CC1542" s="4"/>
      <c r="CD1542" s="4"/>
      <c r="CE1542" s="4"/>
      <c r="CF1542" s="4"/>
      <c r="CG1542" s="4"/>
      <c r="CH1542" s="4"/>
      <c r="CI1542" s="5">
        <v>39994</v>
      </c>
      <c r="CJ1542" s="5">
        <v>39994</v>
      </c>
      <c r="CK1542" s="5">
        <v>39994</v>
      </c>
      <c r="CL1542" s="4"/>
      <c r="CM1542" s="4"/>
      <c r="CN1542" s="4"/>
      <c r="CO1542" s="4"/>
      <c r="CP1542" s="4" t="s">
        <v>4619</v>
      </c>
      <c r="CQ1542" s="4"/>
      <c r="CR1542" s="5">
        <v>39994</v>
      </c>
      <c r="CS1542" s="4"/>
      <c r="CT1542" s="4"/>
      <c r="CU1542" s="4"/>
      <c r="CV1542" s="4"/>
      <c r="CW1542" s="4"/>
      <c r="CX1542" s="4"/>
      <c r="CY1542" s="4"/>
      <c r="CZ1542" s="4"/>
      <c r="DA1542" s="4"/>
      <c r="DB1542" s="4"/>
      <c r="DC1542" s="4"/>
      <c r="DD1542" s="4"/>
      <c r="DE1542" s="4"/>
      <c r="DF1542" s="4"/>
      <c r="DG1542" s="4"/>
      <c r="DH1542" s="4"/>
      <c r="DI1542" s="4"/>
      <c r="DJ1542" s="4" t="b">
        <v>0</v>
      </c>
      <c r="DK1542" s="4"/>
      <c r="DL1542" s="4">
        <v>2674669</v>
      </c>
      <c r="DM1542" s="4">
        <v>6022300</v>
      </c>
      <c r="DN1542" s="4" t="s">
        <v>4620</v>
      </c>
      <c r="DO1542" s="4"/>
      <c r="DP1542" s="4"/>
      <c r="DQ1542" s="4" t="s">
        <v>148</v>
      </c>
      <c r="DR1542" s="4"/>
      <c r="DS1542" s="4"/>
      <c r="DT1542" s="4"/>
      <c r="DU1542" s="4"/>
      <c r="DV1542" s="4"/>
      <c r="DW1542" s="4"/>
      <c r="DX1542" s="4"/>
      <c r="DY1542" s="5">
        <v>39944</v>
      </c>
      <c r="DZ1542" s="5">
        <v>39944</v>
      </c>
      <c r="EA1542" s="4"/>
      <c r="EB1542" s="4"/>
      <c r="EC1542" s="4"/>
      <c r="ED1542" s="4"/>
      <c r="EE1542" s="4"/>
      <c r="EF1542" s="4"/>
      <c r="EG1542" s="4"/>
      <c r="EH1542" s="4"/>
      <c r="EI1542" s="5">
        <v>39672</v>
      </c>
    </row>
    <row r="1543" spans="1:139" hidden="1" x14ac:dyDescent="0.2">
      <c r="A1543">
        <f>VLOOKUP(B1543,Sheet1!$A$1:$B$18,2,FALSE)</f>
        <v>0</v>
      </c>
      <c r="B1543" t="str">
        <f>LEFT(D1543,3)</f>
        <v>WLG</v>
      </c>
      <c r="C1543" s="2">
        <v>1542</v>
      </c>
      <c r="D1543" s="3" t="str">
        <f>HYPERLINK("https://sitebase.nzcomms.co.nz/spm/spmnominalview/WLG-043-002/","WLG-043-002")</f>
        <v>WLG-043-002</v>
      </c>
      <c r="E1543" s="4"/>
      <c r="F1543" s="3" t="str">
        <f>HYPERLINK("https://sitebase.nzcomms.co.nz/spm/spmcandidateview/WLG-043-002-C/","WLG-043-002-C")</f>
        <v>WLG-043-002-C</v>
      </c>
      <c r="G1543" s="4" t="s">
        <v>4621</v>
      </c>
      <c r="H1543" s="4" t="s">
        <v>4616</v>
      </c>
      <c r="I1543" s="4"/>
      <c r="J1543" s="4" t="s">
        <v>139</v>
      </c>
      <c r="K1543" s="4" t="s">
        <v>141</v>
      </c>
      <c r="L1543" s="4" t="s">
        <v>150</v>
      </c>
      <c r="M1543" s="4" t="s">
        <v>143</v>
      </c>
      <c r="N1543" s="4" t="s">
        <v>612</v>
      </c>
      <c r="O1543" s="4" t="s">
        <v>356</v>
      </c>
      <c r="P1543" s="4"/>
      <c r="Q1543" s="4"/>
      <c r="R1543" s="4">
        <v>12.6</v>
      </c>
      <c r="S1543" s="4">
        <v>12.6</v>
      </c>
      <c r="T1543" s="4"/>
      <c r="U1543" s="4">
        <v>-40.893666140000001</v>
      </c>
      <c r="V1543" s="4">
        <v>174.98080060999999</v>
      </c>
      <c r="W1543" s="4"/>
      <c r="X1543" s="4"/>
      <c r="Y1543" s="4"/>
      <c r="Z1543" s="4"/>
      <c r="AA1543" s="4" t="s">
        <v>217</v>
      </c>
      <c r="AB1543" s="4" t="s">
        <v>4622</v>
      </c>
      <c r="AC1543" s="4"/>
      <c r="AD1543" s="4"/>
      <c r="AE1543" s="4"/>
      <c r="AF1543" s="4"/>
      <c r="AG1543" s="4"/>
      <c r="AH1543" s="4" t="s">
        <v>4623</v>
      </c>
      <c r="AI1543" s="4"/>
      <c r="AJ1543" s="4"/>
      <c r="AK1543" s="4"/>
      <c r="AL1543" s="4"/>
      <c r="AM1543" s="4"/>
      <c r="AN1543" s="5">
        <v>39800</v>
      </c>
      <c r="AO1543" s="4">
        <v>3</v>
      </c>
      <c r="AP1543" s="4"/>
      <c r="AQ1543" s="5">
        <v>39853</v>
      </c>
      <c r="AR1543" s="4"/>
      <c r="AS1543" s="4"/>
      <c r="AT1543" s="5">
        <v>39843</v>
      </c>
      <c r="AU1543" s="5">
        <v>39829</v>
      </c>
      <c r="AV1543" s="4">
        <v>1</v>
      </c>
      <c r="AW1543" s="5">
        <v>39843</v>
      </c>
      <c r="AX1543" s="5">
        <v>39829</v>
      </c>
      <c r="AY1543" s="4"/>
      <c r="AZ1543" s="4"/>
      <c r="BA1543" s="4"/>
      <c r="BB1543" s="5">
        <v>39933</v>
      </c>
      <c r="BC1543" s="4"/>
      <c r="BD1543" s="4"/>
      <c r="BE1543" s="5">
        <v>39933</v>
      </c>
      <c r="BF1543" s="5">
        <v>39905</v>
      </c>
      <c r="BG1543" s="4"/>
      <c r="BH1543" s="5">
        <v>39846</v>
      </c>
      <c r="BI1543" s="4"/>
      <c r="BJ1543" s="5">
        <v>39940</v>
      </c>
      <c r="BK1543" s="4">
        <v>1</v>
      </c>
      <c r="BL1543" s="4">
        <v>2</v>
      </c>
      <c r="BM1543" s="5">
        <v>39938</v>
      </c>
      <c r="BN1543" s="5">
        <v>39940</v>
      </c>
      <c r="BO1543" s="4"/>
      <c r="BP1543" s="4"/>
      <c r="BQ1543" s="4"/>
      <c r="BR1543" s="4"/>
      <c r="BS1543" s="4"/>
      <c r="BT1543" s="5">
        <v>39953</v>
      </c>
      <c r="BU1543" s="5">
        <v>39951</v>
      </c>
      <c r="BV1543" s="5">
        <v>39979</v>
      </c>
      <c r="BW1543" s="5">
        <v>39979</v>
      </c>
      <c r="BX1543" s="4"/>
      <c r="BY1543" s="5">
        <v>39989</v>
      </c>
      <c r="BZ1543" s="5">
        <v>39979</v>
      </c>
      <c r="CA1543" s="4"/>
      <c r="CB1543" s="4"/>
      <c r="CC1543" s="4"/>
      <c r="CD1543" s="4"/>
      <c r="CE1543" s="4"/>
      <c r="CF1543" s="4"/>
      <c r="CG1543" s="4"/>
      <c r="CH1543" s="4"/>
      <c r="CI1543" s="5">
        <v>39994</v>
      </c>
      <c r="CJ1543" s="5">
        <v>39994</v>
      </c>
      <c r="CK1543" s="5">
        <v>39994</v>
      </c>
      <c r="CL1543" s="4"/>
      <c r="CM1543" s="4"/>
      <c r="CN1543" s="4"/>
      <c r="CO1543" s="4"/>
      <c r="CP1543" s="4" t="s">
        <v>4624</v>
      </c>
      <c r="CQ1543" s="4"/>
      <c r="CR1543" s="5">
        <v>39994</v>
      </c>
      <c r="CS1543" s="4"/>
      <c r="CT1543" s="4"/>
      <c r="CU1543" s="4"/>
      <c r="CV1543" s="4"/>
      <c r="CW1543" s="4"/>
      <c r="CX1543" s="4"/>
      <c r="CY1543" s="4"/>
      <c r="CZ1543" s="4"/>
      <c r="DA1543" s="4"/>
      <c r="DB1543" s="4"/>
      <c r="DC1543" s="4"/>
      <c r="DD1543" s="4"/>
      <c r="DE1543" s="4"/>
      <c r="DF1543" s="4"/>
      <c r="DG1543" s="4"/>
      <c r="DH1543" s="4"/>
      <c r="DI1543" s="4"/>
      <c r="DJ1543" s="4" t="b">
        <v>0</v>
      </c>
      <c r="DK1543" s="4"/>
      <c r="DL1543" s="4">
        <v>2676879</v>
      </c>
      <c r="DM1543" s="4">
        <v>6032873</v>
      </c>
      <c r="DN1543" s="4" t="s">
        <v>4625</v>
      </c>
      <c r="DO1543" s="4"/>
      <c r="DP1543" s="4"/>
      <c r="DQ1543" s="4" t="s">
        <v>148</v>
      </c>
      <c r="DR1543" s="4"/>
      <c r="DS1543" s="4"/>
      <c r="DT1543" s="5">
        <v>42335</v>
      </c>
      <c r="DU1543" s="4"/>
      <c r="DV1543" s="4"/>
      <c r="DW1543" s="4"/>
      <c r="DX1543" s="4"/>
      <c r="DY1543" s="5">
        <v>39951</v>
      </c>
      <c r="DZ1543" s="5">
        <v>39947</v>
      </c>
      <c r="EA1543" s="4"/>
      <c r="EB1543" s="4"/>
      <c r="EC1543" s="4"/>
      <c r="ED1543" s="4"/>
      <c r="EE1543" s="4"/>
      <c r="EF1543" s="4"/>
      <c r="EG1543" s="4"/>
      <c r="EH1543" s="4"/>
      <c r="EI1543" s="5">
        <v>39764</v>
      </c>
    </row>
    <row r="1544" spans="1:139" hidden="1" x14ac:dyDescent="0.2">
      <c r="A1544">
        <f>VLOOKUP(B1544,Sheet1!$A$1:$B$18,2,FALSE)</f>
        <v>0</v>
      </c>
      <c r="B1544" t="str">
        <f>LEFT(D1544,3)</f>
        <v>WLG</v>
      </c>
      <c r="C1544" s="2">
        <v>1543</v>
      </c>
      <c r="D1544" s="3" t="str">
        <f>HYPERLINK("https://sitebase.nzcomms.co.nz/spm/spmnominalview/WLG-043-003/","WLG-043-003")</f>
        <v>WLG-043-003</v>
      </c>
      <c r="E1544" s="4"/>
      <c r="F1544" s="3" t="str">
        <f>HYPERLINK("https://sitebase.nzcomms.co.nz/spm/spmcandidateview/WLG-043-003-A/","WLG-043-003-A")</f>
        <v>WLG-043-003-A</v>
      </c>
      <c r="G1544" s="4" t="s">
        <v>4626</v>
      </c>
      <c r="H1544" s="4" t="s">
        <v>4616</v>
      </c>
      <c r="I1544" s="4"/>
      <c r="J1544" s="4" t="s">
        <v>139</v>
      </c>
      <c r="K1544" s="4" t="s">
        <v>141</v>
      </c>
      <c r="L1544" s="4" t="s">
        <v>150</v>
      </c>
      <c r="M1544" s="4" t="s">
        <v>143</v>
      </c>
      <c r="N1544" s="4" t="s">
        <v>151</v>
      </c>
      <c r="O1544" s="4" t="s">
        <v>356</v>
      </c>
      <c r="P1544" s="4"/>
      <c r="Q1544" s="4"/>
      <c r="R1544" s="4">
        <v>23.8</v>
      </c>
      <c r="S1544" s="4">
        <v>23.8</v>
      </c>
      <c r="T1544" s="4"/>
      <c r="U1544" s="4">
        <v>-40.920585119999998</v>
      </c>
      <c r="V1544" s="4">
        <v>175.00616063999999</v>
      </c>
      <c r="W1544" s="4"/>
      <c r="X1544" s="4"/>
      <c r="Y1544" s="4"/>
      <c r="Z1544" s="4"/>
      <c r="AA1544" s="4"/>
      <c r="AB1544" s="4"/>
      <c r="AC1544" s="4" t="b">
        <v>0</v>
      </c>
      <c r="AD1544" s="4" t="b">
        <v>0</v>
      </c>
      <c r="AE1544" s="4"/>
      <c r="AF1544" s="4"/>
      <c r="AG1544" s="4" t="b">
        <v>0</v>
      </c>
      <c r="AH1544" s="4"/>
      <c r="AI1544" s="4"/>
      <c r="AJ1544" s="5">
        <v>39672</v>
      </c>
      <c r="AK1544" s="4"/>
      <c r="AL1544" s="4"/>
      <c r="AM1544" s="4"/>
      <c r="AN1544" s="5">
        <v>39694</v>
      </c>
      <c r="AO1544" s="4">
        <v>6</v>
      </c>
      <c r="AP1544" s="4"/>
      <c r="AQ1544" s="5">
        <v>42254</v>
      </c>
      <c r="AR1544" s="4"/>
      <c r="AS1544" s="4"/>
      <c r="AT1544" s="5">
        <v>40011</v>
      </c>
      <c r="AU1544" s="5">
        <v>40011</v>
      </c>
      <c r="AV1544" s="4"/>
      <c r="AW1544" s="5">
        <v>40011</v>
      </c>
      <c r="AX1544" s="5">
        <v>40011</v>
      </c>
      <c r="AY1544" s="4"/>
      <c r="AZ1544" s="5">
        <v>39871</v>
      </c>
      <c r="BA1544" s="4"/>
      <c r="BB1544" s="5">
        <v>39933</v>
      </c>
      <c r="BC1544" s="4"/>
      <c r="BD1544" s="4"/>
      <c r="BE1544" s="5">
        <v>39933</v>
      </c>
      <c r="BF1544" s="4"/>
      <c r="BG1544" s="5">
        <v>39924</v>
      </c>
      <c r="BH1544" s="5">
        <v>39930</v>
      </c>
      <c r="BI1544" s="4"/>
      <c r="BJ1544" s="5">
        <v>39931</v>
      </c>
      <c r="BK1544" s="4">
        <v>1</v>
      </c>
      <c r="BL1544" s="4">
        <v>4</v>
      </c>
      <c r="BM1544" s="5">
        <v>39948</v>
      </c>
      <c r="BN1544" s="5">
        <v>39931</v>
      </c>
      <c r="BO1544" s="5">
        <v>39846</v>
      </c>
      <c r="BP1544" s="4"/>
      <c r="BQ1544" s="4"/>
      <c r="BR1544" s="4"/>
      <c r="BS1544" s="4"/>
      <c r="BT1544" s="5">
        <v>40014</v>
      </c>
      <c r="BU1544" s="5">
        <v>40014</v>
      </c>
      <c r="BV1544" s="5">
        <v>40045</v>
      </c>
      <c r="BW1544" s="5">
        <v>40028</v>
      </c>
      <c r="BX1544" s="4"/>
      <c r="BY1544" s="5">
        <v>40046</v>
      </c>
      <c r="BZ1544" s="5">
        <v>40030</v>
      </c>
      <c r="CA1544" s="4"/>
      <c r="CB1544" s="4"/>
      <c r="CC1544" s="4"/>
      <c r="CD1544" s="4"/>
      <c r="CE1544" s="4"/>
      <c r="CF1544" s="4"/>
      <c r="CG1544" s="4"/>
      <c r="CH1544" s="4"/>
      <c r="CI1544" s="5">
        <v>40030</v>
      </c>
      <c r="CJ1544" s="5">
        <v>40055</v>
      </c>
      <c r="CK1544" s="5">
        <v>40030</v>
      </c>
      <c r="CL1544" s="4"/>
      <c r="CM1544" s="4"/>
      <c r="CN1544" s="4"/>
      <c r="CO1544" s="4"/>
      <c r="CP1544" s="4" t="s">
        <v>4627</v>
      </c>
      <c r="CQ1544" s="4"/>
      <c r="CR1544" s="5">
        <v>40055</v>
      </c>
      <c r="CS1544" s="4"/>
      <c r="CT1544" s="4"/>
      <c r="CU1544" s="4"/>
      <c r="CV1544" s="4"/>
      <c r="CW1544" s="4"/>
      <c r="CX1544" s="5">
        <v>39846</v>
      </c>
      <c r="CY1544" s="4"/>
      <c r="CZ1544" s="4"/>
      <c r="DA1544" s="4"/>
      <c r="DB1544" s="4"/>
      <c r="DC1544" s="4"/>
      <c r="DD1544" s="4"/>
      <c r="DE1544" s="4"/>
      <c r="DF1544" s="4"/>
      <c r="DG1544" s="4"/>
      <c r="DH1544" s="4"/>
      <c r="DI1544" s="4"/>
      <c r="DJ1544" s="4" t="b">
        <v>0</v>
      </c>
      <c r="DK1544" s="4"/>
      <c r="DL1544" s="4">
        <v>2678947</v>
      </c>
      <c r="DM1544" s="4">
        <v>6029836</v>
      </c>
      <c r="DN1544" s="4" t="s">
        <v>4628</v>
      </c>
      <c r="DO1544" s="4"/>
      <c r="DP1544" s="4"/>
      <c r="DQ1544" s="4" t="s">
        <v>148</v>
      </c>
      <c r="DR1544" s="4"/>
      <c r="DS1544" s="4"/>
      <c r="DT1544" s="5">
        <v>42292</v>
      </c>
      <c r="DU1544" s="4"/>
      <c r="DV1544" s="4"/>
      <c r="DW1544" s="4"/>
      <c r="DX1544" s="4"/>
      <c r="DY1544" s="5">
        <v>40014</v>
      </c>
      <c r="DZ1544" s="5">
        <v>40011</v>
      </c>
      <c r="EA1544" s="4"/>
      <c r="EB1544" s="4"/>
      <c r="EC1544" s="4"/>
      <c r="ED1544" s="4"/>
      <c r="EE1544" s="4"/>
      <c r="EF1544" s="4"/>
      <c r="EG1544" s="4"/>
      <c r="EH1544" s="4"/>
      <c r="EI1544" s="5">
        <v>39674</v>
      </c>
    </row>
    <row r="1545" spans="1:139" hidden="1" x14ac:dyDescent="0.2">
      <c r="A1545">
        <f>VLOOKUP(B1545,Sheet1!$A$1:$B$18,2,FALSE)</f>
        <v>0</v>
      </c>
      <c r="B1545" t="str">
        <f>LEFT(D1545,3)</f>
        <v>WLG</v>
      </c>
      <c r="C1545" s="2">
        <v>1544</v>
      </c>
      <c r="D1545" s="3" t="str">
        <f>HYPERLINK("https://sitebase.nzcomms.co.nz/spm/spmnominalview/WLG-043-004/","WLG-043-004")</f>
        <v>WLG-043-004</v>
      </c>
      <c r="E1545" s="4"/>
      <c r="F1545" s="3" t="str">
        <f>HYPERLINK("https://sitebase.nzcomms.co.nz/spm/spmcandidateview/WLG-043-004-C/","WLG-043-004-C")</f>
        <v>WLG-043-004-C</v>
      </c>
      <c r="G1545" s="4" t="s">
        <v>4629</v>
      </c>
      <c r="H1545" s="4" t="s">
        <v>4616</v>
      </c>
      <c r="I1545" s="4"/>
      <c r="J1545" s="4" t="s">
        <v>139</v>
      </c>
      <c r="K1545" s="4" t="s">
        <v>141</v>
      </c>
      <c r="L1545" s="4" t="s">
        <v>150</v>
      </c>
      <c r="M1545" s="4" t="s">
        <v>143</v>
      </c>
      <c r="N1545" s="4" t="s">
        <v>291</v>
      </c>
      <c r="O1545" s="4" t="s">
        <v>144</v>
      </c>
      <c r="P1545" s="4"/>
      <c r="Q1545" s="4"/>
      <c r="R1545" s="4">
        <v>13.8</v>
      </c>
      <c r="S1545" s="4">
        <v>13.8</v>
      </c>
      <c r="T1545" s="4"/>
      <c r="U1545" s="4">
        <v>-40.87384651</v>
      </c>
      <c r="V1545" s="4">
        <v>175.06526144</v>
      </c>
      <c r="W1545" s="4"/>
      <c r="X1545" s="4"/>
      <c r="Y1545" s="4"/>
      <c r="Z1545" s="4"/>
      <c r="AA1545" s="4"/>
      <c r="AB1545" s="4"/>
      <c r="AC1545" s="4"/>
      <c r="AD1545" s="4"/>
      <c r="AE1545" s="4"/>
      <c r="AF1545" s="4"/>
      <c r="AG1545" s="4"/>
      <c r="AH1545" s="4"/>
      <c r="AI1545" s="4"/>
      <c r="AJ1545" s="4"/>
      <c r="AK1545" s="4"/>
      <c r="AL1545" s="4"/>
      <c r="AM1545" s="4"/>
      <c r="AN1545" s="5">
        <v>39800</v>
      </c>
      <c r="AO1545" s="4">
        <v>1</v>
      </c>
      <c r="AP1545" s="4"/>
      <c r="AQ1545" s="5">
        <v>39800</v>
      </c>
      <c r="AR1545" s="4"/>
      <c r="AS1545" s="4"/>
      <c r="AT1545" s="5">
        <v>39844</v>
      </c>
      <c r="AU1545" s="5">
        <v>39842</v>
      </c>
      <c r="AV1545" s="4">
        <v>1</v>
      </c>
      <c r="AW1545" s="5">
        <v>39844</v>
      </c>
      <c r="AX1545" s="5">
        <v>39844</v>
      </c>
      <c r="AY1545" s="4"/>
      <c r="AZ1545" s="4"/>
      <c r="BA1545" s="4"/>
      <c r="BB1545" s="5">
        <v>39933</v>
      </c>
      <c r="BC1545" s="4"/>
      <c r="BD1545" s="4"/>
      <c r="BE1545" s="5">
        <v>39933</v>
      </c>
      <c r="BF1545" s="5">
        <v>39905</v>
      </c>
      <c r="BG1545" s="5">
        <v>39882</v>
      </c>
      <c r="BH1545" s="5">
        <v>39874</v>
      </c>
      <c r="BI1545" s="4"/>
      <c r="BJ1545" s="5">
        <v>39931</v>
      </c>
      <c r="BK1545" s="4">
        <v>1</v>
      </c>
      <c r="BL1545" s="4">
        <v>1</v>
      </c>
      <c r="BM1545" s="5">
        <v>39931</v>
      </c>
      <c r="BN1545" s="5">
        <v>39931</v>
      </c>
      <c r="BO1545" s="5">
        <v>39924</v>
      </c>
      <c r="BP1545" s="4"/>
      <c r="BQ1545" s="4"/>
      <c r="BR1545" s="4"/>
      <c r="BS1545" s="4"/>
      <c r="BT1545" s="5">
        <v>39948</v>
      </c>
      <c r="BU1545" s="5">
        <v>39947</v>
      </c>
      <c r="BV1545" s="5">
        <v>39963</v>
      </c>
      <c r="BW1545" s="5">
        <v>39963</v>
      </c>
      <c r="BX1545" s="4"/>
      <c r="BY1545" s="5">
        <v>39969</v>
      </c>
      <c r="BZ1545" s="5">
        <v>39963</v>
      </c>
      <c r="CA1545" s="4"/>
      <c r="CB1545" s="4"/>
      <c r="CC1545" s="4"/>
      <c r="CD1545" s="4"/>
      <c r="CE1545" s="4"/>
      <c r="CF1545" s="4"/>
      <c r="CG1545" s="4"/>
      <c r="CH1545" s="4"/>
      <c r="CI1545" s="5">
        <v>40021</v>
      </c>
      <c r="CJ1545" s="5">
        <v>40021</v>
      </c>
      <c r="CK1545" s="5">
        <v>40021</v>
      </c>
      <c r="CL1545" s="4"/>
      <c r="CM1545" s="4"/>
      <c r="CN1545" s="4"/>
      <c r="CO1545" s="4"/>
      <c r="CP1545" s="4" t="s">
        <v>4630</v>
      </c>
      <c r="CQ1545" s="4"/>
      <c r="CR1545" s="5">
        <v>40021</v>
      </c>
      <c r="CS1545" s="4"/>
      <c r="CT1545" s="4"/>
      <c r="CU1545" s="4"/>
      <c r="CV1545" s="4"/>
      <c r="CW1545" s="5">
        <v>39925</v>
      </c>
      <c r="CX1545" s="5">
        <v>39924</v>
      </c>
      <c r="CY1545" s="4"/>
      <c r="CZ1545" s="4"/>
      <c r="DA1545" s="4"/>
      <c r="DB1545" s="4"/>
      <c r="DC1545" s="4"/>
      <c r="DD1545" s="4"/>
      <c r="DE1545" s="4"/>
      <c r="DF1545" s="4"/>
      <c r="DG1545" s="4"/>
      <c r="DH1545" s="4"/>
      <c r="DI1545" s="4"/>
      <c r="DJ1545" s="4" t="b">
        <v>0</v>
      </c>
      <c r="DK1545" s="4"/>
      <c r="DL1545" s="4">
        <v>2684046</v>
      </c>
      <c r="DM1545" s="4">
        <v>6034909</v>
      </c>
      <c r="DN1545" s="4" t="s">
        <v>4631</v>
      </c>
      <c r="DO1545" s="4"/>
      <c r="DP1545" s="4"/>
      <c r="DQ1545" s="4" t="s">
        <v>148</v>
      </c>
      <c r="DR1545" s="4"/>
      <c r="DS1545" s="4"/>
      <c r="DT1545" s="4"/>
      <c r="DU1545" s="4"/>
      <c r="DV1545" s="4"/>
      <c r="DW1545" s="4"/>
      <c r="DX1545" s="4"/>
      <c r="DY1545" s="5">
        <v>39947</v>
      </c>
      <c r="DZ1545" s="5">
        <v>39947</v>
      </c>
      <c r="EA1545" s="4"/>
      <c r="EB1545" s="4"/>
      <c r="EC1545" s="4"/>
      <c r="ED1545" s="4"/>
      <c r="EE1545" s="4"/>
      <c r="EF1545" s="4"/>
      <c r="EG1545" s="4"/>
      <c r="EH1545" s="4"/>
      <c r="EI1545" s="5">
        <v>39765</v>
      </c>
    </row>
    <row r="1546" spans="1:139" hidden="1" x14ac:dyDescent="0.2">
      <c r="A1546">
        <f>VLOOKUP(B1546,Sheet1!$A$1:$B$18,2,FALSE)</f>
        <v>0</v>
      </c>
      <c r="B1546" t="str">
        <f>LEFT(D1546,3)</f>
        <v>WLG</v>
      </c>
      <c r="C1546" s="2">
        <v>1545</v>
      </c>
      <c r="D1546" s="3" t="str">
        <f>HYPERLINK("https://sitebase.nzcomms.co.nz/spm/spmnominalview/WLG-043-005/","WLG-043-005")</f>
        <v>WLG-043-005</v>
      </c>
      <c r="E1546" s="4"/>
      <c r="F1546" s="3" t="str">
        <f>HYPERLINK("https://sitebase.nzcomms.co.nz/spm/spmcandidateview/WLG-043-005-A/","WLG-043-005-A")</f>
        <v>WLG-043-005-A</v>
      </c>
      <c r="G1546" s="4" t="s">
        <v>4632</v>
      </c>
      <c r="H1546" s="4" t="s">
        <v>4616</v>
      </c>
      <c r="I1546" s="4">
        <v>7</v>
      </c>
      <c r="J1546" s="4" t="s">
        <v>139</v>
      </c>
      <c r="K1546" s="4" t="s">
        <v>141</v>
      </c>
      <c r="L1546" s="4" t="s">
        <v>150</v>
      </c>
      <c r="M1546" s="4" t="s">
        <v>143</v>
      </c>
      <c r="N1546" s="4" t="s">
        <v>1986</v>
      </c>
      <c r="O1546" s="4" t="s">
        <v>144</v>
      </c>
      <c r="P1546" s="4"/>
      <c r="Q1546" s="4" t="s">
        <v>170</v>
      </c>
      <c r="R1546" s="4">
        <v>22</v>
      </c>
      <c r="S1546" s="4">
        <v>22</v>
      </c>
      <c r="T1546" s="4"/>
      <c r="U1546" s="4">
        <v>-40.844012210000002</v>
      </c>
      <c r="V1546" s="4">
        <v>175.10317194000001</v>
      </c>
      <c r="W1546" s="4"/>
      <c r="X1546" s="4"/>
      <c r="Y1546" s="4"/>
      <c r="Z1546" s="4"/>
      <c r="AA1546" s="4" t="s">
        <v>171</v>
      </c>
      <c r="AB1546" s="3" t="str">
        <f>HYPERLINK("https://sitebase.nzcomms.co.nz/spm/spmcandidateview/WLG-043-004-C/","WLG-043-004-C")</f>
        <v>WLG-043-004-C</v>
      </c>
      <c r="AC1546" s="4" t="b">
        <v>0</v>
      </c>
      <c r="AD1546" s="4" t="b">
        <v>0</v>
      </c>
      <c r="AE1546" s="4"/>
      <c r="AF1546" s="4"/>
      <c r="AG1546" s="4" t="b">
        <v>0</v>
      </c>
      <c r="AH1546" s="4"/>
      <c r="AI1546" s="4"/>
      <c r="AJ1546" s="4"/>
      <c r="AK1546" s="4"/>
      <c r="AL1546" s="4"/>
      <c r="AM1546" s="4"/>
      <c r="AN1546" s="5">
        <v>39794</v>
      </c>
      <c r="AO1546" s="4">
        <v>8</v>
      </c>
      <c r="AP1546" s="5">
        <v>40935</v>
      </c>
      <c r="AQ1546" s="5">
        <v>41618</v>
      </c>
      <c r="AR1546" s="4"/>
      <c r="AS1546" s="4"/>
      <c r="AT1546" s="5">
        <v>39834</v>
      </c>
      <c r="AU1546" s="5">
        <v>39834</v>
      </c>
      <c r="AV1546" s="4">
        <v>1</v>
      </c>
      <c r="AW1546" s="5">
        <v>41023</v>
      </c>
      <c r="AX1546" s="5">
        <v>41018</v>
      </c>
      <c r="AY1546" s="4" t="s">
        <v>172</v>
      </c>
      <c r="AZ1546" s="5">
        <v>40939</v>
      </c>
      <c r="BA1546" s="5">
        <v>40949</v>
      </c>
      <c r="BB1546" s="5">
        <v>40981</v>
      </c>
      <c r="BC1546" s="5">
        <v>40983</v>
      </c>
      <c r="BD1546" s="4">
        <v>7</v>
      </c>
      <c r="BE1546" s="5">
        <v>40991</v>
      </c>
      <c r="BF1546" s="5">
        <v>40983</v>
      </c>
      <c r="BG1546" s="4"/>
      <c r="BH1546" s="5">
        <v>39839</v>
      </c>
      <c r="BI1546" s="5">
        <v>39959</v>
      </c>
      <c r="BJ1546" s="5">
        <v>39959</v>
      </c>
      <c r="BK1546" s="4">
        <v>3</v>
      </c>
      <c r="BL1546" s="4"/>
      <c r="BM1546" s="5">
        <v>39959</v>
      </c>
      <c r="BN1546" s="5">
        <v>40984</v>
      </c>
      <c r="BO1546" s="4"/>
      <c r="BP1546" s="4"/>
      <c r="BQ1546" s="4"/>
      <c r="BR1546" s="4"/>
      <c r="BS1546" s="4"/>
      <c r="BT1546" s="5">
        <v>39974</v>
      </c>
      <c r="BU1546" s="5">
        <v>39972</v>
      </c>
      <c r="BV1546" s="5">
        <v>39994</v>
      </c>
      <c r="BW1546" s="5">
        <v>39993</v>
      </c>
      <c r="BX1546" s="4"/>
      <c r="BY1546" s="5">
        <v>40021</v>
      </c>
      <c r="BZ1546" s="5">
        <v>40021</v>
      </c>
      <c r="CA1546" s="4"/>
      <c r="CB1546" s="4"/>
      <c r="CC1546" s="4"/>
      <c r="CD1546" s="4"/>
      <c r="CE1546" s="4"/>
      <c r="CF1546" s="4"/>
      <c r="CG1546" s="4"/>
      <c r="CH1546" s="4"/>
      <c r="CI1546" s="5">
        <v>40021</v>
      </c>
      <c r="CJ1546" s="5">
        <v>40021</v>
      </c>
      <c r="CK1546" s="5">
        <v>40021</v>
      </c>
      <c r="CL1546" s="4"/>
      <c r="CM1546" s="4"/>
      <c r="CN1546" s="4"/>
      <c r="CO1546" s="4"/>
      <c r="CP1546" s="4" t="s">
        <v>4633</v>
      </c>
      <c r="CQ1546" s="4"/>
      <c r="CR1546" s="5">
        <v>40021</v>
      </c>
      <c r="CS1546" s="4"/>
      <c r="CT1546" s="4"/>
      <c r="CU1546" s="4"/>
      <c r="CV1546" s="4"/>
      <c r="CW1546" s="4"/>
      <c r="CX1546" s="4"/>
      <c r="CY1546" s="4"/>
      <c r="CZ1546" s="4"/>
      <c r="DA1546" s="4"/>
      <c r="DB1546" s="4"/>
      <c r="DC1546" s="5">
        <v>40949</v>
      </c>
      <c r="DD1546" s="4" t="s">
        <v>586</v>
      </c>
      <c r="DE1546" s="4"/>
      <c r="DF1546" s="4"/>
      <c r="DG1546" s="4"/>
      <c r="DH1546" s="4"/>
      <c r="DI1546" s="4"/>
      <c r="DJ1546" s="4" t="b">
        <v>0</v>
      </c>
      <c r="DK1546" s="4"/>
      <c r="DL1546" s="4">
        <v>2687320</v>
      </c>
      <c r="DM1546" s="4">
        <v>6038145</v>
      </c>
      <c r="DN1546" s="4" t="s">
        <v>4634</v>
      </c>
      <c r="DO1546" s="4"/>
      <c r="DP1546" s="4" t="s">
        <v>4635</v>
      </c>
      <c r="DQ1546" s="4" t="s">
        <v>148</v>
      </c>
      <c r="DR1546" s="4"/>
      <c r="DS1546" s="4"/>
      <c r="DT1546" s="5">
        <v>42328</v>
      </c>
      <c r="DU1546" s="4"/>
      <c r="DV1546" s="4"/>
      <c r="DW1546" s="4"/>
      <c r="DX1546" s="4"/>
      <c r="DY1546" s="5">
        <v>39963</v>
      </c>
      <c r="DZ1546" s="5">
        <v>39960</v>
      </c>
      <c r="EA1546" s="4"/>
      <c r="EB1546" s="4"/>
      <c r="EC1546" s="4"/>
      <c r="ED1546" s="4"/>
      <c r="EE1546" s="4"/>
      <c r="EF1546" s="4"/>
      <c r="EG1546" s="4"/>
      <c r="EH1546" s="4"/>
      <c r="EI1546" s="5">
        <v>39730</v>
      </c>
    </row>
    <row r="1547" spans="1:139" hidden="1" x14ac:dyDescent="0.2">
      <c r="A1547">
        <f>VLOOKUP(B1547,Sheet1!$A$1:$B$18,2,FALSE)</f>
        <v>0</v>
      </c>
      <c r="B1547" t="str">
        <f>LEFT(D1547,3)</f>
        <v>WLG</v>
      </c>
      <c r="C1547" s="2">
        <v>1546</v>
      </c>
      <c r="D1547" s="3" t="str">
        <f>HYPERLINK("https://sitebase.nzcomms.co.nz/spm/spmnominalview/WLG-043-006/","WLG-043-006")</f>
        <v>WLG-043-006</v>
      </c>
      <c r="E1547" s="4" t="s">
        <v>4636</v>
      </c>
      <c r="F1547" s="3" t="str">
        <f>HYPERLINK("https://sitebase.nzcomms.co.nz/spm/spmcandidateview/WLG-043-006-A/","WLG-043-006-A")</f>
        <v>WLG-043-006-A</v>
      </c>
      <c r="G1547" s="4" t="s">
        <v>4637</v>
      </c>
      <c r="H1547" s="4" t="s">
        <v>4616</v>
      </c>
      <c r="I1547" s="4">
        <v>24</v>
      </c>
      <c r="J1547" s="4" t="s">
        <v>570</v>
      </c>
      <c r="K1547" s="4" t="s">
        <v>141</v>
      </c>
      <c r="L1547" s="4" t="s">
        <v>150</v>
      </c>
      <c r="M1547" s="4" t="s">
        <v>1193</v>
      </c>
      <c r="N1547" s="4" t="s">
        <v>269</v>
      </c>
      <c r="O1547" s="4"/>
      <c r="P1547" s="4"/>
      <c r="Q1547" s="4" t="s">
        <v>192</v>
      </c>
      <c r="R1547" s="4"/>
      <c r="S1547" s="4"/>
      <c r="T1547" s="4"/>
      <c r="U1547" s="4">
        <v>-40.904306890000001</v>
      </c>
      <c r="V1547" s="4">
        <v>175.00207233</v>
      </c>
      <c r="W1547" s="4"/>
      <c r="X1547" s="5">
        <v>41963</v>
      </c>
      <c r="Y1547" s="4"/>
      <c r="Z1547" s="5">
        <v>42125</v>
      </c>
      <c r="AA1547" s="4" t="s">
        <v>152</v>
      </c>
      <c r="AB1547" s="3" t="str">
        <f>HYPERLINK("https://sitebase.nzcomms.co.nz/spm/spmcandidateview/WLG-044-015-A/","WLG-044-015-A")</f>
        <v>WLG-044-015-A</v>
      </c>
      <c r="AC1547" s="4" t="b">
        <v>0</v>
      </c>
      <c r="AD1547" s="4" t="b">
        <v>0</v>
      </c>
      <c r="AE1547" s="4"/>
      <c r="AF1547" s="4"/>
      <c r="AG1547" s="4" t="b">
        <v>0</v>
      </c>
      <c r="AH1547" s="4"/>
      <c r="AI1547" s="5">
        <v>42192</v>
      </c>
      <c r="AJ1547" s="5">
        <v>42194</v>
      </c>
      <c r="AK1547" s="5">
        <v>42188</v>
      </c>
      <c r="AL1547" s="5">
        <v>42194</v>
      </c>
      <c r="AM1547" s="5">
        <v>42216</v>
      </c>
      <c r="AN1547" s="5">
        <v>42223</v>
      </c>
      <c r="AO1547" s="4">
        <v>1</v>
      </c>
      <c r="AP1547" s="4"/>
      <c r="AQ1547" s="5">
        <v>42223</v>
      </c>
      <c r="AR1547" s="5">
        <v>42213</v>
      </c>
      <c r="AS1547" s="5">
        <v>42213</v>
      </c>
      <c r="AT1547" s="5">
        <v>42247</v>
      </c>
      <c r="AU1547" s="5">
        <v>42236</v>
      </c>
      <c r="AV1547" s="4"/>
      <c r="AW1547" s="4"/>
      <c r="AX1547" s="4"/>
      <c r="AY1547" s="4" t="s">
        <v>183</v>
      </c>
      <c r="AZ1547" s="5">
        <v>42230</v>
      </c>
      <c r="BA1547" s="5">
        <v>42230</v>
      </c>
      <c r="BB1547" s="5">
        <v>42258</v>
      </c>
      <c r="BC1547" s="5">
        <v>42261</v>
      </c>
      <c r="BD1547" s="4">
        <v>1</v>
      </c>
      <c r="BE1547" s="4"/>
      <c r="BF1547" s="4"/>
      <c r="BG1547" s="5">
        <v>42248</v>
      </c>
      <c r="BH1547" s="4"/>
      <c r="BI1547" s="5">
        <v>42277</v>
      </c>
      <c r="BJ1547" s="4"/>
      <c r="BK1547" s="4"/>
      <c r="BL1547" s="4"/>
      <c r="BM1547" s="4"/>
      <c r="BN1547" s="4"/>
      <c r="BO1547" s="4"/>
      <c r="BP1547" s="4"/>
      <c r="BQ1547" s="4"/>
      <c r="BR1547" s="4"/>
      <c r="BS1547" s="4"/>
      <c r="BT1547" s="5">
        <v>42387</v>
      </c>
      <c r="BU1547" s="4"/>
      <c r="BV1547" s="5">
        <v>42429</v>
      </c>
      <c r="BW1547" s="4"/>
      <c r="BX1547" s="4"/>
      <c r="BY1547" s="5">
        <v>42440</v>
      </c>
      <c r="BZ1547" s="4"/>
      <c r="CA1547" s="4"/>
      <c r="CB1547" s="4"/>
      <c r="CC1547" s="4"/>
      <c r="CD1547" s="4"/>
      <c r="CE1547" s="4"/>
      <c r="CF1547" s="4"/>
      <c r="CG1547" s="4"/>
      <c r="CH1547" s="4"/>
      <c r="CI1547" s="4"/>
      <c r="CJ1547" s="5">
        <v>42475</v>
      </c>
      <c r="CK1547" s="4"/>
      <c r="CL1547" s="4"/>
      <c r="CM1547" s="4"/>
      <c r="CN1547" s="4"/>
      <c r="CO1547" s="4"/>
      <c r="CP1547" s="4" t="s">
        <v>4638</v>
      </c>
      <c r="CQ1547" s="4" t="s">
        <v>205</v>
      </c>
      <c r="CR1547" s="4"/>
      <c r="CS1547" s="4"/>
      <c r="CT1547" s="4"/>
      <c r="CU1547" s="4"/>
      <c r="CV1547" s="4"/>
      <c r="CW1547" s="4"/>
      <c r="CX1547" s="4"/>
      <c r="CY1547" s="4"/>
      <c r="CZ1547" s="4"/>
      <c r="DA1547" s="5">
        <v>42460</v>
      </c>
      <c r="DB1547" s="4"/>
      <c r="DC1547" s="4"/>
      <c r="DD1547" s="4"/>
      <c r="DE1547" s="4"/>
      <c r="DF1547" s="4"/>
      <c r="DG1547" s="4"/>
      <c r="DH1547" s="4" t="s">
        <v>1521</v>
      </c>
      <c r="DI1547" s="4"/>
      <c r="DJ1547" s="4" t="b">
        <v>1</v>
      </c>
      <c r="DK1547" s="4"/>
      <c r="DL1547" s="4">
        <v>2678644</v>
      </c>
      <c r="DM1547" s="4">
        <v>6031648</v>
      </c>
      <c r="DN1547" s="4" t="s">
        <v>4639</v>
      </c>
      <c r="DO1547" s="4"/>
      <c r="DP1547" s="4"/>
      <c r="DQ1547" s="4" t="s">
        <v>148</v>
      </c>
      <c r="DR1547" s="4" t="s">
        <v>255</v>
      </c>
      <c r="DS1547" s="4"/>
      <c r="DT1547" s="4"/>
      <c r="DU1547" s="4" t="s">
        <v>577</v>
      </c>
      <c r="DV1547" s="4"/>
      <c r="DW1547" s="4"/>
      <c r="DX1547" s="4"/>
      <c r="DY1547" s="5">
        <v>42675</v>
      </c>
      <c r="DZ1547" s="4"/>
      <c r="EA1547" s="4"/>
      <c r="EB1547" s="4"/>
      <c r="EC1547" s="4"/>
      <c r="ED1547" s="4"/>
      <c r="EE1547" s="5">
        <v>42349</v>
      </c>
      <c r="EF1547" s="4"/>
      <c r="EG1547" s="4"/>
      <c r="EH1547" s="4"/>
      <c r="EI1547" s="5">
        <v>42194</v>
      </c>
    </row>
    <row r="1548" spans="1:139" hidden="1" x14ac:dyDescent="0.2">
      <c r="A1548">
        <f>VLOOKUP(B1548,Sheet1!$A$1:$B$18,2,FALSE)</f>
        <v>0</v>
      </c>
      <c r="B1548" t="str">
        <f>LEFT(D1548,3)</f>
        <v>WLG</v>
      </c>
      <c r="C1548" s="2">
        <v>1547</v>
      </c>
      <c r="D1548" s="3" t="str">
        <f>HYPERLINK("https://sitebase.nzcomms.co.nz/spm/spmnominalview/WLG-043-007/","WLG-043-007")</f>
        <v>WLG-043-007</v>
      </c>
      <c r="E1548" s="4" t="s">
        <v>4640</v>
      </c>
      <c r="F1548" s="3" t="str">
        <f>HYPERLINK("https://sitebase.nzcomms.co.nz/spm/spmcandidateview/WLG-043-007-L/","WLG-043-007-L")</f>
        <v>WLG-043-007-L</v>
      </c>
      <c r="G1548" s="4" t="s">
        <v>4641</v>
      </c>
      <c r="H1548" s="4" t="s">
        <v>4616</v>
      </c>
      <c r="I1548" s="4">
        <v>7</v>
      </c>
      <c r="J1548" s="4" t="s">
        <v>194</v>
      </c>
      <c r="K1548" s="4" t="s">
        <v>141</v>
      </c>
      <c r="L1548" s="4" t="s">
        <v>189</v>
      </c>
      <c r="M1548" s="4" t="s">
        <v>190</v>
      </c>
      <c r="N1548" s="4" t="s">
        <v>2348</v>
      </c>
      <c r="O1548" s="4"/>
      <c r="P1548" s="4" t="s">
        <v>182</v>
      </c>
      <c r="Q1548" s="4" t="s">
        <v>192</v>
      </c>
      <c r="R1548" s="4">
        <v>13.8</v>
      </c>
      <c r="S1548" s="4">
        <v>14.3</v>
      </c>
      <c r="T1548" s="4">
        <v>1</v>
      </c>
      <c r="U1548" s="4">
        <v>-40.918766400000003</v>
      </c>
      <c r="V1548" s="4">
        <v>174.98158398999999</v>
      </c>
      <c r="W1548" s="4"/>
      <c r="X1548" s="4"/>
      <c r="Y1548" s="4"/>
      <c r="Z1548" s="4"/>
      <c r="AA1548" s="4" t="s">
        <v>152</v>
      </c>
      <c r="AB1548" s="3" t="str">
        <f>HYPERLINK("https://sitebase.nzcomms.co.nz/spm/spmcandidateview/WLG-047-071-A/","WLG-047-071-A")</f>
        <v>WLG-047-071-A</v>
      </c>
      <c r="AC1548" s="4" t="b">
        <v>1</v>
      </c>
      <c r="AD1548" s="4" t="b">
        <v>1</v>
      </c>
      <c r="AE1548" s="4"/>
      <c r="AF1548" s="4"/>
      <c r="AG1548" s="4" t="b">
        <v>1</v>
      </c>
      <c r="AH1548" s="4"/>
      <c r="AI1548" s="5">
        <v>40876</v>
      </c>
      <c r="AJ1548" s="5">
        <v>40872</v>
      </c>
      <c r="AK1548" s="5">
        <v>40883</v>
      </c>
      <c r="AL1548" s="5">
        <v>40875</v>
      </c>
      <c r="AM1548" s="5">
        <v>40996</v>
      </c>
      <c r="AN1548" s="5">
        <v>40996</v>
      </c>
      <c r="AO1548" s="4">
        <v>4</v>
      </c>
      <c r="AP1548" s="5">
        <v>40996</v>
      </c>
      <c r="AQ1548" s="5">
        <v>41122</v>
      </c>
      <c r="AR1548" s="5">
        <v>41114</v>
      </c>
      <c r="AS1548" s="5">
        <v>41121</v>
      </c>
      <c r="AT1548" s="5">
        <v>41138</v>
      </c>
      <c r="AU1548" s="5">
        <v>41143</v>
      </c>
      <c r="AV1548" s="4"/>
      <c r="AW1548" s="5">
        <v>41138</v>
      </c>
      <c r="AX1548" s="5">
        <v>41143</v>
      </c>
      <c r="AY1548" s="4" t="s">
        <v>193</v>
      </c>
      <c r="AZ1548" s="5">
        <v>41029</v>
      </c>
      <c r="BA1548" s="5">
        <v>41029</v>
      </c>
      <c r="BB1548" s="5">
        <v>41068</v>
      </c>
      <c r="BC1548" s="5">
        <v>41067</v>
      </c>
      <c r="BD1548" s="4">
        <v>2</v>
      </c>
      <c r="BE1548" s="5">
        <v>41110</v>
      </c>
      <c r="BF1548" s="5">
        <v>41114</v>
      </c>
      <c r="BG1548" s="4"/>
      <c r="BH1548" s="4"/>
      <c r="BI1548" s="5">
        <v>41121</v>
      </c>
      <c r="BJ1548" s="5">
        <v>41122</v>
      </c>
      <c r="BK1548" s="4">
        <v>1</v>
      </c>
      <c r="BL1548" s="4"/>
      <c r="BM1548" s="5">
        <v>41121</v>
      </c>
      <c r="BN1548" s="5">
        <v>41122</v>
      </c>
      <c r="BO1548" s="4"/>
      <c r="BP1548" s="4"/>
      <c r="BQ1548" s="4"/>
      <c r="BR1548" s="5">
        <v>41103</v>
      </c>
      <c r="BS1548" s="4"/>
      <c r="BT1548" s="5">
        <v>41120</v>
      </c>
      <c r="BU1548" s="5">
        <v>41123</v>
      </c>
      <c r="BV1548" s="5">
        <v>41143</v>
      </c>
      <c r="BW1548" s="5">
        <v>41155</v>
      </c>
      <c r="BX1548" s="5">
        <v>41134</v>
      </c>
      <c r="BY1548" s="5">
        <v>41138</v>
      </c>
      <c r="BZ1548" s="5">
        <v>41155</v>
      </c>
      <c r="CA1548" s="4"/>
      <c r="CB1548" s="4"/>
      <c r="CC1548" s="4"/>
      <c r="CD1548" s="4"/>
      <c r="CE1548" s="4"/>
      <c r="CF1548" s="4"/>
      <c r="CG1548" s="4"/>
      <c r="CH1548" s="4"/>
      <c r="CI1548" s="5">
        <v>41164</v>
      </c>
      <c r="CJ1548" s="5">
        <v>41166</v>
      </c>
      <c r="CK1548" s="5">
        <v>41166</v>
      </c>
      <c r="CL1548" s="5">
        <v>41202</v>
      </c>
      <c r="CM1548" s="5">
        <v>41183</v>
      </c>
      <c r="CN1548" s="5">
        <v>41374</v>
      </c>
      <c r="CO1548" s="5">
        <v>41372</v>
      </c>
      <c r="CP1548" s="4" t="s">
        <v>712</v>
      </c>
      <c r="CQ1548" s="4"/>
      <c r="CR1548" s="5">
        <v>41159</v>
      </c>
      <c r="CS1548" s="5">
        <v>41088</v>
      </c>
      <c r="CT1548" s="5">
        <v>41088</v>
      </c>
      <c r="CU1548" s="5">
        <v>41108</v>
      </c>
      <c r="CV1548" s="5">
        <v>41134</v>
      </c>
      <c r="CW1548" s="4"/>
      <c r="CX1548" s="4"/>
      <c r="CY1548" s="5">
        <v>41135</v>
      </c>
      <c r="CZ1548" s="5">
        <v>41135</v>
      </c>
      <c r="DA1548" s="5">
        <v>41164</v>
      </c>
      <c r="DB1548" s="5">
        <v>41165</v>
      </c>
      <c r="DC1548" s="5">
        <v>41029</v>
      </c>
      <c r="DD1548" s="4" t="s">
        <v>573</v>
      </c>
      <c r="DE1548" s="4"/>
      <c r="DF1548" s="5">
        <v>41156</v>
      </c>
      <c r="DG1548" s="5">
        <v>41157</v>
      </c>
      <c r="DH1548" s="4" t="s">
        <v>174</v>
      </c>
      <c r="DI1548" s="5">
        <v>41135</v>
      </c>
      <c r="DJ1548" s="4" t="b">
        <v>1</v>
      </c>
      <c r="DK1548" s="4"/>
      <c r="DL1548" s="4">
        <v>2676882</v>
      </c>
      <c r="DM1548" s="4">
        <v>6030085</v>
      </c>
      <c r="DN1548" s="4" t="s">
        <v>4642</v>
      </c>
      <c r="DO1548" s="4"/>
      <c r="DP1548" s="4"/>
      <c r="DQ1548" s="4" t="s">
        <v>148</v>
      </c>
      <c r="DR1548" s="4"/>
      <c r="DS1548" s="4"/>
      <c r="DT1548" s="5">
        <v>42292</v>
      </c>
      <c r="DU1548" s="4"/>
      <c r="DV1548" s="4"/>
      <c r="DW1548" s="4"/>
      <c r="DX1548" s="4"/>
      <c r="DY1548" s="4"/>
      <c r="DZ1548" s="4"/>
      <c r="EA1548" s="4"/>
      <c r="EB1548" s="4"/>
      <c r="EC1548" s="4"/>
      <c r="ED1548" s="4"/>
      <c r="EE1548" s="4"/>
      <c r="EF1548" s="4"/>
      <c r="EG1548" s="5">
        <v>41169</v>
      </c>
      <c r="EH1548" s="5">
        <v>41169</v>
      </c>
      <c r="EI1548" s="5">
        <v>40875</v>
      </c>
    </row>
    <row r="1549" spans="1:139" hidden="1" x14ac:dyDescent="0.2">
      <c r="A1549">
        <f>VLOOKUP(B1549,Sheet1!$A$1:$B$18,2,FALSE)</f>
        <v>0</v>
      </c>
      <c r="B1549" t="str">
        <f>LEFT(D1549,3)</f>
        <v>WLG</v>
      </c>
      <c r="C1549" s="2">
        <v>1548</v>
      </c>
      <c r="D1549" s="3" t="str">
        <f>HYPERLINK("https://sitebase.nzcomms.co.nz/spm/spmnominalview/WLG-043-008/","WLG-043-008")</f>
        <v>WLG-043-008</v>
      </c>
      <c r="E1549" s="4" t="s">
        <v>4643</v>
      </c>
      <c r="F1549" s="3" t="str">
        <f>HYPERLINK("https://sitebase.nzcomms.co.nz/spm/spmcandidateview/WLG-043-008-E/","WLG-043-008-E")</f>
        <v>WLG-043-008-E</v>
      </c>
      <c r="G1549" s="4" t="s">
        <v>4644</v>
      </c>
      <c r="H1549" s="4" t="s">
        <v>4616</v>
      </c>
      <c r="I1549" s="4">
        <v>7</v>
      </c>
      <c r="J1549" s="4" t="s">
        <v>194</v>
      </c>
      <c r="K1549" s="4" t="s">
        <v>141</v>
      </c>
      <c r="L1549" s="4" t="s">
        <v>189</v>
      </c>
      <c r="M1549" s="4" t="s">
        <v>190</v>
      </c>
      <c r="N1549" s="4" t="s">
        <v>274</v>
      </c>
      <c r="O1549" s="4"/>
      <c r="P1549" s="4" t="s">
        <v>182</v>
      </c>
      <c r="Q1549" s="4" t="s">
        <v>192</v>
      </c>
      <c r="R1549" s="4">
        <v>13</v>
      </c>
      <c r="S1549" s="4">
        <v>13.7</v>
      </c>
      <c r="T1549" s="4"/>
      <c r="U1549" s="4">
        <v>-40.886803</v>
      </c>
      <c r="V1549" s="4">
        <v>175.00320728</v>
      </c>
      <c r="W1549" s="4"/>
      <c r="X1549" s="5">
        <v>41019</v>
      </c>
      <c r="Y1549" s="4"/>
      <c r="Z1549" s="4"/>
      <c r="AA1549" s="4" t="s">
        <v>171</v>
      </c>
      <c r="AB1549" s="3" t="str">
        <f>HYPERLINK("https://sitebase.nzcomms.co.nz/spm/spmcandidateview/WLG-043-005-A/","WLG-043-005-A")</f>
        <v>WLG-043-005-A</v>
      </c>
      <c r="AC1549" s="4" t="b">
        <v>0</v>
      </c>
      <c r="AD1549" s="4" t="b">
        <v>0</v>
      </c>
      <c r="AE1549" s="4"/>
      <c r="AF1549" s="4"/>
      <c r="AG1549" s="4" t="b">
        <v>0</v>
      </c>
      <c r="AH1549" s="4"/>
      <c r="AI1549" s="5">
        <v>40723</v>
      </c>
      <c r="AJ1549" s="5">
        <v>40723</v>
      </c>
      <c r="AK1549" s="5">
        <v>40730</v>
      </c>
      <c r="AL1549" s="5">
        <v>40736</v>
      </c>
      <c r="AM1549" s="5">
        <v>40753</v>
      </c>
      <c r="AN1549" s="5">
        <v>40756</v>
      </c>
      <c r="AO1549" s="4">
        <v>4</v>
      </c>
      <c r="AP1549" s="5">
        <v>40753</v>
      </c>
      <c r="AQ1549" s="5">
        <v>42122</v>
      </c>
      <c r="AR1549" s="5">
        <v>40897</v>
      </c>
      <c r="AS1549" s="5">
        <v>40932</v>
      </c>
      <c r="AT1549" s="5">
        <v>40960</v>
      </c>
      <c r="AU1549" s="5">
        <v>40955</v>
      </c>
      <c r="AV1549" s="4"/>
      <c r="AW1549" s="5">
        <v>40960</v>
      </c>
      <c r="AX1549" s="5">
        <v>40961</v>
      </c>
      <c r="AY1549" s="4" t="s">
        <v>193</v>
      </c>
      <c r="AZ1549" s="5">
        <v>40893</v>
      </c>
      <c r="BA1549" s="5">
        <v>40890</v>
      </c>
      <c r="BB1549" s="5">
        <v>40954</v>
      </c>
      <c r="BC1549" s="5">
        <v>40974</v>
      </c>
      <c r="BD1549" s="4">
        <v>3</v>
      </c>
      <c r="BE1549" s="4"/>
      <c r="BF1549" s="4"/>
      <c r="BG1549" s="4"/>
      <c r="BH1549" s="4"/>
      <c r="BI1549" s="5">
        <v>40974</v>
      </c>
      <c r="BJ1549" s="5">
        <v>40981</v>
      </c>
      <c r="BK1549" s="4">
        <v>1</v>
      </c>
      <c r="BL1549" s="4"/>
      <c r="BM1549" s="5">
        <v>40981</v>
      </c>
      <c r="BN1549" s="5">
        <v>40981</v>
      </c>
      <c r="BO1549" s="5">
        <v>41002</v>
      </c>
      <c r="BP1549" s="4"/>
      <c r="BQ1549" s="4"/>
      <c r="BR1549" s="4"/>
      <c r="BS1549" s="4"/>
      <c r="BT1549" s="5">
        <v>41001</v>
      </c>
      <c r="BU1549" s="5">
        <v>41001</v>
      </c>
      <c r="BV1549" s="5">
        <v>41019</v>
      </c>
      <c r="BW1549" s="5">
        <v>41040</v>
      </c>
      <c r="BX1549" s="5">
        <v>41038</v>
      </c>
      <c r="BY1549" s="5">
        <v>41045</v>
      </c>
      <c r="BZ1549" s="5">
        <v>41045</v>
      </c>
      <c r="CA1549" s="4"/>
      <c r="CB1549" s="4"/>
      <c r="CC1549" s="4"/>
      <c r="CD1549" s="4"/>
      <c r="CE1549" s="4"/>
      <c r="CF1549" s="4"/>
      <c r="CG1549" s="4"/>
      <c r="CH1549" s="4"/>
      <c r="CI1549" s="5">
        <v>41046</v>
      </c>
      <c r="CJ1549" s="5">
        <v>41060</v>
      </c>
      <c r="CK1549" s="5">
        <v>41060</v>
      </c>
      <c r="CL1549" s="5">
        <v>41066</v>
      </c>
      <c r="CM1549" s="5">
        <v>41066</v>
      </c>
      <c r="CN1549" s="5">
        <v>41156</v>
      </c>
      <c r="CO1549" s="5">
        <v>41184</v>
      </c>
      <c r="CP1549" s="4" t="s">
        <v>712</v>
      </c>
      <c r="CQ1549" s="4"/>
      <c r="CR1549" s="5">
        <v>41046</v>
      </c>
      <c r="CS1549" s="4"/>
      <c r="CT1549" s="4"/>
      <c r="CU1549" s="4"/>
      <c r="CV1549" s="5">
        <v>41046</v>
      </c>
      <c r="CW1549" s="4"/>
      <c r="CX1549" s="5">
        <v>41002</v>
      </c>
      <c r="CY1549" s="5">
        <v>41017</v>
      </c>
      <c r="CZ1549" s="5">
        <v>41010</v>
      </c>
      <c r="DA1549" s="5">
        <v>41052</v>
      </c>
      <c r="DB1549" s="5">
        <v>41053</v>
      </c>
      <c r="DC1549" s="4"/>
      <c r="DD1549" s="4"/>
      <c r="DE1549" s="4"/>
      <c r="DF1549" s="4"/>
      <c r="DG1549" s="4"/>
      <c r="DH1549" s="4"/>
      <c r="DI1549" s="5">
        <v>41043</v>
      </c>
      <c r="DJ1549" s="4" t="b">
        <v>0</v>
      </c>
      <c r="DK1549" s="4"/>
      <c r="DL1549" s="4">
        <v>2678784</v>
      </c>
      <c r="DM1549" s="4">
        <v>6033592</v>
      </c>
      <c r="DN1549" s="4" t="s">
        <v>4645</v>
      </c>
      <c r="DO1549" s="4"/>
      <c r="DP1549" s="4"/>
      <c r="DQ1549" s="4" t="s">
        <v>148</v>
      </c>
      <c r="DR1549" s="4"/>
      <c r="DS1549" s="4"/>
      <c r="DT1549" s="5">
        <v>42292</v>
      </c>
      <c r="DU1549" s="4"/>
      <c r="DV1549" s="4"/>
      <c r="DW1549" s="4"/>
      <c r="DX1549" s="4"/>
      <c r="DY1549" s="4"/>
      <c r="DZ1549" s="4"/>
      <c r="EA1549" s="4"/>
      <c r="EB1549" s="4"/>
      <c r="EC1549" s="4"/>
      <c r="ED1549" s="4"/>
      <c r="EE1549" s="4"/>
      <c r="EF1549" s="4"/>
      <c r="EG1549" s="5">
        <v>41083</v>
      </c>
      <c r="EH1549" s="5">
        <v>41052</v>
      </c>
      <c r="EI1549" s="4"/>
    </row>
    <row r="1550" spans="1:139" hidden="1" x14ac:dyDescent="0.2">
      <c r="A1550">
        <f>VLOOKUP(B1550,Sheet1!$A$1:$B$18,2,FALSE)</f>
        <v>0</v>
      </c>
      <c r="B1550" t="str">
        <f>LEFT(D1550,3)</f>
        <v>WLG</v>
      </c>
      <c r="C1550" s="2">
        <v>1549</v>
      </c>
      <c r="D1550" s="3" t="str">
        <f>HYPERLINK("https://sitebase.nzcomms.co.nz/spm/spmnominalview/WLG-043-009/","WLG-043-009")</f>
        <v>WLG-043-009</v>
      </c>
      <c r="E1550" s="4" t="s">
        <v>4646</v>
      </c>
      <c r="F1550" s="3" t="str">
        <f>HYPERLINK("https://sitebase.nzcomms.co.nz/spm/spmcandidateview/WLG-043-009-I/","WLG-043-009-I")</f>
        <v>WLG-043-009-I</v>
      </c>
      <c r="G1550" s="4" t="s">
        <v>4647</v>
      </c>
      <c r="H1550" s="4" t="s">
        <v>4616</v>
      </c>
      <c r="I1550" s="4">
        <v>7</v>
      </c>
      <c r="J1550" s="4" t="s">
        <v>180</v>
      </c>
      <c r="K1550" s="4" t="s">
        <v>141</v>
      </c>
      <c r="L1550" s="4" t="s">
        <v>150</v>
      </c>
      <c r="M1550" s="4" t="s">
        <v>160</v>
      </c>
      <c r="N1550" s="4" t="s">
        <v>291</v>
      </c>
      <c r="O1550" s="4"/>
      <c r="P1550" s="4" t="s">
        <v>169</v>
      </c>
      <c r="Q1550" s="4" t="s">
        <v>192</v>
      </c>
      <c r="R1550" s="4"/>
      <c r="S1550" s="4">
        <v>21.6</v>
      </c>
      <c r="T1550" s="4">
        <v>1</v>
      </c>
      <c r="U1550" s="4">
        <v>-40.863993559999997</v>
      </c>
      <c r="V1550" s="4">
        <v>175.02959723000001</v>
      </c>
      <c r="W1550" s="4"/>
      <c r="X1550" s="5">
        <v>41019</v>
      </c>
      <c r="Y1550" s="4"/>
      <c r="Z1550" s="4"/>
      <c r="AA1550" s="4" t="s">
        <v>171</v>
      </c>
      <c r="AB1550" s="3" t="str">
        <f>HYPERLINK("https://sitebase.nzcomms.co.nz/spm/spmcandidateview/WLG-043-005-A/","WLG-043-005-A")</f>
        <v>WLG-043-005-A</v>
      </c>
      <c r="AC1550" s="4" t="b">
        <v>0</v>
      </c>
      <c r="AD1550" s="4" t="b">
        <v>0</v>
      </c>
      <c r="AE1550" s="4"/>
      <c r="AF1550" s="4"/>
      <c r="AG1550" s="4" t="b">
        <v>0</v>
      </c>
      <c r="AH1550" s="4"/>
      <c r="AI1550" s="5">
        <v>40885</v>
      </c>
      <c r="AJ1550" s="5">
        <v>40885</v>
      </c>
      <c r="AK1550" s="5">
        <v>40892</v>
      </c>
      <c r="AL1550" s="5">
        <v>40885</v>
      </c>
      <c r="AM1550" s="5">
        <v>40947</v>
      </c>
      <c r="AN1550" s="5">
        <v>40947</v>
      </c>
      <c r="AO1550" s="4">
        <v>1</v>
      </c>
      <c r="AP1550" s="5">
        <v>40947</v>
      </c>
      <c r="AQ1550" s="5">
        <v>40947</v>
      </c>
      <c r="AR1550" s="5">
        <v>40977</v>
      </c>
      <c r="AS1550" s="5">
        <v>40969</v>
      </c>
      <c r="AT1550" s="5">
        <v>41089</v>
      </c>
      <c r="AU1550" s="5">
        <v>41079</v>
      </c>
      <c r="AV1550" s="4"/>
      <c r="AW1550" s="5">
        <v>41089</v>
      </c>
      <c r="AX1550" s="5">
        <v>41085</v>
      </c>
      <c r="AY1550" s="4" t="s">
        <v>183</v>
      </c>
      <c r="AZ1550" s="5">
        <v>40954</v>
      </c>
      <c r="BA1550" s="5">
        <v>40949</v>
      </c>
      <c r="BB1550" s="5">
        <v>41243</v>
      </c>
      <c r="BC1550" s="5">
        <v>41250</v>
      </c>
      <c r="BD1550" s="4">
        <v>1</v>
      </c>
      <c r="BE1550" s="5">
        <v>41243</v>
      </c>
      <c r="BF1550" s="5">
        <v>41253</v>
      </c>
      <c r="BG1550" s="4"/>
      <c r="BH1550" s="4"/>
      <c r="BI1550" s="5">
        <v>41298</v>
      </c>
      <c r="BJ1550" s="5">
        <v>41298</v>
      </c>
      <c r="BK1550" s="4">
        <v>1</v>
      </c>
      <c r="BL1550" s="4"/>
      <c r="BM1550" s="5">
        <v>41298</v>
      </c>
      <c r="BN1550" s="5">
        <v>41298</v>
      </c>
      <c r="BO1550" s="4"/>
      <c r="BP1550" s="4"/>
      <c r="BQ1550" s="4"/>
      <c r="BR1550" s="5">
        <v>41297</v>
      </c>
      <c r="BS1550" s="4"/>
      <c r="BT1550" s="5">
        <v>41358</v>
      </c>
      <c r="BU1550" s="5">
        <v>41360</v>
      </c>
      <c r="BV1550" s="5">
        <v>41414</v>
      </c>
      <c r="BW1550" s="5">
        <v>41411</v>
      </c>
      <c r="BX1550" s="5">
        <v>41411</v>
      </c>
      <c r="BY1550" s="5">
        <v>41449</v>
      </c>
      <c r="BZ1550" s="5">
        <v>41445</v>
      </c>
      <c r="CA1550" s="4"/>
      <c r="CB1550" s="4"/>
      <c r="CC1550" s="4"/>
      <c r="CD1550" s="4"/>
      <c r="CE1550" s="4"/>
      <c r="CF1550" s="4"/>
      <c r="CG1550" s="4"/>
      <c r="CH1550" s="4"/>
      <c r="CI1550" s="5">
        <v>41445</v>
      </c>
      <c r="CJ1550" s="5">
        <v>41455</v>
      </c>
      <c r="CK1550" s="5">
        <v>41459</v>
      </c>
      <c r="CL1550" s="5">
        <v>41481</v>
      </c>
      <c r="CM1550" s="5">
        <v>41481</v>
      </c>
      <c r="CN1550" s="5">
        <v>41571</v>
      </c>
      <c r="CO1550" s="5">
        <v>41613</v>
      </c>
      <c r="CP1550" s="4" t="s">
        <v>4648</v>
      </c>
      <c r="CQ1550" s="4"/>
      <c r="CR1550" s="5">
        <v>41421</v>
      </c>
      <c r="CS1550" s="4"/>
      <c r="CT1550" s="4"/>
      <c r="CU1550" s="4"/>
      <c r="CV1550" s="4"/>
      <c r="CW1550" s="4"/>
      <c r="CX1550" s="4"/>
      <c r="CY1550" s="5">
        <v>41358</v>
      </c>
      <c r="CZ1550" s="5">
        <v>41428</v>
      </c>
      <c r="DA1550" s="5">
        <v>41450</v>
      </c>
      <c r="DB1550" s="5">
        <v>41446</v>
      </c>
      <c r="DC1550" s="5">
        <v>41253</v>
      </c>
      <c r="DD1550" s="4" t="s">
        <v>573</v>
      </c>
      <c r="DE1550" s="4" t="s">
        <v>194</v>
      </c>
      <c r="DF1550" s="4"/>
      <c r="DG1550" s="4"/>
      <c r="DH1550" s="4" t="s">
        <v>174</v>
      </c>
      <c r="DI1550" s="5">
        <v>41401</v>
      </c>
      <c r="DJ1550" s="4" t="b">
        <v>1</v>
      </c>
      <c r="DK1550" s="5">
        <v>41298</v>
      </c>
      <c r="DL1550" s="4">
        <v>2681066</v>
      </c>
      <c r="DM1550" s="4">
        <v>6036073</v>
      </c>
      <c r="DN1550" s="4" t="s">
        <v>4649</v>
      </c>
      <c r="DO1550" s="4"/>
      <c r="DP1550" s="4"/>
      <c r="DQ1550" s="4" t="s">
        <v>148</v>
      </c>
      <c r="DR1550" s="4"/>
      <c r="DS1550" s="4"/>
      <c r="DT1550" s="4"/>
      <c r="DU1550" s="4"/>
      <c r="DV1550" s="4"/>
      <c r="DW1550" s="4"/>
      <c r="DX1550" s="4"/>
      <c r="DY1550" s="4"/>
      <c r="DZ1550" s="4"/>
      <c r="EA1550" s="4"/>
      <c r="EB1550" s="4"/>
      <c r="EC1550" s="4"/>
      <c r="ED1550" s="4"/>
      <c r="EE1550" s="4"/>
      <c r="EF1550" s="4"/>
      <c r="EG1550" s="5">
        <v>41446</v>
      </c>
      <c r="EH1550" s="5">
        <v>41449</v>
      </c>
      <c r="EI1550" s="5">
        <v>40885</v>
      </c>
    </row>
    <row r="1551" spans="1:139" hidden="1" x14ac:dyDescent="0.2">
      <c r="A1551">
        <f>VLOOKUP(B1551,Sheet1!$A$1:$B$18,2,FALSE)</f>
        <v>0</v>
      </c>
      <c r="B1551" t="str">
        <f>LEFT(D1551,3)</f>
        <v>WLG</v>
      </c>
      <c r="C1551" s="2">
        <v>1550</v>
      </c>
      <c r="D1551" s="3" t="str">
        <f>HYPERLINK("https://sitebase.nzcomms.co.nz/spm/spmnominalview/WLG-043-010/","WLG-043-010")</f>
        <v>WLG-043-010</v>
      </c>
      <c r="E1551" s="4" t="s">
        <v>4650</v>
      </c>
      <c r="F1551" s="3" t="str">
        <f>HYPERLINK("https://sitebase.nzcomms.co.nz/spm/spmcandidateview/WLG-043-010-A/","WLG-043-010-A")</f>
        <v>WLG-043-010-A</v>
      </c>
      <c r="G1551" s="4" t="s">
        <v>4650</v>
      </c>
      <c r="H1551" s="4" t="s">
        <v>4616</v>
      </c>
      <c r="I1551" s="4"/>
      <c r="J1551" s="4" t="s">
        <v>317</v>
      </c>
      <c r="K1551" s="4" t="s">
        <v>141</v>
      </c>
      <c r="L1551" s="4"/>
      <c r="M1551" s="4"/>
      <c r="N1551" s="4"/>
      <c r="O1551" s="4"/>
      <c r="P1551" s="4"/>
      <c r="Q1551" s="4"/>
      <c r="R1551" s="4"/>
      <c r="S1551" s="4"/>
      <c r="T1551" s="4"/>
      <c r="U1551" s="4"/>
      <c r="V1551" s="4"/>
      <c r="W1551" s="4"/>
      <c r="X1551" s="4"/>
      <c r="Y1551" s="4"/>
      <c r="Z1551" s="4"/>
      <c r="AA1551" s="4"/>
      <c r="AB1551" s="4"/>
      <c r="AC1551" s="4"/>
      <c r="AD1551" s="4"/>
      <c r="AE1551" s="4"/>
      <c r="AF1551" s="4"/>
      <c r="AG1551" s="4"/>
      <c r="AH1551" s="4"/>
      <c r="AI1551" s="4"/>
      <c r="AJ1551" s="4"/>
      <c r="AK1551" s="4"/>
      <c r="AL1551" s="4"/>
      <c r="AM1551" s="4"/>
      <c r="AN1551" s="4"/>
      <c r="AO1551" s="4"/>
      <c r="AP1551" s="4"/>
      <c r="AQ1551" s="4"/>
      <c r="AR1551" s="4"/>
      <c r="AS1551" s="4"/>
      <c r="AT1551" s="4"/>
      <c r="AU1551" s="4"/>
      <c r="AV1551" s="4"/>
      <c r="AW1551" s="4"/>
      <c r="AX1551" s="4"/>
      <c r="AY1551" s="4"/>
      <c r="AZ1551" s="4"/>
      <c r="BA1551" s="4"/>
      <c r="BB1551" s="4"/>
      <c r="BC1551" s="4"/>
      <c r="BD1551" s="4"/>
      <c r="BE1551" s="4"/>
      <c r="BF1551" s="4"/>
      <c r="BG1551" s="4"/>
      <c r="BH1551" s="4"/>
      <c r="BI1551" s="4"/>
      <c r="BJ1551" s="4"/>
      <c r="BK1551" s="4"/>
      <c r="BL1551" s="4"/>
      <c r="BM1551" s="4"/>
      <c r="BN1551" s="4"/>
      <c r="BO1551" s="4"/>
      <c r="BP1551" s="4"/>
      <c r="BQ1551" s="4"/>
      <c r="BR1551" s="4"/>
      <c r="BS1551" s="4"/>
      <c r="BT1551" s="4"/>
      <c r="BU1551" s="4"/>
      <c r="BV1551" s="4"/>
      <c r="BW1551" s="4"/>
      <c r="BX1551" s="4"/>
      <c r="BY1551" s="4"/>
      <c r="BZ1551" s="4"/>
      <c r="CA1551" s="4"/>
      <c r="CB1551" s="4"/>
      <c r="CC1551" s="4"/>
      <c r="CD1551" s="4"/>
      <c r="CE1551" s="4"/>
      <c r="CF1551" s="4"/>
      <c r="CG1551" s="4"/>
      <c r="CH1551" s="4"/>
      <c r="CI1551" s="4"/>
      <c r="CJ1551" s="4"/>
      <c r="CK1551" s="4"/>
      <c r="CL1551" s="4"/>
      <c r="CM1551" s="4"/>
      <c r="CN1551" s="4"/>
      <c r="CO1551" s="4"/>
      <c r="CP1551" s="4"/>
      <c r="CQ1551" s="4"/>
      <c r="CR1551" s="4"/>
      <c r="CS1551" s="4"/>
      <c r="CT1551" s="4"/>
      <c r="CU1551" s="4"/>
      <c r="CV1551" s="4"/>
      <c r="CW1551" s="4"/>
      <c r="CX1551" s="4"/>
      <c r="CY1551" s="4"/>
      <c r="CZ1551" s="4"/>
      <c r="DA1551" s="4"/>
      <c r="DB1551" s="4"/>
      <c r="DC1551" s="4"/>
      <c r="DD1551" s="4"/>
      <c r="DE1551" s="4"/>
      <c r="DF1551" s="4"/>
      <c r="DG1551" s="4"/>
      <c r="DH1551" s="4" t="s">
        <v>240</v>
      </c>
      <c r="DI1551" s="4"/>
      <c r="DJ1551" s="4"/>
      <c r="DK1551" s="4"/>
      <c r="DL1551" s="4"/>
      <c r="DM1551" s="4"/>
      <c r="DN1551" s="4"/>
      <c r="DO1551" s="4"/>
      <c r="DP1551" s="4"/>
      <c r="DQ1551" s="4"/>
      <c r="DR1551" s="4"/>
      <c r="DS1551" s="4"/>
      <c r="DT1551" s="4"/>
      <c r="DU1551" s="4"/>
      <c r="DV1551" s="4"/>
      <c r="DW1551" s="4"/>
      <c r="DX1551" s="4"/>
      <c r="DY1551" s="4"/>
      <c r="DZ1551" s="4"/>
      <c r="EA1551" s="4"/>
      <c r="EB1551" s="4"/>
      <c r="EC1551" s="4"/>
      <c r="ED1551" s="4"/>
      <c r="EE1551" s="4"/>
      <c r="EF1551" s="4"/>
      <c r="EG1551" s="4"/>
      <c r="EH1551" s="4"/>
      <c r="EI1551" s="4"/>
    </row>
    <row r="1552" spans="1:139" hidden="1" x14ac:dyDescent="0.2">
      <c r="A1552">
        <f>VLOOKUP(B1552,Sheet1!$A$1:$B$18,2,FALSE)</f>
        <v>0</v>
      </c>
      <c r="B1552" t="str">
        <f>LEFT(D1552,3)</f>
        <v>WLG</v>
      </c>
      <c r="C1552" s="2">
        <v>1551</v>
      </c>
      <c r="D1552" s="3" t="str">
        <f>HYPERLINK("https://sitebase.nzcomms.co.nz/spm/spmnominalview/WLG-043-011/","WLG-043-011")</f>
        <v>WLG-043-011</v>
      </c>
      <c r="E1552" s="4" t="s">
        <v>4651</v>
      </c>
      <c r="F1552" s="3" t="str">
        <f>HYPERLINK("https://sitebase.nzcomms.co.nz/spm/spmcandidateview/WLG-043-011-A/","WLG-043-011-A")</f>
        <v>WLG-043-011-A</v>
      </c>
      <c r="G1552" s="4" t="s">
        <v>4651</v>
      </c>
      <c r="H1552" s="4" t="s">
        <v>4616</v>
      </c>
      <c r="I1552" s="4">
        <v>6</v>
      </c>
      <c r="J1552" s="4" t="s">
        <v>1633</v>
      </c>
      <c r="K1552" s="4" t="s">
        <v>141</v>
      </c>
      <c r="L1552" s="4" t="s">
        <v>150</v>
      </c>
      <c r="M1552" s="4" t="s">
        <v>190</v>
      </c>
      <c r="N1552" s="4" t="s">
        <v>246</v>
      </c>
      <c r="O1552" s="4"/>
      <c r="P1552" s="4" t="s">
        <v>182</v>
      </c>
      <c r="Q1552" s="4" t="s">
        <v>192</v>
      </c>
      <c r="R1552" s="4">
        <v>15</v>
      </c>
      <c r="S1552" s="4">
        <v>15</v>
      </c>
      <c r="T1552" s="4">
        <v>1</v>
      </c>
      <c r="U1552" s="4">
        <v>-40.758182089999998</v>
      </c>
      <c r="V1552" s="4">
        <v>175.15923823</v>
      </c>
      <c r="W1552" s="4"/>
      <c r="X1552" s="4"/>
      <c r="Y1552" s="4"/>
      <c r="Z1552" s="4"/>
      <c r="AA1552" s="4" t="s">
        <v>171</v>
      </c>
      <c r="AB1552" s="3" t="str">
        <f>HYPERLINK("https://sitebase.nzcomms.co.nz/spm/spmcandidateview/WLG-043-005-A/","WLG-043-005-A")</f>
        <v>WLG-043-005-A</v>
      </c>
      <c r="AC1552" s="4" t="b">
        <v>0</v>
      </c>
      <c r="AD1552" s="4" t="b">
        <v>0</v>
      </c>
      <c r="AE1552" s="4"/>
      <c r="AF1552" s="4"/>
      <c r="AG1552" s="4" t="b">
        <v>0</v>
      </c>
      <c r="AH1552" s="4" t="s">
        <v>4652</v>
      </c>
      <c r="AI1552" s="5">
        <v>40843</v>
      </c>
      <c r="AJ1552" s="5">
        <v>40843</v>
      </c>
      <c r="AK1552" s="5">
        <v>40850</v>
      </c>
      <c r="AL1552" s="5">
        <v>40861</v>
      </c>
      <c r="AM1552" s="5">
        <v>40952</v>
      </c>
      <c r="AN1552" s="5">
        <v>40952</v>
      </c>
      <c r="AO1552" s="4">
        <v>1</v>
      </c>
      <c r="AP1552" s="5">
        <v>40952</v>
      </c>
      <c r="AQ1552" s="5">
        <v>40952</v>
      </c>
      <c r="AR1552" s="5">
        <v>40953</v>
      </c>
      <c r="AS1552" s="5">
        <v>40931</v>
      </c>
      <c r="AT1552" s="5">
        <v>40967</v>
      </c>
      <c r="AU1552" s="5">
        <v>41039</v>
      </c>
      <c r="AV1552" s="4">
        <v>1</v>
      </c>
      <c r="AW1552" s="5">
        <v>40967</v>
      </c>
      <c r="AX1552" s="5">
        <v>41039</v>
      </c>
      <c r="AY1552" s="4"/>
      <c r="AZ1552" s="5">
        <v>40968</v>
      </c>
      <c r="BA1552" s="5">
        <v>40953</v>
      </c>
      <c r="BB1552" s="5">
        <v>40989</v>
      </c>
      <c r="BC1552" s="5">
        <v>41036</v>
      </c>
      <c r="BD1552" s="4">
        <v>1</v>
      </c>
      <c r="BE1552" s="5">
        <v>40989</v>
      </c>
      <c r="BF1552" s="5">
        <v>41036</v>
      </c>
      <c r="BG1552" s="4"/>
      <c r="BH1552" s="4"/>
      <c r="BI1552" s="5">
        <v>40992</v>
      </c>
      <c r="BJ1552" s="5">
        <v>41106</v>
      </c>
      <c r="BK1552" s="4">
        <v>1</v>
      </c>
      <c r="BL1552" s="4"/>
      <c r="BM1552" s="5">
        <v>40993</v>
      </c>
      <c r="BN1552" s="5">
        <v>41106</v>
      </c>
      <c r="BO1552" s="5">
        <v>41096</v>
      </c>
      <c r="BP1552" s="4"/>
      <c r="BQ1552" s="4"/>
      <c r="BR1552" s="4"/>
      <c r="BS1552" s="4"/>
      <c r="BT1552" s="5">
        <v>41088</v>
      </c>
      <c r="BU1552" s="5">
        <v>41088</v>
      </c>
      <c r="BV1552" s="5">
        <v>41103</v>
      </c>
      <c r="BW1552" s="5">
        <v>41102</v>
      </c>
      <c r="BX1552" s="5">
        <v>41101</v>
      </c>
      <c r="BY1552" s="5">
        <v>41106</v>
      </c>
      <c r="BZ1552" s="5">
        <v>41107</v>
      </c>
      <c r="CA1552" s="4"/>
      <c r="CB1552" s="4"/>
      <c r="CC1552" s="4"/>
      <c r="CD1552" s="4"/>
      <c r="CE1552" s="4"/>
      <c r="CF1552" s="4"/>
      <c r="CG1552" s="4"/>
      <c r="CH1552" s="4"/>
      <c r="CI1552" s="5">
        <v>41107</v>
      </c>
      <c r="CJ1552" s="5">
        <v>41115</v>
      </c>
      <c r="CK1552" s="5">
        <v>41115</v>
      </c>
      <c r="CL1552" s="5">
        <v>41118</v>
      </c>
      <c r="CM1552" s="5">
        <v>41117</v>
      </c>
      <c r="CN1552" s="5">
        <v>41419</v>
      </c>
      <c r="CO1552" s="5">
        <v>41423</v>
      </c>
      <c r="CP1552" s="4"/>
      <c r="CQ1552" s="4"/>
      <c r="CR1552" s="5">
        <v>41106</v>
      </c>
      <c r="CS1552" s="5">
        <v>41088</v>
      </c>
      <c r="CT1552" s="5">
        <v>41088</v>
      </c>
      <c r="CU1552" s="5">
        <v>41094</v>
      </c>
      <c r="CV1552" s="5">
        <v>41094</v>
      </c>
      <c r="CW1552" s="5">
        <v>41100</v>
      </c>
      <c r="CX1552" s="5">
        <v>41096</v>
      </c>
      <c r="CY1552" s="5">
        <v>41103</v>
      </c>
      <c r="CZ1552" s="5">
        <v>41102</v>
      </c>
      <c r="DA1552" s="4"/>
      <c r="DB1552" s="5">
        <v>41115</v>
      </c>
      <c r="DC1552" s="4"/>
      <c r="DD1552" s="4"/>
      <c r="DE1552" s="4"/>
      <c r="DF1552" s="4"/>
      <c r="DG1552" s="4"/>
      <c r="DH1552" s="4" t="s">
        <v>174</v>
      </c>
      <c r="DI1552" s="5">
        <v>41103</v>
      </c>
      <c r="DJ1552" s="4" t="b">
        <v>0</v>
      </c>
      <c r="DK1552" s="4"/>
      <c r="DL1552" s="4">
        <v>2692281</v>
      </c>
      <c r="DM1552" s="4">
        <v>6047558</v>
      </c>
      <c r="DN1552" s="4" t="s">
        <v>4653</v>
      </c>
      <c r="DO1552" s="4"/>
      <c r="DP1552" s="4"/>
      <c r="DQ1552" s="4" t="s">
        <v>148</v>
      </c>
      <c r="DR1552" s="4"/>
      <c r="DS1552" s="4"/>
      <c r="DT1552" s="5">
        <v>42292</v>
      </c>
      <c r="DU1552" s="4"/>
      <c r="DV1552" s="4"/>
      <c r="DW1552" s="4"/>
      <c r="DX1552" s="4"/>
      <c r="DY1552" s="4"/>
      <c r="DZ1552" s="4"/>
      <c r="EA1552" s="4"/>
      <c r="EB1552" s="4"/>
      <c r="EC1552" s="4"/>
      <c r="ED1552" s="4"/>
      <c r="EE1552" s="4"/>
      <c r="EF1552" s="4"/>
      <c r="EG1552" s="5">
        <v>41114</v>
      </c>
      <c r="EH1552" s="5">
        <v>41115</v>
      </c>
      <c r="EI1552" s="4"/>
    </row>
    <row r="1553" spans="1:139" hidden="1" x14ac:dyDescent="0.2">
      <c r="A1553">
        <f>VLOOKUP(B1553,Sheet1!$A$1:$B$18,2,FALSE)</f>
        <v>0</v>
      </c>
      <c r="B1553" t="str">
        <f>LEFT(D1553,3)</f>
        <v>WLG</v>
      </c>
      <c r="C1553" s="2">
        <v>1552</v>
      </c>
      <c r="D1553" s="3" t="str">
        <f>HYPERLINK("https://sitebase.nzcomms.co.nz/spm/spmnominalview/WLG-043-012/","WLG-043-012")</f>
        <v>WLG-043-012</v>
      </c>
      <c r="E1553" s="4" t="s">
        <v>4654</v>
      </c>
      <c r="F1553" s="3" t="str">
        <f>HYPERLINK("https://sitebase.nzcomms.co.nz/spm/spmcandidateview/WLG-043-012-A/","WLG-043-012-A")</f>
        <v>WLG-043-012-A</v>
      </c>
      <c r="G1553" s="4" t="s">
        <v>4655</v>
      </c>
      <c r="H1553" s="4" t="s">
        <v>4616</v>
      </c>
      <c r="I1553" s="4">
        <v>24</v>
      </c>
      <c r="J1553" s="4" t="s">
        <v>331</v>
      </c>
      <c r="K1553" s="4" t="s">
        <v>141</v>
      </c>
      <c r="L1553" s="4" t="s">
        <v>150</v>
      </c>
      <c r="M1553" s="4" t="s">
        <v>1193</v>
      </c>
      <c r="N1553" s="4" t="s">
        <v>216</v>
      </c>
      <c r="O1553" s="4"/>
      <c r="P1553" s="4" t="s">
        <v>169</v>
      </c>
      <c r="Q1553" s="4" t="s">
        <v>192</v>
      </c>
      <c r="R1553" s="4"/>
      <c r="S1553" s="4"/>
      <c r="T1553" s="4"/>
      <c r="U1553" s="4">
        <v>-40.744688609999997</v>
      </c>
      <c r="V1553" s="4">
        <v>175.12178785</v>
      </c>
      <c r="W1553" s="4"/>
      <c r="X1553" s="5">
        <v>42076</v>
      </c>
      <c r="Y1553" s="4"/>
      <c r="Z1553" s="5">
        <v>42125</v>
      </c>
      <c r="AA1553" s="4" t="s">
        <v>152</v>
      </c>
      <c r="AB1553" s="3" t="str">
        <f>HYPERLINK("https://sitebase.nzcomms.co.nz/spm/spmcandidateview/MNW-042-003-A/","MNW-042-003-A")</f>
        <v>MNW-042-003-A</v>
      </c>
      <c r="AC1553" s="4" t="b">
        <v>0</v>
      </c>
      <c r="AD1553" s="4" t="b">
        <v>0</v>
      </c>
      <c r="AE1553" s="4"/>
      <c r="AF1553" s="4"/>
      <c r="AG1553" s="4" t="b">
        <v>0</v>
      </c>
      <c r="AH1553" s="4"/>
      <c r="AI1553" s="5">
        <v>42047</v>
      </c>
      <c r="AJ1553" s="5">
        <v>42048</v>
      </c>
      <c r="AK1553" s="5">
        <v>42062</v>
      </c>
      <c r="AL1553" s="5">
        <v>42110</v>
      </c>
      <c r="AM1553" s="5">
        <v>42124</v>
      </c>
      <c r="AN1553" s="5">
        <v>42122</v>
      </c>
      <c r="AO1553" s="4">
        <v>1</v>
      </c>
      <c r="AP1553" s="5">
        <v>42122</v>
      </c>
      <c r="AQ1553" s="5">
        <v>42122</v>
      </c>
      <c r="AR1553" s="5">
        <v>42213</v>
      </c>
      <c r="AS1553" s="5">
        <v>42208</v>
      </c>
      <c r="AT1553" s="5">
        <v>42202</v>
      </c>
      <c r="AU1553" s="5">
        <v>42208</v>
      </c>
      <c r="AV1553" s="4"/>
      <c r="AW1553" s="4"/>
      <c r="AX1553" s="5">
        <v>42220</v>
      </c>
      <c r="AY1553" s="4" t="s">
        <v>183</v>
      </c>
      <c r="AZ1553" s="5">
        <v>42139</v>
      </c>
      <c r="BA1553" s="5">
        <v>42157</v>
      </c>
      <c r="BB1553" s="5">
        <v>42188</v>
      </c>
      <c r="BC1553" s="5">
        <v>42192</v>
      </c>
      <c r="BD1553" s="4">
        <v>1</v>
      </c>
      <c r="BE1553" s="4"/>
      <c r="BF1553" s="5">
        <v>42222</v>
      </c>
      <c r="BG1553" s="5">
        <v>42300</v>
      </c>
      <c r="BH1553" s="5">
        <v>42278</v>
      </c>
      <c r="BI1553" s="5">
        <v>42422</v>
      </c>
      <c r="BJ1553" s="4"/>
      <c r="BK1553" s="4"/>
      <c r="BL1553" s="4"/>
      <c r="BM1553" s="4"/>
      <c r="BN1553" s="4"/>
      <c r="BO1553" s="4"/>
      <c r="BP1553" s="4"/>
      <c r="BQ1553" s="4"/>
      <c r="BR1553" s="4"/>
      <c r="BS1553" s="4"/>
      <c r="BT1553" s="5">
        <v>42447</v>
      </c>
      <c r="BU1553" s="4"/>
      <c r="BV1553" s="5">
        <v>42475</v>
      </c>
      <c r="BW1553" s="4"/>
      <c r="BX1553" s="4"/>
      <c r="BY1553" s="5">
        <v>42489</v>
      </c>
      <c r="BZ1553" s="4"/>
      <c r="CA1553" s="4"/>
      <c r="CB1553" s="4"/>
      <c r="CC1553" s="4"/>
      <c r="CD1553" s="4"/>
      <c r="CE1553" s="4"/>
      <c r="CF1553" s="4"/>
      <c r="CG1553" s="4"/>
      <c r="CH1553" s="4"/>
      <c r="CI1553" s="4"/>
      <c r="CJ1553" s="5">
        <v>42517</v>
      </c>
      <c r="CK1553" s="4"/>
      <c r="CL1553" s="4"/>
      <c r="CM1553" s="4"/>
      <c r="CN1553" s="4"/>
      <c r="CO1553" s="4"/>
      <c r="CP1553" s="4" t="s">
        <v>4656</v>
      </c>
      <c r="CQ1553" s="4"/>
      <c r="CR1553" s="4"/>
      <c r="CS1553" s="4"/>
      <c r="CT1553" s="4"/>
      <c r="CU1553" s="4"/>
      <c r="CV1553" s="4"/>
      <c r="CW1553" s="4"/>
      <c r="CX1553" s="4"/>
      <c r="CY1553" s="4"/>
      <c r="CZ1553" s="4"/>
      <c r="DA1553" s="5">
        <v>42503</v>
      </c>
      <c r="DB1553" s="4"/>
      <c r="DC1553" s="4"/>
      <c r="DD1553" s="4"/>
      <c r="DE1553" s="4"/>
      <c r="DF1553" s="4"/>
      <c r="DG1553" s="4"/>
      <c r="DH1553" s="4" t="s">
        <v>174</v>
      </c>
      <c r="DI1553" s="4"/>
      <c r="DJ1553" s="4" t="b">
        <v>1</v>
      </c>
      <c r="DK1553" s="4"/>
      <c r="DL1553" s="4">
        <v>2689156</v>
      </c>
      <c r="DM1553" s="4">
        <v>6049132</v>
      </c>
      <c r="DN1553" s="4" t="s">
        <v>4657</v>
      </c>
      <c r="DO1553" s="4"/>
      <c r="DP1553" s="4"/>
      <c r="DQ1553" s="4" t="s">
        <v>148</v>
      </c>
      <c r="DR1553" s="4" t="s">
        <v>255</v>
      </c>
      <c r="DS1553" s="4"/>
      <c r="DT1553" s="4"/>
      <c r="DU1553" s="4" t="s">
        <v>178</v>
      </c>
      <c r="DV1553" s="4"/>
      <c r="DW1553" s="5">
        <v>42333</v>
      </c>
      <c r="DX1553" s="5">
        <v>42383</v>
      </c>
      <c r="DY1553" s="5">
        <v>42426</v>
      </c>
      <c r="DZ1553" s="5">
        <v>42381</v>
      </c>
      <c r="EA1553" s="4"/>
      <c r="EB1553" s="4"/>
      <c r="EC1553" s="4"/>
      <c r="ED1553" s="4"/>
      <c r="EE1553" s="5">
        <v>42440</v>
      </c>
      <c r="EF1553" s="4"/>
      <c r="EG1553" s="4"/>
      <c r="EH1553" s="4"/>
      <c r="EI1553" s="5">
        <v>42110</v>
      </c>
    </row>
    <row r="1554" spans="1:139" hidden="1" x14ac:dyDescent="0.2">
      <c r="A1554">
        <f>VLOOKUP(B1554,Sheet1!$A$1:$B$18,2,FALSE)</f>
        <v>0</v>
      </c>
      <c r="B1554" t="str">
        <f>LEFT(D1554,3)</f>
        <v>WLG</v>
      </c>
      <c r="C1554" s="2">
        <v>1553</v>
      </c>
      <c r="D1554" s="3" t="str">
        <f>HYPERLINK("https://sitebase.nzcomms.co.nz/spm/spmnominalview/WLG-043-013/","WLG-043-013")</f>
        <v>WLG-043-013</v>
      </c>
      <c r="E1554" s="4" t="s">
        <v>4658</v>
      </c>
      <c r="F1554" s="4"/>
      <c r="G1554" s="4"/>
      <c r="H1554" s="4" t="s">
        <v>4616</v>
      </c>
      <c r="I1554" s="4">
        <v>23</v>
      </c>
      <c r="J1554" s="4" t="s">
        <v>331</v>
      </c>
      <c r="K1554" s="4"/>
      <c r="L1554" s="4"/>
      <c r="M1554" s="4"/>
      <c r="N1554" s="4"/>
      <c r="O1554" s="4"/>
      <c r="P1554" s="4"/>
      <c r="Q1554" s="4"/>
      <c r="R1554" s="4"/>
      <c r="S1554" s="4"/>
      <c r="T1554" s="4"/>
      <c r="U1554" s="4"/>
      <c r="V1554" s="4"/>
      <c r="W1554" s="4"/>
      <c r="X1554" s="4"/>
      <c r="Y1554" s="4"/>
      <c r="Z1554" s="4"/>
      <c r="AA1554" s="4"/>
      <c r="AB1554" s="4"/>
      <c r="AC1554" s="4"/>
      <c r="AD1554" s="4"/>
      <c r="AE1554" s="4"/>
      <c r="AF1554" s="4"/>
      <c r="AG1554" s="4" t="b">
        <v>0</v>
      </c>
      <c r="AH1554" s="4"/>
      <c r="AI1554" s="4"/>
      <c r="AJ1554" s="4"/>
      <c r="AK1554" s="4"/>
      <c r="AL1554" s="4"/>
      <c r="AM1554" s="4"/>
      <c r="AN1554" s="4"/>
      <c r="AO1554" s="4"/>
      <c r="AP1554" s="4"/>
      <c r="AQ1554" s="4"/>
      <c r="AR1554" s="4"/>
      <c r="AS1554" s="4"/>
      <c r="AT1554" s="4"/>
      <c r="AU1554" s="4"/>
      <c r="AV1554" s="4"/>
      <c r="AW1554" s="4"/>
      <c r="AX1554" s="4"/>
      <c r="AY1554" s="4"/>
      <c r="AZ1554" s="4"/>
      <c r="BA1554" s="4"/>
      <c r="BB1554" s="4"/>
      <c r="BC1554" s="4"/>
      <c r="BD1554" s="4"/>
      <c r="BE1554" s="4"/>
      <c r="BF1554" s="4"/>
      <c r="BG1554" s="4"/>
      <c r="BH1554" s="4"/>
      <c r="BI1554" s="4"/>
      <c r="BJ1554" s="4"/>
      <c r="BK1554" s="4"/>
      <c r="BL1554" s="4"/>
      <c r="BM1554" s="4"/>
      <c r="BN1554" s="4"/>
      <c r="BO1554" s="4"/>
      <c r="BP1554" s="4"/>
      <c r="BQ1554" s="4"/>
      <c r="BR1554" s="4"/>
      <c r="BS1554" s="4"/>
      <c r="BT1554" s="4"/>
      <c r="BU1554" s="4"/>
      <c r="BV1554" s="4"/>
      <c r="BW1554" s="4"/>
      <c r="BX1554" s="4"/>
      <c r="BY1554" s="4"/>
      <c r="BZ1554" s="4"/>
      <c r="CA1554" s="4"/>
      <c r="CB1554" s="4"/>
      <c r="CC1554" s="4"/>
      <c r="CD1554" s="4"/>
      <c r="CE1554" s="4"/>
      <c r="CF1554" s="4"/>
      <c r="CG1554" s="4"/>
      <c r="CH1554" s="4"/>
      <c r="CI1554" s="4"/>
      <c r="CJ1554" s="4"/>
      <c r="CK1554" s="4"/>
      <c r="CL1554" s="4"/>
      <c r="CM1554" s="4"/>
      <c r="CN1554" s="4"/>
      <c r="CO1554" s="4"/>
      <c r="CP1554" s="4" t="s">
        <v>4659</v>
      </c>
      <c r="CQ1554" s="4"/>
      <c r="CR1554" s="4"/>
      <c r="CS1554" s="4"/>
      <c r="CT1554" s="4"/>
      <c r="CU1554" s="4"/>
      <c r="CV1554" s="4"/>
      <c r="CW1554" s="4"/>
      <c r="CX1554" s="4"/>
      <c r="CY1554" s="4"/>
      <c r="CZ1554" s="4"/>
      <c r="DA1554" s="4"/>
      <c r="DB1554" s="4"/>
      <c r="DC1554" s="4"/>
      <c r="DD1554" s="4"/>
      <c r="DE1554" s="4"/>
      <c r="DF1554" s="4"/>
      <c r="DG1554" s="4"/>
      <c r="DH1554" s="4"/>
      <c r="DI1554" s="4"/>
      <c r="DJ1554" s="4"/>
      <c r="DK1554" s="4"/>
      <c r="DL1554" s="4"/>
      <c r="DM1554" s="4"/>
      <c r="DN1554" s="4"/>
      <c r="DO1554" s="4"/>
      <c r="DP1554" s="4"/>
      <c r="DQ1554" s="4"/>
      <c r="DR1554" s="4"/>
      <c r="DS1554" s="4"/>
      <c r="DT1554" s="4"/>
      <c r="DU1554" s="4"/>
      <c r="DV1554" s="4"/>
      <c r="DW1554" s="4"/>
      <c r="DX1554" s="4"/>
      <c r="DY1554" s="4"/>
      <c r="DZ1554" s="4"/>
      <c r="EA1554" s="4"/>
      <c r="EB1554" s="4"/>
      <c r="EC1554" s="4"/>
      <c r="ED1554" s="4"/>
      <c r="EE1554" s="4"/>
      <c r="EF1554" s="4"/>
      <c r="EG1554" s="4"/>
      <c r="EH1554" s="4"/>
      <c r="EI1554" s="4"/>
    </row>
    <row r="1555" spans="1:139" hidden="1" x14ac:dyDescent="0.2">
      <c r="A1555">
        <f>VLOOKUP(B1555,Sheet1!$A$1:$B$18,2,FALSE)</f>
        <v>0</v>
      </c>
      <c r="B1555" t="str">
        <f>LEFT(D1555,3)</f>
        <v>WLG</v>
      </c>
      <c r="C1555" s="2">
        <v>1554</v>
      </c>
      <c r="D1555" s="3" t="str">
        <f>HYPERLINK("https://sitebase.nzcomms.co.nz/spm/spmnominalview/WLG-044-001/","WLG-044-001")</f>
        <v>WLG-044-001</v>
      </c>
      <c r="E1555" s="4"/>
      <c r="F1555" s="3" t="str">
        <f>HYPERLINK("https://sitebase.nzcomms.co.nz/spm/spmcandidateview/WLG-044-001-B/","WLG-044-001-B")</f>
        <v>WLG-044-001-B</v>
      </c>
      <c r="G1555" s="4" t="s">
        <v>4660</v>
      </c>
      <c r="H1555" s="4" t="s">
        <v>4661</v>
      </c>
      <c r="I1555" s="4">
        <v>7</v>
      </c>
      <c r="J1555" s="4" t="s">
        <v>139</v>
      </c>
      <c r="K1555" s="4" t="s">
        <v>141</v>
      </c>
      <c r="L1555" s="4" t="s">
        <v>150</v>
      </c>
      <c r="M1555" s="4" t="s">
        <v>143</v>
      </c>
      <c r="N1555" s="4" t="s">
        <v>246</v>
      </c>
      <c r="O1555" s="4" t="s">
        <v>144</v>
      </c>
      <c r="P1555" s="4"/>
      <c r="Q1555" s="4"/>
      <c r="R1555" s="4">
        <v>10.8</v>
      </c>
      <c r="S1555" s="4">
        <v>10.8</v>
      </c>
      <c r="T1555" s="4"/>
      <c r="U1555" s="4">
        <v>-41.089563339999998</v>
      </c>
      <c r="V1555" s="4">
        <v>174.87149522000001</v>
      </c>
      <c r="W1555" s="4"/>
      <c r="X1555" s="4"/>
      <c r="Y1555" s="4"/>
      <c r="Z1555" s="4"/>
      <c r="AA1555" s="4" t="s">
        <v>171</v>
      </c>
      <c r="AB1555" s="3" t="str">
        <f>HYPERLINK("https://sitebase.nzcomms.co.nz/spm/spmcandidateview/WLG-044-012-B/","WLG-044-012-B")</f>
        <v>WLG-044-012-B</v>
      </c>
      <c r="AC1555" s="4" t="b">
        <v>0</v>
      </c>
      <c r="AD1555" s="4" t="b">
        <v>0</v>
      </c>
      <c r="AE1555" s="4"/>
      <c r="AF1555" s="4"/>
      <c r="AG1555" s="4" t="b">
        <v>0</v>
      </c>
      <c r="AH1555" s="4" t="s">
        <v>4662</v>
      </c>
      <c r="AI1555" s="4"/>
      <c r="AJ1555" s="4"/>
      <c r="AK1555" s="4"/>
      <c r="AL1555" s="4"/>
      <c r="AM1555" s="4"/>
      <c r="AN1555" s="5">
        <v>39694</v>
      </c>
      <c r="AO1555" s="4">
        <v>5</v>
      </c>
      <c r="AP1555" s="5">
        <v>40837</v>
      </c>
      <c r="AQ1555" s="5">
        <v>40983</v>
      </c>
      <c r="AR1555" s="4"/>
      <c r="AS1555" s="4"/>
      <c r="AT1555" s="5">
        <v>39884</v>
      </c>
      <c r="AU1555" s="5">
        <v>39884</v>
      </c>
      <c r="AV1555" s="4">
        <v>2</v>
      </c>
      <c r="AW1555" s="5">
        <v>40774</v>
      </c>
      <c r="AX1555" s="5">
        <v>40764</v>
      </c>
      <c r="AY1555" s="4" t="s">
        <v>172</v>
      </c>
      <c r="AZ1555" s="4"/>
      <c r="BA1555" s="5">
        <v>40785</v>
      </c>
      <c r="BB1555" s="5">
        <v>39862</v>
      </c>
      <c r="BC1555" s="5">
        <v>40785</v>
      </c>
      <c r="BD1555" s="4">
        <v>4</v>
      </c>
      <c r="BE1555" s="5">
        <v>40816</v>
      </c>
      <c r="BF1555" s="5">
        <v>40785</v>
      </c>
      <c r="BG1555" s="4"/>
      <c r="BH1555" s="5">
        <v>39833</v>
      </c>
      <c r="BI1555" s="4"/>
      <c r="BJ1555" s="5">
        <v>39846</v>
      </c>
      <c r="BK1555" s="4">
        <v>4</v>
      </c>
      <c r="BL1555" s="4"/>
      <c r="BM1555" s="5">
        <v>40981</v>
      </c>
      <c r="BN1555" s="5">
        <v>40984</v>
      </c>
      <c r="BO1555" s="5">
        <v>39889</v>
      </c>
      <c r="BP1555" s="4"/>
      <c r="BQ1555" s="4"/>
      <c r="BR1555" s="4"/>
      <c r="BS1555" s="4"/>
      <c r="BT1555" s="5">
        <v>39944</v>
      </c>
      <c r="BU1555" s="5">
        <v>39944</v>
      </c>
      <c r="BV1555" s="5">
        <v>39963</v>
      </c>
      <c r="BW1555" s="5">
        <v>39962</v>
      </c>
      <c r="BX1555" s="4"/>
      <c r="BY1555" s="5">
        <v>39966</v>
      </c>
      <c r="BZ1555" s="5">
        <v>39966</v>
      </c>
      <c r="CA1555" s="4"/>
      <c r="CB1555" s="4"/>
      <c r="CC1555" s="4"/>
      <c r="CD1555" s="4"/>
      <c r="CE1555" s="4"/>
      <c r="CF1555" s="4"/>
      <c r="CG1555" s="4"/>
      <c r="CH1555" s="4"/>
      <c r="CI1555" s="5">
        <v>39990</v>
      </c>
      <c r="CJ1555" s="5">
        <v>39994</v>
      </c>
      <c r="CK1555" s="5">
        <v>39990</v>
      </c>
      <c r="CL1555" s="4"/>
      <c r="CM1555" s="4"/>
      <c r="CN1555" s="4"/>
      <c r="CO1555" s="4"/>
      <c r="CP1555" s="4" t="s">
        <v>4663</v>
      </c>
      <c r="CQ1555" s="4"/>
      <c r="CR1555" s="5">
        <v>39994</v>
      </c>
      <c r="CS1555" s="4"/>
      <c r="CT1555" s="4"/>
      <c r="CU1555" s="4"/>
      <c r="CV1555" s="4"/>
      <c r="CW1555" s="5">
        <v>39874</v>
      </c>
      <c r="CX1555" s="5">
        <v>39889</v>
      </c>
      <c r="CY1555" s="4"/>
      <c r="CZ1555" s="4"/>
      <c r="DA1555" s="4"/>
      <c r="DB1555" s="4"/>
      <c r="DC1555" s="4"/>
      <c r="DD1555" s="4"/>
      <c r="DE1555" s="4"/>
      <c r="DF1555" s="4"/>
      <c r="DG1555" s="4"/>
      <c r="DH1555" s="4"/>
      <c r="DI1555" s="4"/>
      <c r="DJ1555" s="4" t="b">
        <v>0</v>
      </c>
      <c r="DK1555" s="4"/>
      <c r="DL1555" s="4">
        <v>2667206</v>
      </c>
      <c r="DM1555" s="4">
        <v>6011327</v>
      </c>
      <c r="DN1555" s="4" t="s">
        <v>4664</v>
      </c>
      <c r="DO1555" s="4"/>
      <c r="DP1555" s="4"/>
      <c r="DQ1555" s="4" t="s">
        <v>148</v>
      </c>
      <c r="DR1555" s="4"/>
      <c r="DS1555" s="4"/>
      <c r="DT1555" s="5">
        <v>42340</v>
      </c>
      <c r="DU1555" s="4"/>
      <c r="DV1555" s="4"/>
      <c r="DW1555" s="4"/>
      <c r="DX1555" s="4"/>
      <c r="DY1555" s="5">
        <v>39944</v>
      </c>
      <c r="DZ1555" s="5">
        <v>39944</v>
      </c>
      <c r="EA1555" s="4"/>
      <c r="EB1555" s="4"/>
      <c r="EC1555" s="4"/>
      <c r="ED1555" s="4"/>
      <c r="EE1555" s="4"/>
      <c r="EF1555" s="4"/>
      <c r="EG1555" s="4"/>
      <c r="EH1555" s="4"/>
      <c r="EI1555" s="5">
        <v>39673</v>
      </c>
    </row>
    <row r="1556" spans="1:139" hidden="1" x14ac:dyDescent="0.2">
      <c r="A1556">
        <f>VLOOKUP(B1556,Sheet1!$A$1:$B$18,2,FALSE)</f>
        <v>0</v>
      </c>
      <c r="B1556" t="str">
        <f>LEFT(D1556,3)</f>
        <v>WLG</v>
      </c>
      <c r="C1556" s="2">
        <v>1555</v>
      </c>
      <c r="D1556" s="3" t="str">
        <f>HYPERLINK("https://sitebase.nzcomms.co.nz/spm/spmnominalview/WLG-044-002/","WLG-044-002")</f>
        <v>WLG-044-002</v>
      </c>
      <c r="E1556" s="4"/>
      <c r="F1556" s="3" t="str">
        <f>HYPERLINK("https://sitebase.nzcomms.co.nz/spm/spmcandidateview/WLG-044-002-F/","WLG-044-002-F")</f>
        <v>WLG-044-002-F</v>
      </c>
      <c r="G1556" s="4" t="s">
        <v>4665</v>
      </c>
      <c r="H1556" s="4" t="s">
        <v>4661</v>
      </c>
      <c r="I1556" s="4"/>
      <c r="J1556" s="4" t="s">
        <v>139</v>
      </c>
      <c r="K1556" s="4" t="s">
        <v>141</v>
      </c>
      <c r="L1556" s="4" t="s">
        <v>150</v>
      </c>
      <c r="M1556" s="4" t="s">
        <v>143</v>
      </c>
      <c r="N1556" s="4" t="s">
        <v>291</v>
      </c>
      <c r="O1556" s="4" t="s">
        <v>356</v>
      </c>
      <c r="P1556" s="4"/>
      <c r="Q1556" s="4"/>
      <c r="R1556" s="4">
        <v>13.8</v>
      </c>
      <c r="S1556" s="4">
        <v>13.8</v>
      </c>
      <c r="T1556" s="4"/>
      <c r="U1556" s="4">
        <v>-41.09762928</v>
      </c>
      <c r="V1556" s="4">
        <v>174.84430237000001</v>
      </c>
      <c r="W1556" s="4"/>
      <c r="X1556" s="4"/>
      <c r="Y1556" s="4"/>
      <c r="Z1556" s="4"/>
      <c r="AA1556" s="4"/>
      <c r="AB1556" s="4"/>
      <c r="AC1556" s="4"/>
      <c r="AD1556" s="4"/>
      <c r="AE1556" s="4"/>
      <c r="AF1556" s="4"/>
      <c r="AG1556" s="4"/>
      <c r="AH1556" s="4"/>
      <c r="AI1556" s="5">
        <v>39933</v>
      </c>
      <c r="AJ1556" s="5">
        <v>39925</v>
      </c>
      <c r="AK1556" s="4"/>
      <c r="AL1556" s="4"/>
      <c r="AM1556" s="4"/>
      <c r="AN1556" s="5">
        <v>39938</v>
      </c>
      <c r="AO1556" s="4">
        <v>2</v>
      </c>
      <c r="AP1556" s="5">
        <v>39941</v>
      </c>
      <c r="AQ1556" s="5">
        <v>40007</v>
      </c>
      <c r="AR1556" s="4"/>
      <c r="AS1556" s="4"/>
      <c r="AT1556" s="5">
        <v>40035</v>
      </c>
      <c r="AU1556" s="5">
        <v>40029</v>
      </c>
      <c r="AV1556" s="4">
        <v>2</v>
      </c>
      <c r="AW1556" s="5">
        <v>40035</v>
      </c>
      <c r="AX1556" s="5">
        <v>40035</v>
      </c>
      <c r="AY1556" s="4"/>
      <c r="AZ1556" s="5">
        <v>39955</v>
      </c>
      <c r="BA1556" s="4"/>
      <c r="BB1556" s="5">
        <v>39989</v>
      </c>
      <c r="BC1556" s="4"/>
      <c r="BD1556" s="4"/>
      <c r="BE1556" s="5">
        <v>39990</v>
      </c>
      <c r="BF1556" s="5">
        <v>39976</v>
      </c>
      <c r="BG1556" s="5">
        <v>39979</v>
      </c>
      <c r="BH1556" s="5">
        <v>39945</v>
      </c>
      <c r="BI1556" s="5">
        <v>39994</v>
      </c>
      <c r="BJ1556" s="5">
        <v>39993</v>
      </c>
      <c r="BK1556" s="4">
        <v>2</v>
      </c>
      <c r="BL1556" s="4">
        <v>2</v>
      </c>
      <c r="BM1556" s="5">
        <v>39994</v>
      </c>
      <c r="BN1556" s="5">
        <v>40017</v>
      </c>
      <c r="BO1556" s="5">
        <v>39924</v>
      </c>
      <c r="BP1556" s="4"/>
      <c r="BQ1556" s="4"/>
      <c r="BR1556" s="4"/>
      <c r="BS1556" s="4"/>
      <c r="BT1556" s="5">
        <v>40052</v>
      </c>
      <c r="BU1556" s="5">
        <v>40051</v>
      </c>
      <c r="BV1556" s="5">
        <v>40070</v>
      </c>
      <c r="BW1556" s="5">
        <v>40067</v>
      </c>
      <c r="BX1556" s="4"/>
      <c r="BY1556" s="5">
        <v>40072</v>
      </c>
      <c r="BZ1556" s="5">
        <v>40072</v>
      </c>
      <c r="CA1556" s="4"/>
      <c r="CB1556" s="4"/>
      <c r="CC1556" s="4"/>
      <c r="CD1556" s="4"/>
      <c r="CE1556" s="4"/>
      <c r="CF1556" s="4"/>
      <c r="CG1556" s="4"/>
      <c r="CH1556" s="4"/>
      <c r="CI1556" s="5">
        <v>40073</v>
      </c>
      <c r="CJ1556" s="5">
        <v>40086</v>
      </c>
      <c r="CK1556" s="5">
        <v>40073</v>
      </c>
      <c r="CL1556" s="4"/>
      <c r="CM1556" s="4"/>
      <c r="CN1556" s="4"/>
      <c r="CO1556" s="4"/>
      <c r="CP1556" s="4" t="s">
        <v>4666</v>
      </c>
      <c r="CQ1556" s="4"/>
      <c r="CR1556" s="5">
        <v>40086</v>
      </c>
      <c r="CS1556" s="4"/>
      <c r="CT1556" s="4"/>
      <c r="CU1556" s="4"/>
      <c r="CV1556" s="4"/>
      <c r="CW1556" s="4"/>
      <c r="CX1556" s="5">
        <v>39924</v>
      </c>
      <c r="CY1556" s="4"/>
      <c r="CZ1556" s="4"/>
      <c r="DA1556" s="4"/>
      <c r="DB1556" s="4"/>
      <c r="DC1556" s="4"/>
      <c r="DD1556" s="4"/>
      <c r="DE1556" s="4"/>
      <c r="DF1556" s="4"/>
      <c r="DG1556" s="4"/>
      <c r="DH1556" s="4"/>
      <c r="DI1556" s="4"/>
      <c r="DJ1556" s="4" t="b">
        <v>0</v>
      </c>
      <c r="DK1556" s="4"/>
      <c r="DL1556" s="4">
        <v>2664903</v>
      </c>
      <c r="DM1556" s="4">
        <v>6010480</v>
      </c>
      <c r="DN1556" s="4" t="s">
        <v>4667</v>
      </c>
      <c r="DO1556" s="4"/>
      <c r="DP1556" s="4"/>
      <c r="DQ1556" s="4" t="s">
        <v>148</v>
      </c>
      <c r="DR1556" s="4"/>
      <c r="DS1556" s="4"/>
      <c r="DT1556" s="5">
        <v>42340</v>
      </c>
      <c r="DU1556" s="4"/>
      <c r="DV1556" s="4"/>
      <c r="DW1556" s="4"/>
      <c r="DX1556" s="4"/>
      <c r="DY1556" s="5">
        <v>40044</v>
      </c>
      <c r="DZ1556" s="5">
        <v>40044</v>
      </c>
      <c r="EA1556" s="4"/>
      <c r="EB1556" s="4"/>
      <c r="EC1556" s="4"/>
      <c r="ED1556" s="4"/>
      <c r="EE1556" s="4"/>
      <c r="EF1556" s="4"/>
      <c r="EG1556" s="4"/>
      <c r="EH1556" s="4"/>
      <c r="EI1556" s="5">
        <v>39925</v>
      </c>
    </row>
    <row r="1557" spans="1:139" hidden="1" x14ac:dyDescent="0.2">
      <c r="A1557">
        <f>VLOOKUP(B1557,Sheet1!$A$1:$B$18,2,FALSE)</f>
        <v>0</v>
      </c>
      <c r="B1557" t="str">
        <f>LEFT(D1557,3)</f>
        <v>WLG</v>
      </c>
      <c r="C1557" s="2">
        <v>1556</v>
      </c>
      <c r="D1557" s="3" t="str">
        <f>HYPERLINK("https://sitebase.nzcomms.co.nz/spm/spmnominalview/WLG-044-003/","WLG-044-003")</f>
        <v>WLG-044-003</v>
      </c>
      <c r="E1557" s="4"/>
      <c r="F1557" s="3" t="str">
        <f>HYPERLINK("https://sitebase.nzcomms.co.nz/spm/spmcandidateview/WLG-044-003-B/","WLG-044-003-B")</f>
        <v>WLG-044-003-B</v>
      </c>
      <c r="G1557" s="4" t="s">
        <v>4668</v>
      </c>
      <c r="H1557" s="4" t="s">
        <v>4661</v>
      </c>
      <c r="I1557" s="4"/>
      <c r="J1557" s="4" t="s">
        <v>139</v>
      </c>
      <c r="K1557" s="4" t="s">
        <v>141</v>
      </c>
      <c r="L1557" s="4" t="s">
        <v>189</v>
      </c>
      <c r="M1557" s="4" t="s">
        <v>160</v>
      </c>
      <c r="N1557" s="4" t="s">
        <v>612</v>
      </c>
      <c r="O1557" s="4" t="s">
        <v>356</v>
      </c>
      <c r="P1557" s="4"/>
      <c r="Q1557" s="4"/>
      <c r="R1557" s="4"/>
      <c r="S1557" s="4"/>
      <c r="T1557" s="4"/>
      <c r="U1557" s="4">
        <v>-41.10633017</v>
      </c>
      <c r="V1557" s="4">
        <v>174.86731313000001</v>
      </c>
      <c r="W1557" s="4"/>
      <c r="X1557" s="4"/>
      <c r="Y1557" s="4"/>
      <c r="Z1557" s="4"/>
      <c r="AA1557" s="4"/>
      <c r="AB1557" s="4"/>
      <c r="AC1557" s="4"/>
      <c r="AD1557" s="4"/>
      <c r="AE1557" s="4"/>
      <c r="AF1557" s="4"/>
      <c r="AG1557" s="4"/>
      <c r="AH1557" s="4"/>
      <c r="AI1557" s="4"/>
      <c r="AJ1557" s="5">
        <v>39629</v>
      </c>
      <c r="AK1557" s="4"/>
      <c r="AL1557" s="4"/>
      <c r="AM1557" s="4"/>
      <c r="AN1557" s="5">
        <v>39626</v>
      </c>
      <c r="AO1557" s="4">
        <v>6</v>
      </c>
      <c r="AP1557" s="4"/>
      <c r="AQ1557" s="4"/>
      <c r="AR1557" s="4"/>
      <c r="AS1557" s="4"/>
      <c r="AT1557" s="5">
        <v>39863</v>
      </c>
      <c r="AU1557" s="5">
        <v>39861</v>
      </c>
      <c r="AV1557" s="4">
        <v>2</v>
      </c>
      <c r="AW1557" s="5">
        <v>40108</v>
      </c>
      <c r="AX1557" s="5">
        <v>40120</v>
      </c>
      <c r="AY1557" s="4"/>
      <c r="AZ1557" s="4"/>
      <c r="BA1557" s="4"/>
      <c r="BB1557" s="5">
        <v>40130</v>
      </c>
      <c r="BC1557" s="4"/>
      <c r="BD1557" s="4"/>
      <c r="BE1557" s="5">
        <v>40130</v>
      </c>
      <c r="BF1557" s="5">
        <v>40130</v>
      </c>
      <c r="BG1557" s="4"/>
      <c r="BH1557" s="5">
        <v>39772</v>
      </c>
      <c r="BI1557" s="4"/>
      <c r="BJ1557" s="5">
        <v>39804</v>
      </c>
      <c r="BK1557" s="4">
        <v>3</v>
      </c>
      <c r="BL1557" s="4"/>
      <c r="BM1557" s="5">
        <v>39804</v>
      </c>
      <c r="BN1557" s="5">
        <v>40025</v>
      </c>
      <c r="BO1557" s="5">
        <v>39939</v>
      </c>
      <c r="BP1557" s="4"/>
      <c r="BQ1557" s="4"/>
      <c r="BR1557" s="4"/>
      <c r="BS1557" s="4"/>
      <c r="BT1557" s="5">
        <v>40200</v>
      </c>
      <c r="BU1557" s="5">
        <v>40198</v>
      </c>
      <c r="BV1557" s="5">
        <v>40225</v>
      </c>
      <c r="BW1557" s="5">
        <v>40212</v>
      </c>
      <c r="BX1557" s="4"/>
      <c r="BY1557" s="5">
        <v>40228</v>
      </c>
      <c r="BZ1557" s="5">
        <v>40213</v>
      </c>
      <c r="CA1557" s="4"/>
      <c r="CB1557" s="4"/>
      <c r="CC1557" s="4"/>
      <c r="CD1557" s="4"/>
      <c r="CE1557" s="4"/>
      <c r="CF1557" s="4"/>
      <c r="CG1557" s="4"/>
      <c r="CH1557" s="4"/>
      <c r="CI1557" s="5">
        <v>40239</v>
      </c>
      <c r="CJ1557" s="5">
        <v>40242</v>
      </c>
      <c r="CK1557" s="5">
        <v>40239</v>
      </c>
      <c r="CL1557" s="4"/>
      <c r="CM1557" s="4"/>
      <c r="CN1557" s="4"/>
      <c r="CO1557" s="4"/>
      <c r="CP1557" s="4" t="s">
        <v>4669</v>
      </c>
      <c r="CQ1557" s="4"/>
      <c r="CR1557" s="5">
        <v>40242</v>
      </c>
      <c r="CS1557" s="4"/>
      <c r="CT1557" s="4"/>
      <c r="CU1557" s="4"/>
      <c r="CV1557" s="4"/>
      <c r="CW1557" s="5">
        <v>39955</v>
      </c>
      <c r="CX1557" s="5">
        <v>39939</v>
      </c>
      <c r="CY1557" s="4"/>
      <c r="CZ1557" s="4"/>
      <c r="DA1557" s="4"/>
      <c r="DB1557" s="4"/>
      <c r="DC1557" s="4"/>
      <c r="DD1557" s="4"/>
      <c r="DE1557" s="4"/>
      <c r="DF1557" s="4"/>
      <c r="DG1557" s="4"/>
      <c r="DH1557" s="4"/>
      <c r="DI1557" s="4"/>
      <c r="DJ1557" s="4" t="b">
        <v>0</v>
      </c>
      <c r="DK1557" s="4"/>
      <c r="DL1557" s="4">
        <v>2666815</v>
      </c>
      <c r="DM1557" s="4">
        <v>6009473</v>
      </c>
      <c r="DN1557" s="4" t="s">
        <v>4670</v>
      </c>
      <c r="DO1557" s="4"/>
      <c r="DP1557" s="4"/>
      <c r="DQ1557" s="4" t="s">
        <v>148</v>
      </c>
      <c r="DR1557" s="4"/>
      <c r="DS1557" s="4"/>
      <c r="DT1557" s="5">
        <v>42340</v>
      </c>
      <c r="DU1557" s="4"/>
      <c r="DV1557" s="4"/>
      <c r="DW1557" s="4"/>
      <c r="DX1557" s="4"/>
      <c r="DY1557" s="5">
        <v>40151</v>
      </c>
      <c r="DZ1557" s="5">
        <v>40151</v>
      </c>
      <c r="EA1557" s="4"/>
      <c r="EB1557" s="4"/>
      <c r="EC1557" s="4"/>
      <c r="ED1557" s="4"/>
      <c r="EE1557" s="4"/>
      <c r="EF1557" s="4"/>
      <c r="EG1557" s="4"/>
      <c r="EH1557" s="4"/>
      <c r="EI1557" s="5">
        <v>39630</v>
      </c>
    </row>
    <row r="1558" spans="1:139" hidden="1" x14ac:dyDescent="0.2">
      <c r="A1558">
        <f>VLOOKUP(B1558,Sheet1!$A$1:$B$18,2,FALSE)</f>
        <v>0</v>
      </c>
      <c r="B1558" t="str">
        <f>LEFT(D1558,3)</f>
        <v>WLG</v>
      </c>
      <c r="C1558" s="2">
        <v>1557</v>
      </c>
      <c r="D1558" s="3" t="str">
        <f>HYPERLINK("https://sitebase.nzcomms.co.nz/spm/spmnominalview/WLG-044-004/","WLG-044-004")</f>
        <v>WLG-044-004</v>
      </c>
      <c r="E1558" s="4"/>
      <c r="F1558" s="3" t="str">
        <f>HYPERLINK("https://sitebase.nzcomms.co.nz/spm/spmcandidateview/WLG-044-004-D/","WLG-044-004-D")</f>
        <v>WLG-044-004-D</v>
      </c>
      <c r="G1558" s="4" t="s">
        <v>4671</v>
      </c>
      <c r="H1558" s="4" t="s">
        <v>4661</v>
      </c>
      <c r="I1558" s="4"/>
      <c r="J1558" s="4" t="s">
        <v>139</v>
      </c>
      <c r="K1558" s="4" t="s">
        <v>141</v>
      </c>
      <c r="L1558" s="4" t="s">
        <v>142</v>
      </c>
      <c r="M1558" s="4" t="s">
        <v>160</v>
      </c>
      <c r="N1558" s="4" t="s">
        <v>142</v>
      </c>
      <c r="O1558" s="4" t="s">
        <v>3256</v>
      </c>
      <c r="P1558" s="4"/>
      <c r="Q1558" s="4" t="s">
        <v>142</v>
      </c>
      <c r="R1558" s="4">
        <v>12.8</v>
      </c>
      <c r="S1558" s="4">
        <v>12.8</v>
      </c>
      <c r="T1558" s="4"/>
      <c r="U1558" s="4">
        <v>-41.116278870000002</v>
      </c>
      <c r="V1558" s="4">
        <v>174.88312439000001</v>
      </c>
      <c r="W1558" s="4"/>
      <c r="X1558" s="4"/>
      <c r="Y1558" s="4"/>
      <c r="Z1558" s="4"/>
      <c r="AA1558" s="4"/>
      <c r="AB1558" s="4"/>
      <c r="AC1558" s="4"/>
      <c r="AD1558" s="4"/>
      <c r="AE1558" s="4"/>
      <c r="AF1558" s="4"/>
      <c r="AG1558" s="4"/>
      <c r="AH1558" s="4"/>
      <c r="AI1558" s="4"/>
      <c r="AJ1558" s="5">
        <v>39887</v>
      </c>
      <c r="AK1558" s="4"/>
      <c r="AL1558" s="4"/>
      <c r="AM1558" s="4"/>
      <c r="AN1558" s="5">
        <v>39931</v>
      </c>
      <c r="AO1558" s="4">
        <v>2</v>
      </c>
      <c r="AP1558" s="5">
        <v>40024</v>
      </c>
      <c r="AQ1558" s="5">
        <v>40085</v>
      </c>
      <c r="AR1558" s="4"/>
      <c r="AS1558" s="4"/>
      <c r="AT1558" s="5">
        <v>40116</v>
      </c>
      <c r="AU1558" s="5">
        <v>40115</v>
      </c>
      <c r="AV1558" s="4">
        <v>1</v>
      </c>
      <c r="AW1558" s="5">
        <v>40116</v>
      </c>
      <c r="AX1558" s="5">
        <v>40115</v>
      </c>
      <c r="AY1558" s="4"/>
      <c r="AZ1558" s="5">
        <v>40030</v>
      </c>
      <c r="BA1558" s="4"/>
      <c r="BB1558" s="5">
        <v>40065</v>
      </c>
      <c r="BC1558" s="4"/>
      <c r="BD1558" s="4"/>
      <c r="BE1558" s="5">
        <v>40116</v>
      </c>
      <c r="BF1558" s="5">
        <v>40115</v>
      </c>
      <c r="BG1558" s="5">
        <v>40059</v>
      </c>
      <c r="BH1558" s="5">
        <v>40064</v>
      </c>
      <c r="BI1558" s="5">
        <v>40088</v>
      </c>
      <c r="BJ1558" s="5">
        <v>40087</v>
      </c>
      <c r="BK1558" s="4">
        <v>2</v>
      </c>
      <c r="BL1558" s="4">
        <v>2</v>
      </c>
      <c r="BM1558" s="5">
        <v>40088</v>
      </c>
      <c r="BN1558" s="5">
        <v>40088</v>
      </c>
      <c r="BO1558" s="4"/>
      <c r="BP1558" s="4"/>
      <c r="BQ1558" s="4"/>
      <c r="BR1558" s="4"/>
      <c r="BS1558" s="4"/>
      <c r="BT1558" s="4"/>
      <c r="BU1558" s="5">
        <v>40137</v>
      </c>
      <c r="BV1558" s="5">
        <v>40167</v>
      </c>
      <c r="BW1558" s="5">
        <v>40148</v>
      </c>
      <c r="BX1558" s="4"/>
      <c r="BY1558" s="5">
        <v>40168</v>
      </c>
      <c r="BZ1558" s="5">
        <v>40157</v>
      </c>
      <c r="CA1558" s="4"/>
      <c r="CB1558" s="4"/>
      <c r="CC1558" s="4"/>
      <c r="CD1558" s="4"/>
      <c r="CE1558" s="4"/>
      <c r="CF1558" s="4"/>
      <c r="CG1558" s="4"/>
      <c r="CH1558" s="4"/>
      <c r="CI1558" s="5">
        <v>40193</v>
      </c>
      <c r="CJ1558" s="5">
        <v>40193</v>
      </c>
      <c r="CK1558" s="5">
        <v>40193</v>
      </c>
      <c r="CL1558" s="4"/>
      <c r="CM1558" s="4"/>
      <c r="CN1558" s="4"/>
      <c r="CO1558" s="4"/>
      <c r="CP1558" s="4" t="s">
        <v>4672</v>
      </c>
      <c r="CQ1558" s="4" t="s">
        <v>230</v>
      </c>
      <c r="CR1558" s="5">
        <v>40193</v>
      </c>
      <c r="CS1558" s="4"/>
      <c r="CT1558" s="4"/>
      <c r="CU1558" s="4"/>
      <c r="CV1558" s="4"/>
      <c r="CW1558" s="4"/>
      <c r="CX1558" s="4"/>
      <c r="CY1558" s="4"/>
      <c r="CZ1558" s="4"/>
      <c r="DA1558" s="4"/>
      <c r="DB1558" s="4"/>
      <c r="DC1558" s="4"/>
      <c r="DD1558" s="4"/>
      <c r="DE1558" s="4"/>
      <c r="DF1558" s="4"/>
      <c r="DG1558" s="4"/>
      <c r="DH1558" s="4"/>
      <c r="DI1558" s="4"/>
      <c r="DJ1558" s="4" t="b">
        <v>0</v>
      </c>
      <c r="DK1558" s="4"/>
      <c r="DL1558" s="4">
        <v>2668119</v>
      </c>
      <c r="DM1558" s="4">
        <v>6008340</v>
      </c>
      <c r="DN1558" s="4" t="s">
        <v>4673</v>
      </c>
      <c r="DO1558" s="4"/>
      <c r="DP1558" s="4"/>
      <c r="DQ1558" s="4" t="s">
        <v>148</v>
      </c>
      <c r="DR1558" s="4"/>
      <c r="DS1558" s="4"/>
      <c r="DT1558" s="4"/>
      <c r="DU1558" s="4"/>
      <c r="DV1558" s="4"/>
      <c r="DW1558" s="4"/>
      <c r="DX1558" s="4"/>
      <c r="DY1558" s="5">
        <v>40137</v>
      </c>
      <c r="DZ1558" s="5">
        <v>40128</v>
      </c>
      <c r="EA1558" s="4"/>
      <c r="EB1558" s="4"/>
      <c r="EC1558" s="4"/>
      <c r="ED1558" s="4"/>
      <c r="EE1558" s="4"/>
      <c r="EF1558" s="4"/>
      <c r="EG1558" s="4"/>
      <c r="EH1558" s="4"/>
      <c r="EI1558" s="5">
        <v>39930</v>
      </c>
    </row>
    <row r="1559" spans="1:139" hidden="1" x14ac:dyDescent="0.2">
      <c r="A1559">
        <f>VLOOKUP(B1559,Sheet1!$A$1:$B$18,2,FALSE)</f>
        <v>0</v>
      </c>
      <c r="B1559" t="str">
        <f>LEFT(D1559,3)</f>
        <v>WLG</v>
      </c>
      <c r="C1559" s="2">
        <v>1558</v>
      </c>
      <c r="D1559" s="3" t="str">
        <f>HYPERLINK("https://sitebase.nzcomms.co.nz/spm/spmnominalview/WLG-044-005/","WLG-044-005")</f>
        <v>WLG-044-005</v>
      </c>
      <c r="E1559" s="4"/>
      <c r="F1559" s="3" t="str">
        <f>HYPERLINK("https://sitebase.nzcomms.co.nz/spm/spmcandidateview/WLG-044-005-B/","WLG-044-005-B")</f>
        <v>WLG-044-005-B</v>
      </c>
      <c r="G1559" s="4" t="s">
        <v>4674</v>
      </c>
      <c r="H1559" s="4" t="s">
        <v>4661</v>
      </c>
      <c r="I1559" s="4"/>
      <c r="J1559" s="4" t="s">
        <v>139</v>
      </c>
      <c r="K1559" s="4" t="s">
        <v>141</v>
      </c>
      <c r="L1559" s="4" t="s">
        <v>150</v>
      </c>
      <c r="M1559" s="4" t="s">
        <v>143</v>
      </c>
      <c r="N1559" s="4" t="s">
        <v>246</v>
      </c>
      <c r="O1559" s="4" t="s">
        <v>144</v>
      </c>
      <c r="P1559" s="4"/>
      <c r="Q1559" s="4"/>
      <c r="R1559" s="4">
        <v>8.8000000000000007</v>
      </c>
      <c r="S1559" s="4">
        <v>8.8000000000000007</v>
      </c>
      <c r="T1559" s="4"/>
      <c r="U1559" s="4">
        <v>-41.123843659999999</v>
      </c>
      <c r="V1559" s="4">
        <v>174.95699956000001</v>
      </c>
      <c r="W1559" s="4"/>
      <c r="X1559" s="4"/>
      <c r="Y1559" s="4"/>
      <c r="Z1559" s="4"/>
      <c r="AA1559" s="4" t="s">
        <v>217</v>
      </c>
      <c r="AB1559" s="4" t="s">
        <v>4675</v>
      </c>
      <c r="AC1559" s="4"/>
      <c r="AD1559" s="4"/>
      <c r="AE1559" s="4"/>
      <c r="AF1559" s="4"/>
      <c r="AG1559" s="4"/>
      <c r="AH1559" s="4" t="s">
        <v>4618</v>
      </c>
      <c r="AI1559" s="4"/>
      <c r="AJ1559" s="4"/>
      <c r="AK1559" s="4"/>
      <c r="AL1559" s="4"/>
      <c r="AM1559" s="4"/>
      <c r="AN1559" s="5">
        <v>39695</v>
      </c>
      <c r="AO1559" s="4">
        <v>3</v>
      </c>
      <c r="AP1559" s="5">
        <v>39882</v>
      </c>
      <c r="AQ1559" s="4"/>
      <c r="AR1559" s="4"/>
      <c r="AS1559" s="4"/>
      <c r="AT1559" s="5">
        <v>39752</v>
      </c>
      <c r="AU1559" s="5">
        <v>39714</v>
      </c>
      <c r="AV1559" s="4">
        <v>1</v>
      </c>
      <c r="AW1559" s="5">
        <v>39752</v>
      </c>
      <c r="AX1559" s="5">
        <v>39714</v>
      </c>
      <c r="AY1559" s="4"/>
      <c r="AZ1559" s="4"/>
      <c r="BA1559" s="4"/>
      <c r="BB1559" s="5">
        <v>39806</v>
      </c>
      <c r="BC1559" s="4"/>
      <c r="BD1559" s="4"/>
      <c r="BE1559" s="5">
        <v>39806</v>
      </c>
      <c r="BF1559" s="5">
        <v>40401</v>
      </c>
      <c r="BG1559" s="4"/>
      <c r="BH1559" s="5">
        <v>39764</v>
      </c>
      <c r="BI1559" s="4"/>
      <c r="BJ1559" s="5">
        <v>39822</v>
      </c>
      <c r="BK1559" s="4">
        <v>2</v>
      </c>
      <c r="BL1559" s="4">
        <v>1</v>
      </c>
      <c r="BM1559" s="5">
        <v>39827</v>
      </c>
      <c r="BN1559" s="5">
        <v>39827</v>
      </c>
      <c r="BO1559" s="5">
        <v>39895</v>
      </c>
      <c r="BP1559" s="4"/>
      <c r="BQ1559" s="4"/>
      <c r="BR1559" s="4"/>
      <c r="BS1559" s="4"/>
      <c r="BT1559" s="5">
        <v>39874</v>
      </c>
      <c r="BU1559" s="5">
        <v>39868</v>
      </c>
      <c r="BV1559" s="5">
        <v>39918</v>
      </c>
      <c r="BW1559" s="5">
        <v>39911</v>
      </c>
      <c r="BX1559" s="4"/>
      <c r="BY1559" s="5">
        <v>39927</v>
      </c>
      <c r="BZ1559" s="5">
        <v>39925</v>
      </c>
      <c r="CA1559" s="4"/>
      <c r="CB1559" s="4"/>
      <c r="CC1559" s="4"/>
      <c r="CD1559" s="4"/>
      <c r="CE1559" s="4"/>
      <c r="CF1559" s="4"/>
      <c r="CG1559" s="4"/>
      <c r="CH1559" s="4"/>
      <c r="CI1559" s="5">
        <v>39994</v>
      </c>
      <c r="CJ1559" s="5">
        <v>39994</v>
      </c>
      <c r="CK1559" s="5">
        <v>39994</v>
      </c>
      <c r="CL1559" s="4"/>
      <c r="CM1559" s="4"/>
      <c r="CN1559" s="4"/>
      <c r="CO1559" s="4"/>
      <c r="CP1559" s="4" t="s">
        <v>4676</v>
      </c>
      <c r="CQ1559" s="4"/>
      <c r="CR1559" s="5">
        <v>39994</v>
      </c>
      <c r="CS1559" s="4"/>
      <c r="CT1559" s="4"/>
      <c r="CU1559" s="4"/>
      <c r="CV1559" s="4"/>
      <c r="CW1559" s="5">
        <v>39892</v>
      </c>
      <c r="CX1559" s="5">
        <v>39895</v>
      </c>
      <c r="CY1559" s="4"/>
      <c r="CZ1559" s="4"/>
      <c r="DA1559" s="4"/>
      <c r="DB1559" s="4"/>
      <c r="DC1559" s="4"/>
      <c r="DD1559" s="4"/>
      <c r="DE1559" s="4"/>
      <c r="DF1559" s="4"/>
      <c r="DG1559" s="4"/>
      <c r="DH1559" s="4"/>
      <c r="DI1559" s="4"/>
      <c r="DJ1559" s="4" t="b">
        <v>0</v>
      </c>
      <c r="DK1559" s="4"/>
      <c r="DL1559" s="4">
        <v>2674303</v>
      </c>
      <c r="DM1559" s="4">
        <v>6007364</v>
      </c>
      <c r="DN1559" s="4" t="s">
        <v>4677</v>
      </c>
      <c r="DO1559" s="4"/>
      <c r="DP1559" s="4"/>
      <c r="DQ1559" s="4" t="s">
        <v>148</v>
      </c>
      <c r="DR1559" s="4"/>
      <c r="DS1559" s="4"/>
      <c r="DT1559" s="4"/>
      <c r="DU1559" s="4"/>
      <c r="DV1559" s="4"/>
      <c r="DW1559" s="4"/>
      <c r="DX1559" s="4"/>
      <c r="DY1559" s="4"/>
      <c r="DZ1559" s="5">
        <v>39829</v>
      </c>
      <c r="EA1559" s="4"/>
      <c r="EB1559" s="4"/>
      <c r="EC1559" s="4"/>
      <c r="ED1559" s="4"/>
      <c r="EE1559" s="4"/>
      <c r="EF1559" s="4"/>
      <c r="EG1559" s="4"/>
      <c r="EH1559" s="4"/>
      <c r="EI1559" s="5">
        <v>39672</v>
      </c>
    </row>
    <row r="1560" spans="1:139" hidden="1" x14ac:dyDescent="0.2">
      <c r="A1560">
        <f>VLOOKUP(B1560,Sheet1!$A$1:$B$18,2,FALSE)</f>
        <v>0</v>
      </c>
      <c r="B1560" t="str">
        <f>LEFT(D1560,3)</f>
        <v>WLG</v>
      </c>
      <c r="C1560" s="2">
        <v>1559</v>
      </c>
      <c r="D1560" s="3" t="str">
        <f>HYPERLINK("https://sitebase.nzcomms.co.nz/spm/spmnominalview/WLG-044-006/","WLG-044-006")</f>
        <v>WLG-044-006</v>
      </c>
      <c r="E1560" s="4"/>
      <c r="F1560" s="3" t="str">
        <f>HYPERLINK("https://sitebase.nzcomms.co.nz/spm/spmcandidateview/WLG-044-006-A/","WLG-044-006-A")</f>
        <v>WLG-044-006-A</v>
      </c>
      <c r="G1560" s="4" t="s">
        <v>4678</v>
      </c>
      <c r="H1560" s="4" t="s">
        <v>4661</v>
      </c>
      <c r="I1560" s="4"/>
      <c r="J1560" s="4" t="s">
        <v>139</v>
      </c>
      <c r="K1560" s="4" t="s">
        <v>141</v>
      </c>
      <c r="L1560" s="4" t="s">
        <v>150</v>
      </c>
      <c r="M1560" s="4" t="s">
        <v>143</v>
      </c>
      <c r="N1560" s="4" t="s">
        <v>246</v>
      </c>
      <c r="O1560" s="4" t="s">
        <v>144</v>
      </c>
      <c r="P1560" s="4"/>
      <c r="Q1560" s="4"/>
      <c r="R1560" s="4">
        <v>10.8</v>
      </c>
      <c r="S1560" s="4">
        <v>10.8</v>
      </c>
      <c r="T1560" s="4"/>
      <c r="U1560" s="4">
        <v>-41.11517654</v>
      </c>
      <c r="V1560" s="4">
        <v>174.90806782000001</v>
      </c>
      <c r="W1560" s="4"/>
      <c r="X1560" s="4"/>
      <c r="Y1560" s="4"/>
      <c r="Z1560" s="4"/>
      <c r="AA1560" s="4" t="s">
        <v>382</v>
      </c>
      <c r="AB1560" s="4" t="s">
        <v>4679</v>
      </c>
      <c r="AC1560" s="4"/>
      <c r="AD1560" s="4"/>
      <c r="AE1560" s="4"/>
      <c r="AF1560" s="4"/>
      <c r="AG1560" s="4"/>
      <c r="AH1560" s="4"/>
      <c r="AI1560" s="4"/>
      <c r="AJ1560" s="4"/>
      <c r="AK1560" s="4"/>
      <c r="AL1560" s="4"/>
      <c r="AM1560" s="4"/>
      <c r="AN1560" s="5">
        <v>39476</v>
      </c>
      <c r="AO1560" s="4">
        <v>4</v>
      </c>
      <c r="AP1560" s="4"/>
      <c r="AQ1560" s="5">
        <v>39744</v>
      </c>
      <c r="AR1560" s="4"/>
      <c r="AS1560" s="4"/>
      <c r="AT1560" s="5">
        <v>39566</v>
      </c>
      <c r="AU1560" s="5">
        <v>39566</v>
      </c>
      <c r="AV1560" s="4">
        <v>3</v>
      </c>
      <c r="AW1560" s="5">
        <v>39566</v>
      </c>
      <c r="AX1560" s="5">
        <v>39566</v>
      </c>
      <c r="AY1560" s="4"/>
      <c r="AZ1560" s="4"/>
      <c r="BA1560" s="4"/>
      <c r="BB1560" s="5">
        <v>39825</v>
      </c>
      <c r="BC1560" s="4"/>
      <c r="BD1560" s="4"/>
      <c r="BE1560" s="5">
        <v>39825</v>
      </c>
      <c r="BF1560" s="5">
        <v>39825</v>
      </c>
      <c r="BG1560" s="4"/>
      <c r="BH1560" s="5">
        <v>39548</v>
      </c>
      <c r="BI1560" s="4"/>
      <c r="BJ1560" s="5">
        <v>39646</v>
      </c>
      <c r="BK1560" s="4">
        <v>3</v>
      </c>
      <c r="BL1560" s="4">
        <v>4</v>
      </c>
      <c r="BM1560" s="5">
        <v>39853</v>
      </c>
      <c r="BN1560" s="5">
        <v>39853</v>
      </c>
      <c r="BO1560" s="5">
        <v>39884</v>
      </c>
      <c r="BP1560" s="4"/>
      <c r="BQ1560" s="4"/>
      <c r="BR1560" s="4"/>
      <c r="BS1560" s="4"/>
      <c r="BT1560" s="5">
        <v>39860</v>
      </c>
      <c r="BU1560" s="5">
        <v>39861</v>
      </c>
      <c r="BV1560" s="5">
        <v>39902</v>
      </c>
      <c r="BW1560" s="5">
        <v>39902</v>
      </c>
      <c r="BX1560" s="4"/>
      <c r="BY1560" s="5">
        <v>39903</v>
      </c>
      <c r="BZ1560" s="5">
        <v>39903</v>
      </c>
      <c r="CA1560" s="4"/>
      <c r="CB1560" s="4"/>
      <c r="CC1560" s="4"/>
      <c r="CD1560" s="4"/>
      <c r="CE1560" s="4"/>
      <c r="CF1560" s="4"/>
      <c r="CG1560" s="4"/>
      <c r="CH1560" s="4"/>
      <c r="CI1560" s="5">
        <v>39903</v>
      </c>
      <c r="CJ1560" s="5">
        <v>39903</v>
      </c>
      <c r="CK1560" s="5">
        <v>39903</v>
      </c>
      <c r="CL1560" s="4"/>
      <c r="CM1560" s="4"/>
      <c r="CN1560" s="4"/>
      <c r="CO1560" s="4"/>
      <c r="CP1560" s="4" t="s">
        <v>4680</v>
      </c>
      <c r="CQ1560" s="4"/>
      <c r="CR1560" s="5">
        <v>39903</v>
      </c>
      <c r="CS1560" s="4"/>
      <c r="CT1560" s="4"/>
      <c r="CU1560" s="4"/>
      <c r="CV1560" s="4"/>
      <c r="CW1560" s="5">
        <v>39885</v>
      </c>
      <c r="CX1560" s="5">
        <v>39884</v>
      </c>
      <c r="CY1560" s="4"/>
      <c r="CZ1560" s="4"/>
      <c r="DA1560" s="4"/>
      <c r="DB1560" s="4"/>
      <c r="DC1560" s="4"/>
      <c r="DD1560" s="4"/>
      <c r="DE1560" s="4"/>
      <c r="DF1560" s="4"/>
      <c r="DG1560" s="4"/>
      <c r="DH1560" s="4"/>
      <c r="DI1560" s="4"/>
      <c r="DJ1560" s="4" t="b">
        <v>0</v>
      </c>
      <c r="DK1560" s="4"/>
      <c r="DL1560" s="4">
        <v>2670216</v>
      </c>
      <c r="DM1560" s="4">
        <v>6008417</v>
      </c>
      <c r="DN1560" s="4" t="s">
        <v>4681</v>
      </c>
      <c r="DO1560" s="4"/>
      <c r="DP1560" s="4"/>
      <c r="DQ1560" s="4" t="s">
        <v>148</v>
      </c>
      <c r="DR1560" s="4"/>
      <c r="DS1560" s="4"/>
      <c r="DT1560" s="4"/>
      <c r="DU1560" s="4"/>
      <c r="DV1560" s="4"/>
      <c r="DW1560" s="4"/>
      <c r="DX1560" s="4"/>
      <c r="DY1560" s="4"/>
      <c r="DZ1560" s="5">
        <v>39847</v>
      </c>
      <c r="EA1560" s="4"/>
      <c r="EB1560" s="4"/>
      <c r="EC1560" s="4"/>
      <c r="ED1560" s="4"/>
      <c r="EE1560" s="4"/>
      <c r="EF1560" s="4"/>
      <c r="EG1560" s="4"/>
      <c r="EH1560" s="4"/>
      <c r="EI1560" s="5">
        <v>39387</v>
      </c>
    </row>
    <row r="1561" spans="1:139" hidden="1" x14ac:dyDescent="0.2">
      <c r="A1561">
        <f>VLOOKUP(B1561,Sheet1!$A$1:$B$18,2,FALSE)</f>
        <v>0</v>
      </c>
      <c r="B1561" t="str">
        <f>LEFT(D1561,3)</f>
        <v>WLG</v>
      </c>
      <c r="C1561" s="2">
        <v>1560</v>
      </c>
      <c r="D1561" s="3" t="str">
        <f>HYPERLINK("https://sitebase.nzcomms.co.nz/spm/spmnominalview/WLG-044-007/","WLG-044-007")</f>
        <v>WLG-044-007</v>
      </c>
      <c r="E1561" s="4"/>
      <c r="F1561" s="3" t="str">
        <f>HYPERLINK("https://sitebase.nzcomms.co.nz/spm/spmcandidateview/WLG-044-007-B/","WLG-044-007-B")</f>
        <v>WLG-044-007-B</v>
      </c>
      <c r="G1561" s="4" t="s">
        <v>4682</v>
      </c>
      <c r="H1561" s="4" t="s">
        <v>4661</v>
      </c>
      <c r="I1561" s="4"/>
      <c r="J1561" s="4" t="s">
        <v>139</v>
      </c>
      <c r="K1561" s="4" t="s">
        <v>141</v>
      </c>
      <c r="L1561" s="4" t="s">
        <v>150</v>
      </c>
      <c r="M1561" s="4" t="s">
        <v>143</v>
      </c>
      <c r="N1561" s="4" t="s">
        <v>364</v>
      </c>
      <c r="O1561" s="4" t="s">
        <v>144</v>
      </c>
      <c r="P1561" s="4"/>
      <c r="Q1561" s="4" t="s">
        <v>170</v>
      </c>
      <c r="R1561" s="4">
        <v>12.5</v>
      </c>
      <c r="S1561" s="4">
        <v>12.5</v>
      </c>
      <c r="T1561" s="4"/>
      <c r="U1561" s="4">
        <v>-41.126807939999999</v>
      </c>
      <c r="V1561" s="4">
        <v>174.86199465000001</v>
      </c>
      <c r="W1561" s="4"/>
      <c r="X1561" s="4"/>
      <c r="Y1561" s="4"/>
      <c r="Z1561" s="4"/>
      <c r="AA1561" s="4" t="s">
        <v>217</v>
      </c>
      <c r="AB1561" s="4" t="s">
        <v>4683</v>
      </c>
      <c r="AC1561" s="4"/>
      <c r="AD1561" s="4"/>
      <c r="AE1561" s="4"/>
      <c r="AF1561" s="4"/>
      <c r="AG1561" s="4"/>
      <c r="AH1561" s="4" t="s">
        <v>4623</v>
      </c>
      <c r="AI1561" s="4"/>
      <c r="AJ1561" s="4"/>
      <c r="AK1561" s="4"/>
      <c r="AL1561" s="4"/>
      <c r="AM1561" s="4"/>
      <c r="AN1561" s="5">
        <v>39203</v>
      </c>
      <c r="AO1561" s="4">
        <v>1</v>
      </c>
      <c r="AP1561" s="5">
        <v>39203</v>
      </c>
      <c r="AQ1561" s="5">
        <v>39203</v>
      </c>
      <c r="AR1561" s="4"/>
      <c r="AS1561" s="4"/>
      <c r="AT1561" s="5">
        <v>39859</v>
      </c>
      <c r="AU1561" s="5">
        <v>39848</v>
      </c>
      <c r="AV1561" s="4"/>
      <c r="AW1561" s="5">
        <v>39859</v>
      </c>
      <c r="AX1561" s="5">
        <v>39848</v>
      </c>
      <c r="AY1561" s="4"/>
      <c r="AZ1561" s="5">
        <v>39203</v>
      </c>
      <c r="BA1561" s="4"/>
      <c r="BB1561" s="5">
        <v>39800</v>
      </c>
      <c r="BC1561" s="4"/>
      <c r="BD1561" s="4"/>
      <c r="BE1561" s="5">
        <v>39800</v>
      </c>
      <c r="BF1561" s="5">
        <v>39800</v>
      </c>
      <c r="BG1561" s="4"/>
      <c r="BH1561" s="5">
        <v>39203</v>
      </c>
      <c r="BI1561" s="4"/>
      <c r="BJ1561" s="5">
        <v>40235</v>
      </c>
      <c r="BK1561" s="4"/>
      <c r="BL1561" s="4"/>
      <c r="BM1561" s="5">
        <v>39770</v>
      </c>
      <c r="BN1561" s="4"/>
      <c r="BO1561" s="4"/>
      <c r="BP1561" s="4"/>
      <c r="BQ1561" s="4"/>
      <c r="BR1561" s="4"/>
      <c r="BS1561" s="4"/>
      <c r="BT1561" s="5">
        <v>39882</v>
      </c>
      <c r="BU1561" s="5">
        <v>39876</v>
      </c>
      <c r="BV1561" s="5">
        <v>39931</v>
      </c>
      <c r="BW1561" s="5">
        <v>39927</v>
      </c>
      <c r="BX1561" s="4"/>
      <c r="BY1561" s="5">
        <v>39971</v>
      </c>
      <c r="BZ1561" s="5">
        <v>39941</v>
      </c>
      <c r="CA1561" s="4"/>
      <c r="CB1561" s="4"/>
      <c r="CC1561" s="4"/>
      <c r="CD1561" s="4"/>
      <c r="CE1561" s="4"/>
      <c r="CF1561" s="4"/>
      <c r="CG1561" s="4"/>
      <c r="CH1561" s="4"/>
      <c r="CI1561" s="5">
        <v>39987</v>
      </c>
      <c r="CJ1561" s="5">
        <v>39994</v>
      </c>
      <c r="CK1561" s="5">
        <v>39987</v>
      </c>
      <c r="CL1561" s="4"/>
      <c r="CM1561" s="4"/>
      <c r="CN1561" s="4"/>
      <c r="CO1561" s="4"/>
      <c r="CP1561" s="4" t="s">
        <v>4684</v>
      </c>
      <c r="CQ1561" s="4"/>
      <c r="CR1561" s="5">
        <v>39994</v>
      </c>
      <c r="CS1561" s="4"/>
      <c r="CT1561" s="4"/>
      <c r="CU1561" s="4"/>
      <c r="CV1561" s="4"/>
      <c r="CW1561" s="4"/>
      <c r="CX1561" s="4"/>
      <c r="CY1561" s="4"/>
      <c r="CZ1561" s="4"/>
      <c r="DA1561" s="4"/>
      <c r="DB1561" s="4"/>
      <c r="DC1561" s="4"/>
      <c r="DD1561" s="4"/>
      <c r="DE1561" s="4"/>
      <c r="DF1561" s="4"/>
      <c r="DG1561" s="4"/>
      <c r="DH1561" s="4"/>
      <c r="DI1561" s="4"/>
      <c r="DJ1561" s="4" t="b">
        <v>0</v>
      </c>
      <c r="DK1561" s="4"/>
      <c r="DL1561" s="4">
        <v>2666320</v>
      </c>
      <c r="DM1561" s="4">
        <v>6007209</v>
      </c>
      <c r="DN1561" s="4" t="s">
        <v>4685</v>
      </c>
      <c r="DO1561" s="4"/>
      <c r="DP1561" s="4"/>
      <c r="DQ1561" s="4" t="s">
        <v>148</v>
      </c>
      <c r="DR1561" s="4"/>
      <c r="DS1561" s="4"/>
      <c r="DT1561" s="5">
        <v>42340</v>
      </c>
      <c r="DU1561" s="4"/>
      <c r="DV1561" s="4"/>
      <c r="DW1561" s="4"/>
      <c r="DX1561" s="4"/>
      <c r="DY1561" s="5">
        <v>39863</v>
      </c>
      <c r="DZ1561" s="5">
        <v>39863</v>
      </c>
      <c r="EA1561" s="4"/>
      <c r="EB1561" s="4"/>
      <c r="EC1561" s="4"/>
      <c r="ED1561" s="4"/>
      <c r="EE1561" s="4"/>
      <c r="EF1561" s="4"/>
      <c r="EG1561" s="4"/>
      <c r="EH1561" s="4"/>
      <c r="EI1561" s="5">
        <v>39695</v>
      </c>
    </row>
    <row r="1562" spans="1:139" hidden="1" x14ac:dyDescent="0.2">
      <c r="A1562">
        <f>VLOOKUP(B1562,Sheet1!$A$1:$B$18,2,FALSE)</f>
        <v>0</v>
      </c>
      <c r="B1562" t="str">
        <f>LEFT(D1562,3)</f>
        <v>WLG</v>
      </c>
      <c r="C1562" s="2">
        <v>1561</v>
      </c>
      <c r="D1562" s="3" t="str">
        <f>HYPERLINK("https://sitebase.nzcomms.co.nz/spm/spmnominalview/WLG-044-008/","WLG-044-008")</f>
        <v>WLG-044-008</v>
      </c>
      <c r="E1562" s="4"/>
      <c r="F1562" s="3" t="str">
        <f>HYPERLINK("https://sitebase.nzcomms.co.nz/spm/spmcandidateview/WLG-044-008-C/","WLG-044-008-C")</f>
        <v>WLG-044-008-C</v>
      </c>
      <c r="G1562" s="4" t="s">
        <v>4686</v>
      </c>
      <c r="H1562" s="4" t="s">
        <v>4661</v>
      </c>
      <c r="I1562" s="4"/>
      <c r="J1562" s="4" t="s">
        <v>139</v>
      </c>
      <c r="K1562" s="4" t="s">
        <v>141</v>
      </c>
      <c r="L1562" s="4" t="s">
        <v>189</v>
      </c>
      <c r="M1562" s="4" t="s">
        <v>143</v>
      </c>
      <c r="N1562" s="4" t="s">
        <v>274</v>
      </c>
      <c r="O1562" s="4" t="s">
        <v>356</v>
      </c>
      <c r="P1562" s="4"/>
      <c r="Q1562" s="4"/>
      <c r="R1562" s="4">
        <v>11</v>
      </c>
      <c r="S1562" s="4">
        <v>11</v>
      </c>
      <c r="T1562" s="4"/>
      <c r="U1562" s="4">
        <v>-41.12933108</v>
      </c>
      <c r="V1562" s="4">
        <v>174.87974346999999</v>
      </c>
      <c r="W1562" s="4"/>
      <c r="X1562" s="4"/>
      <c r="Y1562" s="4"/>
      <c r="Z1562" s="4"/>
      <c r="AA1562" s="4"/>
      <c r="AB1562" s="4"/>
      <c r="AC1562" s="4"/>
      <c r="AD1562" s="4"/>
      <c r="AE1562" s="4"/>
      <c r="AF1562" s="4"/>
      <c r="AG1562" s="4"/>
      <c r="AH1562" s="4"/>
      <c r="AI1562" s="4"/>
      <c r="AJ1562" s="5">
        <v>39797</v>
      </c>
      <c r="AK1562" s="4"/>
      <c r="AL1562" s="4"/>
      <c r="AM1562" s="4"/>
      <c r="AN1562" s="5">
        <v>39853</v>
      </c>
      <c r="AO1562" s="4">
        <v>3</v>
      </c>
      <c r="AP1562" s="5">
        <v>39887</v>
      </c>
      <c r="AQ1562" s="5">
        <v>39940</v>
      </c>
      <c r="AR1562" s="4"/>
      <c r="AS1562" s="4"/>
      <c r="AT1562" s="5">
        <v>39945</v>
      </c>
      <c r="AU1562" s="5">
        <v>39946</v>
      </c>
      <c r="AV1562" s="4">
        <v>1</v>
      </c>
      <c r="AW1562" s="5">
        <v>39945</v>
      </c>
      <c r="AX1562" s="5">
        <v>39946</v>
      </c>
      <c r="AY1562" s="4"/>
      <c r="AZ1562" s="5">
        <v>39937</v>
      </c>
      <c r="BA1562" s="4"/>
      <c r="BB1562" s="5">
        <v>39979</v>
      </c>
      <c r="BC1562" s="4"/>
      <c r="BD1562" s="4"/>
      <c r="BE1562" s="5">
        <v>39979</v>
      </c>
      <c r="BF1562" s="5">
        <v>39967</v>
      </c>
      <c r="BG1562" s="5">
        <v>39953</v>
      </c>
      <c r="BH1562" s="5">
        <v>39960</v>
      </c>
      <c r="BI1562" s="5">
        <v>39993</v>
      </c>
      <c r="BJ1562" s="5">
        <v>39993</v>
      </c>
      <c r="BK1562" s="4">
        <v>1</v>
      </c>
      <c r="BL1562" s="4">
        <v>3</v>
      </c>
      <c r="BM1562" s="5">
        <v>39993</v>
      </c>
      <c r="BN1562" s="5">
        <v>39993</v>
      </c>
      <c r="BO1562" s="4"/>
      <c r="BP1562" s="4"/>
      <c r="BQ1562" s="4"/>
      <c r="BR1562" s="4"/>
      <c r="BS1562" s="4"/>
      <c r="BT1562" s="5">
        <v>40090</v>
      </c>
      <c r="BU1562" s="5">
        <v>40087</v>
      </c>
      <c r="BV1562" s="5">
        <v>40116</v>
      </c>
      <c r="BW1562" s="5">
        <v>40107</v>
      </c>
      <c r="BX1562" s="4"/>
      <c r="BY1562" s="5">
        <v>40116</v>
      </c>
      <c r="BZ1562" s="5">
        <v>40107</v>
      </c>
      <c r="CA1562" s="4"/>
      <c r="CB1562" s="4"/>
      <c r="CC1562" s="4"/>
      <c r="CD1562" s="4"/>
      <c r="CE1562" s="4"/>
      <c r="CF1562" s="4"/>
      <c r="CG1562" s="4"/>
      <c r="CH1562" s="4"/>
      <c r="CI1562" s="5">
        <v>40109</v>
      </c>
      <c r="CJ1562" s="5">
        <v>40122</v>
      </c>
      <c r="CK1562" s="5">
        <v>40109</v>
      </c>
      <c r="CL1562" s="4"/>
      <c r="CM1562" s="4"/>
      <c r="CN1562" s="4"/>
      <c r="CO1562" s="4"/>
      <c r="CP1562" s="4" t="s">
        <v>4687</v>
      </c>
      <c r="CQ1562" s="4"/>
      <c r="CR1562" s="5">
        <v>40122</v>
      </c>
      <c r="CS1562" s="4"/>
      <c r="CT1562" s="4"/>
      <c r="CU1562" s="4"/>
      <c r="CV1562" s="4"/>
      <c r="CW1562" s="5">
        <v>40049</v>
      </c>
      <c r="CX1562" s="4"/>
      <c r="CY1562" s="4"/>
      <c r="CZ1562" s="4"/>
      <c r="DA1562" s="4"/>
      <c r="DB1562" s="4"/>
      <c r="DC1562" s="4"/>
      <c r="DD1562" s="4"/>
      <c r="DE1562" s="4"/>
      <c r="DF1562" s="4"/>
      <c r="DG1562" s="4"/>
      <c r="DH1562" s="4"/>
      <c r="DI1562" s="4"/>
      <c r="DJ1562" s="4" t="b">
        <v>0</v>
      </c>
      <c r="DK1562" s="4"/>
      <c r="DL1562" s="4">
        <v>2667804</v>
      </c>
      <c r="DM1562" s="4">
        <v>6006897</v>
      </c>
      <c r="DN1562" s="4" t="s">
        <v>4688</v>
      </c>
      <c r="DO1562" s="4"/>
      <c r="DP1562" s="4"/>
      <c r="DQ1562" s="4" t="s">
        <v>148</v>
      </c>
      <c r="DR1562" s="4"/>
      <c r="DS1562" s="4"/>
      <c r="DT1562" s="4"/>
      <c r="DU1562" s="4"/>
      <c r="DV1562" s="4"/>
      <c r="DW1562" s="4"/>
      <c r="DX1562" s="4"/>
      <c r="DY1562" s="5">
        <v>40077</v>
      </c>
      <c r="DZ1562" s="5">
        <v>40080</v>
      </c>
      <c r="EA1562" s="4"/>
      <c r="EB1562" s="4"/>
      <c r="EC1562" s="4"/>
      <c r="ED1562" s="4"/>
      <c r="EE1562" s="4"/>
      <c r="EF1562" s="4"/>
      <c r="EG1562" s="4"/>
      <c r="EH1562" s="4"/>
      <c r="EI1562" s="5">
        <v>39840</v>
      </c>
    </row>
    <row r="1563" spans="1:139" hidden="1" x14ac:dyDescent="0.2">
      <c r="A1563">
        <f>VLOOKUP(B1563,Sheet1!$A$1:$B$18,2,FALSE)</f>
        <v>0</v>
      </c>
      <c r="B1563" t="str">
        <f>LEFT(D1563,3)</f>
        <v>WLG</v>
      </c>
      <c r="C1563" s="2">
        <v>1562</v>
      </c>
      <c r="D1563" s="3" t="str">
        <f>HYPERLINK("https://sitebase.nzcomms.co.nz/spm/spmnominalview/WLG-044-009/","WLG-044-009")</f>
        <v>WLG-044-009</v>
      </c>
      <c r="E1563" s="4"/>
      <c r="F1563" s="3" t="str">
        <f>HYPERLINK("https://sitebase.nzcomms.co.nz/spm/spmcandidateview/WLG-044-009-A/","WLG-044-009-A")</f>
        <v>WLG-044-009-A</v>
      </c>
      <c r="G1563" s="4" t="s">
        <v>4661</v>
      </c>
      <c r="H1563" s="4" t="s">
        <v>4661</v>
      </c>
      <c r="I1563" s="4"/>
      <c r="J1563" s="4" t="s">
        <v>139</v>
      </c>
      <c r="K1563" s="4" t="s">
        <v>141</v>
      </c>
      <c r="L1563" s="4" t="s">
        <v>181</v>
      </c>
      <c r="M1563" s="4" t="s">
        <v>442</v>
      </c>
      <c r="N1563" s="4" t="s">
        <v>364</v>
      </c>
      <c r="O1563" s="4" t="s">
        <v>144</v>
      </c>
      <c r="P1563" s="4"/>
      <c r="Q1563" s="4"/>
      <c r="R1563" s="4">
        <v>36.9</v>
      </c>
      <c r="S1563" s="4">
        <v>36.9</v>
      </c>
      <c r="T1563" s="4"/>
      <c r="U1563" s="4">
        <v>-41.136500089999998</v>
      </c>
      <c r="V1563" s="4">
        <v>174.84057290999999</v>
      </c>
      <c r="W1563" s="4"/>
      <c r="X1563" s="4"/>
      <c r="Y1563" s="4"/>
      <c r="Z1563" s="4"/>
      <c r="AA1563" s="4" t="s">
        <v>446</v>
      </c>
      <c r="AB1563" s="4" t="s">
        <v>4689</v>
      </c>
      <c r="AC1563" s="4"/>
      <c r="AD1563" s="4"/>
      <c r="AE1563" s="4"/>
      <c r="AF1563" s="4"/>
      <c r="AG1563" s="4"/>
      <c r="AH1563" s="4" t="s">
        <v>4662</v>
      </c>
      <c r="AI1563" s="4"/>
      <c r="AJ1563" s="4"/>
      <c r="AK1563" s="4"/>
      <c r="AL1563" s="4"/>
      <c r="AM1563" s="4"/>
      <c r="AN1563" s="5">
        <v>39519</v>
      </c>
      <c r="AO1563" s="4">
        <v>4</v>
      </c>
      <c r="AP1563" s="4"/>
      <c r="AQ1563" s="5">
        <v>39679</v>
      </c>
      <c r="AR1563" s="4"/>
      <c r="AS1563" s="4"/>
      <c r="AT1563" s="5">
        <v>39614</v>
      </c>
      <c r="AU1563" s="5">
        <v>39598</v>
      </c>
      <c r="AV1563" s="4">
        <v>2</v>
      </c>
      <c r="AW1563" s="5">
        <v>39614</v>
      </c>
      <c r="AX1563" s="5">
        <v>39598</v>
      </c>
      <c r="AY1563" s="4"/>
      <c r="AZ1563" s="4"/>
      <c r="BA1563" s="4"/>
      <c r="BB1563" s="5">
        <v>39603</v>
      </c>
      <c r="BC1563" s="4"/>
      <c r="BD1563" s="4"/>
      <c r="BE1563" s="5">
        <v>39695</v>
      </c>
      <c r="BF1563" s="5">
        <v>39695</v>
      </c>
      <c r="BG1563" s="4"/>
      <c r="BH1563" s="5">
        <v>39552</v>
      </c>
      <c r="BI1563" s="4"/>
      <c r="BJ1563" s="5">
        <v>39640</v>
      </c>
      <c r="BK1563" s="4">
        <v>2</v>
      </c>
      <c r="BL1563" s="4">
        <v>4</v>
      </c>
      <c r="BM1563" s="5">
        <v>39682</v>
      </c>
      <c r="BN1563" s="5">
        <v>39682</v>
      </c>
      <c r="BO1563" s="4"/>
      <c r="BP1563" s="4"/>
      <c r="BQ1563" s="4"/>
      <c r="BR1563" s="4"/>
      <c r="BS1563" s="4"/>
      <c r="BT1563" s="4"/>
      <c r="BU1563" s="5">
        <v>39735</v>
      </c>
      <c r="BV1563" s="5">
        <v>39773</v>
      </c>
      <c r="BW1563" s="5">
        <v>39773</v>
      </c>
      <c r="BX1563" s="4"/>
      <c r="BY1563" s="5">
        <v>39780</v>
      </c>
      <c r="BZ1563" s="5">
        <v>39800</v>
      </c>
      <c r="CA1563" s="4"/>
      <c r="CB1563" s="4"/>
      <c r="CC1563" s="4"/>
      <c r="CD1563" s="4"/>
      <c r="CE1563" s="4"/>
      <c r="CF1563" s="4"/>
      <c r="CG1563" s="4"/>
      <c r="CH1563" s="4"/>
      <c r="CI1563" s="5">
        <v>39877</v>
      </c>
      <c r="CJ1563" s="5">
        <v>39879</v>
      </c>
      <c r="CK1563" s="5">
        <v>39877</v>
      </c>
      <c r="CL1563" s="4"/>
      <c r="CM1563" s="4"/>
      <c r="CN1563" s="4"/>
      <c r="CO1563" s="4"/>
      <c r="CP1563" s="4" t="s">
        <v>4690</v>
      </c>
      <c r="CQ1563" s="4"/>
      <c r="CR1563" s="5">
        <v>39879</v>
      </c>
      <c r="CS1563" s="4"/>
      <c r="CT1563" s="4"/>
      <c r="CU1563" s="4"/>
      <c r="CV1563" s="4"/>
      <c r="CW1563" s="4"/>
      <c r="CX1563" s="4"/>
      <c r="CY1563" s="4"/>
      <c r="CZ1563" s="4"/>
      <c r="DA1563" s="4"/>
      <c r="DB1563" s="4"/>
      <c r="DC1563" s="4"/>
      <c r="DD1563" s="4"/>
      <c r="DE1563" s="4"/>
      <c r="DF1563" s="4"/>
      <c r="DG1563" s="4"/>
      <c r="DH1563" s="4"/>
      <c r="DI1563" s="4"/>
      <c r="DJ1563" s="4" t="b">
        <v>0</v>
      </c>
      <c r="DK1563" s="4"/>
      <c r="DL1563" s="4">
        <v>2664499</v>
      </c>
      <c r="DM1563" s="4">
        <v>6006171</v>
      </c>
      <c r="DN1563" s="4" t="s">
        <v>4691</v>
      </c>
      <c r="DO1563" s="4"/>
      <c r="DP1563" s="4"/>
      <c r="DQ1563" s="4" t="s">
        <v>148</v>
      </c>
      <c r="DR1563" s="4"/>
      <c r="DS1563" s="4"/>
      <c r="DT1563" s="5">
        <v>42340</v>
      </c>
      <c r="DU1563" s="4"/>
      <c r="DV1563" s="4"/>
      <c r="DW1563" s="4"/>
      <c r="DX1563" s="4"/>
      <c r="DY1563" s="4"/>
      <c r="DZ1563" s="5">
        <v>39735</v>
      </c>
      <c r="EA1563" s="4"/>
      <c r="EB1563" s="4"/>
      <c r="EC1563" s="4"/>
      <c r="ED1563" s="4"/>
      <c r="EE1563" s="4"/>
      <c r="EF1563" s="4"/>
      <c r="EG1563" s="4"/>
      <c r="EH1563" s="4"/>
      <c r="EI1563" s="5">
        <v>39381</v>
      </c>
    </row>
    <row r="1564" spans="1:139" hidden="1" x14ac:dyDescent="0.2">
      <c r="A1564">
        <f>VLOOKUP(B1564,Sheet1!$A$1:$B$18,2,FALSE)</f>
        <v>0</v>
      </c>
      <c r="B1564" t="str">
        <f>LEFT(D1564,3)</f>
        <v>WLG</v>
      </c>
      <c r="C1564" s="2">
        <v>1563</v>
      </c>
      <c r="D1564" s="3" t="str">
        <f>HYPERLINK("https://sitebase.nzcomms.co.nz/spm/spmnominalview/WLG-044-010/","WLG-044-010")</f>
        <v>WLG-044-010</v>
      </c>
      <c r="E1564" s="4"/>
      <c r="F1564" s="3" t="str">
        <f>HYPERLINK("https://sitebase.nzcomms.co.nz/spm/spmcandidateview/WLG-044-010-B/","WLG-044-010-B")</f>
        <v>WLG-044-010-B</v>
      </c>
      <c r="G1564" s="4" t="s">
        <v>4692</v>
      </c>
      <c r="H1564" s="4" t="s">
        <v>4661</v>
      </c>
      <c r="I1564" s="4"/>
      <c r="J1564" s="4" t="s">
        <v>139</v>
      </c>
      <c r="K1564" s="4" t="s">
        <v>141</v>
      </c>
      <c r="L1564" s="4" t="s">
        <v>181</v>
      </c>
      <c r="M1564" s="4" t="s">
        <v>143</v>
      </c>
      <c r="N1564" s="4" t="s">
        <v>364</v>
      </c>
      <c r="O1564" s="4" t="s">
        <v>356</v>
      </c>
      <c r="P1564" s="4"/>
      <c r="Q1564" s="4"/>
      <c r="R1564" s="4">
        <v>11.2</v>
      </c>
      <c r="S1564" s="4">
        <v>11.2</v>
      </c>
      <c r="T1564" s="4"/>
      <c r="U1564" s="4">
        <v>-41.142305350000001</v>
      </c>
      <c r="V1564" s="4">
        <v>174.86613632000001</v>
      </c>
      <c r="W1564" s="4"/>
      <c r="X1564" s="4"/>
      <c r="Y1564" s="4"/>
      <c r="Z1564" s="4"/>
      <c r="AA1564" s="4" t="s">
        <v>4693</v>
      </c>
      <c r="AB1564" s="4" t="s">
        <v>4694</v>
      </c>
      <c r="AC1564" s="4"/>
      <c r="AD1564" s="4"/>
      <c r="AE1564" s="4"/>
      <c r="AF1564" s="4"/>
      <c r="AG1564" s="4"/>
      <c r="AH1564" s="4" t="s">
        <v>4695</v>
      </c>
      <c r="AI1564" s="4"/>
      <c r="AJ1564" s="4"/>
      <c r="AK1564" s="4"/>
      <c r="AL1564" s="4"/>
      <c r="AM1564" s="4"/>
      <c r="AN1564" s="5">
        <v>39416</v>
      </c>
      <c r="AO1564" s="4">
        <v>2</v>
      </c>
      <c r="AP1564" s="5">
        <v>39892</v>
      </c>
      <c r="AQ1564" s="5">
        <v>39890</v>
      </c>
      <c r="AR1564" s="4"/>
      <c r="AS1564" s="4"/>
      <c r="AT1564" s="5">
        <v>39562</v>
      </c>
      <c r="AU1564" s="5">
        <v>39562</v>
      </c>
      <c r="AV1564" s="4">
        <v>1</v>
      </c>
      <c r="AW1564" s="5">
        <v>39562</v>
      </c>
      <c r="AX1564" s="5">
        <v>39562</v>
      </c>
      <c r="AY1564" s="4"/>
      <c r="AZ1564" s="4"/>
      <c r="BA1564" s="4"/>
      <c r="BB1564" s="5">
        <v>39577</v>
      </c>
      <c r="BC1564" s="4"/>
      <c r="BD1564" s="4"/>
      <c r="BE1564" s="5">
        <v>39577</v>
      </c>
      <c r="BF1564" s="5">
        <v>39577</v>
      </c>
      <c r="BG1564" s="4"/>
      <c r="BH1564" s="5">
        <v>39490</v>
      </c>
      <c r="BI1564" s="4"/>
      <c r="BJ1564" s="5">
        <v>39609</v>
      </c>
      <c r="BK1564" s="4">
        <v>1</v>
      </c>
      <c r="BL1564" s="4">
        <v>1</v>
      </c>
      <c r="BM1564" s="5">
        <v>39609</v>
      </c>
      <c r="BN1564" s="5">
        <v>39609</v>
      </c>
      <c r="BO1564" s="4"/>
      <c r="BP1564" s="4"/>
      <c r="BQ1564" s="4"/>
      <c r="BR1564" s="4"/>
      <c r="BS1564" s="4"/>
      <c r="BT1564" s="4"/>
      <c r="BU1564" s="5">
        <v>39636</v>
      </c>
      <c r="BV1564" s="5">
        <v>39679</v>
      </c>
      <c r="BW1564" s="5">
        <v>39679</v>
      </c>
      <c r="BX1564" s="4"/>
      <c r="BY1564" s="5">
        <v>39692</v>
      </c>
      <c r="BZ1564" s="5">
        <v>39686</v>
      </c>
      <c r="CA1564" s="4"/>
      <c r="CB1564" s="4"/>
      <c r="CC1564" s="4"/>
      <c r="CD1564" s="4"/>
      <c r="CE1564" s="4"/>
      <c r="CF1564" s="4"/>
      <c r="CG1564" s="4"/>
      <c r="CH1564" s="4"/>
      <c r="CI1564" s="5">
        <v>39798</v>
      </c>
      <c r="CJ1564" s="5">
        <v>39813</v>
      </c>
      <c r="CK1564" s="5">
        <v>39798</v>
      </c>
      <c r="CL1564" s="4"/>
      <c r="CM1564" s="4"/>
      <c r="CN1564" s="4"/>
      <c r="CO1564" s="4"/>
      <c r="CP1564" s="4" t="s">
        <v>405</v>
      </c>
      <c r="CQ1564" s="4"/>
      <c r="CR1564" s="5">
        <v>39813</v>
      </c>
      <c r="CS1564" s="4"/>
      <c r="CT1564" s="4"/>
      <c r="CU1564" s="4"/>
      <c r="CV1564" s="4"/>
      <c r="CW1564" s="4"/>
      <c r="CX1564" s="4"/>
      <c r="CY1564" s="4"/>
      <c r="CZ1564" s="4"/>
      <c r="DA1564" s="4"/>
      <c r="DB1564" s="4"/>
      <c r="DC1564" s="4"/>
      <c r="DD1564" s="4"/>
      <c r="DE1564" s="4"/>
      <c r="DF1564" s="4"/>
      <c r="DG1564" s="4"/>
      <c r="DH1564" s="4"/>
      <c r="DI1564" s="4"/>
      <c r="DJ1564" s="4" t="b">
        <v>0</v>
      </c>
      <c r="DK1564" s="4"/>
      <c r="DL1564" s="4">
        <v>2666631</v>
      </c>
      <c r="DM1564" s="4">
        <v>6005481</v>
      </c>
      <c r="DN1564" s="4" t="s">
        <v>4696</v>
      </c>
      <c r="DO1564" s="4"/>
      <c r="DP1564" s="4"/>
      <c r="DQ1564" s="4" t="s">
        <v>148</v>
      </c>
      <c r="DR1564" s="4"/>
      <c r="DS1564" s="4"/>
      <c r="DT1564" s="4"/>
      <c r="DU1564" s="4"/>
      <c r="DV1564" s="4"/>
      <c r="DW1564" s="4"/>
      <c r="DX1564" s="4"/>
      <c r="DY1564" s="4"/>
      <c r="DZ1564" s="5">
        <v>39610</v>
      </c>
      <c r="EA1564" s="4"/>
      <c r="EB1564" s="4"/>
      <c r="EC1564" s="4"/>
      <c r="ED1564" s="4"/>
      <c r="EE1564" s="4"/>
      <c r="EF1564" s="4"/>
      <c r="EG1564" s="4"/>
      <c r="EH1564" s="4"/>
      <c r="EI1564" s="5">
        <v>39314</v>
      </c>
    </row>
    <row r="1565" spans="1:139" hidden="1" x14ac:dyDescent="0.2">
      <c r="A1565">
        <f>VLOOKUP(B1565,Sheet1!$A$1:$B$18,2,FALSE)</f>
        <v>0</v>
      </c>
      <c r="B1565" t="str">
        <f>LEFT(D1565,3)</f>
        <v>WLG</v>
      </c>
      <c r="C1565" s="2">
        <v>1564</v>
      </c>
      <c r="D1565" s="3" t="str">
        <f>HYPERLINK("https://sitebase.nzcomms.co.nz/spm/spmnominalview/WLG-044-011/","WLG-044-011")</f>
        <v>WLG-044-011</v>
      </c>
      <c r="E1565" s="4"/>
      <c r="F1565" s="3" t="str">
        <f>HYPERLINK("https://sitebase.nzcomms.co.nz/spm/spmcandidateview/WLG-044-011-C/","WLG-044-011-C")</f>
        <v>WLG-044-011-C</v>
      </c>
      <c r="G1565" s="4" t="s">
        <v>4697</v>
      </c>
      <c r="H1565" s="4" t="s">
        <v>4661</v>
      </c>
      <c r="I1565" s="4"/>
      <c r="J1565" s="4" t="s">
        <v>139</v>
      </c>
      <c r="K1565" s="4" t="s">
        <v>141</v>
      </c>
      <c r="L1565" s="4" t="s">
        <v>150</v>
      </c>
      <c r="M1565" s="4" t="s">
        <v>143</v>
      </c>
      <c r="N1565" s="4" t="s">
        <v>246</v>
      </c>
      <c r="O1565" s="4" t="s">
        <v>144</v>
      </c>
      <c r="P1565" s="4"/>
      <c r="Q1565" s="4"/>
      <c r="R1565" s="4">
        <v>18.8</v>
      </c>
      <c r="S1565" s="4">
        <v>18.8</v>
      </c>
      <c r="T1565" s="4"/>
      <c r="U1565" s="4">
        <v>-41.15167022</v>
      </c>
      <c r="V1565" s="4">
        <v>174.82849501000001</v>
      </c>
      <c r="W1565" s="4"/>
      <c r="X1565" s="4"/>
      <c r="Y1565" s="4"/>
      <c r="Z1565" s="4"/>
      <c r="AA1565" s="4" t="s">
        <v>171</v>
      </c>
      <c r="AB1565" s="3" t="str">
        <f>HYPERLINK("https://sitebase.nzcomms.co.nz/spm/spmcandidateview/WLG-044-012-B/","WLG-044-012-B")</f>
        <v>WLG-044-012-B</v>
      </c>
      <c r="AC1565" s="4"/>
      <c r="AD1565" s="4"/>
      <c r="AE1565" s="4"/>
      <c r="AF1565" s="4"/>
      <c r="AG1565" s="4"/>
      <c r="AH1565" s="4" t="s">
        <v>4698</v>
      </c>
      <c r="AI1565" s="4"/>
      <c r="AJ1565" s="4"/>
      <c r="AK1565" s="4"/>
      <c r="AL1565" s="4"/>
      <c r="AM1565" s="4"/>
      <c r="AN1565" s="5">
        <v>39687</v>
      </c>
      <c r="AO1565" s="4">
        <v>2</v>
      </c>
      <c r="AP1565" s="4"/>
      <c r="AQ1565" s="5">
        <v>39884</v>
      </c>
      <c r="AR1565" s="4"/>
      <c r="AS1565" s="4"/>
      <c r="AT1565" s="5">
        <v>39689</v>
      </c>
      <c r="AU1565" s="5">
        <v>39689</v>
      </c>
      <c r="AV1565" s="4">
        <v>1</v>
      </c>
      <c r="AW1565" s="5">
        <v>39933</v>
      </c>
      <c r="AX1565" s="4"/>
      <c r="AY1565" s="4"/>
      <c r="AZ1565" s="4"/>
      <c r="BA1565" s="4"/>
      <c r="BB1565" s="5">
        <v>39806</v>
      </c>
      <c r="BC1565" s="4"/>
      <c r="BD1565" s="4"/>
      <c r="BE1565" s="5">
        <v>39806</v>
      </c>
      <c r="BF1565" s="5">
        <v>39806</v>
      </c>
      <c r="BG1565" s="4"/>
      <c r="BH1565" s="5">
        <v>39707</v>
      </c>
      <c r="BI1565" s="4"/>
      <c r="BJ1565" s="5">
        <v>39846</v>
      </c>
      <c r="BK1565" s="4">
        <v>2</v>
      </c>
      <c r="BL1565" s="4">
        <v>2</v>
      </c>
      <c r="BM1565" s="5">
        <v>39892</v>
      </c>
      <c r="BN1565" s="5">
        <v>39911</v>
      </c>
      <c r="BO1565" s="5">
        <v>39843</v>
      </c>
      <c r="BP1565" s="4"/>
      <c r="BQ1565" s="4"/>
      <c r="BR1565" s="4"/>
      <c r="BS1565" s="4"/>
      <c r="BT1565" s="5">
        <v>39903</v>
      </c>
      <c r="BU1565" s="5">
        <v>39904</v>
      </c>
      <c r="BV1565" s="5">
        <v>39931</v>
      </c>
      <c r="BW1565" s="5">
        <v>39923</v>
      </c>
      <c r="BX1565" s="4"/>
      <c r="BY1565" s="5">
        <v>39941</v>
      </c>
      <c r="BZ1565" s="5">
        <v>39923</v>
      </c>
      <c r="CA1565" s="4"/>
      <c r="CB1565" s="4"/>
      <c r="CC1565" s="4"/>
      <c r="CD1565" s="4"/>
      <c r="CE1565" s="4"/>
      <c r="CF1565" s="4"/>
      <c r="CG1565" s="4"/>
      <c r="CH1565" s="4"/>
      <c r="CI1565" s="5">
        <v>39984</v>
      </c>
      <c r="CJ1565" s="5">
        <v>39994</v>
      </c>
      <c r="CK1565" s="5">
        <v>39984</v>
      </c>
      <c r="CL1565" s="4"/>
      <c r="CM1565" s="4"/>
      <c r="CN1565" s="4"/>
      <c r="CO1565" s="4"/>
      <c r="CP1565" s="4" t="s">
        <v>4699</v>
      </c>
      <c r="CQ1565" s="4"/>
      <c r="CR1565" s="5">
        <v>39994</v>
      </c>
      <c r="CS1565" s="4"/>
      <c r="CT1565" s="4"/>
      <c r="CU1565" s="4"/>
      <c r="CV1565" s="4"/>
      <c r="CW1565" s="4"/>
      <c r="CX1565" s="5">
        <v>39843</v>
      </c>
      <c r="CY1565" s="4"/>
      <c r="CZ1565" s="4"/>
      <c r="DA1565" s="4"/>
      <c r="DB1565" s="4"/>
      <c r="DC1565" s="4"/>
      <c r="DD1565" s="4"/>
      <c r="DE1565" s="4"/>
      <c r="DF1565" s="4"/>
      <c r="DG1565" s="4"/>
      <c r="DH1565" s="4"/>
      <c r="DI1565" s="4"/>
      <c r="DJ1565" s="4" t="b">
        <v>0</v>
      </c>
      <c r="DK1565" s="4"/>
      <c r="DL1565" s="4">
        <v>2663450</v>
      </c>
      <c r="DM1565" s="4">
        <v>6004508</v>
      </c>
      <c r="DN1565" s="4" t="s">
        <v>4700</v>
      </c>
      <c r="DO1565" s="4"/>
      <c r="DP1565" s="4"/>
      <c r="DQ1565" s="4" t="s">
        <v>148</v>
      </c>
      <c r="DR1565" s="4"/>
      <c r="DS1565" s="4"/>
      <c r="DT1565" s="4"/>
      <c r="DU1565" s="4"/>
      <c r="DV1565" s="4"/>
      <c r="DW1565" s="4"/>
      <c r="DX1565" s="4"/>
      <c r="DY1565" s="5">
        <v>39896</v>
      </c>
      <c r="DZ1565" s="5">
        <v>39897</v>
      </c>
      <c r="EA1565" s="4"/>
      <c r="EB1565" s="4"/>
      <c r="EC1565" s="4"/>
      <c r="ED1565" s="4"/>
      <c r="EE1565" s="4"/>
      <c r="EF1565" s="4"/>
      <c r="EG1565" s="4"/>
      <c r="EH1565" s="4"/>
      <c r="EI1565" s="5">
        <v>39672</v>
      </c>
    </row>
    <row r="1566" spans="1:139" hidden="1" x14ac:dyDescent="0.2">
      <c r="A1566">
        <f>VLOOKUP(B1566,Sheet1!$A$1:$B$18,2,FALSE)</f>
        <v>0</v>
      </c>
      <c r="B1566" t="str">
        <f>LEFT(D1566,3)</f>
        <v>WLG</v>
      </c>
      <c r="C1566" s="2">
        <v>1565</v>
      </c>
      <c r="D1566" s="3" t="str">
        <f>HYPERLINK("https://sitebase.nzcomms.co.nz/spm/spmnominalview/WLG-044-012/","WLG-044-012")</f>
        <v>WLG-044-012</v>
      </c>
      <c r="E1566" s="4"/>
      <c r="F1566" s="3" t="str">
        <f>HYPERLINK("https://sitebase.nzcomms.co.nz/spm/spmcandidateview/WLG-044-012-B/","WLG-044-012-B")</f>
        <v>WLG-044-012-B</v>
      </c>
      <c r="G1566" s="4" t="s">
        <v>4701</v>
      </c>
      <c r="H1566" s="4" t="s">
        <v>4661</v>
      </c>
      <c r="I1566" s="4"/>
      <c r="J1566" s="4" t="s">
        <v>139</v>
      </c>
      <c r="K1566" s="4" t="s">
        <v>141</v>
      </c>
      <c r="L1566" s="4" t="s">
        <v>150</v>
      </c>
      <c r="M1566" s="4" t="s">
        <v>324</v>
      </c>
      <c r="N1566" s="4" t="s">
        <v>1986</v>
      </c>
      <c r="O1566" s="4"/>
      <c r="P1566" s="4"/>
      <c r="Q1566" s="4"/>
      <c r="R1566" s="4">
        <v>20</v>
      </c>
      <c r="S1566" s="4">
        <v>20</v>
      </c>
      <c r="T1566" s="4"/>
      <c r="U1566" s="4">
        <v>-41.147400609999998</v>
      </c>
      <c r="V1566" s="4">
        <v>174.80903821000001</v>
      </c>
      <c r="W1566" s="4"/>
      <c r="X1566" s="4"/>
      <c r="Y1566" s="4"/>
      <c r="Z1566" s="4"/>
      <c r="AA1566" s="4" t="s">
        <v>171</v>
      </c>
      <c r="AB1566" s="3" t="str">
        <f>HYPERLINK("https://sitebase.nzcomms.co.nz/spm/spmcandidateview/WLG-047-074-B/","WLG-047-074-B")</f>
        <v>WLG-047-074-B</v>
      </c>
      <c r="AC1566" s="4"/>
      <c r="AD1566" s="4"/>
      <c r="AE1566" s="4"/>
      <c r="AF1566" s="4"/>
      <c r="AG1566" s="4"/>
      <c r="AH1566" s="4" t="s">
        <v>4702</v>
      </c>
      <c r="AI1566" s="4"/>
      <c r="AJ1566" s="4"/>
      <c r="AK1566" s="4"/>
      <c r="AL1566" s="4"/>
      <c r="AM1566" s="4"/>
      <c r="AN1566" s="5">
        <v>39701</v>
      </c>
      <c r="AO1566" s="4">
        <v>6</v>
      </c>
      <c r="AP1566" s="5">
        <v>39883</v>
      </c>
      <c r="AQ1566" s="4"/>
      <c r="AR1566" s="4"/>
      <c r="AS1566" s="4"/>
      <c r="AT1566" s="5">
        <v>39721</v>
      </c>
      <c r="AU1566" s="5">
        <v>39699</v>
      </c>
      <c r="AV1566" s="4">
        <v>3</v>
      </c>
      <c r="AW1566" s="5">
        <v>39721</v>
      </c>
      <c r="AX1566" s="5">
        <v>39699</v>
      </c>
      <c r="AY1566" s="4"/>
      <c r="AZ1566" s="4"/>
      <c r="BA1566" s="4"/>
      <c r="BB1566" s="5">
        <v>39885</v>
      </c>
      <c r="BC1566" s="4"/>
      <c r="BD1566" s="4"/>
      <c r="BE1566" s="5">
        <v>39885</v>
      </c>
      <c r="BF1566" s="5">
        <v>39875</v>
      </c>
      <c r="BG1566" s="4"/>
      <c r="BH1566" s="5">
        <v>39779</v>
      </c>
      <c r="BI1566" s="4"/>
      <c r="BJ1566" s="5">
        <v>39853</v>
      </c>
      <c r="BK1566" s="4">
        <v>1</v>
      </c>
      <c r="BL1566" s="4">
        <v>4</v>
      </c>
      <c r="BM1566" s="5">
        <v>39853</v>
      </c>
      <c r="BN1566" s="5">
        <v>39853</v>
      </c>
      <c r="BO1566" s="4"/>
      <c r="BP1566" s="4"/>
      <c r="BQ1566" s="4"/>
      <c r="BR1566" s="4"/>
      <c r="BS1566" s="4"/>
      <c r="BT1566" s="5">
        <v>39891</v>
      </c>
      <c r="BU1566" s="5">
        <v>39888</v>
      </c>
      <c r="BV1566" s="5">
        <v>39931</v>
      </c>
      <c r="BW1566" s="5">
        <v>39931</v>
      </c>
      <c r="BX1566" s="4"/>
      <c r="BY1566" s="5">
        <v>39967</v>
      </c>
      <c r="BZ1566" s="5">
        <v>39968</v>
      </c>
      <c r="CA1566" s="4"/>
      <c r="CB1566" s="4"/>
      <c r="CC1566" s="4"/>
      <c r="CD1566" s="4"/>
      <c r="CE1566" s="4"/>
      <c r="CF1566" s="4"/>
      <c r="CG1566" s="4"/>
      <c r="CH1566" s="4"/>
      <c r="CI1566" s="5">
        <v>39968</v>
      </c>
      <c r="CJ1566" s="5">
        <v>39969</v>
      </c>
      <c r="CK1566" s="5">
        <v>39968</v>
      </c>
      <c r="CL1566" s="4"/>
      <c r="CM1566" s="4"/>
      <c r="CN1566" s="4"/>
      <c r="CO1566" s="4"/>
      <c r="CP1566" s="4" t="s">
        <v>4703</v>
      </c>
      <c r="CQ1566" s="4"/>
      <c r="CR1566" s="5">
        <v>39969</v>
      </c>
      <c r="CS1566" s="4"/>
      <c r="CT1566" s="4"/>
      <c r="CU1566" s="4"/>
      <c r="CV1566" s="4"/>
      <c r="CW1566" s="4"/>
      <c r="CX1566" s="4"/>
      <c r="CY1566" s="4"/>
      <c r="CZ1566" s="4"/>
      <c r="DA1566" s="4"/>
      <c r="DB1566" s="4"/>
      <c r="DC1566" s="4"/>
      <c r="DD1566" s="4"/>
      <c r="DE1566" s="4"/>
      <c r="DF1566" s="4"/>
      <c r="DG1566" s="4"/>
      <c r="DH1566" s="4"/>
      <c r="DI1566" s="4"/>
      <c r="DJ1566" s="4" t="b">
        <v>0</v>
      </c>
      <c r="DK1566" s="4"/>
      <c r="DL1566" s="4">
        <v>2661827</v>
      </c>
      <c r="DM1566" s="4">
        <v>6005016</v>
      </c>
      <c r="DN1566" s="4" t="s">
        <v>4704</v>
      </c>
      <c r="DO1566" s="4"/>
      <c r="DP1566" s="4"/>
      <c r="DQ1566" s="4" t="s">
        <v>328</v>
      </c>
      <c r="DR1566" s="4"/>
      <c r="DS1566" s="4"/>
      <c r="DT1566" s="4"/>
      <c r="DU1566" s="4"/>
      <c r="DV1566" s="4"/>
      <c r="DW1566" s="4"/>
      <c r="DX1566" s="4"/>
      <c r="DY1566" s="5">
        <v>39879</v>
      </c>
      <c r="DZ1566" s="5">
        <v>39883</v>
      </c>
      <c r="EA1566" s="4"/>
      <c r="EB1566" s="4"/>
      <c r="EC1566" s="4"/>
      <c r="ED1566" s="4"/>
      <c r="EE1566" s="4"/>
      <c r="EF1566" s="4"/>
      <c r="EG1566" s="4"/>
      <c r="EH1566" s="4"/>
      <c r="EI1566" s="5">
        <v>39666</v>
      </c>
    </row>
    <row r="1567" spans="1:139" hidden="1" x14ac:dyDescent="0.2">
      <c r="A1567">
        <f>VLOOKUP(B1567,Sheet1!$A$1:$B$18,2,FALSE)</f>
        <v>0</v>
      </c>
      <c r="B1567" t="str">
        <f>LEFT(D1567,3)</f>
        <v>WLG</v>
      </c>
      <c r="C1567" s="2">
        <v>1566</v>
      </c>
      <c r="D1567" s="3" t="str">
        <f>HYPERLINK("https://sitebase.nzcomms.co.nz/spm/spmnominalview/WLG-044-013/","WLG-044-013")</f>
        <v>WLG-044-013</v>
      </c>
      <c r="E1567" s="4"/>
      <c r="F1567" s="3" t="str">
        <f>HYPERLINK("https://sitebase.nzcomms.co.nz/spm/spmcandidateview/WLG-044-013-A/","WLG-044-013-A")</f>
        <v>WLG-044-013-A</v>
      </c>
      <c r="G1567" s="4" t="s">
        <v>4705</v>
      </c>
      <c r="H1567" s="4" t="s">
        <v>4661</v>
      </c>
      <c r="I1567" s="4"/>
      <c r="J1567" s="4" t="s">
        <v>139</v>
      </c>
      <c r="K1567" s="4" t="s">
        <v>141</v>
      </c>
      <c r="L1567" s="4" t="s">
        <v>150</v>
      </c>
      <c r="M1567" s="4" t="s">
        <v>143</v>
      </c>
      <c r="N1567" s="4" t="s">
        <v>156</v>
      </c>
      <c r="O1567" s="4" t="s">
        <v>144</v>
      </c>
      <c r="P1567" s="4"/>
      <c r="Q1567" s="4"/>
      <c r="R1567" s="4">
        <v>8.8000000000000007</v>
      </c>
      <c r="S1567" s="4">
        <v>8.8000000000000007</v>
      </c>
      <c r="T1567" s="4"/>
      <c r="U1567" s="4">
        <v>-41.037193360000003</v>
      </c>
      <c r="V1567" s="4">
        <v>174.87772505000001</v>
      </c>
      <c r="W1567" s="4"/>
      <c r="X1567" s="4"/>
      <c r="Y1567" s="4"/>
      <c r="Z1567" s="4"/>
      <c r="AA1567" s="4" t="s">
        <v>217</v>
      </c>
      <c r="AB1567" s="4" t="s">
        <v>4706</v>
      </c>
      <c r="AC1567" s="4"/>
      <c r="AD1567" s="4"/>
      <c r="AE1567" s="4"/>
      <c r="AF1567" s="4"/>
      <c r="AG1567" s="4"/>
      <c r="AH1567" s="4" t="s">
        <v>4707</v>
      </c>
      <c r="AI1567" s="4"/>
      <c r="AJ1567" s="4"/>
      <c r="AK1567" s="4"/>
      <c r="AL1567" s="4"/>
      <c r="AM1567" s="4"/>
      <c r="AN1567" s="5">
        <v>39703</v>
      </c>
      <c r="AO1567" s="4">
        <v>4</v>
      </c>
      <c r="AP1567" s="4"/>
      <c r="AQ1567" s="5">
        <v>40638</v>
      </c>
      <c r="AR1567" s="4"/>
      <c r="AS1567" s="4"/>
      <c r="AT1567" s="5">
        <v>39757</v>
      </c>
      <c r="AU1567" s="5">
        <v>39750</v>
      </c>
      <c r="AV1567" s="4">
        <v>1</v>
      </c>
      <c r="AW1567" s="5">
        <v>39913</v>
      </c>
      <c r="AX1567" s="5">
        <v>39918</v>
      </c>
      <c r="AY1567" s="4"/>
      <c r="AZ1567" s="4"/>
      <c r="BA1567" s="4"/>
      <c r="BB1567" s="5">
        <v>39822</v>
      </c>
      <c r="BC1567" s="4"/>
      <c r="BD1567" s="4"/>
      <c r="BE1567" s="5">
        <v>39902</v>
      </c>
      <c r="BF1567" s="5">
        <v>39882</v>
      </c>
      <c r="BG1567" s="4"/>
      <c r="BH1567" s="5">
        <v>39755</v>
      </c>
      <c r="BI1567" s="4"/>
      <c r="BJ1567" s="5">
        <v>39801</v>
      </c>
      <c r="BK1567" s="4">
        <v>2</v>
      </c>
      <c r="BL1567" s="4">
        <v>3</v>
      </c>
      <c r="BM1567" s="5">
        <v>39801</v>
      </c>
      <c r="BN1567" s="5">
        <v>39931</v>
      </c>
      <c r="BO1567" s="5">
        <v>39892</v>
      </c>
      <c r="BP1567" s="4"/>
      <c r="BQ1567" s="4"/>
      <c r="BR1567" s="4"/>
      <c r="BS1567" s="4"/>
      <c r="BT1567" s="5">
        <v>39923</v>
      </c>
      <c r="BU1567" s="5">
        <v>39923</v>
      </c>
      <c r="BV1567" s="5">
        <v>39943</v>
      </c>
      <c r="BW1567" s="5">
        <v>39939</v>
      </c>
      <c r="BX1567" s="4"/>
      <c r="BY1567" s="5">
        <v>39966</v>
      </c>
      <c r="BZ1567" s="5">
        <v>39961</v>
      </c>
      <c r="CA1567" s="4"/>
      <c r="CB1567" s="4"/>
      <c r="CC1567" s="4"/>
      <c r="CD1567" s="4"/>
      <c r="CE1567" s="4"/>
      <c r="CF1567" s="4"/>
      <c r="CG1567" s="4"/>
      <c r="CH1567" s="4"/>
      <c r="CI1567" s="5">
        <v>39994</v>
      </c>
      <c r="CJ1567" s="5">
        <v>39994</v>
      </c>
      <c r="CK1567" s="5">
        <v>39994</v>
      </c>
      <c r="CL1567" s="4"/>
      <c r="CM1567" s="4"/>
      <c r="CN1567" s="4"/>
      <c r="CO1567" s="4"/>
      <c r="CP1567" s="4" t="s">
        <v>4708</v>
      </c>
      <c r="CQ1567" s="4"/>
      <c r="CR1567" s="5">
        <v>39994</v>
      </c>
      <c r="CS1567" s="4"/>
      <c r="CT1567" s="4"/>
      <c r="CU1567" s="4"/>
      <c r="CV1567" s="4"/>
      <c r="CW1567" s="5">
        <v>39885</v>
      </c>
      <c r="CX1567" s="5">
        <v>39892</v>
      </c>
      <c r="CY1567" s="4"/>
      <c r="CZ1567" s="4"/>
      <c r="DA1567" s="4"/>
      <c r="DB1567" s="4"/>
      <c r="DC1567" s="4"/>
      <c r="DD1567" s="4"/>
      <c r="DE1567" s="4"/>
      <c r="DF1567" s="4"/>
      <c r="DG1567" s="4"/>
      <c r="DH1567" s="4"/>
      <c r="DI1567" s="4"/>
      <c r="DJ1567" s="4" t="b">
        <v>0</v>
      </c>
      <c r="DK1567" s="4"/>
      <c r="DL1567" s="4">
        <v>2667854</v>
      </c>
      <c r="DM1567" s="4">
        <v>6017130</v>
      </c>
      <c r="DN1567" s="4" t="s">
        <v>4709</v>
      </c>
      <c r="DO1567" s="4"/>
      <c r="DP1567" s="4"/>
      <c r="DQ1567" s="4" t="s">
        <v>148</v>
      </c>
      <c r="DR1567" s="4"/>
      <c r="DS1567" s="4"/>
      <c r="DT1567" s="4"/>
      <c r="DU1567" s="4"/>
      <c r="DV1567" s="4"/>
      <c r="DW1567" s="4"/>
      <c r="DX1567" s="4"/>
      <c r="DY1567" s="5">
        <v>39918</v>
      </c>
      <c r="DZ1567" s="5">
        <v>39918</v>
      </c>
      <c r="EA1567" s="4"/>
      <c r="EB1567" s="4"/>
      <c r="EC1567" s="4"/>
      <c r="ED1567" s="4"/>
      <c r="EE1567" s="4"/>
      <c r="EF1567" s="4"/>
      <c r="EG1567" s="4"/>
      <c r="EH1567" s="4"/>
      <c r="EI1567" s="5">
        <v>39674</v>
      </c>
    </row>
    <row r="1568" spans="1:139" hidden="1" x14ac:dyDescent="0.2">
      <c r="A1568">
        <f>VLOOKUP(B1568,Sheet1!$A$1:$B$18,2,FALSE)</f>
        <v>0</v>
      </c>
      <c r="B1568" t="str">
        <f>LEFT(D1568,3)</f>
        <v>WLG</v>
      </c>
      <c r="C1568" s="2">
        <v>1567</v>
      </c>
      <c r="D1568" s="3" t="str">
        <f>HYPERLINK("https://sitebase.nzcomms.co.nz/spm/spmnominalview/WLG-044-014/","WLG-044-014")</f>
        <v>WLG-044-014</v>
      </c>
      <c r="E1568" s="4" t="s">
        <v>4710</v>
      </c>
      <c r="F1568" s="3" t="str">
        <f>HYPERLINK("https://sitebase.nzcomms.co.nz/spm/spmcandidateview/WLG-044-014-A/","WLG-044-014-A")</f>
        <v>WLG-044-014-A</v>
      </c>
      <c r="G1568" s="4" t="s">
        <v>4711</v>
      </c>
      <c r="H1568" s="4" t="s">
        <v>4661</v>
      </c>
      <c r="I1568" s="4">
        <v>7</v>
      </c>
      <c r="J1568" s="4" t="s">
        <v>194</v>
      </c>
      <c r="K1568" s="4" t="s">
        <v>141</v>
      </c>
      <c r="L1568" s="4" t="s">
        <v>142</v>
      </c>
      <c r="M1568" s="4" t="s">
        <v>190</v>
      </c>
      <c r="N1568" s="4" t="s">
        <v>142</v>
      </c>
      <c r="O1568" s="4"/>
      <c r="P1568" s="4" t="s">
        <v>182</v>
      </c>
      <c r="Q1568" s="4" t="s">
        <v>142</v>
      </c>
      <c r="R1568" s="4">
        <v>15.5</v>
      </c>
      <c r="S1568" s="4">
        <v>15.5</v>
      </c>
      <c r="T1568" s="4">
        <v>1</v>
      </c>
      <c r="U1568" s="4">
        <v>-41.114739919999998</v>
      </c>
      <c r="V1568" s="4">
        <v>174.86022596000001</v>
      </c>
      <c r="W1568" s="4"/>
      <c r="X1568" s="4"/>
      <c r="Y1568" s="4"/>
      <c r="Z1568" s="4"/>
      <c r="AA1568" s="4" t="s">
        <v>171</v>
      </c>
      <c r="AB1568" s="3" t="str">
        <f>HYPERLINK("https://sitebase.nzcomms.co.nz/spm/spmcandidateview/WLG-044-001-B/","WLG-044-001-B")</f>
        <v>WLG-044-001-B</v>
      </c>
      <c r="AC1568" s="4" t="b">
        <v>0</v>
      </c>
      <c r="AD1568" s="4" t="b">
        <v>0</v>
      </c>
      <c r="AE1568" s="4"/>
      <c r="AF1568" s="4"/>
      <c r="AG1568" s="4" t="b">
        <v>0</v>
      </c>
      <c r="AH1568" s="4"/>
      <c r="AI1568" s="5">
        <v>40753</v>
      </c>
      <c r="AJ1568" s="5">
        <v>40735</v>
      </c>
      <c r="AK1568" s="5">
        <v>40742</v>
      </c>
      <c r="AL1568" s="5">
        <v>40739</v>
      </c>
      <c r="AM1568" s="5">
        <v>40758</v>
      </c>
      <c r="AN1568" s="5">
        <v>40764</v>
      </c>
      <c r="AO1568" s="4">
        <v>1</v>
      </c>
      <c r="AP1568" s="5">
        <v>40758</v>
      </c>
      <c r="AQ1568" s="5">
        <v>40764</v>
      </c>
      <c r="AR1568" s="5">
        <v>40942</v>
      </c>
      <c r="AS1568" s="5">
        <v>40942</v>
      </c>
      <c r="AT1568" s="5">
        <v>40956</v>
      </c>
      <c r="AU1568" s="5">
        <v>40954</v>
      </c>
      <c r="AV1568" s="4">
        <v>1</v>
      </c>
      <c r="AW1568" s="5">
        <v>40956</v>
      </c>
      <c r="AX1568" s="5">
        <v>40959</v>
      </c>
      <c r="AY1568" s="4" t="s">
        <v>183</v>
      </c>
      <c r="AZ1568" s="5">
        <v>40851</v>
      </c>
      <c r="BA1568" s="5">
        <v>40851</v>
      </c>
      <c r="BB1568" s="5">
        <v>40893</v>
      </c>
      <c r="BC1568" s="5">
        <v>40871</v>
      </c>
      <c r="BD1568" s="4">
        <v>1</v>
      </c>
      <c r="BE1568" s="4"/>
      <c r="BF1568" s="5">
        <v>40871</v>
      </c>
      <c r="BG1568" s="4"/>
      <c r="BH1568" s="4"/>
      <c r="BI1568" s="4"/>
      <c r="BJ1568" s="5">
        <v>41015</v>
      </c>
      <c r="BK1568" s="4">
        <v>1</v>
      </c>
      <c r="BL1568" s="4"/>
      <c r="BM1568" s="5">
        <v>41001</v>
      </c>
      <c r="BN1568" s="5">
        <v>41015</v>
      </c>
      <c r="BO1568" s="4"/>
      <c r="BP1568" s="4"/>
      <c r="BQ1568" s="4"/>
      <c r="BR1568" s="4"/>
      <c r="BS1568" s="4"/>
      <c r="BT1568" s="5">
        <v>41017</v>
      </c>
      <c r="BU1568" s="5">
        <v>41017</v>
      </c>
      <c r="BV1568" s="5">
        <v>41047</v>
      </c>
      <c r="BW1568" s="5">
        <v>41047</v>
      </c>
      <c r="BX1568" s="5">
        <v>41037</v>
      </c>
      <c r="BY1568" s="5">
        <v>41044</v>
      </c>
      <c r="BZ1568" s="5">
        <v>41041</v>
      </c>
      <c r="CA1568" s="4"/>
      <c r="CB1568" s="4"/>
      <c r="CC1568" s="4"/>
      <c r="CD1568" s="4"/>
      <c r="CE1568" s="4"/>
      <c r="CF1568" s="4"/>
      <c r="CG1568" s="4"/>
      <c r="CH1568" s="4"/>
      <c r="CI1568" s="5">
        <v>41045</v>
      </c>
      <c r="CJ1568" s="5">
        <v>41060</v>
      </c>
      <c r="CK1568" s="5">
        <v>41044</v>
      </c>
      <c r="CL1568" s="5">
        <v>41066</v>
      </c>
      <c r="CM1568" s="5">
        <v>41066</v>
      </c>
      <c r="CN1568" s="5">
        <v>41156</v>
      </c>
      <c r="CO1568" s="5">
        <v>41184</v>
      </c>
      <c r="CP1568" s="4" t="s">
        <v>712</v>
      </c>
      <c r="CQ1568" s="4" t="s">
        <v>230</v>
      </c>
      <c r="CR1568" s="5">
        <v>41045</v>
      </c>
      <c r="CS1568" s="4"/>
      <c r="CT1568" s="4"/>
      <c r="CU1568" s="4"/>
      <c r="CV1568" s="4"/>
      <c r="CW1568" s="4"/>
      <c r="CX1568" s="4"/>
      <c r="CY1568" s="5">
        <v>41039</v>
      </c>
      <c r="CZ1568" s="5">
        <v>41039</v>
      </c>
      <c r="DA1568" s="5">
        <v>41052</v>
      </c>
      <c r="DB1568" s="5">
        <v>41044</v>
      </c>
      <c r="DC1568" s="4"/>
      <c r="DD1568" s="4"/>
      <c r="DE1568" s="4"/>
      <c r="DF1568" s="4"/>
      <c r="DG1568" s="4"/>
      <c r="DH1568" s="4"/>
      <c r="DI1568" s="5">
        <v>41037</v>
      </c>
      <c r="DJ1568" s="4" t="b">
        <v>0</v>
      </c>
      <c r="DK1568" s="4"/>
      <c r="DL1568" s="4">
        <v>2666200</v>
      </c>
      <c r="DM1568" s="4">
        <v>6008552</v>
      </c>
      <c r="DN1568" s="4" t="s">
        <v>4712</v>
      </c>
      <c r="DO1568" s="4"/>
      <c r="DP1568" s="4" t="s">
        <v>4713</v>
      </c>
      <c r="DQ1568" s="4" t="s">
        <v>148</v>
      </c>
      <c r="DR1568" s="4"/>
      <c r="DS1568" s="4"/>
      <c r="DT1568" s="4"/>
      <c r="DU1568" s="4"/>
      <c r="DV1568" s="4"/>
      <c r="DW1568" s="4"/>
      <c r="DX1568" s="4"/>
      <c r="DY1568" s="4"/>
      <c r="DZ1568" s="4"/>
      <c r="EA1568" s="4"/>
      <c r="EB1568" s="4"/>
      <c r="EC1568" s="4"/>
      <c r="ED1568" s="4"/>
      <c r="EE1568" s="4"/>
      <c r="EF1568" s="4"/>
      <c r="EG1568" s="5">
        <v>41052</v>
      </c>
      <c r="EH1568" s="5">
        <v>41052</v>
      </c>
      <c r="EI1568" s="4"/>
    </row>
    <row r="1569" spans="1:139" hidden="1" x14ac:dyDescent="0.2">
      <c r="A1569">
        <f>VLOOKUP(B1569,Sheet1!$A$1:$B$18,2,FALSE)</f>
        <v>0</v>
      </c>
      <c r="B1569" t="str">
        <f>LEFT(D1569,3)</f>
        <v>WLG</v>
      </c>
      <c r="C1569" s="2">
        <v>1568</v>
      </c>
      <c r="D1569" s="3" t="str">
        <f>HYPERLINK("https://sitebase.nzcomms.co.nz/spm/spmnominalview/WLG-044-015/","WLG-044-015")</f>
        <v>WLG-044-015</v>
      </c>
      <c r="E1569" s="4" t="s">
        <v>4714</v>
      </c>
      <c r="F1569" s="3" t="str">
        <f>HYPERLINK("https://sitebase.nzcomms.co.nz/spm/spmcandidateview/WLG-044-015-A/","WLG-044-015-A")</f>
        <v>WLG-044-015-A</v>
      </c>
      <c r="G1569" s="4" t="s">
        <v>4715</v>
      </c>
      <c r="H1569" s="4" t="s">
        <v>4661</v>
      </c>
      <c r="I1569" s="4"/>
      <c r="J1569" s="4" t="s">
        <v>317</v>
      </c>
      <c r="K1569" s="4" t="s">
        <v>141</v>
      </c>
      <c r="L1569" s="4" t="s">
        <v>142</v>
      </c>
      <c r="M1569" s="4" t="s">
        <v>324</v>
      </c>
      <c r="N1569" s="4" t="s">
        <v>142</v>
      </c>
      <c r="O1569" s="4"/>
      <c r="P1569" s="4"/>
      <c r="Q1569" s="4" t="s">
        <v>142</v>
      </c>
      <c r="R1569" s="4"/>
      <c r="S1569" s="4"/>
      <c r="T1569" s="4"/>
      <c r="U1569" s="4"/>
      <c r="V1569" s="4"/>
      <c r="W1569" s="4"/>
      <c r="X1569" s="4"/>
      <c r="Y1569" s="4"/>
      <c r="Z1569" s="4"/>
      <c r="AA1569" s="4"/>
      <c r="AB1569" s="4"/>
      <c r="AC1569" s="4"/>
      <c r="AD1569" s="4"/>
      <c r="AE1569" s="4"/>
      <c r="AF1569" s="4"/>
      <c r="AG1569" s="4"/>
      <c r="AH1569" s="4"/>
      <c r="AI1569" s="4"/>
      <c r="AJ1569" s="4"/>
      <c r="AK1569" s="4"/>
      <c r="AL1569" s="4"/>
      <c r="AM1569" s="4"/>
      <c r="AN1569" s="4"/>
      <c r="AO1569" s="4"/>
      <c r="AP1569" s="4"/>
      <c r="AQ1569" s="4"/>
      <c r="AR1569" s="4"/>
      <c r="AS1569" s="4"/>
      <c r="AT1569" s="4"/>
      <c r="AU1569" s="4"/>
      <c r="AV1569" s="4"/>
      <c r="AW1569" s="4"/>
      <c r="AX1569" s="4"/>
      <c r="AY1569" s="4"/>
      <c r="AZ1569" s="4"/>
      <c r="BA1569" s="4"/>
      <c r="BB1569" s="4"/>
      <c r="BC1569" s="4"/>
      <c r="BD1569" s="4"/>
      <c r="BE1569" s="4"/>
      <c r="BF1569" s="4"/>
      <c r="BG1569" s="4"/>
      <c r="BH1569" s="4"/>
      <c r="BI1569" s="4"/>
      <c r="BJ1569" s="4"/>
      <c r="BK1569" s="4"/>
      <c r="BL1569" s="4"/>
      <c r="BM1569" s="4"/>
      <c r="BN1569" s="4"/>
      <c r="BO1569" s="4"/>
      <c r="BP1569" s="4"/>
      <c r="BQ1569" s="4"/>
      <c r="BR1569" s="4"/>
      <c r="BS1569" s="4"/>
      <c r="BT1569" s="4"/>
      <c r="BU1569" s="4"/>
      <c r="BV1569" s="4"/>
      <c r="BW1569" s="4"/>
      <c r="BX1569" s="4"/>
      <c r="BY1569" s="4"/>
      <c r="BZ1569" s="4"/>
      <c r="CA1569" s="4"/>
      <c r="CB1569" s="4"/>
      <c r="CC1569" s="4"/>
      <c r="CD1569" s="4"/>
      <c r="CE1569" s="4"/>
      <c r="CF1569" s="4"/>
      <c r="CG1569" s="4"/>
      <c r="CH1569" s="4"/>
      <c r="CI1569" s="4"/>
      <c r="CJ1569" s="4"/>
      <c r="CK1569" s="4"/>
      <c r="CL1569" s="4"/>
      <c r="CM1569" s="4"/>
      <c r="CN1569" s="4"/>
      <c r="CO1569" s="4"/>
      <c r="CP1569" s="4"/>
      <c r="CQ1569" s="4"/>
      <c r="CR1569" s="4"/>
      <c r="CS1569" s="4"/>
      <c r="CT1569" s="4"/>
      <c r="CU1569" s="4"/>
      <c r="CV1569" s="4"/>
      <c r="CW1569" s="4"/>
      <c r="CX1569" s="4"/>
      <c r="CY1569" s="4"/>
      <c r="CZ1569" s="4"/>
      <c r="DA1569" s="4"/>
      <c r="DB1569" s="4"/>
      <c r="DC1569" s="4"/>
      <c r="DD1569" s="4"/>
      <c r="DE1569" s="4"/>
      <c r="DF1569" s="4"/>
      <c r="DG1569" s="4"/>
      <c r="DH1569" s="4"/>
      <c r="DI1569" s="4"/>
      <c r="DJ1569" s="4"/>
      <c r="DK1569" s="4"/>
      <c r="DL1569" s="4"/>
      <c r="DM1569" s="4"/>
      <c r="DN1569" s="4" t="s">
        <v>4716</v>
      </c>
      <c r="DO1569" s="4"/>
      <c r="DP1569" s="4"/>
      <c r="DQ1569" s="4" t="s">
        <v>328</v>
      </c>
      <c r="DR1569" s="4" t="s">
        <v>255</v>
      </c>
      <c r="DS1569" s="4"/>
      <c r="DT1569" s="4"/>
      <c r="DU1569" s="4"/>
      <c r="DV1569" s="4"/>
      <c r="DW1569" s="4"/>
      <c r="DX1569" s="4"/>
      <c r="DY1569" s="4"/>
      <c r="DZ1569" s="4"/>
      <c r="EA1569" s="4"/>
      <c r="EB1569" s="4"/>
      <c r="EC1569" s="4"/>
      <c r="ED1569" s="4"/>
      <c r="EE1569" s="4"/>
      <c r="EF1569" s="4"/>
      <c r="EG1569" s="4"/>
      <c r="EH1569" s="4"/>
      <c r="EI1569" s="4"/>
    </row>
    <row r="1570" spans="1:139" hidden="1" x14ac:dyDescent="0.2">
      <c r="A1570">
        <f>VLOOKUP(B1570,Sheet1!$A$1:$B$18,2,FALSE)</f>
        <v>0</v>
      </c>
      <c r="B1570" t="str">
        <f>LEFT(D1570,3)</f>
        <v>WLG</v>
      </c>
      <c r="C1570" s="2">
        <v>1569</v>
      </c>
      <c r="D1570" s="3" t="str">
        <f>HYPERLINK("https://sitebase.nzcomms.co.nz/spm/spmnominalview/WLG-045-001/","WLG-045-001")</f>
        <v>WLG-045-001</v>
      </c>
      <c r="E1570" s="4"/>
      <c r="F1570" s="3" t="str">
        <f>HYPERLINK("https://sitebase.nzcomms.co.nz/spm/spmcandidateview/WLG-045-001-A/","WLG-045-001-A")</f>
        <v>WLG-045-001-A</v>
      </c>
      <c r="G1570" s="4" t="s">
        <v>4717</v>
      </c>
      <c r="H1570" s="4" t="s">
        <v>4718</v>
      </c>
      <c r="I1570" s="4"/>
      <c r="J1570" s="4" t="s">
        <v>139</v>
      </c>
      <c r="K1570" s="4" t="s">
        <v>141</v>
      </c>
      <c r="L1570" s="4" t="s">
        <v>150</v>
      </c>
      <c r="M1570" s="4" t="s">
        <v>143</v>
      </c>
      <c r="N1570" s="4" t="s">
        <v>156</v>
      </c>
      <c r="O1570" s="4" t="s">
        <v>144</v>
      </c>
      <c r="P1570" s="4"/>
      <c r="Q1570" s="4"/>
      <c r="R1570" s="4">
        <v>13.9</v>
      </c>
      <c r="S1570" s="4">
        <v>13.9</v>
      </c>
      <c r="T1570" s="4"/>
      <c r="U1570" s="4">
        <v>-41.088940350000001</v>
      </c>
      <c r="V1570" s="4">
        <v>175.10876003000001</v>
      </c>
      <c r="W1570" s="4"/>
      <c r="X1570" s="4"/>
      <c r="Y1570" s="4"/>
      <c r="Z1570" s="4"/>
      <c r="AA1570" s="4" t="s">
        <v>217</v>
      </c>
      <c r="AB1570" s="4" t="s">
        <v>4719</v>
      </c>
      <c r="AC1570" s="4"/>
      <c r="AD1570" s="4"/>
      <c r="AE1570" s="4"/>
      <c r="AF1570" s="4"/>
      <c r="AG1570" s="4"/>
      <c r="AH1570" s="4" t="s">
        <v>4720</v>
      </c>
      <c r="AI1570" s="4"/>
      <c r="AJ1570" s="4"/>
      <c r="AK1570" s="4"/>
      <c r="AL1570" s="4"/>
      <c r="AM1570" s="4"/>
      <c r="AN1570" s="5">
        <v>39430</v>
      </c>
      <c r="AO1570" s="4">
        <v>6</v>
      </c>
      <c r="AP1570" s="4"/>
      <c r="AQ1570" s="5">
        <v>39855</v>
      </c>
      <c r="AR1570" s="4"/>
      <c r="AS1570" s="4"/>
      <c r="AT1570" s="5">
        <v>39706</v>
      </c>
      <c r="AU1570" s="5">
        <v>39611</v>
      </c>
      <c r="AV1570" s="4">
        <v>5</v>
      </c>
      <c r="AW1570" s="5">
        <v>39706</v>
      </c>
      <c r="AX1570" s="5">
        <v>39611</v>
      </c>
      <c r="AY1570" s="4"/>
      <c r="AZ1570" s="5">
        <v>39878</v>
      </c>
      <c r="BA1570" s="4"/>
      <c r="BB1570" s="5">
        <v>39913</v>
      </c>
      <c r="BC1570" s="4"/>
      <c r="BD1570" s="4"/>
      <c r="BE1570" s="5">
        <v>39913</v>
      </c>
      <c r="BF1570" s="5">
        <v>39910</v>
      </c>
      <c r="BG1570" s="4"/>
      <c r="BH1570" s="5">
        <v>39645</v>
      </c>
      <c r="BI1570" s="4"/>
      <c r="BJ1570" s="5">
        <v>39780</v>
      </c>
      <c r="BK1570" s="4">
        <v>2</v>
      </c>
      <c r="BL1570" s="4">
        <v>6</v>
      </c>
      <c r="BM1570" s="5">
        <v>39857</v>
      </c>
      <c r="BN1570" s="5">
        <v>39857</v>
      </c>
      <c r="BO1570" s="5">
        <v>39889</v>
      </c>
      <c r="BP1570" s="4"/>
      <c r="BQ1570" s="4"/>
      <c r="BR1570" s="4"/>
      <c r="BS1570" s="4"/>
      <c r="BT1570" s="5">
        <v>39874</v>
      </c>
      <c r="BU1570" s="5">
        <v>39874</v>
      </c>
      <c r="BV1570" s="5">
        <v>39903</v>
      </c>
      <c r="BW1570" s="5">
        <v>39898</v>
      </c>
      <c r="BX1570" s="4"/>
      <c r="BY1570" s="5">
        <v>39923</v>
      </c>
      <c r="BZ1570" s="5">
        <v>39932</v>
      </c>
      <c r="CA1570" s="4"/>
      <c r="CB1570" s="4"/>
      <c r="CC1570" s="4"/>
      <c r="CD1570" s="4"/>
      <c r="CE1570" s="4"/>
      <c r="CF1570" s="4"/>
      <c r="CG1570" s="4"/>
      <c r="CH1570" s="4"/>
      <c r="CI1570" s="5">
        <v>39963</v>
      </c>
      <c r="CJ1570" s="5">
        <v>39969</v>
      </c>
      <c r="CK1570" s="5">
        <v>39963</v>
      </c>
      <c r="CL1570" s="4"/>
      <c r="CM1570" s="4"/>
      <c r="CN1570" s="4"/>
      <c r="CO1570" s="4"/>
      <c r="CP1570" s="4" t="s">
        <v>4721</v>
      </c>
      <c r="CQ1570" s="4"/>
      <c r="CR1570" s="5">
        <v>39969</v>
      </c>
      <c r="CS1570" s="4"/>
      <c r="CT1570" s="4"/>
      <c r="CU1570" s="4"/>
      <c r="CV1570" s="4"/>
      <c r="CW1570" s="5">
        <v>39874</v>
      </c>
      <c r="CX1570" s="5">
        <v>39889</v>
      </c>
      <c r="CY1570" s="4"/>
      <c r="CZ1570" s="4"/>
      <c r="DA1570" s="4"/>
      <c r="DB1570" s="4"/>
      <c r="DC1570" s="4"/>
      <c r="DD1570" s="4"/>
      <c r="DE1570" s="4"/>
      <c r="DF1570" s="4"/>
      <c r="DG1570" s="4"/>
      <c r="DH1570" s="4"/>
      <c r="DI1570" s="4"/>
      <c r="DJ1570" s="4" t="b">
        <v>0</v>
      </c>
      <c r="DK1570" s="4"/>
      <c r="DL1570" s="4">
        <v>2687137</v>
      </c>
      <c r="DM1570" s="4">
        <v>6010943</v>
      </c>
      <c r="DN1570" s="4" t="s">
        <v>4722</v>
      </c>
      <c r="DO1570" s="4"/>
      <c r="DP1570" s="4"/>
      <c r="DQ1570" s="4" t="s">
        <v>148</v>
      </c>
      <c r="DR1570" s="4"/>
      <c r="DS1570" s="4"/>
      <c r="DT1570" s="4"/>
      <c r="DU1570" s="4"/>
      <c r="DV1570" s="4"/>
      <c r="DW1570" s="4"/>
      <c r="DX1570" s="4"/>
      <c r="DY1570" s="4"/>
      <c r="DZ1570" s="5">
        <v>39790</v>
      </c>
      <c r="EA1570" s="4"/>
      <c r="EB1570" s="4"/>
      <c r="EC1570" s="4"/>
      <c r="ED1570" s="4"/>
      <c r="EE1570" s="4"/>
      <c r="EF1570" s="4"/>
      <c r="EG1570" s="4"/>
      <c r="EH1570" s="4"/>
      <c r="EI1570" s="5">
        <v>39359</v>
      </c>
    </row>
    <row r="1571" spans="1:139" hidden="1" x14ac:dyDescent="0.2">
      <c r="A1571">
        <f>VLOOKUP(B1571,Sheet1!$A$1:$B$18,2,FALSE)</f>
        <v>0</v>
      </c>
      <c r="B1571" t="str">
        <f>LEFT(D1571,3)</f>
        <v>WLG</v>
      </c>
      <c r="C1571" s="2">
        <v>1570</v>
      </c>
      <c r="D1571" s="3" t="str">
        <f>HYPERLINK("https://sitebase.nzcomms.co.nz/spm/spmnominalview/WLG-045-002/","WLG-045-002")</f>
        <v>WLG-045-002</v>
      </c>
      <c r="E1571" s="4"/>
      <c r="F1571" s="3" t="str">
        <f>HYPERLINK("https://sitebase.nzcomms.co.nz/spm/spmcandidateview/WLG-045-002-A/","WLG-045-002-A")</f>
        <v>WLG-045-002-A</v>
      </c>
      <c r="G1571" s="4" t="s">
        <v>4723</v>
      </c>
      <c r="H1571" s="4" t="s">
        <v>4718</v>
      </c>
      <c r="I1571" s="4"/>
      <c r="J1571" s="4" t="s">
        <v>139</v>
      </c>
      <c r="K1571" s="4" t="s">
        <v>141</v>
      </c>
      <c r="L1571" s="4" t="s">
        <v>150</v>
      </c>
      <c r="M1571" s="4" t="s">
        <v>143</v>
      </c>
      <c r="N1571" s="4" t="s">
        <v>246</v>
      </c>
      <c r="O1571" s="4" t="s">
        <v>144</v>
      </c>
      <c r="P1571" s="4"/>
      <c r="Q1571" s="4"/>
      <c r="R1571" s="4">
        <v>13.8</v>
      </c>
      <c r="S1571" s="4">
        <v>13.8</v>
      </c>
      <c r="T1571" s="4"/>
      <c r="U1571" s="4">
        <v>-41.098458229999999</v>
      </c>
      <c r="V1571" s="4">
        <v>175.09901345</v>
      </c>
      <c r="W1571" s="4"/>
      <c r="X1571" s="4"/>
      <c r="Y1571" s="4"/>
      <c r="Z1571" s="4"/>
      <c r="AA1571" s="4"/>
      <c r="AB1571" s="4"/>
      <c r="AC1571" s="4"/>
      <c r="AD1571" s="4"/>
      <c r="AE1571" s="4"/>
      <c r="AF1571" s="4"/>
      <c r="AG1571" s="4"/>
      <c r="AH1571" s="4"/>
      <c r="AI1571" s="4"/>
      <c r="AJ1571" s="4"/>
      <c r="AK1571" s="4"/>
      <c r="AL1571" s="4"/>
      <c r="AM1571" s="4"/>
      <c r="AN1571" s="5">
        <v>39512</v>
      </c>
      <c r="AO1571" s="4">
        <v>4</v>
      </c>
      <c r="AP1571" s="5">
        <v>39878</v>
      </c>
      <c r="AQ1571" s="5">
        <v>39876</v>
      </c>
      <c r="AR1571" s="4"/>
      <c r="AS1571" s="4"/>
      <c r="AT1571" s="5">
        <v>39872</v>
      </c>
      <c r="AU1571" s="5">
        <v>39778</v>
      </c>
      <c r="AV1571" s="4">
        <v>1</v>
      </c>
      <c r="AW1571" s="5">
        <v>39872</v>
      </c>
      <c r="AX1571" s="5">
        <v>39778</v>
      </c>
      <c r="AY1571" s="4"/>
      <c r="AZ1571" s="5">
        <v>39878</v>
      </c>
      <c r="BA1571" s="4"/>
      <c r="BB1571" s="5">
        <v>40009</v>
      </c>
      <c r="BC1571" s="4"/>
      <c r="BD1571" s="4"/>
      <c r="BE1571" s="5">
        <v>40009</v>
      </c>
      <c r="BF1571" s="5">
        <v>40008</v>
      </c>
      <c r="BG1571" s="4"/>
      <c r="BH1571" s="5">
        <v>39552</v>
      </c>
      <c r="BI1571" s="4"/>
      <c r="BJ1571" s="5">
        <v>39673</v>
      </c>
      <c r="BK1571" s="4">
        <v>2</v>
      </c>
      <c r="BL1571" s="4">
        <v>1</v>
      </c>
      <c r="BM1571" s="5">
        <v>39800</v>
      </c>
      <c r="BN1571" s="5">
        <v>39800</v>
      </c>
      <c r="BO1571" s="5">
        <v>39860</v>
      </c>
      <c r="BP1571" s="4"/>
      <c r="BQ1571" s="4"/>
      <c r="BR1571" s="4"/>
      <c r="BS1571" s="4"/>
      <c r="BT1571" s="4"/>
      <c r="BU1571" s="5">
        <v>39792</v>
      </c>
      <c r="BV1571" s="5">
        <v>39886</v>
      </c>
      <c r="BW1571" s="5">
        <v>39885</v>
      </c>
      <c r="BX1571" s="4"/>
      <c r="BY1571" s="5">
        <v>39889</v>
      </c>
      <c r="BZ1571" s="5">
        <v>39885</v>
      </c>
      <c r="CA1571" s="4"/>
      <c r="CB1571" s="4"/>
      <c r="CC1571" s="4"/>
      <c r="CD1571" s="4"/>
      <c r="CE1571" s="4"/>
      <c r="CF1571" s="4"/>
      <c r="CG1571" s="4"/>
      <c r="CH1571" s="4"/>
      <c r="CI1571" s="5">
        <v>39902</v>
      </c>
      <c r="CJ1571" s="5">
        <v>39899</v>
      </c>
      <c r="CK1571" s="5">
        <v>39902</v>
      </c>
      <c r="CL1571" s="4"/>
      <c r="CM1571" s="4"/>
      <c r="CN1571" s="4"/>
      <c r="CO1571" s="4"/>
      <c r="CP1571" s="4" t="s">
        <v>4724</v>
      </c>
      <c r="CQ1571" s="4"/>
      <c r="CR1571" s="5">
        <v>39899</v>
      </c>
      <c r="CS1571" s="4"/>
      <c r="CT1571" s="4"/>
      <c r="CU1571" s="4"/>
      <c r="CV1571" s="4"/>
      <c r="CW1571" s="4"/>
      <c r="CX1571" s="5">
        <v>39860</v>
      </c>
      <c r="CY1571" s="4"/>
      <c r="CZ1571" s="4"/>
      <c r="DA1571" s="4"/>
      <c r="DB1571" s="4"/>
      <c r="DC1571" s="4"/>
      <c r="DD1571" s="4"/>
      <c r="DE1571" s="4"/>
      <c r="DF1571" s="4"/>
      <c r="DG1571" s="4"/>
      <c r="DH1571" s="4"/>
      <c r="DI1571" s="4"/>
      <c r="DJ1571" s="4" t="b">
        <v>0</v>
      </c>
      <c r="DK1571" s="4"/>
      <c r="DL1571" s="4">
        <v>2686293</v>
      </c>
      <c r="DM1571" s="4">
        <v>6009906</v>
      </c>
      <c r="DN1571" s="4" t="s">
        <v>4725</v>
      </c>
      <c r="DO1571" s="4"/>
      <c r="DP1571" s="4"/>
      <c r="DQ1571" s="4" t="s">
        <v>148</v>
      </c>
      <c r="DR1571" s="4"/>
      <c r="DS1571" s="4"/>
      <c r="DT1571" s="4"/>
      <c r="DU1571" s="4"/>
      <c r="DV1571" s="4"/>
      <c r="DW1571" s="4"/>
      <c r="DX1571" s="4"/>
      <c r="DY1571" s="4"/>
      <c r="DZ1571" s="5">
        <v>39790</v>
      </c>
      <c r="EA1571" s="4"/>
      <c r="EB1571" s="4"/>
      <c r="EC1571" s="4"/>
      <c r="ED1571" s="4"/>
      <c r="EE1571" s="4"/>
      <c r="EF1571" s="4"/>
      <c r="EG1571" s="4"/>
      <c r="EH1571" s="4"/>
      <c r="EI1571" s="5">
        <v>39485</v>
      </c>
    </row>
    <row r="1572" spans="1:139" hidden="1" x14ac:dyDescent="0.2">
      <c r="A1572">
        <f>VLOOKUP(B1572,Sheet1!$A$1:$B$18,2,FALSE)</f>
        <v>0</v>
      </c>
      <c r="B1572" t="str">
        <f>LEFT(D1572,3)</f>
        <v>WLG</v>
      </c>
      <c r="C1572" s="2">
        <v>1571</v>
      </c>
      <c r="D1572" s="3" t="str">
        <f>HYPERLINK("https://sitebase.nzcomms.co.nz/spm/spmnominalview/WLG-045-003/","WLG-045-003")</f>
        <v>WLG-045-003</v>
      </c>
      <c r="E1572" s="4"/>
      <c r="F1572" s="3" t="str">
        <f>HYPERLINK("https://sitebase.nzcomms.co.nz/spm/spmcandidateview/WLG-045-003-A/","WLG-045-003-A")</f>
        <v>WLG-045-003-A</v>
      </c>
      <c r="G1572" s="4" t="s">
        <v>4726</v>
      </c>
      <c r="H1572" s="4" t="s">
        <v>4718</v>
      </c>
      <c r="I1572" s="4"/>
      <c r="J1572" s="4" t="s">
        <v>139</v>
      </c>
      <c r="K1572" s="4" t="s">
        <v>141</v>
      </c>
      <c r="L1572" s="4" t="s">
        <v>150</v>
      </c>
      <c r="M1572" s="4" t="s">
        <v>143</v>
      </c>
      <c r="N1572" s="4" t="s">
        <v>291</v>
      </c>
      <c r="O1572" s="4" t="s">
        <v>144</v>
      </c>
      <c r="P1572" s="4"/>
      <c r="Q1572" s="4"/>
      <c r="R1572" s="4">
        <v>18.8</v>
      </c>
      <c r="S1572" s="4">
        <v>18.8</v>
      </c>
      <c r="T1572" s="4"/>
      <c r="U1572" s="4">
        <v>-41.109841789999997</v>
      </c>
      <c r="V1572" s="4">
        <v>175.09712338</v>
      </c>
      <c r="W1572" s="4"/>
      <c r="X1572" s="4"/>
      <c r="Y1572" s="4"/>
      <c r="Z1572" s="4"/>
      <c r="AA1572" s="4" t="s">
        <v>217</v>
      </c>
      <c r="AB1572" s="4" t="s">
        <v>4719</v>
      </c>
      <c r="AC1572" s="4"/>
      <c r="AD1572" s="4"/>
      <c r="AE1572" s="4"/>
      <c r="AF1572" s="4"/>
      <c r="AG1572" s="4"/>
      <c r="AH1572" s="4" t="s">
        <v>4727</v>
      </c>
      <c r="AI1572" s="4"/>
      <c r="AJ1572" s="4"/>
      <c r="AK1572" s="4"/>
      <c r="AL1572" s="4"/>
      <c r="AM1572" s="4"/>
      <c r="AN1572" s="5">
        <v>39577</v>
      </c>
      <c r="AO1572" s="4">
        <v>2</v>
      </c>
      <c r="AP1572" s="4"/>
      <c r="AQ1572" s="5">
        <v>39685</v>
      </c>
      <c r="AR1572" s="4"/>
      <c r="AS1572" s="4"/>
      <c r="AT1572" s="5">
        <v>39685</v>
      </c>
      <c r="AU1572" s="5">
        <v>39679</v>
      </c>
      <c r="AV1572" s="4">
        <v>1</v>
      </c>
      <c r="AW1572" s="5">
        <v>39685</v>
      </c>
      <c r="AX1572" s="5">
        <v>39679</v>
      </c>
      <c r="AY1572" s="4"/>
      <c r="AZ1572" s="4"/>
      <c r="BA1572" s="4"/>
      <c r="BB1572" s="5">
        <v>39630</v>
      </c>
      <c r="BC1572" s="4"/>
      <c r="BD1572" s="4"/>
      <c r="BE1572" s="5">
        <v>39731</v>
      </c>
      <c r="BF1572" s="5">
        <v>39731</v>
      </c>
      <c r="BG1572" s="4"/>
      <c r="BH1572" s="5">
        <v>39611</v>
      </c>
      <c r="BI1572" s="4"/>
      <c r="BJ1572" s="5">
        <v>39687</v>
      </c>
      <c r="BK1572" s="4">
        <v>1</v>
      </c>
      <c r="BL1572" s="4">
        <v>2</v>
      </c>
      <c r="BM1572" s="5">
        <v>39687</v>
      </c>
      <c r="BN1572" s="5">
        <v>39687</v>
      </c>
      <c r="BO1572" s="4"/>
      <c r="BP1572" s="4"/>
      <c r="BQ1572" s="4"/>
      <c r="BR1572" s="4"/>
      <c r="BS1572" s="4"/>
      <c r="BT1572" s="4"/>
      <c r="BU1572" s="5">
        <v>39710</v>
      </c>
      <c r="BV1572" s="5">
        <v>39780</v>
      </c>
      <c r="BW1572" s="5">
        <v>39752</v>
      </c>
      <c r="BX1572" s="4"/>
      <c r="BY1572" s="5">
        <v>39797</v>
      </c>
      <c r="BZ1572" s="5">
        <v>39800</v>
      </c>
      <c r="CA1572" s="4"/>
      <c r="CB1572" s="4"/>
      <c r="CC1572" s="4"/>
      <c r="CD1572" s="4"/>
      <c r="CE1572" s="4"/>
      <c r="CF1572" s="4"/>
      <c r="CG1572" s="4"/>
      <c r="CH1572" s="4"/>
      <c r="CI1572" s="5">
        <v>39877</v>
      </c>
      <c r="CJ1572" s="5">
        <v>39887</v>
      </c>
      <c r="CK1572" s="5">
        <v>39877</v>
      </c>
      <c r="CL1572" s="4"/>
      <c r="CM1572" s="4"/>
      <c r="CN1572" s="4"/>
      <c r="CO1572" s="4"/>
      <c r="CP1572" s="4" t="s">
        <v>4728</v>
      </c>
      <c r="CQ1572" s="4"/>
      <c r="CR1572" s="5">
        <v>39887</v>
      </c>
      <c r="CS1572" s="4"/>
      <c r="CT1572" s="4"/>
      <c r="CU1572" s="4"/>
      <c r="CV1572" s="4"/>
      <c r="CW1572" s="4"/>
      <c r="CX1572" s="4"/>
      <c r="CY1572" s="4"/>
      <c r="CZ1572" s="4"/>
      <c r="DA1572" s="4"/>
      <c r="DB1572" s="4"/>
      <c r="DC1572" s="4"/>
      <c r="DD1572" s="4"/>
      <c r="DE1572" s="4"/>
      <c r="DF1572" s="4"/>
      <c r="DG1572" s="4"/>
      <c r="DH1572" s="4"/>
      <c r="DI1572" s="4"/>
      <c r="DJ1572" s="4" t="b">
        <v>0</v>
      </c>
      <c r="DK1572" s="4"/>
      <c r="DL1572" s="4">
        <v>2686104</v>
      </c>
      <c r="DM1572" s="4">
        <v>6008646</v>
      </c>
      <c r="DN1572" s="4" t="s">
        <v>4729</v>
      </c>
      <c r="DO1572" s="4"/>
      <c r="DP1572" s="4"/>
      <c r="DQ1572" s="4" t="s">
        <v>148</v>
      </c>
      <c r="DR1572" s="4"/>
      <c r="DS1572" s="4"/>
      <c r="DT1572" s="4"/>
      <c r="DU1572" s="4"/>
      <c r="DV1572" s="4"/>
      <c r="DW1572" s="4"/>
      <c r="DX1572" s="4"/>
      <c r="DY1572" s="4"/>
      <c r="DZ1572" s="5">
        <v>39692</v>
      </c>
      <c r="EA1572" s="4"/>
      <c r="EB1572" s="4"/>
      <c r="EC1572" s="4"/>
      <c r="ED1572" s="4"/>
      <c r="EE1572" s="4"/>
      <c r="EF1572" s="4"/>
      <c r="EG1572" s="4"/>
      <c r="EH1572" s="4"/>
      <c r="EI1572" s="5">
        <v>39386</v>
      </c>
    </row>
    <row r="1573" spans="1:139" hidden="1" x14ac:dyDescent="0.2">
      <c r="A1573">
        <f>VLOOKUP(B1573,Sheet1!$A$1:$B$18,2,FALSE)</f>
        <v>0</v>
      </c>
      <c r="B1573" t="str">
        <f>LEFT(D1573,3)</f>
        <v>WLG</v>
      </c>
      <c r="C1573" s="2">
        <v>1572</v>
      </c>
      <c r="D1573" s="3" t="str">
        <f>HYPERLINK("https://sitebase.nzcomms.co.nz/spm/spmnominalview/WLG-045-004/","WLG-045-004")</f>
        <v>WLG-045-004</v>
      </c>
      <c r="E1573" s="4"/>
      <c r="F1573" s="3" t="str">
        <f>HYPERLINK("https://sitebase.nzcomms.co.nz/spm/spmcandidateview/WLG-045-004-D/","WLG-045-004-D")</f>
        <v>WLG-045-004-D</v>
      </c>
      <c r="G1573" s="4" t="s">
        <v>4730</v>
      </c>
      <c r="H1573" s="4" t="s">
        <v>4718</v>
      </c>
      <c r="I1573" s="4"/>
      <c r="J1573" s="4" t="s">
        <v>139</v>
      </c>
      <c r="K1573" s="4" t="s">
        <v>141</v>
      </c>
      <c r="L1573" s="4" t="s">
        <v>150</v>
      </c>
      <c r="M1573" s="4" t="s">
        <v>143</v>
      </c>
      <c r="N1573" s="4" t="s">
        <v>291</v>
      </c>
      <c r="O1573" s="4" t="s">
        <v>144</v>
      </c>
      <c r="P1573" s="4"/>
      <c r="Q1573" s="4"/>
      <c r="R1573" s="4">
        <v>18.8</v>
      </c>
      <c r="S1573" s="4">
        <v>18.8</v>
      </c>
      <c r="T1573" s="4"/>
      <c r="U1573" s="4">
        <v>-41.117911620000001</v>
      </c>
      <c r="V1573" s="4">
        <v>175.04837932999999</v>
      </c>
      <c r="W1573" s="4"/>
      <c r="X1573" s="4"/>
      <c r="Y1573" s="4"/>
      <c r="Z1573" s="4"/>
      <c r="AA1573" s="4"/>
      <c r="AB1573" s="4"/>
      <c r="AC1573" s="4"/>
      <c r="AD1573" s="4"/>
      <c r="AE1573" s="4"/>
      <c r="AF1573" s="4"/>
      <c r="AG1573" s="4"/>
      <c r="AH1573" s="4"/>
      <c r="AI1573" s="4"/>
      <c r="AJ1573" s="4"/>
      <c r="AK1573" s="4"/>
      <c r="AL1573" s="4"/>
      <c r="AM1573" s="4"/>
      <c r="AN1573" s="5">
        <v>39423</v>
      </c>
      <c r="AO1573" s="4">
        <v>2</v>
      </c>
      <c r="AP1573" s="4"/>
      <c r="AQ1573" s="5">
        <v>39554</v>
      </c>
      <c r="AR1573" s="4"/>
      <c r="AS1573" s="4"/>
      <c r="AT1573" s="5">
        <v>39675</v>
      </c>
      <c r="AU1573" s="5">
        <v>39666</v>
      </c>
      <c r="AV1573" s="4">
        <v>1</v>
      </c>
      <c r="AW1573" s="5">
        <v>39675</v>
      </c>
      <c r="AX1573" s="5">
        <v>39666</v>
      </c>
      <c r="AY1573" s="4"/>
      <c r="AZ1573" s="4"/>
      <c r="BA1573" s="4"/>
      <c r="BB1573" s="5">
        <v>39491</v>
      </c>
      <c r="BC1573" s="4"/>
      <c r="BD1573" s="4"/>
      <c r="BE1573" s="5">
        <v>39491</v>
      </c>
      <c r="BF1573" s="5">
        <v>39491</v>
      </c>
      <c r="BG1573" s="4"/>
      <c r="BH1573" s="5">
        <v>39490</v>
      </c>
      <c r="BI1573" s="4"/>
      <c r="BJ1573" s="5">
        <v>39559</v>
      </c>
      <c r="BK1573" s="4">
        <v>1</v>
      </c>
      <c r="BL1573" s="4">
        <v>2</v>
      </c>
      <c r="BM1573" s="5">
        <v>39559</v>
      </c>
      <c r="BN1573" s="5">
        <v>39559</v>
      </c>
      <c r="BO1573" s="4"/>
      <c r="BP1573" s="4"/>
      <c r="BQ1573" s="4"/>
      <c r="BR1573" s="4"/>
      <c r="BS1573" s="4"/>
      <c r="BT1573" s="4"/>
      <c r="BU1573" s="5">
        <v>39713</v>
      </c>
      <c r="BV1573" s="5">
        <v>39731</v>
      </c>
      <c r="BW1573" s="5">
        <v>39730</v>
      </c>
      <c r="BX1573" s="4"/>
      <c r="BY1573" s="5">
        <v>39741</v>
      </c>
      <c r="BZ1573" s="5">
        <v>39741</v>
      </c>
      <c r="CA1573" s="4"/>
      <c r="CB1573" s="4"/>
      <c r="CC1573" s="4"/>
      <c r="CD1573" s="4"/>
      <c r="CE1573" s="4"/>
      <c r="CF1573" s="4"/>
      <c r="CG1573" s="4"/>
      <c r="CH1573" s="4"/>
      <c r="CI1573" s="5">
        <v>39877</v>
      </c>
      <c r="CJ1573" s="5">
        <v>39887</v>
      </c>
      <c r="CK1573" s="5">
        <v>39877</v>
      </c>
      <c r="CL1573" s="4"/>
      <c r="CM1573" s="4"/>
      <c r="CN1573" s="4"/>
      <c r="CO1573" s="4"/>
      <c r="CP1573" s="4" t="s">
        <v>4731</v>
      </c>
      <c r="CQ1573" s="4"/>
      <c r="CR1573" s="5">
        <v>39887</v>
      </c>
      <c r="CS1573" s="4"/>
      <c r="CT1573" s="4"/>
      <c r="CU1573" s="4"/>
      <c r="CV1573" s="4"/>
      <c r="CW1573" s="4"/>
      <c r="CX1573" s="4"/>
      <c r="CY1573" s="4"/>
      <c r="CZ1573" s="4"/>
      <c r="DA1573" s="4"/>
      <c r="DB1573" s="4"/>
      <c r="DC1573" s="4"/>
      <c r="DD1573" s="4"/>
      <c r="DE1573" s="4"/>
      <c r="DF1573" s="4"/>
      <c r="DG1573" s="4"/>
      <c r="DH1573" s="4"/>
      <c r="DI1573" s="4"/>
      <c r="DJ1573" s="4" t="b">
        <v>0</v>
      </c>
      <c r="DK1573" s="4"/>
      <c r="DL1573" s="4">
        <v>2681990</v>
      </c>
      <c r="DM1573" s="4">
        <v>6007847</v>
      </c>
      <c r="DN1573" s="4" t="s">
        <v>4732</v>
      </c>
      <c r="DO1573" s="4"/>
      <c r="DP1573" s="4"/>
      <c r="DQ1573" s="4" t="s">
        <v>148</v>
      </c>
      <c r="DR1573" s="4"/>
      <c r="DS1573" s="4"/>
      <c r="DT1573" s="4"/>
      <c r="DU1573" s="4"/>
      <c r="DV1573" s="4"/>
      <c r="DW1573" s="4"/>
      <c r="DX1573" s="4"/>
      <c r="DY1573" s="4"/>
      <c r="DZ1573" s="5">
        <v>39687</v>
      </c>
      <c r="EA1573" s="4"/>
      <c r="EB1573" s="4"/>
      <c r="EC1573" s="4"/>
      <c r="ED1573" s="4"/>
      <c r="EE1573" s="4"/>
      <c r="EF1573" s="4"/>
      <c r="EG1573" s="4"/>
      <c r="EH1573" s="4"/>
      <c r="EI1573" s="5">
        <v>39392</v>
      </c>
    </row>
    <row r="1574" spans="1:139" hidden="1" x14ac:dyDescent="0.2">
      <c r="A1574">
        <f>VLOOKUP(B1574,Sheet1!$A$1:$B$18,2,FALSE)</f>
        <v>0</v>
      </c>
      <c r="B1574" t="str">
        <f>LEFT(D1574,3)</f>
        <v>WLG</v>
      </c>
      <c r="C1574" s="2">
        <v>1573</v>
      </c>
      <c r="D1574" s="3" t="str">
        <f>HYPERLINK("https://sitebase.nzcomms.co.nz/spm/spmnominalview/WLG-045-005/","WLG-045-005")</f>
        <v>WLG-045-005</v>
      </c>
      <c r="E1574" s="4"/>
      <c r="F1574" s="3" t="str">
        <f>HYPERLINK("https://sitebase.nzcomms.co.nz/spm/spmcandidateview/WLG-045-005-B/","WLG-045-005-B")</f>
        <v>WLG-045-005-B</v>
      </c>
      <c r="G1574" s="4" t="s">
        <v>4733</v>
      </c>
      <c r="H1574" s="4" t="s">
        <v>4718</v>
      </c>
      <c r="I1574" s="4"/>
      <c r="J1574" s="4" t="s">
        <v>139</v>
      </c>
      <c r="K1574" s="4" t="s">
        <v>141</v>
      </c>
      <c r="L1574" s="4" t="s">
        <v>189</v>
      </c>
      <c r="M1574" s="4" t="s">
        <v>143</v>
      </c>
      <c r="N1574" s="4" t="s">
        <v>612</v>
      </c>
      <c r="O1574" s="4" t="s">
        <v>356</v>
      </c>
      <c r="P1574" s="4"/>
      <c r="Q1574" s="4"/>
      <c r="R1574" s="4">
        <v>13.2</v>
      </c>
      <c r="S1574" s="4">
        <v>13.2</v>
      </c>
      <c r="T1574" s="4"/>
      <c r="U1574" s="4">
        <v>-41.115400059999999</v>
      </c>
      <c r="V1574" s="4">
        <v>175.08111366</v>
      </c>
      <c r="W1574" s="4"/>
      <c r="X1574" s="4"/>
      <c r="Y1574" s="4"/>
      <c r="Z1574" s="4"/>
      <c r="AA1574" s="4" t="s">
        <v>217</v>
      </c>
      <c r="AB1574" s="4" t="s">
        <v>4734</v>
      </c>
      <c r="AC1574" s="4"/>
      <c r="AD1574" s="4"/>
      <c r="AE1574" s="4"/>
      <c r="AF1574" s="4"/>
      <c r="AG1574" s="4"/>
      <c r="AH1574" s="4" t="s">
        <v>4618</v>
      </c>
      <c r="AI1574" s="4"/>
      <c r="AJ1574" s="4"/>
      <c r="AK1574" s="4"/>
      <c r="AL1574" s="4"/>
      <c r="AM1574" s="4"/>
      <c r="AN1574" s="5">
        <v>39743</v>
      </c>
      <c r="AO1574" s="4">
        <v>1</v>
      </c>
      <c r="AP1574" s="4"/>
      <c r="AQ1574" s="5">
        <v>39743</v>
      </c>
      <c r="AR1574" s="4"/>
      <c r="AS1574" s="4"/>
      <c r="AT1574" s="5">
        <v>39878</v>
      </c>
      <c r="AU1574" s="5">
        <v>39870</v>
      </c>
      <c r="AV1574" s="4">
        <v>1</v>
      </c>
      <c r="AW1574" s="5">
        <v>39902</v>
      </c>
      <c r="AX1574" s="5">
        <v>39902</v>
      </c>
      <c r="AY1574" s="4"/>
      <c r="AZ1574" s="4"/>
      <c r="BA1574" s="4"/>
      <c r="BB1574" s="5">
        <v>39769</v>
      </c>
      <c r="BC1574" s="4"/>
      <c r="BD1574" s="4"/>
      <c r="BE1574" s="5">
        <v>39769</v>
      </c>
      <c r="BF1574" s="5">
        <v>39769</v>
      </c>
      <c r="BG1574" s="4"/>
      <c r="BH1574" s="5">
        <v>39839</v>
      </c>
      <c r="BI1574" s="4"/>
      <c r="BJ1574" s="5">
        <v>39855</v>
      </c>
      <c r="BK1574" s="4">
        <v>1</v>
      </c>
      <c r="BL1574" s="4">
        <v>1</v>
      </c>
      <c r="BM1574" s="5">
        <v>39855</v>
      </c>
      <c r="BN1574" s="5">
        <v>39855</v>
      </c>
      <c r="BO1574" s="4"/>
      <c r="BP1574" s="4"/>
      <c r="BQ1574" s="4"/>
      <c r="BR1574" s="4"/>
      <c r="BS1574" s="4"/>
      <c r="BT1574" s="5">
        <v>39938</v>
      </c>
      <c r="BU1574" s="5">
        <v>39937</v>
      </c>
      <c r="BV1574" s="5">
        <v>39955</v>
      </c>
      <c r="BW1574" s="5">
        <v>39947</v>
      </c>
      <c r="BX1574" s="4"/>
      <c r="BY1574" s="5">
        <v>39969</v>
      </c>
      <c r="BZ1574" s="5">
        <v>39948</v>
      </c>
      <c r="CA1574" s="4"/>
      <c r="CB1574" s="4"/>
      <c r="CC1574" s="4"/>
      <c r="CD1574" s="4"/>
      <c r="CE1574" s="4"/>
      <c r="CF1574" s="4"/>
      <c r="CG1574" s="4"/>
      <c r="CH1574" s="4"/>
      <c r="CI1574" s="5">
        <v>40025</v>
      </c>
      <c r="CJ1574" s="5">
        <v>40023</v>
      </c>
      <c r="CK1574" s="5">
        <v>40025</v>
      </c>
      <c r="CL1574" s="4"/>
      <c r="CM1574" s="4"/>
      <c r="CN1574" s="4"/>
      <c r="CO1574" s="4"/>
      <c r="CP1574" s="4" t="s">
        <v>4735</v>
      </c>
      <c r="CQ1574" s="4"/>
      <c r="CR1574" s="5">
        <v>40023</v>
      </c>
      <c r="CS1574" s="4"/>
      <c r="CT1574" s="4"/>
      <c r="CU1574" s="4"/>
      <c r="CV1574" s="4"/>
      <c r="CW1574" s="5">
        <v>39925</v>
      </c>
      <c r="CX1574" s="4"/>
      <c r="CY1574" s="4"/>
      <c r="CZ1574" s="4"/>
      <c r="DA1574" s="4"/>
      <c r="DB1574" s="4"/>
      <c r="DC1574" s="4"/>
      <c r="DD1574" s="4"/>
      <c r="DE1574" s="4"/>
      <c r="DF1574" s="4"/>
      <c r="DG1574" s="4"/>
      <c r="DH1574" s="4"/>
      <c r="DI1574" s="4"/>
      <c r="DJ1574" s="4" t="b">
        <v>0</v>
      </c>
      <c r="DK1574" s="4"/>
      <c r="DL1574" s="4">
        <v>2684745</v>
      </c>
      <c r="DM1574" s="4">
        <v>6008061</v>
      </c>
      <c r="DN1574" s="4" t="s">
        <v>4736</v>
      </c>
      <c r="DO1574" s="4"/>
      <c r="DP1574" s="4"/>
      <c r="DQ1574" s="4" t="s">
        <v>148</v>
      </c>
      <c r="DR1574" s="4"/>
      <c r="DS1574" s="4"/>
      <c r="DT1574" s="4"/>
      <c r="DU1574" s="4"/>
      <c r="DV1574" s="4"/>
      <c r="DW1574" s="4"/>
      <c r="DX1574" s="4"/>
      <c r="DY1574" s="5">
        <v>39930</v>
      </c>
      <c r="DZ1574" s="5">
        <v>39917</v>
      </c>
      <c r="EA1574" s="4"/>
      <c r="EB1574" s="4"/>
      <c r="EC1574" s="4"/>
      <c r="ED1574" s="4"/>
      <c r="EE1574" s="4"/>
      <c r="EF1574" s="4"/>
      <c r="EG1574" s="4"/>
      <c r="EH1574" s="4"/>
      <c r="EI1574" s="5">
        <v>39710</v>
      </c>
    </row>
    <row r="1575" spans="1:139" hidden="1" x14ac:dyDescent="0.2">
      <c r="A1575">
        <f>VLOOKUP(B1575,Sheet1!$A$1:$B$18,2,FALSE)</f>
        <v>0</v>
      </c>
      <c r="B1575" t="str">
        <f>LEFT(D1575,3)</f>
        <v>WLG</v>
      </c>
      <c r="C1575" s="2">
        <v>1574</v>
      </c>
      <c r="D1575" s="3" t="str">
        <f>HYPERLINK("https://sitebase.nzcomms.co.nz/spm/spmnominalview/WLG-045-006/","WLG-045-006")</f>
        <v>WLG-045-006</v>
      </c>
      <c r="E1575" s="4"/>
      <c r="F1575" s="3" t="str">
        <f>HYPERLINK("https://sitebase.nzcomms.co.nz/spm/spmcandidateview/WLG-045-006-A/","WLG-045-006-A")</f>
        <v>WLG-045-006-A</v>
      </c>
      <c r="G1575" s="4" t="s">
        <v>4737</v>
      </c>
      <c r="H1575" s="4" t="s">
        <v>4718</v>
      </c>
      <c r="I1575" s="4"/>
      <c r="J1575" s="4" t="s">
        <v>139</v>
      </c>
      <c r="K1575" s="4" t="s">
        <v>141</v>
      </c>
      <c r="L1575" s="4" t="s">
        <v>181</v>
      </c>
      <c r="M1575" s="4" t="s">
        <v>442</v>
      </c>
      <c r="N1575" s="4" t="s">
        <v>364</v>
      </c>
      <c r="O1575" s="4" t="s">
        <v>144</v>
      </c>
      <c r="P1575" s="4"/>
      <c r="Q1575" s="4"/>
      <c r="R1575" s="4">
        <v>32.5</v>
      </c>
      <c r="S1575" s="4">
        <v>32.5</v>
      </c>
      <c r="T1575" s="4"/>
      <c r="U1575" s="4">
        <v>-41.124456270000003</v>
      </c>
      <c r="V1575" s="4">
        <v>175.06934375</v>
      </c>
      <c r="W1575" s="4"/>
      <c r="X1575" s="4"/>
      <c r="Y1575" s="4"/>
      <c r="Z1575" s="4"/>
      <c r="AA1575" s="4" t="s">
        <v>217</v>
      </c>
      <c r="AB1575" s="4" t="s">
        <v>4738</v>
      </c>
      <c r="AC1575" s="4"/>
      <c r="AD1575" s="4"/>
      <c r="AE1575" s="4"/>
      <c r="AF1575" s="4"/>
      <c r="AG1575" s="4"/>
      <c r="AH1575" s="4" t="s">
        <v>4739</v>
      </c>
      <c r="AI1575" s="4"/>
      <c r="AJ1575" s="5">
        <v>39882</v>
      </c>
      <c r="AK1575" s="4"/>
      <c r="AL1575" s="4"/>
      <c r="AM1575" s="4"/>
      <c r="AN1575" s="5">
        <v>39476</v>
      </c>
      <c r="AO1575" s="4">
        <v>4</v>
      </c>
      <c r="AP1575" s="5">
        <v>39940</v>
      </c>
      <c r="AQ1575" s="5">
        <v>40015</v>
      </c>
      <c r="AR1575" s="4"/>
      <c r="AS1575" s="4"/>
      <c r="AT1575" s="5">
        <v>39963</v>
      </c>
      <c r="AU1575" s="5">
        <v>39962</v>
      </c>
      <c r="AV1575" s="4">
        <v>3</v>
      </c>
      <c r="AW1575" s="5">
        <v>39963</v>
      </c>
      <c r="AX1575" s="5">
        <v>39963</v>
      </c>
      <c r="AY1575" s="4"/>
      <c r="AZ1575" s="5">
        <v>39959</v>
      </c>
      <c r="BA1575" s="4"/>
      <c r="BB1575" s="5">
        <v>39990</v>
      </c>
      <c r="BC1575" s="4"/>
      <c r="BD1575" s="4"/>
      <c r="BE1575" s="5">
        <v>40001</v>
      </c>
      <c r="BF1575" s="5">
        <v>39996</v>
      </c>
      <c r="BG1575" s="5">
        <v>39959</v>
      </c>
      <c r="BH1575" s="5">
        <v>39960</v>
      </c>
      <c r="BI1575" s="5">
        <v>39994</v>
      </c>
      <c r="BJ1575" s="5">
        <v>40002</v>
      </c>
      <c r="BK1575" s="4">
        <v>2</v>
      </c>
      <c r="BL1575" s="4">
        <v>4</v>
      </c>
      <c r="BM1575" s="5">
        <v>39994</v>
      </c>
      <c r="BN1575" s="5">
        <v>40057</v>
      </c>
      <c r="BO1575" s="4"/>
      <c r="BP1575" s="4"/>
      <c r="BQ1575" s="4"/>
      <c r="BR1575" s="4"/>
      <c r="BS1575" s="4"/>
      <c r="BT1575" s="5">
        <v>40035</v>
      </c>
      <c r="BU1575" s="5">
        <v>40035</v>
      </c>
      <c r="BV1575" s="5">
        <v>40070</v>
      </c>
      <c r="BW1575" s="5">
        <v>40067</v>
      </c>
      <c r="BX1575" s="4"/>
      <c r="BY1575" s="5">
        <v>40076</v>
      </c>
      <c r="BZ1575" s="5">
        <v>40071</v>
      </c>
      <c r="CA1575" s="4"/>
      <c r="CB1575" s="4"/>
      <c r="CC1575" s="4"/>
      <c r="CD1575" s="4"/>
      <c r="CE1575" s="4"/>
      <c r="CF1575" s="4"/>
      <c r="CG1575" s="4"/>
      <c r="CH1575" s="4"/>
      <c r="CI1575" s="5">
        <v>40078</v>
      </c>
      <c r="CJ1575" s="5">
        <v>40081</v>
      </c>
      <c r="CK1575" s="5">
        <v>40078</v>
      </c>
      <c r="CL1575" s="4"/>
      <c r="CM1575" s="4"/>
      <c r="CN1575" s="4"/>
      <c r="CO1575" s="4"/>
      <c r="CP1575" s="4" t="s">
        <v>4740</v>
      </c>
      <c r="CQ1575" s="4"/>
      <c r="CR1575" s="5">
        <v>40081</v>
      </c>
      <c r="CS1575" s="4"/>
      <c r="CT1575" s="4"/>
      <c r="CU1575" s="4"/>
      <c r="CV1575" s="4"/>
      <c r="CW1575" s="4"/>
      <c r="CX1575" s="4"/>
      <c r="CY1575" s="4"/>
      <c r="CZ1575" s="4"/>
      <c r="DA1575" s="4"/>
      <c r="DB1575" s="4"/>
      <c r="DC1575" s="4"/>
      <c r="DD1575" s="4"/>
      <c r="DE1575" s="4"/>
      <c r="DF1575" s="4"/>
      <c r="DG1575" s="4"/>
      <c r="DH1575" s="4"/>
      <c r="DI1575" s="4"/>
      <c r="DJ1575" s="4" t="b">
        <v>0</v>
      </c>
      <c r="DK1575" s="4"/>
      <c r="DL1575" s="4">
        <v>2683733</v>
      </c>
      <c r="DM1575" s="4">
        <v>6007079</v>
      </c>
      <c r="DN1575" s="4" t="s">
        <v>4741</v>
      </c>
      <c r="DO1575" s="4"/>
      <c r="DP1575" s="4"/>
      <c r="DQ1575" s="4" t="s">
        <v>148</v>
      </c>
      <c r="DR1575" s="4"/>
      <c r="DS1575" s="4"/>
      <c r="DT1575" s="4"/>
      <c r="DU1575" s="4"/>
      <c r="DV1575" s="4"/>
      <c r="DW1575" s="4"/>
      <c r="DX1575" s="4"/>
      <c r="DY1575" s="5">
        <v>40039</v>
      </c>
      <c r="DZ1575" s="5">
        <v>40039</v>
      </c>
      <c r="EA1575" s="4"/>
      <c r="EB1575" s="4"/>
      <c r="EC1575" s="4"/>
      <c r="ED1575" s="4"/>
      <c r="EE1575" s="4"/>
      <c r="EF1575" s="4"/>
      <c r="EG1575" s="4"/>
      <c r="EH1575" s="4"/>
      <c r="EI1575" s="5">
        <v>39416</v>
      </c>
    </row>
    <row r="1576" spans="1:139" hidden="1" x14ac:dyDescent="0.2">
      <c r="A1576">
        <f>VLOOKUP(B1576,Sheet1!$A$1:$B$18,2,FALSE)</f>
        <v>0</v>
      </c>
      <c r="B1576" t="str">
        <f>LEFT(D1576,3)</f>
        <v>WLG</v>
      </c>
      <c r="C1576" s="2">
        <v>1575</v>
      </c>
      <c r="D1576" s="3" t="str">
        <f>HYPERLINK("https://sitebase.nzcomms.co.nz/spm/spmnominalview/WLG-045-007/","WLG-045-007")</f>
        <v>WLG-045-007</v>
      </c>
      <c r="E1576" s="4"/>
      <c r="F1576" s="3" t="str">
        <f>HYPERLINK("https://sitebase.nzcomms.co.nz/spm/spmcandidateview/WLG-045-007-H/","WLG-045-007-H")</f>
        <v>WLG-045-007-H</v>
      </c>
      <c r="G1576" s="4" t="s">
        <v>4742</v>
      </c>
      <c r="H1576" s="4" t="s">
        <v>4718</v>
      </c>
      <c r="I1576" s="4"/>
      <c r="J1576" s="4" t="s">
        <v>139</v>
      </c>
      <c r="K1576" s="4" t="s">
        <v>141</v>
      </c>
      <c r="L1576" s="4" t="s">
        <v>150</v>
      </c>
      <c r="M1576" s="4" t="s">
        <v>143</v>
      </c>
      <c r="N1576" s="4" t="s">
        <v>291</v>
      </c>
      <c r="O1576" s="4" t="s">
        <v>144</v>
      </c>
      <c r="P1576" s="4"/>
      <c r="Q1576" s="4"/>
      <c r="R1576" s="4">
        <v>18.8</v>
      </c>
      <c r="S1576" s="4">
        <v>18.8</v>
      </c>
      <c r="T1576" s="4"/>
      <c r="U1576" s="4">
        <v>-41.131623130000001</v>
      </c>
      <c r="V1576" s="4">
        <v>175.04773148000001</v>
      </c>
      <c r="W1576" s="4"/>
      <c r="X1576" s="4"/>
      <c r="Y1576" s="4"/>
      <c r="Z1576" s="4"/>
      <c r="AA1576" s="4" t="s">
        <v>217</v>
      </c>
      <c r="AB1576" s="4" t="s">
        <v>4738</v>
      </c>
      <c r="AC1576" s="4"/>
      <c r="AD1576" s="4"/>
      <c r="AE1576" s="4"/>
      <c r="AF1576" s="4"/>
      <c r="AG1576" s="4"/>
      <c r="AH1576" s="4" t="s">
        <v>4743</v>
      </c>
      <c r="AI1576" s="4"/>
      <c r="AJ1576" s="4"/>
      <c r="AK1576" s="4"/>
      <c r="AL1576" s="4"/>
      <c r="AM1576" s="4"/>
      <c r="AN1576" s="5">
        <v>39647</v>
      </c>
      <c r="AO1576" s="4">
        <v>3</v>
      </c>
      <c r="AP1576" s="4"/>
      <c r="AQ1576" s="5">
        <v>39868</v>
      </c>
      <c r="AR1576" s="4"/>
      <c r="AS1576" s="4"/>
      <c r="AT1576" s="5">
        <v>39699</v>
      </c>
      <c r="AU1576" s="5">
        <v>39695</v>
      </c>
      <c r="AV1576" s="4">
        <v>1</v>
      </c>
      <c r="AW1576" s="5">
        <v>39699</v>
      </c>
      <c r="AX1576" s="5">
        <v>39695</v>
      </c>
      <c r="AY1576" s="4"/>
      <c r="AZ1576" s="4"/>
      <c r="BA1576" s="4"/>
      <c r="BB1576" s="5">
        <v>39672</v>
      </c>
      <c r="BC1576" s="4"/>
      <c r="BD1576" s="4"/>
      <c r="BE1576" s="5">
        <v>39757</v>
      </c>
      <c r="BF1576" s="5">
        <v>39757</v>
      </c>
      <c r="BG1576" s="4"/>
      <c r="BH1576" s="5">
        <v>39692</v>
      </c>
      <c r="BI1576" s="4"/>
      <c r="BJ1576" s="5">
        <v>39773</v>
      </c>
      <c r="BK1576" s="4">
        <v>1</v>
      </c>
      <c r="BL1576" s="4">
        <v>2</v>
      </c>
      <c r="BM1576" s="5">
        <v>39773</v>
      </c>
      <c r="BN1576" s="5">
        <v>39773</v>
      </c>
      <c r="BO1576" s="5">
        <v>39797</v>
      </c>
      <c r="BP1576" s="4"/>
      <c r="BQ1576" s="4"/>
      <c r="BR1576" s="4"/>
      <c r="BS1576" s="4"/>
      <c r="BT1576" s="4"/>
      <c r="BU1576" s="5">
        <v>39792</v>
      </c>
      <c r="BV1576" s="5">
        <v>39843</v>
      </c>
      <c r="BW1576" s="5">
        <v>39843</v>
      </c>
      <c r="BX1576" s="4"/>
      <c r="BY1576" s="5">
        <v>39913</v>
      </c>
      <c r="BZ1576" s="5">
        <v>39909</v>
      </c>
      <c r="CA1576" s="4"/>
      <c r="CB1576" s="4"/>
      <c r="CC1576" s="4"/>
      <c r="CD1576" s="4"/>
      <c r="CE1576" s="4"/>
      <c r="CF1576" s="4"/>
      <c r="CG1576" s="4"/>
      <c r="CH1576" s="4"/>
      <c r="CI1576" s="5">
        <v>39932</v>
      </c>
      <c r="CJ1576" s="5">
        <v>39933</v>
      </c>
      <c r="CK1576" s="5">
        <v>39932</v>
      </c>
      <c r="CL1576" s="4"/>
      <c r="CM1576" s="4"/>
      <c r="CN1576" s="4"/>
      <c r="CO1576" s="4"/>
      <c r="CP1576" s="4" t="s">
        <v>4744</v>
      </c>
      <c r="CQ1576" s="4"/>
      <c r="CR1576" s="5">
        <v>39933</v>
      </c>
      <c r="CS1576" s="4"/>
      <c r="CT1576" s="4"/>
      <c r="CU1576" s="4"/>
      <c r="CV1576" s="4"/>
      <c r="CW1576" s="4"/>
      <c r="CX1576" s="5">
        <v>39797</v>
      </c>
      <c r="CY1576" s="4"/>
      <c r="CZ1576" s="4"/>
      <c r="DA1576" s="4"/>
      <c r="DB1576" s="4"/>
      <c r="DC1576" s="4"/>
      <c r="DD1576" s="4"/>
      <c r="DE1576" s="4"/>
      <c r="DF1576" s="4"/>
      <c r="DG1576" s="4"/>
      <c r="DH1576" s="4"/>
      <c r="DI1576" s="4"/>
      <c r="DJ1576" s="4" t="b">
        <v>0</v>
      </c>
      <c r="DK1576" s="4"/>
      <c r="DL1576" s="4">
        <v>2681900</v>
      </c>
      <c r="DM1576" s="4">
        <v>6006326</v>
      </c>
      <c r="DN1576" s="4" t="s">
        <v>4745</v>
      </c>
      <c r="DO1576" s="4"/>
      <c r="DP1576" s="4"/>
      <c r="DQ1576" s="4" t="s">
        <v>148</v>
      </c>
      <c r="DR1576" s="4"/>
      <c r="DS1576" s="4"/>
      <c r="DT1576" s="4"/>
      <c r="DU1576" s="4"/>
      <c r="DV1576" s="4"/>
      <c r="DW1576" s="4"/>
      <c r="DX1576" s="4"/>
      <c r="DY1576" s="4"/>
      <c r="DZ1576" s="5">
        <v>39780</v>
      </c>
      <c r="EA1576" s="4"/>
      <c r="EB1576" s="4"/>
      <c r="EC1576" s="4"/>
      <c r="ED1576" s="4"/>
      <c r="EE1576" s="4"/>
      <c r="EF1576" s="4"/>
      <c r="EG1576" s="4"/>
      <c r="EH1576" s="4"/>
      <c r="EI1576" s="5">
        <v>39611</v>
      </c>
    </row>
    <row r="1577" spans="1:139" hidden="1" x14ac:dyDescent="0.2">
      <c r="A1577">
        <f>VLOOKUP(B1577,Sheet1!$A$1:$B$18,2,FALSE)</f>
        <v>0</v>
      </c>
      <c r="B1577" t="str">
        <f>LEFT(D1577,3)</f>
        <v>WLG</v>
      </c>
      <c r="C1577" s="2">
        <v>1576</v>
      </c>
      <c r="D1577" s="3" t="str">
        <f>HYPERLINK("https://sitebase.nzcomms.co.nz/spm/spmnominalview/WLG-045-008/","WLG-045-008")</f>
        <v>WLG-045-008</v>
      </c>
      <c r="E1577" s="4"/>
      <c r="F1577" s="4"/>
      <c r="G1577" s="4"/>
      <c r="H1577" s="4" t="s">
        <v>4718</v>
      </c>
      <c r="I1577" s="4"/>
      <c r="J1577" s="4" t="s">
        <v>139</v>
      </c>
      <c r="K1577" s="4"/>
      <c r="L1577" s="4"/>
      <c r="M1577" s="4"/>
      <c r="N1577" s="4"/>
      <c r="O1577" s="4"/>
      <c r="P1577" s="4"/>
      <c r="Q1577" s="4"/>
      <c r="R1577" s="4"/>
      <c r="S1577" s="4"/>
      <c r="T1577" s="4"/>
      <c r="U1577" s="4"/>
      <c r="V1577" s="4"/>
      <c r="W1577" s="4"/>
      <c r="X1577" s="4"/>
      <c r="Y1577" s="4"/>
      <c r="Z1577" s="4"/>
      <c r="AA1577" s="4"/>
      <c r="AB1577" s="4"/>
      <c r="AC1577" s="4"/>
      <c r="AD1577" s="4"/>
      <c r="AE1577" s="4"/>
      <c r="AF1577" s="4"/>
      <c r="AG1577" s="4"/>
      <c r="AH1577" s="4"/>
      <c r="AI1577" s="4"/>
      <c r="AJ1577" s="4"/>
      <c r="AK1577" s="4"/>
      <c r="AL1577" s="4"/>
      <c r="AM1577" s="4"/>
      <c r="AN1577" s="4"/>
      <c r="AO1577" s="4"/>
      <c r="AP1577" s="4"/>
      <c r="AQ1577" s="4"/>
      <c r="AR1577" s="4"/>
      <c r="AS1577" s="4"/>
      <c r="AT1577" s="4"/>
      <c r="AU1577" s="4"/>
      <c r="AV1577" s="4"/>
      <c r="AW1577" s="4"/>
      <c r="AX1577" s="4"/>
      <c r="AY1577" s="4"/>
      <c r="AZ1577" s="4"/>
      <c r="BA1577" s="4"/>
      <c r="BB1577" s="4"/>
      <c r="BC1577" s="4"/>
      <c r="BD1577" s="4"/>
      <c r="BE1577" s="4"/>
      <c r="BF1577" s="4"/>
      <c r="BG1577" s="4"/>
      <c r="BH1577" s="4"/>
      <c r="BI1577" s="4"/>
      <c r="BJ1577" s="4"/>
      <c r="BK1577" s="4"/>
      <c r="BL1577" s="4"/>
      <c r="BM1577" s="4"/>
      <c r="BN1577" s="4"/>
      <c r="BO1577" s="4"/>
      <c r="BP1577" s="4"/>
      <c r="BQ1577" s="4"/>
      <c r="BR1577" s="4"/>
      <c r="BS1577" s="4"/>
      <c r="BT1577" s="4"/>
      <c r="BU1577" s="4"/>
      <c r="BV1577" s="4"/>
      <c r="BW1577" s="4"/>
      <c r="BX1577" s="4"/>
      <c r="BY1577" s="4"/>
      <c r="BZ1577" s="4"/>
      <c r="CA1577" s="4"/>
      <c r="CB1577" s="4"/>
      <c r="CC1577" s="4"/>
      <c r="CD1577" s="4"/>
      <c r="CE1577" s="4"/>
      <c r="CF1577" s="4"/>
      <c r="CG1577" s="4"/>
      <c r="CH1577" s="4"/>
      <c r="CI1577" s="4"/>
      <c r="CJ1577" s="4"/>
      <c r="CK1577" s="4"/>
      <c r="CL1577" s="4"/>
      <c r="CM1577" s="4"/>
      <c r="CN1577" s="4"/>
      <c r="CO1577" s="4"/>
      <c r="CP1577" s="4"/>
      <c r="CQ1577" s="4"/>
      <c r="CR1577" s="4"/>
      <c r="CS1577" s="4"/>
      <c r="CT1577" s="4"/>
      <c r="CU1577" s="4"/>
      <c r="CV1577" s="4"/>
      <c r="CW1577" s="4"/>
      <c r="CX1577" s="4"/>
      <c r="CY1577" s="4"/>
      <c r="CZ1577" s="4"/>
      <c r="DA1577" s="4"/>
      <c r="DB1577" s="4"/>
      <c r="DC1577" s="4"/>
      <c r="DD1577" s="4"/>
      <c r="DE1577" s="4"/>
      <c r="DF1577" s="4"/>
      <c r="DG1577" s="4"/>
      <c r="DH1577" s="4"/>
      <c r="DI1577" s="4"/>
      <c r="DJ1577" s="4"/>
      <c r="DK1577" s="4"/>
      <c r="DL1577" s="4"/>
      <c r="DM1577" s="4"/>
      <c r="DN1577" s="4"/>
      <c r="DO1577" s="4"/>
      <c r="DP1577" s="4"/>
      <c r="DQ1577" s="4"/>
      <c r="DR1577" s="4"/>
      <c r="DS1577" s="4"/>
      <c r="DT1577" s="4"/>
      <c r="DU1577" s="4"/>
      <c r="DV1577" s="4"/>
      <c r="DW1577" s="4"/>
      <c r="DX1577" s="4"/>
      <c r="DY1577" s="4"/>
      <c r="DZ1577" s="4"/>
      <c r="EA1577" s="4"/>
      <c r="EB1577" s="4"/>
      <c r="EC1577" s="4"/>
      <c r="ED1577" s="4"/>
      <c r="EE1577" s="4"/>
      <c r="EF1577" s="4"/>
      <c r="EG1577" s="4"/>
      <c r="EH1577" s="4"/>
      <c r="EI1577" s="4"/>
    </row>
    <row r="1578" spans="1:139" hidden="1" x14ac:dyDescent="0.2">
      <c r="A1578">
        <f>VLOOKUP(B1578,Sheet1!$A$1:$B$18,2,FALSE)</f>
        <v>0</v>
      </c>
      <c r="B1578" t="str">
        <f>LEFT(D1578,3)</f>
        <v>WLG</v>
      </c>
      <c r="C1578" s="2">
        <v>1577</v>
      </c>
      <c r="D1578" s="3" t="str">
        <f>HYPERLINK("https://sitebase.nzcomms.co.nz/spm/spmnominalview/WLG-045-009/","WLG-045-009")</f>
        <v>WLG-045-009</v>
      </c>
      <c r="E1578" s="4"/>
      <c r="F1578" s="3" t="str">
        <f>HYPERLINK("https://sitebase.nzcomms.co.nz/spm/spmcandidateview/WLG-045-009-E/","WLG-045-009-E")</f>
        <v>WLG-045-009-E</v>
      </c>
      <c r="G1578" s="4" t="s">
        <v>4746</v>
      </c>
      <c r="H1578" s="4" t="s">
        <v>4718</v>
      </c>
      <c r="I1578" s="4"/>
      <c r="J1578" s="4" t="s">
        <v>139</v>
      </c>
      <c r="K1578" s="4" t="s">
        <v>141</v>
      </c>
      <c r="L1578" s="4" t="s">
        <v>150</v>
      </c>
      <c r="M1578" s="4" t="s">
        <v>143</v>
      </c>
      <c r="N1578" s="4" t="s">
        <v>291</v>
      </c>
      <c r="O1578" s="4" t="s">
        <v>356</v>
      </c>
      <c r="P1578" s="4"/>
      <c r="Q1578" s="4"/>
      <c r="R1578" s="4">
        <v>18.8</v>
      </c>
      <c r="S1578" s="4">
        <v>18.8</v>
      </c>
      <c r="T1578" s="4"/>
      <c r="U1578" s="4">
        <v>-41.14178304</v>
      </c>
      <c r="V1578" s="4">
        <v>175.03753712</v>
      </c>
      <c r="W1578" s="4"/>
      <c r="X1578" s="4"/>
      <c r="Y1578" s="4"/>
      <c r="Z1578" s="4"/>
      <c r="AA1578" s="4" t="s">
        <v>217</v>
      </c>
      <c r="AB1578" s="4" t="s">
        <v>4738</v>
      </c>
      <c r="AC1578" s="4"/>
      <c r="AD1578" s="4"/>
      <c r="AE1578" s="4"/>
      <c r="AF1578" s="4"/>
      <c r="AG1578" s="4"/>
      <c r="AH1578" s="4" t="s">
        <v>4747</v>
      </c>
      <c r="AI1578" s="4"/>
      <c r="AJ1578" s="4"/>
      <c r="AK1578" s="4"/>
      <c r="AL1578" s="4"/>
      <c r="AM1578" s="4"/>
      <c r="AN1578" s="5">
        <v>39500</v>
      </c>
      <c r="AO1578" s="4">
        <v>1</v>
      </c>
      <c r="AP1578" s="4"/>
      <c r="AQ1578" s="5">
        <v>39500</v>
      </c>
      <c r="AR1578" s="4"/>
      <c r="AS1578" s="4"/>
      <c r="AT1578" s="5">
        <v>39665</v>
      </c>
      <c r="AU1578" s="5">
        <v>39581</v>
      </c>
      <c r="AV1578" s="4">
        <v>1</v>
      </c>
      <c r="AW1578" s="5">
        <v>39665</v>
      </c>
      <c r="AX1578" s="5">
        <v>39581</v>
      </c>
      <c r="AY1578" s="4"/>
      <c r="AZ1578" s="4"/>
      <c r="BA1578" s="4"/>
      <c r="BB1578" s="5">
        <v>39570</v>
      </c>
      <c r="BC1578" s="4"/>
      <c r="BD1578" s="4"/>
      <c r="BE1578" s="5">
        <v>39570</v>
      </c>
      <c r="BF1578" s="5">
        <v>39570</v>
      </c>
      <c r="BG1578" s="4"/>
      <c r="BH1578" s="5">
        <v>39573</v>
      </c>
      <c r="BI1578" s="4"/>
      <c r="BJ1578" s="5">
        <v>39605</v>
      </c>
      <c r="BK1578" s="4">
        <v>1</v>
      </c>
      <c r="BL1578" s="4">
        <v>1</v>
      </c>
      <c r="BM1578" s="5">
        <v>39605</v>
      </c>
      <c r="BN1578" s="5">
        <v>39605</v>
      </c>
      <c r="BO1578" s="4"/>
      <c r="BP1578" s="4"/>
      <c r="BQ1578" s="4"/>
      <c r="BR1578" s="4"/>
      <c r="BS1578" s="4"/>
      <c r="BT1578" s="4"/>
      <c r="BU1578" s="5">
        <v>39620</v>
      </c>
      <c r="BV1578" s="5">
        <v>39633</v>
      </c>
      <c r="BW1578" s="5">
        <v>39629</v>
      </c>
      <c r="BX1578" s="4"/>
      <c r="BY1578" s="4"/>
      <c r="BZ1578" s="5">
        <v>39633</v>
      </c>
      <c r="CA1578" s="4"/>
      <c r="CB1578" s="4"/>
      <c r="CC1578" s="4"/>
      <c r="CD1578" s="4"/>
      <c r="CE1578" s="4"/>
      <c r="CF1578" s="4"/>
      <c r="CG1578" s="4"/>
      <c r="CH1578" s="4"/>
      <c r="CI1578" s="5">
        <v>39876</v>
      </c>
      <c r="CJ1578" s="5">
        <v>39887</v>
      </c>
      <c r="CK1578" s="5">
        <v>39876</v>
      </c>
      <c r="CL1578" s="4"/>
      <c r="CM1578" s="4"/>
      <c r="CN1578" s="4"/>
      <c r="CO1578" s="4"/>
      <c r="CP1578" s="4" t="s">
        <v>405</v>
      </c>
      <c r="CQ1578" s="4"/>
      <c r="CR1578" s="5">
        <v>39882</v>
      </c>
      <c r="CS1578" s="4"/>
      <c r="CT1578" s="4"/>
      <c r="CU1578" s="4"/>
      <c r="CV1578" s="4"/>
      <c r="CW1578" s="4"/>
      <c r="CX1578" s="4"/>
      <c r="CY1578" s="4"/>
      <c r="CZ1578" s="4"/>
      <c r="DA1578" s="4"/>
      <c r="DB1578" s="4"/>
      <c r="DC1578" s="4"/>
      <c r="DD1578" s="4"/>
      <c r="DE1578" s="4"/>
      <c r="DF1578" s="4"/>
      <c r="DG1578" s="4"/>
      <c r="DH1578" s="4"/>
      <c r="DI1578" s="4"/>
      <c r="DJ1578" s="4" t="b">
        <v>0</v>
      </c>
      <c r="DK1578" s="4"/>
      <c r="DL1578" s="4">
        <v>2681018</v>
      </c>
      <c r="DM1578" s="4">
        <v>6005218</v>
      </c>
      <c r="DN1578" s="4" t="s">
        <v>4748</v>
      </c>
      <c r="DO1578" s="4"/>
      <c r="DP1578" s="4"/>
      <c r="DQ1578" s="4" t="s">
        <v>148</v>
      </c>
      <c r="DR1578" s="4"/>
      <c r="DS1578" s="4"/>
      <c r="DT1578" s="5">
        <v>42390</v>
      </c>
      <c r="DU1578" s="4"/>
      <c r="DV1578" s="4"/>
      <c r="DW1578" s="4"/>
      <c r="DX1578" s="4"/>
      <c r="DY1578" s="4"/>
      <c r="DZ1578" s="5">
        <v>39608</v>
      </c>
      <c r="EA1578" s="4"/>
      <c r="EB1578" s="4"/>
      <c r="EC1578" s="4"/>
      <c r="ED1578" s="4"/>
      <c r="EE1578" s="4"/>
      <c r="EF1578" s="4"/>
      <c r="EG1578" s="4"/>
      <c r="EH1578" s="4"/>
      <c r="EI1578" s="5">
        <v>39485</v>
      </c>
    </row>
    <row r="1579" spans="1:139" hidden="1" x14ac:dyDescent="0.2">
      <c r="A1579">
        <f>VLOOKUP(B1579,Sheet1!$A$1:$B$18,2,FALSE)</f>
        <v>0</v>
      </c>
      <c r="B1579" t="str">
        <f>LEFT(D1579,3)</f>
        <v>WLG</v>
      </c>
      <c r="C1579" s="2">
        <v>1578</v>
      </c>
      <c r="D1579" s="3" t="str">
        <f>HYPERLINK("https://sitebase.nzcomms.co.nz/spm/spmnominalview/WLG-045-010/","WLG-045-010")</f>
        <v>WLG-045-010</v>
      </c>
      <c r="E1579" s="4"/>
      <c r="F1579" s="3" t="str">
        <f>HYPERLINK("https://sitebase.nzcomms.co.nz/spm/spmcandidateview/WLG-045-010-H/","WLG-045-010-H")</f>
        <v>WLG-045-010-H</v>
      </c>
      <c r="G1579" s="4" t="s">
        <v>4749</v>
      </c>
      <c r="H1579" s="4" t="s">
        <v>4718</v>
      </c>
      <c r="I1579" s="4">
        <v>7</v>
      </c>
      <c r="J1579" s="4" t="s">
        <v>139</v>
      </c>
      <c r="K1579" s="4" t="s">
        <v>141</v>
      </c>
      <c r="L1579" s="4" t="s">
        <v>150</v>
      </c>
      <c r="M1579" s="4" t="s">
        <v>143</v>
      </c>
      <c r="N1579" s="4" t="s">
        <v>291</v>
      </c>
      <c r="O1579" s="4" t="s">
        <v>144</v>
      </c>
      <c r="P1579" s="4"/>
      <c r="Q1579" s="4"/>
      <c r="R1579" s="4">
        <v>18.8</v>
      </c>
      <c r="S1579" s="4">
        <v>18.8</v>
      </c>
      <c r="T1579" s="4"/>
      <c r="U1579" s="4">
        <v>-41.146877189999998</v>
      </c>
      <c r="V1579" s="4">
        <v>175.01305260999999</v>
      </c>
      <c r="W1579" s="4"/>
      <c r="X1579" s="4"/>
      <c r="Y1579" s="4"/>
      <c r="Z1579" s="4"/>
      <c r="AA1579" s="4" t="s">
        <v>637</v>
      </c>
      <c r="AB1579" s="4" t="s">
        <v>4750</v>
      </c>
      <c r="AC1579" s="4" t="b">
        <v>0</v>
      </c>
      <c r="AD1579" s="4" t="b">
        <v>0</v>
      </c>
      <c r="AE1579" s="4"/>
      <c r="AF1579" s="4"/>
      <c r="AG1579" s="4" t="b">
        <v>0</v>
      </c>
      <c r="AH1579" s="4" t="s">
        <v>4751</v>
      </c>
      <c r="AI1579" s="4"/>
      <c r="AJ1579" s="4"/>
      <c r="AK1579" s="4"/>
      <c r="AL1579" s="4"/>
      <c r="AM1579" s="4"/>
      <c r="AN1579" s="5">
        <v>39598</v>
      </c>
      <c r="AO1579" s="4">
        <v>3</v>
      </c>
      <c r="AP1579" s="5">
        <v>40767</v>
      </c>
      <c r="AQ1579" s="5">
        <v>41479</v>
      </c>
      <c r="AR1579" s="4"/>
      <c r="AS1579" s="4"/>
      <c r="AT1579" s="5">
        <v>39660</v>
      </c>
      <c r="AU1579" s="5">
        <v>39654</v>
      </c>
      <c r="AV1579" s="4">
        <v>2</v>
      </c>
      <c r="AW1579" s="5">
        <v>40757</v>
      </c>
      <c r="AX1579" s="5">
        <v>40757</v>
      </c>
      <c r="AY1579" s="4"/>
      <c r="AZ1579" s="4"/>
      <c r="BA1579" s="5">
        <v>40760</v>
      </c>
      <c r="BB1579" s="5">
        <v>39653</v>
      </c>
      <c r="BC1579" s="5">
        <v>40760</v>
      </c>
      <c r="BD1579" s="4">
        <v>2</v>
      </c>
      <c r="BE1579" s="5">
        <v>40760</v>
      </c>
      <c r="BF1579" s="5">
        <v>40760</v>
      </c>
      <c r="BG1579" s="4"/>
      <c r="BH1579" s="5">
        <v>39651</v>
      </c>
      <c r="BI1579" s="4"/>
      <c r="BJ1579" s="5">
        <v>39702</v>
      </c>
      <c r="BK1579" s="4">
        <v>2</v>
      </c>
      <c r="BL1579" s="4">
        <v>2</v>
      </c>
      <c r="BM1579" s="5">
        <v>39702</v>
      </c>
      <c r="BN1579" s="5">
        <v>39751</v>
      </c>
      <c r="BO1579" s="4"/>
      <c r="BP1579" s="4"/>
      <c r="BQ1579" s="4"/>
      <c r="BR1579" s="4"/>
      <c r="BS1579" s="4"/>
      <c r="BT1579" s="4"/>
      <c r="BU1579" s="5">
        <v>39731</v>
      </c>
      <c r="BV1579" s="5">
        <v>39800</v>
      </c>
      <c r="BW1579" s="5">
        <v>39793</v>
      </c>
      <c r="BX1579" s="4"/>
      <c r="BY1579" s="5">
        <v>39800</v>
      </c>
      <c r="BZ1579" s="5">
        <v>39794</v>
      </c>
      <c r="CA1579" s="4"/>
      <c r="CB1579" s="4"/>
      <c r="CC1579" s="4"/>
      <c r="CD1579" s="4"/>
      <c r="CE1579" s="4"/>
      <c r="CF1579" s="4"/>
      <c r="CG1579" s="4"/>
      <c r="CH1579" s="4"/>
      <c r="CI1579" s="5">
        <v>39878</v>
      </c>
      <c r="CJ1579" s="5">
        <v>39894</v>
      </c>
      <c r="CK1579" s="5">
        <v>39878</v>
      </c>
      <c r="CL1579" s="4"/>
      <c r="CM1579" s="4"/>
      <c r="CN1579" s="4"/>
      <c r="CO1579" s="4"/>
      <c r="CP1579" s="4" t="s">
        <v>4752</v>
      </c>
      <c r="CQ1579" s="4"/>
      <c r="CR1579" s="5">
        <v>39894</v>
      </c>
      <c r="CS1579" s="4"/>
      <c r="CT1579" s="4"/>
      <c r="CU1579" s="4"/>
      <c r="CV1579" s="4"/>
      <c r="CW1579" s="4"/>
      <c r="CX1579" s="4"/>
      <c r="CY1579" s="4"/>
      <c r="CZ1579" s="4"/>
      <c r="DA1579" s="4"/>
      <c r="DB1579" s="4"/>
      <c r="DC1579" s="4"/>
      <c r="DD1579" s="4"/>
      <c r="DE1579" s="4"/>
      <c r="DF1579" s="4"/>
      <c r="DG1579" s="4"/>
      <c r="DH1579" s="4"/>
      <c r="DI1579" s="4"/>
      <c r="DJ1579" s="4" t="b">
        <v>0</v>
      </c>
      <c r="DK1579" s="4"/>
      <c r="DL1579" s="4">
        <v>2678950</v>
      </c>
      <c r="DM1579" s="4">
        <v>6004700</v>
      </c>
      <c r="DN1579" s="4" t="s">
        <v>4753</v>
      </c>
      <c r="DO1579" s="4"/>
      <c r="DP1579" s="4"/>
      <c r="DQ1579" s="4" t="s">
        <v>148</v>
      </c>
      <c r="DR1579" s="4"/>
      <c r="DS1579" s="4"/>
      <c r="DT1579" s="4"/>
      <c r="DU1579" s="4"/>
      <c r="DV1579" s="4"/>
      <c r="DW1579" s="4"/>
      <c r="DX1579" s="4"/>
      <c r="DY1579" s="4"/>
      <c r="DZ1579" s="5">
        <v>39710</v>
      </c>
      <c r="EA1579" s="4"/>
      <c r="EB1579" s="4"/>
      <c r="EC1579" s="4"/>
      <c r="ED1579" s="4"/>
      <c r="EE1579" s="4"/>
      <c r="EF1579" s="4"/>
      <c r="EG1579" s="4"/>
      <c r="EH1579" s="4"/>
      <c r="EI1579" s="5">
        <v>39562</v>
      </c>
    </row>
    <row r="1580" spans="1:139" hidden="1" x14ac:dyDescent="0.2">
      <c r="A1580">
        <f>VLOOKUP(B1580,Sheet1!$A$1:$B$18,2,FALSE)</f>
        <v>0</v>
      </c>
      <c r="B1580" t="str">
        <f>LEFT(D1580,3)</f>
        <v>WLG</v>
      </c>
      <c r="C1580" s="2">
        <v>1579</v>
      </c>
      <c r="D1580" s="3" t="str">
        <f>HYPERLINK("https://sitebase.nzcomms.co.nz/spm/spmnominalview/WLG-045-012/","WLG-045-012")</f>
        <v>WLG-045-012</v>
      </c>
      <c r="E1580" s="4"/>
      <c r="F1580" s="3" t="str">
        <f>HYPERLINK("https://sitebase.nzcomms.co.nz/spm/spmcandidateview/WLG-045-012-A/","WLG-045-012-A")</f>
        <v>WLG-045-012-A</v>
      </c>
      <c r="G1580" s="4" t="s">
        <v>4754</v>
      </c>
      <c r="H1580" s="4" t="s">
        <v>4718</v>
      </c>
      <c r="I1580" s="4"/>
      <c r="J1580" s="4" t="s">
        <v>139</v>
      </c>
      <c r="K1580" s="4" t="s">
        <v>141</v>
      </c>
      <c r="L1580" s="4" t="s">
        <v>181</v>
      </c>
      <c r="M1580" s="4" t="s">
        <v>324</v>
      </c>
      <c r="N1580" s="4" t="s">
        <v>364</v>
      </c>
      <c r="O1580" s="4"/>
      <c r="P1580" s="4"/>
      <c r="Q1580" s="4"/>
      <c r="R1580" s="4"/>
      <c r="S1580" s="4"/>
      <c r="T1580" s="4"/>
      <c r="U1580" s="4">
        <v>-41.142842600000002</v>
      </c>
      <c r="V1580" s="4">
        <v>175.02746594999999</v>
      </c>
      <c r="W1580" s="4"/>
      <c r="X1580" s="4"/>
      <c r="Y1580" s="4"/>
      <c r="Z1580" s="4"/>
      <c r="AA1580" s="4"/>
      <c r="AB1580" s="4"/>
      <c r="AC1580" s="4"/>
      <c r="AD1580" s="4"/>
      <c r="AE1580" s="4"/>
      <c r="AF1580" s="4"/>
      <c r="AG1580" s="4"/>
      <c r="AH1580" s="4"/>
      <c r="AI1580" s="4"/>
      <c r="AJ1580" s="4"/>
      <c r="AK1580" s="4"/>
      <c r="AL1580" s="4"/>
      <c r="AM1580" s="4"/>
      <c r="AN1580" s="5">
        <v>39556</v>
      </c>
      <c r="AO1580" s="4">
        <v>1</v>
      </c>
      <c r="AP1580" s="4"/>
      <c r="AQ1580" s="5">
        <v>39556</v>
      </c>
      <c r="AR1580" s="4"/>
      <c r="AS1580" s="4"/>
      <c r="AT1580" s="5">
        <v>39660</v>
      </c>
      <c r="AU1580" s="5">
        <v>39629</v>
      </c>
      <c r="AV1580" s="4">
        <v>1</v>
      </c>
      <c r="AW1580" s="5">
        <v>39660</v>
      </c>
      <c r="AX1580" s="5">
        <v>39629</v>
      </c>
      <c r="AY1580" s="4"/>
      <c r="AZ1580" s="4"/>
      <c r="BA1580" s="4"/>
      <c r="BB1580" s="5">
        <v>39643</v>
      </c>
      <c r="BC1580" s="4"/>
      <c r="BD1580" s="4"/>
      <c r="BE1580" s="5">
        <v>39643</v>
      </c>
      <c r="BF1580" s="5">
        <v>39643</v>
      </c>
      <c r="BG1580" s="4"/>
      <c r="BH1580" s="5">
        <v>39590</v>
      </c>
      <c r="BI1580" s="4"/>
      <c r="BJ1580" s="5">
        <v>39668</v>
      </c>
      <c r="BK1580" s="4">
        <v>1</v>
      </c>
      <c r="BL1580" s="4">
        <v>1</v>
      </c>
      <c r="BM1580" s="5">
        <v>39668</v>
      </c>
      <c r="BN1580" s="5">
        <v>39668</v>
      </c>
      <c r="BO1580" s="4"/>
      <c r="BP1580" s="4"/>
      <c r="BQ1580" s="4"/>
      <c r="BR1580" s="4"/>
      <c r="BS1580" s="4"/>
      <c r="BT1580" s="4"/>
      <c r="BU1580" s="5">
        <v>39706</v>
      </c>
      <c r="BV1580" s="5">
        <v>39721</v>
      </c>
      <c r="BW1580" s="5">
        <v>39720</v>
      </c>
      <c r="BX1580" s="4"/>
      <c r="BY1580" s="5">
        <v>39731</v>
      </c>
      <c r="BZ1580" s="5">
        <v>39737</v>
      </c>
      <c r="CA1580" s="4"/>
      <c r="CB1580" s="4"/>
      <c r="CC1580" s="4"/>
      <c r="CD1580" s="4"/>
      <c r="CE1580" s="4"/>
      <c r="CF1580" s="4"/>
      <c r="CG1580" s="4"/>
      <c r="CH1580" s="4"/>
      <c r="CI1580" s="5">
        <v>39876</v>
      </c>
      <c r="CJ1580" s="5">
        <v>39887</v>
      </c>
      <c r="CK1580" s="5">
        <v>39876</v>
      </c>
      <c r="CL1580" s="4"/>
      <c r="CM1580" s="4"/>
      <c r="CN1580" s="4"/>
      <c r="CO1580" s="4"/>
      <c r="CP1580" s="4" t="s">
        <v>4755</v>
      </c>
      <c r="CQ1580" s="4"/>
      <c r="CR1580" s="5">
        <v>39887</v>
      </c>
      <c r="CS1580" s="4"/>
      <c r="CT1580" s="4"/>
      <c r="CU1580" s="4"/>
      <c r="CV1580" s="4"/>
      <c r="CW1580" s="4"/>
      <c r="CX1580" s="4"/>
      <c r="CY1580" s="4"/>
      <c r="CZ1580" s="4"/>
      <c r="DA1580" s="4"/>
      <c r="DB1580" s="4"/>
      <c r="DC1580" s="4"/>
      <c r="DD1580" s="4"/>
      <c r="DE1580" s="4"/>
      <c r="DF1580" s="4"/>
      <c r="DG1580" s="4"/>
      <c r="DH1580" s="4"/>
      <c r="DI1580" s="4"/>
      <c r="DJ1580" s="4" t="b">
        <v>0</v>
      </c>
      <c r="DK1580" s="4"/>
      <c r="DL1580" s="4">
        <v>2680170</v>
      </c>
      <c r="DM1580" s="4">
        <v>6005120</v>
      </c>
      <c r="DN1580" s="4" t="s">
        <v>4756</v>
      </c>
      <c r="DO1580" s="4"/>
      <c r="DP1580" s="4"/>
      <c r="DQ1580" s="4" t="s">
        <v>328</v>
      </c>
      <c r="DR1580" s="4"/>
      <c r="DS1580" s="4"/>
      <c r="DT1580" s="4"/>
      <c r="DU1580" s="4"/>
      <c r="DV1580" s="4"/>
      <c r="DW1580" s="4"/>
      <c r="DX1580" s="4"/>
      <c r="DY1580" s="4"/>
      <c r="DZ1580" s="5">
        <v>39687</v>
      </c>
      <c r="EA1580" s="4"/>
      <c r="EB1580" s="4"/>
      <c r="EC1580" s="4"/>
      <c r="ED1580" s="4"/>
      <c r="EE1580" s="4"/>
      <c r="EF1580" s="4"/>
      <c r="EG1580" s="4"/>
      <c r="EH1580" s="4"/>
      <c r="EI1580" s="5">
        <v>39506</v>
      </c>
    </row>
    <row r="1581" spans="1:139" hidden="1" x14ac:dyDescent="0.2">
      <c r="A1581">
        <f>VLOOKUP(B1581,Sheet1!$A$1:$B$18,2,FALSE)</f>
        <v>0</v>
      </c>
      <c r="B1581" t="str">
        <f>LEFT(D1581,3)</f>
        <v>WLG</v>
      </c>
      <c r="C1581" s="2">
        <v>1580</v>
      </c>
      <c r="D1581" s="3" t="str">
        <f>HYPERLINK("https://sitebase.nzcomms.co.nz/spm/spmnominalview/WLG-045-013/","WLG-045-013")</f>
        <v>WLG-045-013</v>
      </c>
      <c r="E1581" s="4"/>
      <c r="F1581" s="3" t="str">
        <f>HYPERLINK("https://sitebase.nzcomms.co.nz/spm/spmcandidateview/WLG-045-013-A/","WLG-045-013-A")</f>
        <v>WLG-045-013-A</v>
      </c>
      <c r="G1581" s="4" t="s">
        <v>4757</v>
      </c>
      <c r="H1581" s="4" t="s">
        <v>4718</v>
      </c>
      <c r="I1581" s="4"/>
      <c r="J1581" s="4" t="s">
        <v>139</v>
      </c>
      <c r="K1581" s="4" t="s">
        <v>141</v>
      </c>
      <c r="L1581" s="4" t="s">
        <v>150</v>
      </c>
      <c r="M1581" s="4" t="s">
        <v>324</v>
      </c>
      <c r="N1581" s="4" t="s">
        <v>1986</v>
      </c>
      <c r="O1581" s="4"/>
      <c r="P1581" s="4"/>
      <c r="Q1581" s="4"/>
      <c r="R1581" s="4"/>
      <c r="S1581" s="4"/>
      <c r="T1581" s="4"/>
      <c r="U1581" s="4">
        <v>-41.13380849</v>
      </c>
      <c r="V1581" s="4">
        <v>174.9937607</v>
      </c>
      <c r="W1581" s="4"/>
      <c r="X1581" s="4"/>
      <c r="Y1581" s="4"/>
      <c r="Z1581" s="4"/>
      <c r="AA1581" s="4" t="s">
        <v>171</v>
      </c>
      <c r="AB1581" s="3" t="str">
        <f>HYPERLINK("https://sitebase.nzcomms.co.nz/spm/spmcandidateview/WLG-044-012-B/","WLG-044-012-B")</f>
        <v>WLG-044-012-B</v>
      </c>
      <c r="AC1581" s="4" t="b">
        <v>0</v>
      </c>
      <c r="AD1581" s="4" t="b">
        <v>0</v>
      </c>
      <c r="AE1581" s="4"/>
      <c r="AF1581" s="4"/>
      <c r="AG1581" s="4" t="b">
        <v>0</v>
      </c>
      <c r="AH1581" s="4" t="s">
        <v>4662</v>
      </c>
      <c r="AI1581" s="4"/>
      <c r="AJ1581" s="4"/>
      <c r="AK1581" s="4"/>
      <c r="AL1581" s="4"/>
      <c r="AM1581" s="4"/>
      <c r="AN1581" s="5">
        <v>39610</v>
      </c>
      <c r="AO1581" s="4">
        <v>6</v>
      </c>
      <c r="AP1581" s="4"/>
      <c r="AQ1581" s="5">
        <v>41740</v>
      </c>
      <c r="AR1581" s="4"/>
      <c r="AS1581" s="4"/>
      <c r="AT1581" s="5">
        <v>39660</v>
      </c>
      <c r="AU1581" s="5">
        <v>39660</v>
      </c>
      <c r="AV1581" s="4">
        <v>2</v>
      </c>
      <c r="AW1581" s="5">
        <v>39660</v>
      </c>
      <c r="AX1581" s="5">
        <v>39660</v>
      </c>
      <c r="AY1581" s="4"/>
      <c r="AZ1581" s="4"/>
      <c r="BA1581" s="5">
        <v>39687</v>
      </c>
      <c r="BB1581" s="5">
        <v>39687</v>
      </c>
      <c r="BC1581" s="5">
        <v>39687</v>
      </c>
      <c r="BD1581" s="4">
        <v>4</v>
      </c>
      <c r="BE1581" s="5">
        <v>39687</v>
      </c>
      <c r="BF1581" s="5">
        <v>39687</v>
      </c>
      <c r="BG1581" s="4"/>
      <c r="BH1581" s="5">
        <v>39672</v>
      </c>
      <c r="BI1581" s="4"/>
      <c r="BJ1581" s="5">
        <v>39798</v>
      </c>
      <c r="BK1581" s="4">
        <v>4</v>
      </c>
      <c r="BL1581" s="4"/>
      <c r="BM1581" s="5">
        <v>40981</v>
      </c>
      <c r="BN1581" s="5">
        <v>41016</v>
      </c>
      <c r="BO1581" s="4"/>
      <c r="BP1581" s="4"/>
      <c r="BQ1581" s="4"/>
      <c r="BR1581" s="4"/>
      <c r="BS1581" s="4"/>
      <c r="BT1581" s="4"/>
      <c r="BU1581" s="5">
        <v>39846</v>
      </c>
      <c r="BV1581" s="5">
        <v>39902</v>
      </c>
      <c r="BW1581" s="5">
        <v>39902</v>
      </c>
      <c r="BX1581" s="4"/>
      <c r="BY1581" s="5">
        <v>39909</v>
      </c>
      <c r="BZ1581" s="5">
        <v>39911</v>
      </c>
      <c r="CA1581" s="4"/>
      <c r="CB1581" s="4"/>
      <c r="CC1581" s="4"/>
      <c r="CD1581" s="4"/>
      <c r="CE1581" s="4"/>
      <c r="CF1581" s="4"/>
      <c r="CG1581" s="4"/>
      <c r="CH1581" s="4"/>
      <c r="CI1581" s="5">
        <v>39989</v>
      </c>
      <c r="CJ1581" s="5">
        <v>39994</v>
      </c>
      <c r="CK1581" s="5">
        <v>39989</v>
      </c>
      <c r="CL1581" s="4"/>
      <c r="CM1581" s="4"/>
      <c r="CN1581" s="4"/>
      <c r="CO1581" s="4"/>
      <c r="CP1581" s="4" t="s">
        <v>4758</v>
      </c>
      <c r="CQ1581" s="4"/>
      <c r="CR1581" s="5">
        <v>39994</v>
      </c>
      <c r="CS1581" s="4"/>
      <c r="CT1581" s="4"/>
      <c r="CU1581" s="4"/>
      <c r="CV1581" s="4"/>
      <c r="CW1581" s="4"/>
      <c r="CX1581" s="4"/>
      <c r="CY1581" s="4"/>
      <c r="CZ1581" s="4"/>
      <c r="DA1581" s="4"/>
      <c r="DB1581" s="4"/>
      <c r="DC1581" s="4"/>
      <c r="DD1581" s="4"/>
      <c r="DE1581" s="4"/>
      <c r="DF1581" s="4"/>
      <c r="DG1581" s="4"/>
      <c r="DH1581" s="4"/>
      <c r="DI1581" s="4"/>
      <c r="DJ1581" s="4" t="b">
        <v>0</v>
      </c>
      <c r="DK1581" s="4"/>
      <c r="DL1581" s="4">
        <v>2677364</v>
      </c>
      <c r="DM1581" s="4">
        <v>6006188</v>
      </c>
      <c r="DN1581" s="4" t="s">
        <v>4759</v>
      </c>
      <c r="DO1581" s="4"/>
      <c r="DP1581" s="4"/>
      <c r="DQ1581" s="4" t="s">
        <v>328</v>
      </c>
      <c r="DR1581" s="4"/>
      <c r="DS1581" s="4"/>
      <c r="DT1581" s="4"/>
      <c r="DU1581" s="4"/>
      <c r="DV1581" s="4"/>
      <c r="DW1581" s="4"/>
      <c r="DX1581" s="4"/>
      <c r="DY1581" s="4"/>
      <c r="DZ1581" s="5">
        <v>39790</v>
      </c>
      <c r="EA1581" s="4"/>
      <c r="EB1581" s="4"/>
      <c r="EC1581" s="4"/>
      <c r="ED1581" s="4"/>
      <c r="EE1581" s="4"/>
      <c r="EF1581" s="4"/>
      <c r="EG1581" s="4"/>
      <c r="EH1581" s="4"/>
      <c r="EI1581" s="5">
        <v>39562</v>
      </c>
    </row>
    <row r="1582" spans="1:139" hidden="1" x14ac:dyDescent="0.2">
      <c r="A1582">
        <f>VLOOKUP(B1582,Sheet1!$A$1:$B$18,2,FALSE)</f>
        <v>0</v>
      </c>
      <c r="B1582" t="str">
        <f>LEFT(D1582,3)</f>
        <v>WLG</v>
      </c>
      <c r="C1582" s="2">
        <v>1581</v>
      </c>
      <c r="D1582" s="3" t="str">
        <f>HYPERLINK("https://sitebase.nzcomms.co.nz/spm/spmnominalview/WLG-045-014/","WLG-045-014")</f>
        <v>WLG-045-014</v>
      </c>
      <c r="E1582" s="4"/>
      <c r="F1582" s="3" t="str">
        <f>HYPERLINK("https://sitebase.nzcomms.co.nz/spm/spmcandidateview/WLG-045-014-A/","WLG-045-014-A")</f>
        <v>WLG-045-014-A</v>
      </c>
      <c r="G1582" s="4" t="s">
        <v>4760</v>
      </c>
      <c r="H1582" s="4" t="s">
        <v>4718</v>
      </c>
      <c r="I1582" s="4"/>
      <c r="J1582" s="4" t="s">
        <v>139</v>
      </c>
      <c r="K1582" s="4" t="s">
        <v>141</v>
      </c>
      <c r="L1582" s="4" t="s">
        <v>150</v>
      </c>
      <c r="M1582" s="4" t="s">
        <v>143</v>
      </c>
      <c r="N1582" s="4" t="s">
        <v>246</v>
      </c>
      <c r="O1582" s="4" t="s">
        <v>144</v>
      </c>
      <c r="P1582" s="4"/>
      <c r="Q1582" s="4"/>
      <c r="R1582" s="4">
        <v>13.8</v>
      </c>
      <c r="S1582" s="4">
        <v>13.8</v>
      </c>
      <c r="T1582" s="4"/>
      <c r="U1582" s="4">
        <v>-41.134959899999998</v>
      </c>
      <c r="V1582" s="4">
        <v>174.98651624999999</v>
      </c>
      <c r="W1582" s="4"/>
      <c r="X1582" s="4"/>
      <c r="Y1582" s="4"/>
      <c r="Z1582" s="4"/>
      <c r="AA1582" s="4" t="s">
        <v>217</v>
      </c>
      <c r="AB1582" s="4" t="s">
        <v>4761</v>
      </c>
      <c r="AC1582" s="4"/>
      <c r="AD1582" s="4"/>
      <c r="AE1582" s="4"/>
      <c r="AF1582" s="4"/>
      <c r="AG1582" s="4"/>
      <c r="AH1582" s="4" t="s">
        <v>4762</v>
      </c>
      <c r="AI1582" s="4"/>
      <c r="AJ1582" s="4"/>
      <c r="AK1582" s="4"/>
      <c r="AL1582" s="4"/>
      <c r="AM1582" s="4"/>
      <c r="AN1582" s="5">
        <v>39703</v>
      </c>
      <c r="AO1582" s="4">
        <v>2</v>
      </c>
      <c r="AP1582" s="4"/>
      <c r="AQ1582" s="5">
        <v>39843</v>
      </c>
      <c r="AR1582" s="4"/>
      <c r="AS1582" s="4"/>
      <c r="AT1582" s="5">
        <v>39660</v>
      </c>
      <c r="AU1582" s="5">
        <v>39660</v>
      </c>
      <c r="AV1582" s="4">
        <v>1</v>
      </c>
      <c r="AW1582" s="5">
        <v>39660</v>
      </c>
      <c r="AX1582" s="5">
        <v>39660</v>
      </c>
      <c r="AY1582" s="4"/>
      <c r="AZ1582" s="4"/>
      <c r="BA1582" s="4"/>
      <c r="BB1582" s="5">
        <v>39724</v>
      </c>
      <c r="BC1582" s="4"/>
      <c r="BD1582" s="4"/>
      <c r="BE1582" s="5">
        <v>39724</v>
      </c>
      <c r="BF1582" s="5">
        <v>39724</v>
      </c>
      <c r="BG1582" s="4"/>
      <c r="BH1582" s="5">
        <v>39717</v>
      </c>
      <c r="BI1582" s="4"/>
      <c r="BJ1582" s="5">
        <v>39751</v>
      </c>
      <c r="BK1582" s="4">
        <v>1</v>
      </c>
      <c r="BL1582" s="4">
        <v>2</v>
      </c>
      <c r="BM1582" s="5">
        <v>39751</v>
      </c>
      <c r="BN1582" s="5">
        <v>39751</v>
      </c>
      <c r="BO1582" s="5">
        <v>39882</v>
      </c>
      <c r="BP1582" s="4"/>
      <c r="BQ1582" s="4"/>
      <c r="BR1582" s="4"/>
      <c r="BS1582" s="4"/>
      <c r="BT1582" s="4"/>
      <c r="BU1582" s="5">
        <v>39846</v>
      </c>
      <c r="BV1582" s="5">
        <v>39902</v>
      </c>
      <c r="BW1582" s="5">
        <v>39898</v>
      </c>
      <c r="BX1582" s="4"/>
      <c r="BY1582" s="5">
        <v>39898</v>
      </c>
      <c r="BZ1582" s="5">
        <v>39899</v>
      </c>
      <c r="CA1582" s="4"/>
      <c r="CB1582" s="4"/>
      <c r="CC1582" s="4"/>
      <c r="CD1582" s="4"/>
      <c r="CE1582" s="4"/>
      <c r="CF1582" s="4"/>
      <c r="CG1582" s="4"/>
      <c r="CH1582" s="4"/>
      <c r="CI1582" s="5">
        <v>39989</v>
      </c>
      <c r="CJ1582" s="5">
        <v>39994</v>
      </c>
      <c r="CK1582" s="5">
        <v>39989</v>
      </c>
      <c r="CL1582" s="4"/>
      <c r="CM1582" s="4"/>
      <c r="CN1582" s="4"/>
      <c r="CO1582" s="4"/>
      <c r="CP1582" s="4" t="s">
        <v>4763</v>
      </c>
      <c r="CQ1582" s="4"/>
      <c r="CR1582" s="5">
        <v>39994</v>
      </c>
      <c r="CS1582" s="4"/>
      <c r="CT1582" s="4"/>
      <c r="CU1582" s="4"/>
      <c r="CV1582" s="4"/>
      <c r="CW1582" s="5">
        <v>39874</v>
      </c>
      <c r="CX1582" s="5">
        <v>39882</v>
      </c>
      <c r="CY1582" s="4"/>
      <c r="CZ1582" s="4"/>
      <c r="DA1582" s="4"/>
      <c r="DB1582" s="4"/>
      <c r="DC1582" s="4"/>
      <c r="DD1582" s="4"/>
      <c r="DE1582" s="4"/>
      <c r="DF1582" s="4"/>
      <c r="DG1582" s="4"/>
      <c r="DH1582" s="4"/>
      <c r="DI1582" s="4"/>
      <c r="DJ1582" s="4" t="b">
        <v>0</v>
      </c>
      <c r="DK1582" s="4"/>
      <c r="DL1582" s="4">
        <v>2676753</v>
      </c>
      <c r="DM1582" s="4">
        <v>6006074</v>
      </c>
      <c r="DN1582" s="4" t="s">
        <v>4764</v>
      </c>
      <c r="DO1582" s="4"/>
      <c r="DP1582" s="4"/>
      <c r="DQ1582" s="4" t="s">
        <v>148</v>
      </c>
      <c r="DR1582" s="4"/>
      <c r="DS1582" s="4"/>
      <c r="DT1582" s="4"/>
      <c r="DU1582" s="4"/>
      <c r="DV1582" s="4"/>
      <c r="DW1582" s="4"/>
      <c r="DX1582" s="4"/>
      <c r="DY1582" s="4"/>
      <c r="DZ1582" s="5">
        <v>39790</v>
      </c>
      <c r="EA1582" s="4"/>
      <c r="EB1582" s="4"/>
      <c r="EC1582" s="4"/>
      <c r="ED1582" s="4"/>
      <c r="EE1582" s="4"/>
      <c r="EF1582" s="4"/>
      <c r="EG1582" s="4"/>
      <c r="EH1582" s="4"/>
      <c r="EI1582" s="5">
        <v>39672</v>
      </c>
    </row>
    <row r="1583" spans="1:139" hidden="1" x14ac:dyDescent="0.2">
      <c r="A1583">
        <f>VLOOKUP(B1583,Sheet1!$A$1:$B$18,2,FALSE)</f>
        <v>0</v>
      </c>
      <c r="B1583" t="str">
        <f>LEFT(D1583,3)</f>
        <v>WLG</v>
      </c>
      <c r="C1583" s="2">
        <v>1582</v>
      </c>
      <c r="D1583" s="3" t="str">
        <f>HYPERLINK("https://sitebase.nzcomms.co.nz/spm/spmnominalview/WLG-045-015/","WLG-045-015")</f>
        <v>WLG-045-015</v>
      </c>
      <c r="E1583" s="4"/>
      <c r="F1583" s="3" t="str">
        <f>HYPERLINK("https://sitebase.nzcomms.co.nz/spm/spmcandidateview/WLG-045-015-A/","WLG-045-015-A")</f>
        <v>WLG-045-015-A</v>
      </c>
      <c r="G1583" s="4" t="s">
        <v>4765</v>
      </c>
      <c r="H1583" s="4" t="s">
        <v>4718</v>
      </c>
      <c r="I1583" s="4"/>
      <c r="J1583" s="4" t="s">
        <v>139</v>
      </c>
      <c r="K1583" s="4" t="s">
        <v>141</v>
      </c>
      <c r="L1583" s="4" t="s">
        <v>150</v>
      </c>
      <c r="M1583" s="4" t="s">
        <v>160</v>
      </c>
      <c r="N1583" s="4" t="s">
        <v>291</v>
      </c>
      <c r="O1583" s="4" t="s">
        <v>356</v>
      </c>
      <c r="P1583" s="4"/>
      <c r="Q1583" s="4"/>
      <c r="R1583" s="4"/>
      <c r="S1583" s="4">
        <v>13.8</v>
      </c>
      <c r="T1583" s="4"/>
      <c r="U1583" s="4">
        <v>-41.057569870000002</v>
      </c>
      <c r="V1583" s="4">
        <v>175.20668545000001</v>
      </c>
      <c r="W1583" s="4"/>
      <c r="X1583" s="4"/>
      <c r="Y1583" s="4"/>
      <c r="Z1583" s="4"/>
      <c r="AA1583" s="4"/>
      <c r="AB1583" s="4"/>
      <c r="AC1583" s="4"/>
      <c r="AD1583" s="4"/>
      <c r="AE1583" s="4"/>
      <c r="AF1583" s="4"/>
      <c r="AG1583" s="4"/>
      <c r="AH1583" s="4"/>
      <c r="AI1583" s="5">
        <v>40042</v>
      </c>
      <c r="AJ1583" s="5">
        <v>40044</v>
      </c>
      <c r="AK1583" s="4"/>
      <c r="AL1583" s="4"/>
      <c r="AM1583" s="5">
        <v>40071</v>
      </c>
      <c r="AN1583" s="5">
        <v>40071</v>
      </c>
      <c r="AO1583" s="4">
        <v>1</v>
      </c>
      <c r="AP1583" s="5">
        <v>40071</v>
      </c>
      <c r="AQ1583" s="5">
        <v>40071</v>
      </c>
      <c r="AR1583" s="4"/>
      <c r="AS1583" s="4"/>
      <c r="AT1583" s="5">
        <v>40116</v>
      </c>
      <c r="AU1583" s="5">
        <v>40109</v>
      </c>
      <c r="AV1583" s="4"/>
      <c r="AW1583" s="5">
        <v>40147</v>
      </c>
      <c r="AX1583" s="5">
        <v>40148</v>
      </c>
      <c r="AY1583" s="4"/>
      <c r="AZ1583" s="5">
        <v>40071</v>
      </c>
      <c r="BA1583" s="4"/>
      <c r="BB1583" s="5">
        <v>40106</v>
      </c>
      <c r="BC1583" s="4"/>
      <c r="BD1583" s="4"/>
      <c r="BE1583" s="5">
        <v>40106</v>
      </c>
      <c r="BF1583" s="5">
        <v>40093</v>
      </c>
      <c r="BG1583" s="5">
        <v>40086</v>
      </c>
      <c r="BH1583" s="5">
        <v>40071</v>
      </c>
      <c r="BI1583" s="5">
        <v>40128</v>
      </c>
      <c r="BJ1583" s="5">
        <v>40128</v>
      </c>
      <c r="BK1583" s="4">
        <v>1</v>
      </c>
      <c r="BL1583" s="4">
        <v>1</v>
      </c>
      <c r="BM1583" s="5">
        <v>40128</v>
      </c>
      <c r="BN1583" s="5">
        <v>40128</v>
      </c>
      <c r="BO1583" s="5">
        <v>39962</v>
      </c>
      <c r="BP1583" s="4"/>
      <c r="BQ1583" s="4"/>
      <c r="BR1583" s="4"/>
      <c r="BS1583" s="4"/>
      <c r="BT1583" s="5">
        <v>40140</v>
      </c>
      <c r="BU1583" s="5">
        <v>40136</v>
      </c>
      <c r="BV1583" s="5">
        <v>40208</v>
      </c>
      <c r="BW1583" s="5">
        <v>40205</v>
      </c>
      <c r="BX1583" s="4"/>
      <c r="BY1583" s="5">
        <v>40214</v>
      </c>
      <c r="BZ1583" s="5">
        <v>40213</v>
      </c>
      <c r="CA1583" s="4"/>
      <c r="CB1583" s="4"/>
      <c r="CC1583" s="4"/>
      <c r="CD1583" s="4"/>
      <c r="CE1583" s="4"/>
      <c r="CF1583" s="4"/>
      <c r="CG1583" s="4"/>
      <c r="CH1583" s="4"/>
      <c r="CI1583" s="5">
        <v>40214</v>
      </c>
      <c r="CJ1583" s="5">
        <v>40214</v>
      </c>
      <c r="CK1583" s="5">
        <v>40214</v>
      </c>
      <c r="CL1583" s="4"/>
      <c r="CM1583" s="4"/>
      <c r="CN1583" s="4"/>
      <c r="CO1583" s="4"/>
      <c r="CP1583" s="4" t="s">
        <v>4766</v>
      </c>
      <c r="CQ1583" s="4"/>
      <c r="CR1583" s="5">
        <v>40214</v>
      </c>
      <c r="CS1583" s="4"/>
      <c r="CT1583" s="4"/>
      <c r="CU1583" s="4"/>
      <c r="CV1583" s="4"/>
      <c r="CW1583" s="4"/>
      <c r="CX1583" s="5">
        <v>39962</v>
      </c>
      <c r="CY1583" s="4"/>
      <c r="CZ1583" s="4"/>
      <c r="DA1583" s="4"/>
      <c r="DB1583" s="4"/>
      <c r="DC1583" s="4"/>
      <c r="DD1583" s="4"/>
      <c r="DE1583" s="4"/>
      <c r="DF1583" s="4"/>
      <c r="DG1583" s="4"/>
      <c r="DH1583" s="4"/>
      <c r="DI1583" s="4"/>
      <c r="DJ1583" s="4" t="b">
        <v>0</v>
      </c>
      <c r="DK1583" s="4"/>
      <c r="DL1583" s="4">
        <v>2695450</v>
      </c>
      <c r="DM1583" s="4">
        <v>6014223</v>
      </c>
      <c r="DN1583" s="4" t="s">
        <v>4767</v>
      </c>
      <c r="DO1583" s="4"/>
      <c r="DP1583" s="4"/>
      <c r="DQ1583" s="4" t="s">
        <v>148</v>
      </c>
      <c r="DR1583" s="4"/>
      <c r="DS1583" s="4"/>
      <c r="DT1583" s="4"/>
      <c r="DU1583" s="4"/>
      <c r="DV1583" s="4"/>
      <c r="DW1583" s="4"/>
      <c r="DX1583" s="4"/>
      <c r="DY1583" s="5">
        <v>40133</v>
      </c>
      <c r="DZ1583" s="5">
        <v>40133</v>
      </c>
      <c r="EA1583" s="4"/>
      <c r="EB1583" s="4"/>
      <c r="EC1583" s="4"/>
      <c r="ED1583" s="4"/>
      <c r="EE1583" s="4"/>
      <c r="EF1583" s="4"/>
      <c r="EG1583" s="4"/>
      <c r="EH1583" s="4"/>
      <c r="EI1583" s="5">
        <v>40050</v>
      </c>
    </row>
    <row r="1584" spans="1:139" hidden="1" x14ac:dyDescent="0.2">
      <c r="A1584">
        <f>VLOOKUP(B1584,Sheet1!$A$1:$B$18,2,FALSE)</f>
        <v>0</v>
      </c>
      <c r="B1584" t="str">
        <f>LEFT(D1584,3)</f>
        <v>WLG</v>
      </c>
      <c r="C1584" s="2">
        <v>1583</v>
      </c>
      <c r="D1584" s="3" t="str">
        <f>HYPERLINK("https://sitebase.nzcomms.co.nz/spm/spmnominalview/WLG-045-016/","WLG-045-016")</f>
        <v>WLG-045-016</v>
      </c>
      <c r="E1584" s="4" t="s">
        <v>4768</v>
      </c>
      <c r="F1584" s="3" t="str">
        <f>HYPERLINK("https://sitebase.nzcomms.co.nz/spm/spmcandidateview/WLG-045-016-E/","WLG-045-016-E")</f>
        <v>WLG-045-016-E</v>
      </c>
      <c r="G1584" s="4" t="s">
        <v>4769</v>
      </c>
      <c r="H1584" s="4" t="s">
        <v>4718</v>
      </c>
      <c r="I1584" s="4">
        <v>7</v>
      </c>
      <c r="J1584" s="4" t="s">
        <v>180</v>
      </c>
      <c r="K1584" s="4" t="s">
        <v>141</v>
      </c>
      <c r="L1584" s="4" t="s">
        <v>150</v>
      </c>
      <c r="M1584" s="4" t="s">
        <v>296</v>
      </c>
      <c r="N1584" s="4" t="s">
        <v>1557</v>
      </c>
      <c r="O1584" s="4" t="s">
        <v>144</v>
      </c>
      <c r="P1584" s="4" t="s">
        <v>169</v>
      </c>
      <c r="Q1584" s="4" t="s">
        <v>170</v>
      </c>
      <c r="R1584" s="4">
        <v>24.45</v>
      </c>
      <c r="S1584" s="4">
        <v>25</v>
      </c>
      <c r="T1584" s="4">
        <v>2</v>
      </c>
      <c r="U1584" s="4">
        <v>-41.15774699</v>
      </c>
      <c r="V1584" s="4">
        <v>175.00900970000001</v>
      </c>
      <c r="W1584" s="4"/>
      <c r="X1584" s="4"/>
      <c r="Y1584" s="4"/>
      <c r="Z1584" s="4"/>
      <c r="AA1584" s="4" t="s">
        <v>171</v>
      </c>
      <c r="AB1584" s="3" t="str">
        <f>HYPERLINK("https://sitebase.nzcomms.co.nz/spm/spmcandidateview/WLG-045-010-H/","WLG-045-010-H")</f>
        <v>WLG-045-010-H</v>
      </c>
      <c r="AC1584" s="4" t="b">
        <v>0</v>
      </c>
      <c r="AD1584" s="4" t="b">
        <v>0</v>
      </c>
      <c r="AE1584" s="4"/>
      <c r="AF1584" s="4"/>
      <c r="AG1584" s="4" t="b">
        <v>0</v>
      </c>
      <c r="AH1584" s="4"/>
      <c r="AI1584" s="5">
        <v>40704</v>
      </c>
      <c r="AJ1584" s="5">
        <v>40704</v>
      </c>
      <c r="AK1584" s="5">
        <v>40711</v>
      </c>
      <c r="AL1584" s="5">
        <v>40711</v>
      </c>
      <c r="AM1584" s="5">
        <v>40730</v>
      </c>
      <c r="AN1584" s="5">
        <v>40732</v>
      </c>
      <c r="AO1584" s="4">
        <v>2</v>
      </c>
      <c r="AP1584" s="5">
        <v>40730</v>
      </c>
      <c r="AQ1584" s="5">
        <v>41101</v>
      </c>
      <c r="AR1584" s="5">
        <v>41096</v>
      </c>
      <c r="AS1584" s="5">
        <v>41107</v>
      </c>
      <c r="AT1584" s="5">
        <v>41128</v>
      </c>
      <c r="AU1584" s="5">
        <v>41124</v>
      </c>
      <c r="AV1584" s="4">
        <v>1</v>
      </c>
      <c r="AW1584" s="5">
        <v>41128</v>
      </c>
      <c r="AX1584" s="5">
        <v>41135</v>
      </c>
      <c r="AY1584" s="4" t="s">
        <v>183</v>
      </c>
      <c r="AZ1584" s="5">
        <v>40739</v>
      </c>
      <c r="BA1584" s="5">
        <v>40746</v>
      </c>
      <c r="BB1584" s="5">
        <v>40788</v>
      </c>
      <c r="BC1584" s="5">
        <v>40773</v>
      </c>
      <c r="BD1584" s="4">
        <v>1</v>
      </c>
      <c r="BE1584" s="5">
        <v>41082</v>
      </c>
      <c r="BF1584" s="5">
        <v>41082</v>
      </c>
      <c r="BG1584" s="4"/>
      <c r="BH1584" s="4"/>
      <c r="BI1584" s="5">
        <v>41243</v>
      </c>
      <c r="BJ1584" s="5">
        <v>41243</v>
      </c>
      <c r="BK1584" s="4">
        <v>1</v>
      </c>
      <c r="BL1584" s="4"/>
      <c r="BM1584" s="5">
        <v>41243</v>
      </c>
      <c r="BN1584" s="5">
        <v>41243</v>
      </c>
      <c r="BO1584" s="5">
        <v>41184</v>
      </c>
      <c r="BP1584" s="4"/>
      <c r="BQ1584" s="4"/>
      <c r="BR1584" s="4"/>
      <c r="BS1584" s="4"/>
      <c r="BT1584" s="5">
        <v>41190</v>
      </c>
      <c r="BU1584" s="5">
        <v>41190</v>
      </c>
      <c r="BV1584" s="5">
        <v>41250</v>
      </c>
      <c r="BW1584" s="5">
        <v>41257</v>
      </c>
      <c r="BX1584" s="5">
        <v>41256</v>
      </c>
      <c r="BY1584" s="5">
        <v>41255</v>
      </c>
      <c r="BZ1584" s="5">
        <v>41260</v>
      </c>
      <c r="CA1584" s="4"/>
      <c r="CB1584" s="4"/>
      <c r="CC1584" s="4"/>
      <c r="CD1584" s="4"/>
      <c r="CE1584" s="4"/>
      <c r="CF1584" s="4"/>
      <c r="CG1584" s="4"/>
      <c r="CH1584" s="4"/>
      <c r="CI1584" s="5">
        <v>41257</v>
      </c>
      <c r="CJ1584" s="5">
        <v>41264</v>
      </c>
      <c r="CK1584" s="5">
        <v>41263</v>
      </c>
      <c r="CL1584" s="5">
        <v>41275</v>
      </c>
      <c r="CM1584" s="5">
        <v>41264</v>
      </c>
      <c r="CN1584" s="5">
        <v>41509</v>
      </c>
      <c r="CO1584" s="5">
        <v>41523</v>
      </c>
      <c r="CP1584" s="4" t="s">
        <v>4770</v>
      </c>
      <c r="CQ1584" s="4"/>
      <c r="CR1584" s="5">
        <v>41255</v>
      </c>
      <c r="CS1584" s="4"/>
      <c r="CT1584" s="4"/>
      <c r="CU1584" s="4"/>
      <c r="CV1584" s="4"/>
      <c r="CW1584" s="5">
        <v>41184</v>
      </c>
      <c r="CX1584" s="5">
        <v>41184</v>
      </c>
      <c r="CY1584" s="5">
        <v>41254</v>
      </c>
      <c r="CZ1584" s="5">
        <v>41267</v>
      </c>
      <c r="DA1584" s="5">
        <v>41260</v>
      </c>
      <c r="DB1584" s="5">
        <v>41262</v>
      </c>
      <c r="DC1584" s="4"/>
      <c r="DD1584" s="4"/>
      <c r="DE1584" s="4" t="s">
        <v>194</v>
      </c>
      <c r="DF1584" s="4"/>
      <c r="DG1584" s="4"/>
      <c r="DH1584" s="4" t="s">
        <v>174</v>
      </c>
      <c r="DI1584" s="5">
        <v>41253</v>
      </c>
      <c r="DJ1584" s="4" t="b">
        <v>0</v>
      </c>
      <c r="DK1584" s="4"/>
      <c r="DL1584" s="4">
        <v>2678583</v>
      </c>
      <c r="DM1584" s="4">
        <v>6003501</v>
      </c>
      <c r="DN1584" s="4" t="s">
        <v>4771</v>
      </c>
      <c r="DO1584" s="4"/>
      <c r="DP1584" s="4" t="s">
        <v>4772</v>
      </c>
      <c r="DQ1584" s="4" t="s">
        <v>148</v>
      </c>
      <c r="DR1584" s="4"/>
      <c r="DS1584" s="4"/>
      <c r="DT1584" s="4"/>
      <c r="DU1584" s="4"/>
      <c r="DV1584" s="4"/>
      <c r="DW1584" s="4"/>
      <c r="DX1584" s="4"/>
      <c r="DY1584" s="4"/>
      <c r="DZ1584" s="4"/>
      <c r="EA1584" s="4"/>
      <c r="EB1584" s="4"/>
      <c r="EC1584" s="4"/>
      <c r="ED1584" s="4"/>
      <c r="EE1584" s="4"/>
      <c r="EF1584" s="4"/>
      <c r="EG1584" s="5">
        <v>41257</v>
      </c>
      <c r="EH1584" s="5">
        <v>41257</v>
      </c>
      <c r="EI1584" s="5">
        <v>40711</v>
      </c>
    </row>
    <row r="1585" spans="1:139" hidden="1" x14ac:dyDescent="0.2">
      <c r="A1585">
        <f>VLOOKUP(B1585,Sheet1!$A$1:$B$18,2,FALSE)</f>
        <v>0</v>
      </c>
      <c r="B1585" t="str">
        <f>LEFT(D1585,3)</f>
        <v>WLG</v>
      </c>
      <c r="C1585" s="2">
        <v>1584</v>
      </c>
      <c r="D1585" s="3" t="str">
        <f>HYPERLINK("https://sitebase.nzcomms.co.nz/spm/spmnominalview/WLG-045-017/","WLG-045-017")</f>
        <v>WLG-045-017</v>
      </c>
      <c r="E1585" s="4" t="s">
        <v>4773</v>
      </c>
      <c r="F1585" s="3" t="str">
        <f>HYPERLINK("https://sitebase.nzcomms.co.nz/spm/spmcandidateview/WLG-045-017-A/","WLG-045-017-A")</f>
        <v>WLG-045-017-A</v>
      </c>
      <c r="G1585" s="4" t="s">
        <v>4774</v>
      </c>
      <c r="H1585" s="4" t="s">
        <v>4718</v>
      </c>
      <c r="I1585" s="4"/>
      <c r="J1585" s="4" t="s">
        <v>317</v>
      </c>
      <c r="K1585" s="4" t="s">
        <v>141</v>
      </c>
      <c r="L1585" s="4" t="s">
        <v>150</v>
      </c>
      <c r="M1585" s="4" t="s">
        <v>4775</v>
      </c>
      <c r="N1585" s="4" t="s">
        <v>620</v>
      </c>
      <c r="O1585" s="4"/>
      <c r="P1585" s="4"/>
      <c r="Q1585" s="4" t="s">
        <v>192</v>
      </c>
      <c r="R1585" s="4"/>
      <c r="S1585" s="4"/>
      <c r="T1585" s="4"/>
      <c r="U1585" s="4">
        <v>-41.084699149999999</v>
      </c>
      <c r="V1585" s="4">
        <v>175.00688923000001</v>
      </c>
      <c r="W1585" s="4"/>
      <c r="X1585" s="4"/>
      <c r="Y1585" s="4"/>
      <c r="Z1585" s="4"/>
      <c r="AA1585" s="4"/>
      <c r="AB1585" s="4"/>
      <c r="AC1585" s="4"/>
      <c r="AD1585" s="4"/>
      <c r="AE1585" s="4"/>
      <c r="AF1585" s="4"/>
      <c r="AG1585" s="4"/>
      <c r="AH1585" s="4"/>
      <c r="AI1585" s="4"/>
      <c r="AJ1585" s="4"/>
      <c r="AK1585" s="4"/>
      <c r="AL1585" s="4"/>
      <c r="AM1585" s="4"/>
      <c r="AN1585" s="4"/>
      <c r="AO1585" s="4"/>
      <c r="AP1585" s="4"/>
      <c r="AQ1585" s="4"/>
      <c r="AR1585" s="4"/>
      <c r="AS1585" s="4"/>
      <c r="AT1585" s="4"/>
      <c r="AU1585" s="4"/>
      <c r="AV1585" s="4"/>
      <c r="AW1585" s="4"/>
      <c r="AX1585" s="4"/>
      <c r="AY1585" s="4"/>
      <c r="AZ1585" s="4"/>
      <c r="BA1585" s="4"/>
      <c r="BB1585" s="4"/>
      <c r="BC1585" s="4"/>
      <c r="BD1585" s="4"/>
      <c r="BE1585" s="4"/>
      <c r="BF1585" s="4"/>
      <c r="BG1585" s="4"/>
      <c r="BH1585" s="4"/>
      <c r="BI1585" s="4"/>
      <c r="BJ1585" s="4"/>
      <c r="BK1585" s="4"/>
      <c r="BL1585" s="4"/>
      <c r="BM1585" s="4"/>
      <c r="BN1585" s="4"/>
      <c r="BO1585" s="4"/>
      <c r="BP1585" s="4"/>
      <c r="BQ1585" s="4"/>
      <c r="BR1585" s="4"/>
      <c r="BS1585" s="4"/>
      <c r="BT1585" s="4"/>
      <c r="BU1585" s="4"/>
      <c r="BV1585" s="4"/>
      <c r="BW1585" s="4"/>
      <c r="BX1585" s="4"/>
      <c r="BY1585" s="4"/>
      <c r="BZ1585" s="4"/>
      <c r="CA1585" s="4"/>
      <c r="CB1585" s="4"/>
      <c r="CC1585" s="4"/>
      <c r="CD1585" s="4"/>
      <c r="CE1585" s="4"/>
      <c r="CF1585" s="4"/>
      <c r="CG1585" s="4"/>
      <c r="CH1585" s="4"/>
      <c r="CI1585" s="4"/>
      <c r="CJ1585" s="4"/>
      <c r="CK1585" s="5">
        <v>41730</v>
      </c>
      <c r="CL1585" s="4"/>
      <c r="CM1585" s="4"/>
      <c r="CN1585" s="4"/>
      <c r="CO1585" s="4"/>
      <c r="CP1585" s="4"/>
      <c r="CQ1585" s="4"/>
      <c r="CR1585" s="4"/>
      <c r="CS1585" s="4"/>
      <c r="CT1585" s="4"/>
      <c r="CU1585" s="4"/>
      <c r="CV1585" s="4"/>
      <c r="CW1585" s="4"/>
      <c r="CX1585" s="4"/>
      <c r="CY1585" s="4"/>
      <c r="CZ1585" s="4"/>
      <c r="DA1585" s="4"/>
      <c r="DB1585" s="4"/>
      <c r="DC1585" s="4"/>
      <c r="DD1585" s="4"/>
      <c r="DE1585" s="4"/>
      <c r="DF1585" s="4"/>
      <c r="DG1585" s="4"/>
      <c r="DH1585" s="4"/>
      <c r="DI1585" s="4"/>
      <c r="DJ1585" s="4"/>
      <c r="DK1585" s="4"/>
      <c r="DL1585" s="4">
        <v>2678591</v>
      </c>
      <c r="DM1585" s="4">
        <v>6011615</v>
      </c>
      <c r="DN1585" s="4" t="s">
        <v>4776</v>
      </c>
      <c r="DO1585" s="4"/>
      <c r="DP1585" s="4"/>
      <c r="DQ1585" s="4" t="s">
        <v>740</v>
      </c>
      <c r="DR1585" s="4"/>
      <c r="DS1585" s="4"/>
      <c r="DT1585" s="4"/>
      <c r="DU1585" s="4"/>
      <c r="DV1585" s="4"/>
      <c r="DW1585" s="4"/>
      <c r="DX1585" s="4"/>
      <c r="DY1585" s="4"/>
      <c r="DZ1585" s="4"/>
      <c r="EA1585" s="4"/>
      <c r="EB1585" s="4"/>
      <c r="EC1585" s="4"/>
      <c r="ED1585" s="4"/>
      <c r="EE1585" s="4"/>
      <c r="EF1585" s="4"/>
      <c r="EG1585" s="4"/>
      <c r="EH1585" s="4"/>
      <c r="EI1585" s="4"/>
    </row>
    <row r="1586" spans="1:139" hidden="1" x14ac:dyDescent="0.2">
      <c r="A1586">
        <f>VLOOKUP(B1586,Sheet1!$A$1:$B$18,2,FALSE)</f>
        <v>0</v>
      </c>
      <c r="B1586" t="str">
        <f>LEFT(D1586,3)</f>
        <v>WLG</v>
      </c>
      <c r="C1586" s="2">
        <v>1585</v>
      </c>
      <c r="D1586" s="3" t="str">
        <f>HYPERLINK("https://sitebase.nzcomms.co.nz/spm/spmnominalview/WLG-046-001/","WLG-046-001")</f>
        <v>WLG-046-001</v>
      </c>
      <c r="E1586" s="4"/>
      <c r="F1586" s="3" t="str">
        <f>HYPERLINK("https://sitebase.nzcomms.co.nz/spm/spmcandidateview/WLG-046-001-A/","WLG-046-001-A")</f>
        <v>WLG-046-001-A</v>
      </c>
      <c r="G1586" s="4" t="s">
        <v>4777</v>
      </c>
      <c r="H1586" s="4" t="s">
        <v>4778</v>
      </c>
      <c r="I1586" s="4"/>
      <c r="J1586" s="4" t="s">
        <v>139</v>
      </c>
      <c r="K1586" s="4" t="s">
        <v>141</v>
      </c>
      <c r="L1586" s="4" t="s">
        <v>150</v>
      </c>
      <c r="M1586" s="4" t="s">
        <v>143</v>
      </c>
      <c r="N1586" s="4" t="s">
        <v>291</v>
      </c>
      <c r="O1586" s="4" t="s">
        <v>144</v>
      </c>
      <c r="P1586" s="4"/>
      <c r="Q1586" s="4"/>
      <c r="R1586" s="4">
        <v>18.8</v>
      </c>
      <c r="S1586" s="4">
        <v>18.8</v>
      </c>
      <c r="T1586" s="4"/>
      <c r="U1586" s="4">
        <v>-41.154895539999998</v>
      </c>
      <c r="V1586" s="4">
        <v>174.98162120000001</v>
      </c>
      <c r="W1586" s="4"/>
      <c r="X1586" s="4"/>
      <c r="Y1586" s="4"/>
      <c r="Z1586" s="4"/>
      <c r="AA1586" s="4" t="s">
        <v>217</v>
      </c>
      <c r="AB1586" s="4" t="s">
        <v>4779</v>
      </c>
      <c r="AC1586" s="4"/>
      <c r="AD1586" s="4"/>
      <c r="AE1586" s="4"/>
      <c r="AF1586" s="4"/>
      <c r="AG1586" s="4"/>
      <c r="AH1586" s="4" t="s">
        <v>4751</v>
      </c>
      <c r="AI1586" s="4"/>
      <c r="AJ1586" s="4"/>
      <c r="AK1586" s="4"/>
      <c r="AL1586" s="4"/>
      <c r="AM1586" s="4"/>
      <c r="AN1586" s="5">
        <v>39430</v>
      </c>
      <c r="AO1586" s="4">
        <v>3</v>
      </c>
      <c r="AP1586" s="4"/>
      <c r="AQ1586" s="5">
        <v>39623</v>
      </c>
      <c r="AR1586" s="4"/>
      <c r="AS1586" s="4"/>
      <c r="AT1586" s="5">
        <v>39629</v>
      </c>
      <c r="AU1586" s="5">
        <v>39622</v>
      </c>
      <c r="AV1586" s="4">
        <v>2</v>
      </c>
      <c r="AW1586" s="5">
        <v>39629</v>
      </c>
      <c r="AX1586" s="5">
        <v>39622</v>
      </c>
      <c r="AY1586" s="4"/>
      <c r="AZ1586" s="4"/>
      <c r="BA1586" s="4"/>
      <c r="BB1586" s="5">
        <v>39654</v>
      </c>
      <c r="BC1586" s="4"/>
      <c r="BD1586" s="4"/>
      <c r="BE1586" s="5">
        <v>39654</v>
      </c>
      <c r="BF1586" s="5">
        <v>39654</v>
      </c>
      <c r="BG1586" s="4"/>
      <c r="BH1586" s="5">
        <v>39518</v>
      </c>
      <c r="BI1586" s="4"/>
      <c r="BJ1586" s="5">
        <v>39667</v>
      </c>
      <c r="BK1586" s="4">
        <v>1</v>
      </c>
      <c r="BL1586" s="4">
        <v>2</v>
      </c>
      <c r="BM1586" s="5">
        <v>39667</v>
      </c>
      <c r="BN1586" s="5">
        <v>39667</v>
      </c>
      <c r="BO1586" s="4"/>
      <c r="BP1586" s="4"/>
      <c r="BQ1586" s="4"/>
      <c r="BR1586" s="4"/>
      <c r="BS1586" s="4"/>
      <c r="BT1586" s="4"/>
      <c r="BU1586" s="5">
        <v>39714</v>
      </c>
      <c r="BV1586" s="5">
        <v>39780</v>
      </c>
      <c r="BW1586" s="5">
        <v>39781</v>
      </c>
      <c r="BX1586" s="4"/>
      <c r="BY1586" s="5">
        <v>39787</v>
      </c>
      <c r="BZ1586" s="5">
        <v>39781</v>
      </c>
      <c r="CA1586" s="4"/>
      <c r="CB1586" s="4"/>
      <c r="CC1586" s="4"/>
      <c r="CD1586" s="4"/>
      <c r="CE1586" s="4"/>
      <c r="CF1586" s="4"/>
      <c r="CG1586" s="4"/>
      <c r="CH1586" s="4"/>
      <c r="CI1586" s="5">
        <v>39802</v>
      </c>
      <c r="CJ1586" s="5">
        <v>39813</v>
      </c>
      <c r="CK1586" s="5">
        <v>39802</v>
      </c>
      <c r="CL1586" s="4"/>
      <c r="CM1586" s="4"/>
      <c r="CN1586" s="4"/>
      <c r="CO1586" s="4"/>
      <c r="CP1586" s="4" t="s">
        <v>405</v>
      </c>
      <c r="CQ1586" s="4"/>
      <c r="CR1586" s="5">
        <v>39813</v>
      </c>
      <c r="CS1586" s="4"/>
      <c r="CT1586" s="4"/>
      <c r="CU1586" s="4"/>
      <c r="CV1586" s="4"/>
      <c r="CW1586" s="4"/>
      <c r="CX1586" s="4"/>
      <c r="CY1586" s="4"/>
      <c r="CZ1586" s="4"/>
      <c r="DA1586" s="4"/>
      <c r="DB1586" s="4"/>
      <c r="DC1586" s="4"/>
      <c r="DD1586" s="4"/>
      <c r="DE1586" s="4"/>
      <c r="DF1586" s="4"/>
      <c r="DG1586" s="4"/>
      <c r="DH1586" s="4"/>
      <c r="DI1586" s="4"/>
      <c r="DJ1586" s="4" t="b">
        <v>0</v>
      </c>
      <c r="DK1586" s="4"/>
      <c r="DL1586" s="4">
        <v>2676292</v>
      </c>
      <c r="DM1586" s="4">
        <v>6003870</v>
      </c>
      <c r="DN1586" s="4" t="s">
        <v>4780</v>
      </c>
      <c r="DO1586" s="4"/>
      <c r="DP1586" s="4"/>
      <c r="DQ1586" s="4" t="s">
        <v>148</v>
      </c>
      <c r="DR1586" s="4"/>
      <c r="DS1586" s="4"/>
      <c r="DT1586" s="4"/>
      <c r="DU1586" s="4"/>
      <c r="DV1586" s="4"/>
      <c r="DW1586" s="4"/>
      <c r="DX1586" s="4"/>
      <c r="DY1586" s="4"/>
      <c r="DZ1586" s="5">
        <v>39687</v>
      </c>
      <c r="EA1586" s="4"/>
      <c r="EB1586" s="4"/>
      <c r="EC1586" s="4"/>
      <c r="ED1586" s="4"/>
      <c r="EE1586" s="4"/>
      <c r="EF1586" s="4"/>
      <c r="EG1586" s="4"/>
      <c r="EH1586" s="4"/>
      <c r="EI1586" s="5">
        <v>39392</v>
      </c>
    </row>
    <row r="1587" spans="1:139" hidden="1" x14ac:dyDescent="0.2">
      <c r="A1587">
        <f>VLOOKUP(B1587,Sheet1!$A$1:$B$18,2,FALSE)</f>
        <v>0</v>
      </c>
      <c r="B1587" t="str">
        <f>LEFT(D1587,3)</f>
        <v>WLG</v>
      </c>
      <c r="C1587" s="2">
        <v>1586</v>
      </c>
      <c r="D1587" s="3" t="str">
        <f>HYPERLINK("https://sitebase.nzcomms.co.nz/spm/spmnominalview/WLG-046-002/","WLG-046-002")</f>
        <v>WLG-046-002</v>
      </c>
      <c r="E1587" s="4"/>
      <c r="F1587" s="3" t="str">
        <f>HYPERLINK("https://sitebase.nzcomms.co.nz/spm/spmcandidateview/WLG-046-002-B/","WLG-046-002-B")</f>
        <v>WLG-046-002-B</v>
      </c>
      <c r="G1587" s="4" t="s">
        <v>4781</v>
      </c>
      <c r="H1587" s="4" t="s">
        <v>4778</v>
      </c>
      <c r="I1587" s="4"/>
      <c r="J1587" s="4" t="s">
        <v>139</v>
      </c>
      <c r="K1587" s="4" t="s">
        <v>141</v>
      </c>
      <c r="L1587" s="4" t="s">
        <v>150</v>
      </c>
      <c r="M1587" s="4" t="s">
        <v>143</v>
      </c>
      <c r="N1587" s="4" t="s">
        <v>246</v>
      </c>
      <c r="O1587" s="4" t="s">
        <v>144</v>
      </c>
      <c r="P1587" s="4"/>
      <c r="Q1587" s="4"/>
      <c r="R1587" s="4">
        <v>18.8</v>
      </c>
      <c r="S1587" s="4">
        <v>18.8</v>
      </c>
      <c r="T1587" s="4"/>
      <c r="U1587" s="4">
        <v>-41.178370200000003</v>
      </c>
      <c r="V1587" s="4">
        <v>174.96298858</v>
      </c>
      <c r="W1587" s="4"/>
      <c r="X1587" s="4"/>
      <c r="Y1587" s="4"/>
      <c r="Z1587" s="4"/>
      <c r="AA1587" s="4" t="s">
        <v>217</v>
      </c>
      <c r="AB1587" s="4" t="s">
        <v>4779</v>
      </c>
      <c r="AC1587" s="4"/>
      <c r="AD1587" s="4"/>
      <c r="AE1587" s="4"/>
      <c r="AF1587" s="4"/>
      <c r="AG1587" s="4"/>
      <c r="AH1587" s="4" t="s">
        <v>4782</v>
      </c>
      <c r="AI1587" s="4"/>
      <c r="AJ1587" s="4"/>
      <c r="AK1587" s="4"/>
      <c r="AL1587" s="4"/>
      <c r="AM1587" s="4"/>
      <c r="AN1587" s="5">
        <v>39500</v>
      </c>
      <c r="AO1587" s="4">
        <v>2</v>
      </c>
      <c r="AP1587" s="4"/>
      <c r="AQ1587" s="5">
        <v>39611</v>
      </c>
      <c r="AR1587" s="4"/>
      <c r="AS1587" s="4"/>
      <c r="AT1587" s="5">
        <v>39629</v>
      </c>
      <c r="AU1587" s="5">
        <v>39598</v>
      </c>
      <c r="AV1587" s="4">
        <v>2</v>
      </c>
      <c r="AW1587" s="5">
        <v>39629</v>
      </c>
      <c r="AX1587" s="5">
        <v>39598</v>
      </c>
      <c r="AY1587" s="4"/>
      <c r="AZ1587" s="4"/>
      <c r="BA1587" s="4"/>
      <c r="BB1587" s="5">
        <v>39678</v>
      </c>
      <c r="BC1587" s="4"/>
      <c r="BD1587" s="4"/>
      <c r="BE1587" s="5">
        <v>39678</v>
      </c>
      <c r="BF1587" s="5">
        <v>39678</v>
      </c>
      <c r="BG1587" s="4"/>
      <c r="BH1587" s="5">
        <v>39546</v>
      </c>
      <c r="BI1587" s="4"/>
      <c r="BJ1587" s="5">
        <v>39617</v>
      </c>
      <c r="BK1587" s="4">
        <v>1</v>
      </c>
      <c r="BL1587" s="4">
        <v>2</v>
      </c>
      <c r="BM1587" s="5">
        <v>39617</v>
      </c>
      <c r="BN1587" s="5">
        <v>39617</v>
      </c>
      <c r="BO1587" s="4"/>
      <c r="BP1587" s="4"/>
      <c r="BQ1587" s="4"/>
      <c r="BR1587" s="4"/>
      <c r="BS1587" s="4"/>
      <c r="BT1587" s="4"/>
      <c r="BU1587" s="5">
        <v>39699</v>
      </c>
      <c r="BV1587" s="5">
        <v>39736</v>
      </c>
      <c r="BW1587" s="5">
        <v>39724</v>
      </c>
      <c r="BX1587" s="4"/>
      <c r="BY1587" s="5">
        <v>39750</v>
      </c>
      <c r="BZ1587" s="5">
        <v>39724</v>
      </c>
      <c r="CA1587" s="4"/>
      <c r="CB1587" s="4"/>
      <c r="CC1587" s="4"/>
      <c r="CD1587" s="4"/>
      <c r="CE1587" s="4"/>
      <c r="CF1587" s="4"/>
      <c r="CG1587" s="4"/>
      <c r="CH1587" s="4"/>
      <c r="CI1587" s="5">
        <v>39801</v>
      </c>
      <c r="CJ1587" s="5">
        <v>39813</v>
      </c>
      <c r="CK1587" s="5">
        <v>39801</v>
      </c>
      <c r="CL1587" s="4"/>
      <c r="CM1587" s="4"/>
      <c r="CN1587" s="4"/>
      <c r="CO1587" s="4"/>
      <c r="CP1587" s="4" t="s">
        <v>405</v>
      </c>
      <c r="CQ1587" s="4"/>
      <c r="CR1587" s="5">
        <v>39813</v>
      </c>
      <c r="CS1587" s="4"/>
      <c r="CT1587" s="4"/>
      <c r="CU1587" s="4"/>
      <c r="CV1587" s="4"/>
      <c r="CW1587" s="4"/>
      <c r="CX1587" s="4"/>
      <c r="CY1587" s="4"/>
      <c r="CZ1587" s="4"/>
      <c r="DA1587" s="4"/>
      <c r="DB1587" s="4"/>
      <c r="DC1587" s="4"/>
      <c r="DD1587" s="4"/>
      <c r="DE1587" s="4"/>
      <c r="DF1587" s="4"/>
      <c r="DG1587" s="4"/>
      <c r="DH1587" s="4"/>
      <c r="DI1587" s="4"/>
      <c r="DJ1587" s="4" t="b">
        <v>0</v>
      </c>
      <c r="DK1587" s="4"/>
      <c r="DL1587" s="4">
        <v>2674670</v>
      </c>
      <c r="DM1587" s="4">
        <v>6001299</v>
      </c>
      <c r="DN1587" s="4" t="s">
        <v>4783</v>
      </c>
      <c r="DO1587" s="4"/>
      <c r="DP1587" s="4"/>
      <c r="DQ1587" s="4" t="s">
        <v>148</v>
      </c>
      <c r="DR1587" s="4"/>
      <c r="DS1587" s="4"/>
      <c r="DT1587" s="5">
        <v>41985</v>
      </c>
      <c r="DU1587" s="4"/>
      <c r="DV1587" s="4"/>
      <c r="DW1587" s="4"/>
      <c r="DX1587" s="4"/>
      <c r="DY1587" s="4"/>
      <c r="DZ1587" s="5">
        <v>39687</v>
      </c>
      <c r="EA1587" s="4"/>
      <c r="EB1587" s="4"/>
      <c r="EC1587" s="4"/>
      <c r="ED1587" s="4"/>
      <c r="EE1587" s="4"/>
      <c r="EF1587" s="4"/>
      <c r="EG1587" s="4"/>
      <c r="EH1587" s="4"/>
      <c r="EI1587" s="5">
        <v>39485</v>
      </c>
    </row>
    <row r="1588" spans="1:139" hidden="1" x14ac:dyDescent="0.2">
      <c r="A1588">
        <f>VLOOKUP(B1588,Sheet1!$A$1:$B$18,2,FALSE)</f>
        <v>0</v>
      </c>
      <c r="B1588" t="str">
        <f>LEFT(D1588,3)</f>
        <v>WLG</v>
      </c>
      <c r="C1588" s="2">
        <v>1587</v>
      </c>
      <c r="D1588" s="3" t="str">
        <f>HYPERLINK("https://sitebase.nzcomms.co.nz/spm/spmnominalview/WLG-046-004/","WLG-046-004")</f>
        <v>WLG-046-004</v>
      </c>
      <c r="E1588" s="4"/>
      <c r="F1588" s="3" t="str">
        <f>HYPERLINK("https://sitebase.nzcomms.co.nz/spm/spmcandidateview/WLG-046-004-A/","WLG-046-004-A")</f>
        <v>WLG-046-004-A</v>
      </c>
      <c r="G1588" s="4" t="s">
        <v>4784</v>
      </c>
      <c r="H1588" s="4" t="s">
        <v>4778</v>
      </c>
      <c r="I1588" s="4"/>
      <c r="J1588" s="4" t="s">
        <v>139</v>
      </c>
      <c r="K1588" s="4" t="s">
        <v>141</v>
      </c>
      <c r="L1588" s="4" t="s">
        <v>150</v>
      </c>
      <c r="M1588" s="4" t="s">
        <v>143</v>
      </c>
      <c r="N1588" s="4" t="s">
        <v>246</v>
      </c>
      <c r="O1588" s="4" t="s">
        <v>356</v>
      </c>
      <c r="P1588" s="4"/>
      <c r="Q1588" s="4"/>
      <c r="R1588" s="4">
        <v>13.8</v>
      </c>
      <c r="S1588" s="4">
        <v>13.8</v>
      </c>
      <c r="T1588" s="4"/>
      <c r="U1588" s="4">
        <v>-41.178663749999998</v>
      </c>
      <c r="V1588" s="4">
        <v>174.97379796999999</v>
      </c>
      <c r="W1588" s="4"/>
      <c r="X1588" s="4"/>
      <c r="Y1588" s="4"/>
      <c r="Z1588" s="4"/>
      <c r="AA1588" s="4" t="s">
        <v>217</v>
      </c>
      <c r="AB1588" s="4" t="s">
        <v>4785</v>
      </c>
      <c r="AC1588" s="4"/>
      <c r="AD1588" s="4"/>
      <c r="AE1588" s="4"/>
      <c r="AF1588" s="4"/>
      <c r="AG1588" s="4"/>
      <c r="AH1588" s="4" t="s">
        <v>4762</v>
      </c>
      <c r="AI1588" s="4"/>
      <c r="AJ1588" s="4"/>
      <c r="AK1588" s="4"/>
      <c r="AL1588" s="4"/>
      <c r="AM1588" s="4"/>
      <c r="AN1588" s="5">
        <v>39487</v>
      </c>
      <c r="AO1588" s="4">
        <v>2</v>
      </c>
      <c r="AP1588" s="4"/>
      <c r="AQ1588" s="5">
        <v>39743</v>
      </c>
      <c r="AR1588" s="4"/>
      <c r="AS1588" s="4"/>
      <c r="AT1588" s="5">
        <v>39782</v>
      </c>
      <c r="AU1588" s="5">
        <v>39762</v>
      </c>
      <c r="AV1588" s="4">
        <v>1</v>
      </c>
      <c r="AW1588" s="5">
        <v>39782</v>
      </c>
      <c r="AX1588" s="5">
        <v>39762</v>
      </c>
      <c r="AY1588" s="4"/>
      <c r="AZ1588" s="4"/>
      <c r="BA1588" s="4"/>
      <c r="BB1588" s="5">
        <v>39534</v>
      </c>
      <c r="BC1588" s="4"/>
      <c r="BD1588" s="4"/>
      <c r="BE1588" s="5">
        <v>39534</v>
      </c>
      <c r="BF1588" s="5">
        <v>39534</v>
      </c>
      <c r="BG1588" s="4"/>
      <c r="BH1588" s="5">
        <v>39552</v>
      </c>
      <c r="BI1588" s="4"/>
      <c r="BJ1588" s="5">
        <v>39752</v>
      </c>
      <c r="BK1588" s="4">
        <v>1</v>
      </c>
      <c r="BL1588" s="4">
        <v>2</v>
      </c>
      <c r="BM1588" s="5">
        <v>39752</v>
      </c>
      <c r="BN1588" s="5">
        <v>39752</v>
      </c>
      <c r="BO1588" s="5">
        <v>39818</v>
      </c>
      <c r="BP1588" s="4"/>
      <c r="BQ1588" s="4"/>
      <c r="BR1588" s="4"/>
      <c r="BS1588" s="4"/>
      <c r="BT1588" s="4"/>
      <c r="BU1588" s="5">
        <v>39785</v>
      </c>
      <c r="BV1588" s="5">
        <v>39843</v>
      </c>
      <c r="BW1588" s="5">
        <v>39843</v>
      </c>
      <c r="BX1588" s="4"/>
      <c r="BY1588" s="5">
        <v>39857</v>
      </c>
      <c r="BZ1588" s="5">
        <v>39843</v>
      </c>
      <c r="CA1588" s="4"/>
      <c r="CB1588" s="4"/>
      <c r="CC1588" s="4"/>
      <c r="CD1588" s="4"/>
      <c r="CE1588" s="4"/>
      <c r="CF1588" s="4"/>
      <c r="CG1588" s="4"/>
      <c r="CH1588" s="4"/>
      <c r="CI1588" s="5">
        <v>39989</v>
      </c>
      <c r="CJ1588" s="5">
        <v>39994</v>
      </c>
      <c r="CK1588" s="5">
        <v>39989</v>
      </c>
      <c r="CL1588" s="4"/>
      <c r="CM1588" s="4"/>
      <c r="CN1588" s="4"/>
      <c r="CO1588" s="4"/>
      <c r="CP1588" s="4" t="s">
        <v>4786</v>
      </c>
      <c r="CQ1588" s="4"/>
      <c r="CR1588" s="5">
        <v>39994</v>
      </c>
      <c r="CS1588" s="4"/>
      <c r="CT1588" s="4"/>
      <c r="CU1588" s="4"/>
      <c r="CV1588" s="4"/>
      <c r="CW1588" s="4"/>
      <c r="CX1588" s="5">
        <v>39818</v>
      </c>
      <c r="CY1588" s="4"/>
      <c r="CZ1588" s="4"/>
      <c r="DA1588" s="4"/>
      <c r="DB1588" s="4"/>
      <c r="DC1588" s="4"/>
      <c r="DD1588" s="4"/>
      <c r="DE1588" s="4"/>
      <c r="DF1588" s="4"/>
      <c r="DG1588" s="4"/>
      <c r="DH1588" s="4"/>
      <c r="DI1588" s="4"/>
      <c r="DJ1588" s="4" t="b">
        <v>0</v>
      </c>
      <c r="DK1588" s="4"/>
      <c r="DL1588" s="4">
        <v>2675576</v>
      </c>
      <c r="DM1588" s="4">
        <v>6001246</v>
      </c>
      <c r="DN1588" s="4" t="s">
        <v>4787</v>
      </c>
      <c r="DO1588" s="4"/>
      <c r="DP1588" s="4"/>
      <c r="DQ1588" s="4" t="s">
        <v>148</v>
      </c>
      <c r="DR1588" s="4"/>
      <c r="DS1588" s="4"/>
      <c r="DT1588" s="5">
        <v>41985</v>
      </c>
      <c r="DU1588" s="4"/>
      <c r="DV1588" s="4"/>
      <c r="DW1588" s="4"/>
      <c r="DX1588" s="4"/>
      <c r="DY1588" s="4"/>
      <c r="DZ1588" s="5">
        <v>39780</v>
      </c>
      <c r="EA1588" s="4"/>
      <c r="EB1588" s="4"/>
      <c r="EC1588" s="4"/>
      <c r="ED1588" s="4"/>
      <c r="EE1588" s="4"/>
      <c r="EF1588" s="4"/>
      <c r="EG1588" s="4"/>
      <c r="EH1588" s="4"/>
      <c r="EI1588" s="5">
        <v>39416</v>
      </c>
    </row>
    <row r="1589" spans="1:139" hidden="1" x14ac:dyDescent="0.2">
      <c r="A1589">
        <f>VLOOKUP(B1589,Sheet1!$A$1:$B$18,2,FALSE)</f>
        <v>0</v>
      </c>
      <c r="B1589" t="str">
        <f>LEFT(D1589,3)</f>
        <v>WLG</v>
      </c>
      <c r="C1589" s="2">
        <v>1588</v>
      </c>
      <c r="D1589" s="3" t="str">
        <f>HYPERLINK("https://sitebase.nzcomms.co.nz/spm/spmnominalview/WLG-046-006/","WLG-046-006")</f>
        <v>WLG-046-006</v>
      </c>
      <c r="E1589" s="4"/>
      <c r="F1589" s="3" t="str">
        <f>HYPERLINK("https://sitebase.nzcomms.co.nz/spm/spmcandidateview/WLG-046-006-B/","WLG-046-006-B")</f>
        <v>WLG-046-006-B</v>
      </c>
      <c r="G1589" s="4" t="s">
        <v>4788</v>
      </c>
      <c r="H1589" s="4" t="s">
        <v>4778</v>
      </c>
      <c r="I1589" s="4"/>
      <c r="J1589" s="4" t="s">
        <v>139</v>
      </c>
      <c r="K1589" s="4" t="s">
        <v>141</v>
      </c>
      <c r="L1589" s="4" t="s">
        <v>181</v>
      </c>
      <c r="M1589" s="4" t="s">
        <v>442</v>
      </c>
      <c r="N1589" s="4" t="s">
        <v>364</v>
      </c>
      <c r="O1589" s="4" t="s">
        <v>144</v>
      </c>
      <c r="P1589" s="4"/>
      <c r="Q1589" s="4"/>
      <c r="R1589" s="4">
        <v>38</v>
      </c>
      <c r="S1589" s="4">
        <v>38</v>
      </c>
      <c r="T1589" s="4"/>
      <c r="U1589" s="4">
        <v>-41.186934039999997</v>
      </c>
      <c r="V1589" s="4">
        <v>174.94656301000001</v>
      </c>
      <c r="W1589" s="4"/>
      <c r="X1589" s="4"/>
      <c r="Y1589" s="4"/>
      <c r="Z1589" s="4"/>
      <c r="AA1589" s="4" t="s">
        <v>217</v>
      </c>
      <c r="AB1589" s="4" t="s">
        <v>4785</v>
      </c>
      <c r="AC1589" s="4"/>
      <c r="AD1589" s="4"/>
      <c r="AE1589" s="4"/>
      <c r="AF1589" s="4"/>
      <c r="AG1589" s="4"/>
      <c r="AH1589" s="4" t="s">
        <v>4789</v>
      </c>
      <c r="AI1589" s="4"/>
      <c r="AJ1589" s="4"/>
      <c r="AK1589" s="4"/>
      <c r="AL1589" s="4"/>
      <c r="AM1589" s="4"/>
      <c r="AN1589" s="5">
        <v>39423</v>
      </c>
      <c r="AO1589" s="4">
        <v>5</v>
      </c>
      <c r="AP1589" s="4"/>
      <c r="AQ1589" s="5">
        <v>39945</v>
      </c>
      <c r="AR1589" s="4"/>
      <c r="AS1589" s="4"/>
      <c r="AT1589" s="5">
        <v>39599</v>
      </c>
      <c r="AU1589" s="5">
        <v>39577</v>
      </c>
      <c r="AV1589" s="4">
        <v>1</v>
      </c>
      <c r="AW1589" s="5">
        <v>39599</v>
      </c>
      <c r="AX1589" s="5">
        <v>39577</v>
      </c>
      <c r="AY1589" s="4"/>
      <c r="AZ1589" s="4"/>
      <c r="BA1589" s="4"/>
      <c r="BB1589" s="5">
        <v>39500</v>
      </c>
      <c r="BC1589" s="4"/>
      <c r="BD1589" s="4"/>
      <c r="BE1589" s="5">
        <v>39500</v>
      </c>
      <c r="BF1589" s="5">
        <v>39500</v>
      </c>
      <c r="BG1589" s="4"/>
      <c r="BH1589" s="5">
        <v>39552</v>
      </c>
      <c r="BI1589" s="4"/>
      <c r="BJ1589" s="5">
        <v>39629</v>
      </c>
      <c r="BK1589" s="4">
        <v>2</v>
      </c>
      <c r="BL1589" s="4">
        <v>3</v>
      </c>
      <c r="BM1589" s="5">
        <v>39702</v>
      </c>
      <c r="BN1589" s="5">
        <v>39702</v>
      </c>
      <c r="BO1589" s="4"/>
      <c r="BP1589" s="4"/>
      <c r="BQ1589" s="4"/>
      <c r="BR1589" s="4"/>
      <c r="BS1589" s="4"/>
      <c r="BT1589" s="4"/>
      <c r="BU1589" s="5">
        <v>39646</v>
      </c>
      <c r="BV1589" s="5">
        <v>39675</v>
      </c>
      <c r="BW1589" s="5">
        <v>39675</v>
      </c>
      <c r="BX1589" s="4"/>
      <c r="BY1589" s="5">
        <v>39696</v>
      </c>
      <c r="BZ1589" s="5">
        <v>39688</v>
      </c>
      <c r="CA1589" s="4"/>
      <c r="CB1589" s="4"/>
      <c r="CC1589" s="4"/>
      <c r="CD1589" s="4"/>
      <c r="CE1589" s="4"/>
      <c r="CF1589" s="4"/>
      <c r="CG1589" s="4"/>
      <c r="CH1589" s="4"/>
      <c r="CI1589" s="5">
        <v>39801</v>
      </c>
      <c r="CJ1589" s="5">
        <v>39813</v>
      </c>
      <c r="CK1589" s="5">
        <v>39801</v>
      </c>
      <c r="CL1589" s="4"/>
      <c r="CM1589" s="4"/>
      <c r="CN1589" s="4"/>
      <c r="CO1589" s="4"/>
      <c r="CP1589" s="4" t="s">
        <v>4790</v>
      </c>
      <c r="CQ1589" s="4"/>
      <c r="CR1589" s="5">
        <v>39813</v>
      </c>
      <c r="CS1589" s="4"/>
      <c r="CT1589" s="4"/>
      <c r="CU1589" s="4"/>
      <c r="CV1589" s="4"/>
      <c r="CW1589" s="4"/>
      <c r="CX1589" s="4"/>
      <c r="CY1589" s="4"/>
      <c r="CZ1589" s="4"/>
      <c r="DA1589" s="4"/>
      <c r="DB1589" s="4"/>
      <c r="DC1589" s="4"/>
      <c r="DD1589" s="4"/>
      <c r="DE1589" s="4"/>
      <c r="DF1589" s="4"/>
      <c r="DG1589" s="4"/>
      <c r="DH1589" s="4"/>
      <c r="DI1589" s="4"/>
      <c r="DJ1589" s="4" t="b">
        <v>0</v>
      </c>
      <c r="DK1589" s="4"/>
      <c r="DL1589" s="4">
        <v>2673271</v>
      </c>
      <c r="DM1589" s="4">
        <v>6000379</v>
      </c>
      <c r="DN1589" s="4" t="s">
        <v>4791</v>
      </c>
      <c r="DO1589" s="4"/>
      <c r="DP1589" s="4"/>
      <c r="DQ1589" s="4" t="s">
        <v>148</v>
      </c>
      <c r="DR1589" s="4"/>
      <c r="DS1589" s="4"/>
      <c r="DT1589" s="5">
        <v>41985</v>
      </c>
      <c r="DU1589" s="4"/>
      <c r="DV1589" s="4"/>
      <c r="DW1589" s="4"/>
      <c r="DX1589" s="4"/>
      <c r="DY1589" s="4"/>
      <c r="DZ1589" s="5">
        <v>39630</v>
      </c>
      <c r="EA1589" s="4"/>
      <c r="EB1589" s="4"/>
      <c r="EC1589" s="4"/>
      <c r="ED1589" s="4"/>
      <c r="EE1589" s="4"/>
      <c r="EF1589" s="4"/>
      <c r="EG1589" s="4"/>
      <c r="EH1589" s="4"/>
      <c r="EI1589" s="5">
        <v>39381</v>
      </c>
    </row>
    <row r="1590" spans="1:139" hidden="1" x14ac:dyDescent="0.2">
      <c r="A1590">
        <f>VLOOKUP(B1590,Sheet1!$A$1:$B$18,2,FALSE)</f>
        <v>0</v>
      </c>
      <c r="B1590" t="str">
        <f>LEFT(D1590,3)</f>
        <v>WLG</v>
      </c>
      <c r="C1590" s="2">
        <v>1589</v>
      </c>
      <c r="D1590" s="3" t="str">
        <f>HYPERLINK("https://sitebase.nzcomms.co.nz/spm/spmnominalview/WLG-046-007/","WLG-046-007")</f>
        <v>WLG-046-007</v>
      </c>
      <c r="E1590" s="4"/>
      <c r="F1590" s="3" t="str">
        <f>HYPERLINK("https://sitebase.nzcomms.co.nz/spm/spmcandidateview/WLG-046-007-B/","WLG-046-007-B")</f>
        <v>WLG-046-007-B</v>
      </c>
      <c r="G1590" s="4" t="s">
        <v>4792</v>
      </c>
      <c r="H1590" s="4" t="s">
        <v>4778</v>
      </c>
      <c r="I1590" s="4"/>
      <c r="J1590" s="4" t="s">
        <v>139</v>
      </c>
      <c r="K1590" s="4" t="s">
        <v>141</v>
      </c>
      <c r="L1590" s="4" t="s">
        <v>150</v>
      </c>
      <c r="M1590" s="4" t="s">
        <v>143</v>
      </c>
      <c r="N1590" s="4" t="s">
        <v>156</v>
      </c>
      <c r="O1590" s="4" t="s">
        <v>356</v>
      </c>
      <c r="P1590" s="4"/>
      <c r="Q1590" s="4"/>
      <c r="R1590" s="4">
        <v>23.8</v>
      </c>
      <c r="S1590" s="4">
        <v>23.8</v>
      </c>
      <c r="T1590" s="4"/>
      <c r="U1590" s="4">
        <v>-41.19535716</v>
      </c>
      <c r="V1590" s="4">
        <v>174.93249014</v>
      </c>
      <c r="W1590" s="4"/>
      <c r="X1590" s="4"/>
      <c r="Y1590" s="4"/>
      <c r="Z1590" s="4"/>
      <c r="AA1590" s="4" t="s">
        <v>217</v>
      </c>
      <c r="AB1590" s="4" t="s">
        <v>4779</v>
      </c>
      <c r="AC1590" s="4"/>
      <c r="AD1590" s="4"/>
      <c r="AE1590" s="4"/>
      <c r="AF1590" s="4"/>
      <c r="AG1590" s="4"/>
      <c r="AH1590" s="4" t="s">
        <v>4751</v>
      </c>
      <c r="AI1590" s="4"/>
      <c r="AJ1590" s="4"/>
      <c r="AK1590" s="4"/>
      <c r="AL1590" s="4"/>
      <c r="AM1590" s="4"/>
      <c r="AN1590" s="5">
        <v>39470</v>
      </c>
      <c r="AO1590" s="4">
        <v>2</v>
      </c>
      <c r="AP1590" s="5">
        <v>39892</v>
      </c>
      <c r="AQ1590" s="5">
        <v>39890</v>
      </c>
      <c r="AR1590" s="4"/>
      <c r="AS1590" s="4"/>
      <c r="AT1590" s="5">
        <v>39599</v>
      </c>
      <c r="AU1590" s="5">
        <v>39581</v>
      </c>
      <c r="AV1590" s="4">
        <v>1</v>
      </c>
      <c r="AW1590" s="5">
        <v>39599</v>
      </c>
      <c r="AX1590" s="5">
        <v>39581</v>
      </c>
      <c r="AY1590" s="4"/>
      <c r="AZ1590" s="4"/>
      <c r="BA1590" s="4"/>
      <c r="BB1590" s="5">
        <v>39532</v>
      </c>
      <c r="BC1590" s="4"/>
      <c r="BD1590" s="4"/>
      <c r="BE1590" s="5">
        <v>39532</v>
      </c>
      <c r="BF1590" s="5">
        <v>39532</v>
      </c>
      <c r="BG1590" s="4"/>
      <c r="BH1590" s="5">
        <v>39518</v>
      </c>
      <c r="BI1590" s="4"/>
      <c r="BJ1590" s="5">
        <v>39584</v>
      </c>
      <c r="BK1590" s="4">
        <v>1</v>
      </c>
      <c r="BL1590" s="4">
        <v>1</v>
      </c>
      <c r="BM1590" s="5">
        <v>39584</v>
      </c>
      <c r="BN1590" s="5">
        <v>39584</v>
      </c>
      <c r="BO1590" s="4"/>
      <c r="BP1590" s="4"/>
      <c r="BQ1590" s="4"/>
      <c r="BR1590" s="4"/>
      <c r="BS1590" s="4"/>
      <c r="BT1590" s="4"/>
      <c r="BU1590" s="5">
        <v>39624</v>
      </c>
      <c r="BV1590" s="5">
        <v>39660</v>
      </c>
      <c r="BW1590" s="5">
        <v>39658</v>
      </c>
      <c r="BX1590" s="4"/>
      <c r="BY1590" s="5">
        <v>39675</v>
      </c>
      <c r="BZ1590" s="5">
        <v>39675</v>
      </c>
      <c r="CA1590" s="4"/>
      <c r="CB1590" s="4"/>
      <c r="CC1590" s="4"/>
      <c r="CD1590" s="4"/>
      <c r="CE1590" s="4"/>
      <c r="CF1590" s="4"/>
      <c r="CG1590" s="4"/>
      <c r="CH1590" s="4"/>
      <c r="CI1590" s="5">
        <v>39801</v>
      </c>
      <c r="CJ1590" s="5">
        <v>39813</v>
      </c>
      <c r="CK1590" s="5">
        <v>39801</v>
      </c>
      <c r="CL1590" s="4"/>
      <c r="CM1590" s="4"/>
      <c r="CN1590" s="4"/>
      <c r="CO1590" s="4"/>
      <c r="CP1590" s="4" t="s">
        <v>405</v>
      </c>
      <c r="CQ1590" s="4"/>
      <c r="CR1590" s="5">
        <v>39813</v>
      </c>
      <c r="CS1590" s="4"/>
      <c r="CT1590" s="4"/>
      <c r="CU1590" s="4"/>
      <c r="CV1590" s="4"/>
      <c r="CW1590" s="4"/>
      <c r="CX1590" s="4"/>
      <c r="CY1590" s="4"/>
      <c r="CZ1590" s="4"/>
      <c r="DA1590" s="4"/>
      <c r="DB1590" s="4"/>
      <c r="DC1590" s="4"/>
      <c r="DD1590" s="4"/>
      <c r="DE1590" s="4"/>
      <c r="DF1590" s="4"/>
      <c r="DG1590" s="4"/>
      <c r="DH1590" s="4"/>
      <c r="DI1590" s="4"/>
      <c r="DJ1590" s="4" t="b">
        <v>0</v>
      </c>
      <c r="DK1590" s="4"/>
      <c r="DL1590" s="4">
        <v>2672070</v>
      </c>
      <c r="DM1590" s="4">
        <v>5999470</v>
      </c>
      <c r="DN1590" s="4" t="s">
        <v>4793</v>
      </c>
      <c r="DO1590" s="4"/>
      <c r="DP1590" s="4"/>
      <c r="DQ1590" s="4" t="s">
        <v>148</v>
      </c>
      <c r="DR1590" s="4"/>
      <c r="DS1590" s="4"/>
      <c r="DT1590" s="5">
        <v>41985</v>
      </c>
      <c r="DU1590" s="4"/>
      <c r="DV1590" s="4"/>
      <c r="DW1590" s="4"/>
      <c r="DX1590" s="4"/>
      <c r="DY1590" s="4"/>
      <c r="DZ1590" s="5">
        <v>39587</v>
      </c>
      <c r="EA1590" s="4"/>
      <c r="EB1590" s="4"/>
      <c r="EC1590" s="4"/>
      <c r="ED1590" s="4"/>
      <c r="EE1590" s="4"/>
      <c r="EF1590" s="4"/>
      <c r="EG1590" s="4"/>
      <c r="EH1590" s="4"/>
      <c r="EI1590" s="5">
        <v>39402</v>
      </c>
    </row>
    <row r="1591" spans="1:139" hidden="1" x14ac:dyDescent="0.2">
      <c r="A1591">
        <f>VLOOKUP(B1591,Sheet1!$A$1:$B$18,2,FALSE)</f>
        <v>0</v>
      </c>
      <c r="B1591" t="str">
        <f>LEFT(D1591,3)</f>
        <v>WLG</v>
      </c>
      <c r="C1591" s="2">
        <v>1590</v>
      </c>
      <c r="D1591" s="3" t="str">
        <f>HYPERLINK("https://sitebase.nzcomms.co.nz/spm/spmnominalview/WLG-046-008/","WLG-046-008")</f>
        <v>WLG-046-008</v>
      </c>
      <c r="E1591" s="4"/>
      <c r="F1591" s="3" t="str">
        <f>HYPERLINK("https://sitebase.nzcomms.co.nz/spm/spmcandidateview/WLG-046-008-A/","WLG-046-008-A")</f>
        <v>WLG-046-008-A</v>
      </c>
      <c r="G1591" s="4" t="s">
        <v>4794</v>
      </c>
      <c r="H1591" s="4" t="s">
        <v>4778</v>
      </c>
      <c r="I1591" s="4"/>
      <c r="J1591" s="4" t="s">
        <v>139</v>
      </c>
      <c r="K1591" s="4" t="s">
        <v>141</v>
      </c>
      <c r="L1591" s="4" t="s">
        <v>150</v>
      </c>
      <c r="M1591" s="4" t="s">
        <v>143</v>
      </c>
      <c r="N1591" s="4" t="s">
        <v>291</v>
      </c>
      <c r="O1591" s="4" t="s">
        <v>144</v>
      </c>
      <c r="P1591" s="4"/>
      <c r="Q1591" s="4"/>
      <c r="R1591" s="4">
        <v>18.8</v>
      </c>
      <c r="S1591" s="4">
        <v>18.8</v>
      </c>
      <c r="T1591" s="4"/>
      <c r="U1591" s="4">
        <v>-41.198777149999998</v>
      </c>
      <c r="V1591" s="4">
        <v>174.94555248</v>
      </c>
      <c r="W1591" s="4"/>
      <c r="X1591" s="4"/>
      <c r="Y1591" s="4"/>
      <c r="Z1591" s="4"/>
      <c r="AA1591" s="4" t="s">
        <v>217</v>
      </c>
      <c r="AB1591" s="4" t="s">
        <v>4779</v>
      </c>
      <c r="AC1591" s="4"/>
      <c r="AD1591" s="4"/>
      <c r="AE1591" s="4"/>
      <c r="AF1591" s="4"/>
      <c r="AG1591" s="4"/>
      <c r="AH1591" s="4" t="s">
        <v>4727</v>
      </c>
      <c r="AI1591" s="4"/>
      <c r="AJ1591" s="4"/>
      <c r="AK1591" s="4"/>
      <c r="AL1591" s="4"/>
      <c r="AM1591" s="4"/>
      <c r="AN1591" s="5">
        <v>39409</v>
      </c>
      <c r="AO1591" s="4">
        <v>3</v>
      </c>
      <c r="AP1591" s="4"/>
      <c r="AQ1591" s="5">
        <v>39493</v>
      </c>
      <c r="AR1591" s="4"/>
      <c r="AS1591" s="4"/>
      <c r="AT1591" s="5">
        <v>39599</v>
      </c>
      <c r="AU1591" s="5">
        <v>39594</v>
      </c>
      <c r="AV1591" s="4">
        <v>1</v>
      </c>
      <c r="AW1591" s="5">
        <v>39876</v>
      </c>
      <c r="AX1591" s="5">
        <v>39882</v>
      </c>
      <c r="AY1591" s="4"/>
      <c r="AZ1591" s="4"/>
      <c r="BA1591" s="4"/>
      <c r="BB1591" s="5">
        <v>39660</v>
      </c>
      <c r="BC1591" s="4"/>
      <c r="BD1591" s="4"/>
      <c r="BE1591" s="5">
        <v>39660</v>
      </c>
      <c r="BF1591" s="5">
        <v>39660</v>
      </c>
      <c r="BG1591" s="4"/>
      <c r="BH1591" s="5">
        <v>39490</v>
      </c>
      <c r="BI1591" s="4"/>
      <c r="BJ1591" s="5">
        <v>39686</v>
      </c>
      <c r="BK1591" s="4">
        <v>1</v>
      </c>
      <c r="BL1591" s="4">
        <v>3</v>
      </c>
      <c r="BM1591" s="5">
        <v>39686</v>
      </c>
      <c r="BN1591" s="5">
        <v>39686</v>
      </c>
      <c r="BO1591" s="5">
        <v>39892</v>
      </c>
      <c r="BP1591" s="4"/>
      <c r="BQ1591" s="4"/>
      <c r="BR1591" s="4"/>
      <c r="BS1591" s="4"/>
      <c r="BT1591" s="5">
        <v>39898</v>
      </c>
      <c r="BU1591" s="5">
        <v>39897</v>
      </c>
      <c r="BV1591" s="5">
        <v>39923</v>
      </c>
      <c r="BW1591" s="5">
        <v>39920</v>
      </c>
      <c r="BX1591" s="4"/>
      <c r="BY1591" s="5">
        <v>39931</v>
      </c>
      <c r="BZ1591" s="5">
        <v>39932</v>
      </c>
      <c r="CA1591" s="4"/>
      <c r="CB1591" s="4"/>
      <c r="CC1591" s="4"/>
      <c r="CD1591" s="4"/>
      <c r="CE1591" s="4"/>
      <c r="CF1591" s="4"/>
      <c r="CG1591" s="4"/>
      <c r="CH1591" s="4"/>
      <c r="CI1591" s="5">
        <v>39988</v>
      </c>
      <c r="CJ1591" s="5">
        <v>39989</v>
      </c>
      <c r="CK1591" s="5">
        <v>39988</v>
      </c>
      <c r="CL1591" s="4"/>
      <c r="CM1591" s="4"/>
      <c r="CN1591" s="4"/>
      <c r="CO1591" s="4"/>
      <c r="CP1591" s="4" t="s">
        <v>4795</v>
      </c>
      <c r="CQ1591" s="4"/>
      <c r="CR1591" s="5">
        <v>39989</v>
      </c>
      <c r="CS1591" s="4"/>
      <c r="CT1591" s="4"/>
      <c r="CU1591" s="4"/>
      <c r="CV1591" s="4"/>
      <c r="CW1591" s="5">
        <v>39885</v>
      </c>
      <c r="CX1591" s="5">
        <v>39892</v>
      </c>
      <c r="CY1591" s="4"/>
      <c r="CZ1591" s="4"/>
      <c r="DA1591" s="4"/>
      <c r="DB1591" s="4"/>
      <c r="DC1591" s="4"/>
      <c r="DD1591" s="4"/>
      <c r="DE1591" s="4"/>
      <c r="DF1591" s="4"/>
      <c r="DG1591" s="4"/>
      <c r="DH1591" s="4"/>
      <c r="DI1591" s="4"/>
      <c r="DJ1591" s="4" t="b">
        <v>0</v>
      </c>
      <c r="DK1591" s="4"/>
      <c r="DL1591" s="4">
        <v>2673157</v>
      </c>
      <c r="DM1591" s="4">
        <v>5999066</v>
      </c>
      <c r="DN1591" s="4" t="s">
        <v>4796</v>
      </c>
      <c r="DO1591" s="4"/>
      <c r="DP1591" s="4"/>
      <c r="DQ1591" s="4" t="s">
        <v>148</v>
      </c>
      <c r="DR1591" s="4"/>
      <c r="DS1591" s="4"/>
      <c r="DT1591" s="5">
        <v>41985</v>
      </c>
      <c r="DU1591" s="4"/>
      <c r="DV1591" s="4"/>
      <c r="DW1591" s="4"/>
      <c r="DX1591" s="4"/>
      <c r="DY1591" s="5">
        <v>39888</v>
      </c>
      <c r="DZ1591" s="5">
        <v>39882</v>
      </c>
      <c r="EA1591" s="4"/>
      <c r="EB1591" s="4"/>
      <c r="EC1591" s="4"/>
      <c r="ED1591" s="4"/>
      <c r="EE1591" s="4"/>
      <c r="EF1591" s="4"/>
      <c r="EG1591" s="4"/>
      <c r="EH1591" s="4"/>
      <c r="EI1591" s="5">
        <v>39359</v>
      </c>
    </row>
    <row r="1592" spans="1:139" hidden="1" x14ac:dyDescent="0.2">
      <c r="A1592">
        <f>VLOOKUP(B1592,Sheet1!$A$1:$B$18,2,FALSE)</f>
        <v>0</v>
      </c>
      <c r="B1592" t="str">
        <f>LEFT(D1592,3)</f>
        <v>WLG</v>
      </c>
      <c r="C1592" s="2">
        <v>1591</v>
      </c>
      <c r="D1592" s="3" t="str">
        <f>HYPERLINK("https://sitebase.nzcomms.co.nz/spm/spmnominalview/WLG-046-009/","WLG-046-009")</f>
        <v>WLG-046-009</v>
      </c>
      <c r="E1592" s="4"/>
      <c r="F1592" s="3" t="str">
        <f>HYPERLINK("https://sitebase.nzcomms.co.nz/spm/spmcandidateview/WLG-046-009-B/","WLG-046-009-B")</f>
        <v>WLG-046-009-B</v>
      </c>
      <c r="G1592" s="4" t="s">
        <v>4797</v>
      </c>
      <c r="H1592" s="4" t="s">
        <v>4778</v>
      </c>
      <c r="I1592" s="4"/>
      <c r="J1592" s="4" t="s">
        <v>139</v>
      </c>
      <c r="K1592" s="4" t="s">
        <v>141</v>
      </c>
      <c r="L1592" s="4" t="s">
        <v>181</v>
      </c>
      <c r="M1592" s="4" t="s">
        <v>442</v>
      </c>
      <c r="N1592" s="4" t="s">
        <v>364</v>
      </c>
      <c r="O1592" s="4" t="s">
        <v>144</v>
      </c>
      <c r="P1592" s="4"/>
      <c r="Q1592" s="4"/>
      <c r="R1592" s="4">
        <v>20.7</v>
      </c>
      <c r="S1592" s="4">
        <v>20.7</v>
      </c>
      <c r="T1592" s="4"/>
      <c r="U1592" s="4">
        <v>-41.205866909999997</v>
      </c>
      <c r="V1592" s="4">
        <v>174.92554645999999</v>
      </c>
      <c r="W1592" s="4"/>
      <c r="X1592" s="4"/>
      <c r="Y1592" s="4"/>
      <c r="Z1592" s="4"/>
      <c r="AA1592" s="4"/>
      <c r="AB1592" s="4"/>
      <c r="AC1592" s="4"/>
      <c r="AD1592" s="4"/>
      <c r="AE1592" s="4"/>
      <c r="AF1592" s="4"/>
      <c r="AG1592" s="4"/>
      <c r="AH1592" s="4"/>
      <c r="AI1592" s="4"/>
      <c r="AJ1592" s="4"/>
      <c r="AK1592" s="4"/>
      <c r="AL1592" s="4"/>
      <c r="AM1592" s="4"/>
      <c r="AN1592" s="5">
        <v>39487</v>
      </c>
      <c r="AO1592" s="4">
        <v>3</v>
      </c>
      <c r="AP1592" s="4"/>
      <c r="AQ1592" s="5">
        <v>39713</v>
      </c>
      <c r="AR1592" s="4"/>
      <c r="AS1592" s="4"/>
      <c r="AT1592" s="5">
        <v>39626</v>
      </c>
      <c r="AU1592" s="5">
        <v>39629</v>
      </c>
      <c r="AV1592" s="4">
        <v>2</v>
      </c>
      <c r="AW1592" s="5">
        <v>39626</v>
      </c>
      <c r="AX1592" s="5">
        <v>39629</v>
      </c>
      <c r="AY1592" s="4"/>
      <c r="AZ1592" s="4"/>
      <c r="BA1592" s="4"/>
      <c r="BB1592" s="5">
        <v>39630</v>
      </c>
      <c r="BC1592" s="4"/>
      <c r="BD1592" s="4"/>
      <c r="BE1592" s="5">
        <v>39630</v>
      </c>
      <c r="BF1592" s="5">
        <v>39630</v>
      </c>
      <c r="BG1592" s="4"/>
      <c r="BH1592" s="5">
        <v>39587</v>
      </c>
      <c r="BI1592" s="4"/>
      <c r="BJ1592" s="5">
        <v>39654</v>
      </c>
      <c r="BK1592" s="4">
        <v>1</v>
      </c>
      <c r="BL1592" s="4">
        <v>3</v>
      </c>
      <c r="BM1592" s="5">
        <v>39654</v>
      </c>
      <c r="BN1592" s="5">
        <v>39654</v>
      </c>
      <c r="BO1592" s="4"/>
      <c r="BP1592" s="4"/>
      <c r="BQ1592" s="4"/>
      <c r="BR1592" s="4"/>
      <c r="BS1592" s="4"/>
      <c r="BT1592" s="4"/>
      <c r="BU1592" s="5">
        <v>39695</v>
      </c>
      <c r="BV1592" s="5">
        <v>39709</v>
      </c>
      <c r="BW1592" s="5">
        <v>39710</v>
      </c>
      <c r="BX1592" s="4"/>
      <c r="BY1592" s="5">
        <v>39724</v>
      </c>
      <c r="BZ1592" s="5">
        <v>39717</v>
      </c>
      <c r="CA1592" s="4"/>
      <c r="CB1592" s="4"/>
      <c r="CC1592" s="4"/>
      <c r="CD1592" s="4"/>
      <c r="CE1592" s="4"/>
      <c r="CF1592" s="4"/>
      <c r="CG1592" s="4"/>
      <c r="CH1592" s="4"/>
      <c r="CI1592" s="5">
        <v>39802</v>
      </c>
      <c r="CJ1592" s="5">
        <v>39813</v>
      </c>
      <c r="CK1592" s="5">
        <v>39802</v>
      </c>
      <c r="CL1592" s="4"/>
      <c r="CM1592" s="4"/>
      <c r="CN1592" s="4"/>
      <c r="CO1592" s="4"/>
      <c r="CP1592" s="4" t="s">
        <v>405</v>
      </c>
      <c r="CQ1592" s="4"/>
      <c r="CR1592" s="5">
        <v>39813</v>
      </c>
      <c r="CS1592" s="4"/>
      <c r="CT1592" s="4"/>
      <c r="CU1592" s="4"/>
      <c r="CV1592" s="4"/>
      <c r="CW1592" s="4"/>
      <c r="CX1592" s="4"/>
      <c r="CY1592" s="4"/>
      <c r="CZ1592" s="4"/>
      <c r="DA1592" s="4"/>
      <c r="DB1592" s="4"/>
      <c r="DC1592" s="4"/>
      <c r="DD1592" s="4"/>
      <c r="DE1592" s="4"/>
      <c r="DF1592" s="4"/>
      <c r="DG1592" s="4"/>
      <c r="DH1592" s="4"/>
      <c r="DI1592" s="4"/>
      <c r="DJ1592" s="4" t="b">
        <v>0</v>
      </c>
      <c r="DK1592" s="4"/>
      <c r="DL1592" s="4">
        <v>2671462</v>
      </c>
      <c r="DM1592" s="4">
        <v>5998316</v>
      </c>
      <c r="DN1592" s="4" t="s">
        <v>4798</v>
      </c>
      <c r="DO1592" s="4"/>
      <c r="DP1592" s="4"/>
      <c r="DQ1592" s="4" t="s">
        <v>148</v>
      </c>
      <c r="DR1592" s="4"/>
      <c r="DS1592" s="4"/>
      <c r="DT1592" s="5">
        <v>41985</v>
      </c>
      <c r="DU1592" s="4"/>
      <c r="DV1592" s="4"/>
      <c r="DW1592" s="4"/>
      <c r="DX1592" s="4"/>
      <c r="DY1592" s="4"/>
      <c r="DZ1592" s="5">
        <v>39692</v>
      </c>
      <c r="EA1592" s="4"/>
      <c r="EB1592" s="4"/>
      <c r="EC1592" s="4"/>
      <c r="ED1592" s="4"/>
      <c r="EE1592" s="4"/>
      <c r="EF1592" s="4"/>
      <c r="EG1592" s="4"/>
      <c r="EH1592" s="4"/>
      <c r="EI1592" s="5">
        <v>39419</v>
      </c>
    </row>
    <row r="1593" spans="1:139" hidden="1" x14ac:dyDescent="0.2">
      <c r="A1593">
        <f>VLOOKUP(B1593,Sheet1!$A$1:$B$18,2,FALSE)</f>
        <v>0</v>
      </c>
      <c r="B1593" t="str">
        <f>LEFT(D1593,3)</f>
        <v>WLG</v>
      </c>
      <c r="C1593" s="2">
        <v>1592</v>
      </c>
      <c r="D1593" s="3" t="str">
        <f>HYPERLINK("https://sitebase.nzcomms.co.nz/spm/spmnominalview/WLG-046-010/","WLG-046-010")</f>
        <v>WLG-046-010</v>
      </c>
      <c r="E1593" s="4" t="s">
        <v>4799</v>
      </c>
      <c r="F1593" s="3" t="str">
        <f>HYPERLINK("https://sitebase.nzcomms.co.nz/spm/spmcandidateview/WLG-046-010-B/","WLG-046-010-B")</f>
        <v>WLG-046-010-B</v>
      </c>
      <c r="G1593" s="4" t="s">
        <v>4800</v>
      </c>
      <c r="H1593" s="4" t="s">
        <v>4778</v>
      </c>
      <c r="I1593" s="4">
        <v>7</v>
      </c>
      <c r="J1593" s="4" t="s">
        <v>194</v>
      </c>
      <c r="K1593" s="4" t="s">
        <v>141</v>
      </c>
      <c r="L1593" s="4" t="s">
        <v>189</v>
      </c>
      <c r="M1593" s="4" t="s">
        <v>190</v>
      </c>
      <c r="N1593" s="4" t="s">
        <v>612</v>
      </c>
      <c r="O1593" s="4"/>
      <c r="P1593" s="4" t="s">
        <v>182</v>
      </c>
      <c r="Q1593" s="4" t="s">
        <v>192</v>
      </c>
      <c r="R1593" s="4"/>
      <c r="S1593" s="4">
        <v>10.8</v>
      </c>
      <c r="T1593" s="4">
        <v>1</v>
      </c>
      <c r="U1593" s="4">
        <v>-41.208024539999997</v>
      </c>
      <c r="V1593" s="4">
        <v>174.87865489000001</v>
      </c>
      <c r="W1593" s="4"/>
      <c r="X1593" s="5">
        <v>40653</v>
      </c>
      <c r="Y1593" s="4"/>
      <c r="Z1593" s="4"/>
      <c r="AA1593" s="4" t="s">
        <v>171</v>
      </c>
      <c r="AB1593" s="3" t="str">
        <f>HYPERLINK("https://sitebase.nzcomms.co.nz/spm/spmcandidateview/WLG-046-033-B/","WLG-046-033-B")</f>
        <v>WLG-046-033-B</v>
      </c>
      <c r="AC1593" s="4" t="b">
        <v>0</v>
      </c>
      <c r="AD1593" s="4" t="b">
        <v>0</v>
      </c>
      <c r="AE1593" s="4"/>
      <c r="AF1593" s="4"/>
      <c r="AG1593" s="4" t="b">
        <v>0</v>
      </c>
      <c r="AH1593" s="4"/>
      <c r="AI1593" s="5">
        <v>40696</v>
      </c>
      <c r="AJ1593" s="5">
        <v>40696</v>
      </c>
      <c r="AK1593" s="5">
        <v>40704</v>
      </c>
      <c r="AL1593" s="5">
        <v>40696</v>
      </c>
      <c r="AM1593" s="5">
        <v>40716</v>
      </c>
      <c r="AN1593" s="5">
        <v>40714</v>
      </c>
      <c r="AO1593" s="4">
        <v>2</v>
      </c>
      <c r="AP1593" s="5">
        <v>40716</v>
      </c>
      <c r="AQ1593" s="5">
        <v>40756</v>
      </c>
      <c r="AR1593" s="5">
        <v>40809</v>
      </c>
      <c r="AS1593" s="5">
        <v>40820</v>
      </c>
      <c r="AT1593" s="5">
        <v>40872</v>
      </c>
      <c r="AU1593" s="5">
        <v>40863</v>
      </c>
      <c r="AV1593" s="4"/>
      <c r="AW1593" s="4"/>
      <c r="AX1593" s="5">
        <v>40863</v>
      </c>
      <c r="AY1593" s="4" t="s">
        <v>193</v>
      </c>
      <c r="AZ1593" s="5">
        <v>40721</v>
      </c>
      <c r="BA1593" s="5">
        <v>40722</v>
      </c>
      <c r="BB1593" s="5">
        <v>40763</v>
      </c>
      <c r="BC1593" s="5">
        <v>40739</v>
      </c>
      <c r="BD1593" s="4">
        <v>2</v>
      </c>
      <c r="BE1593" s="4"/>
      <c r="BF1593" s="5">
        <v>40739</v>
      </c>
      <c r="BG1593" s="4"/>
      <c r="BH1593" s="4"/>
      <c r="BI1593" s="5">
        <v>40892</v>
      </c>
      <c r="BJ1593" s="5">
        <v>40947</v>
      </c>
      <c r="BK1593" s="4">
        <v>1</v>
      </c>
      <c r="BL1593" s="4"/>
      <c r="BM1593" s="4"/>
      <c r="BN1593" s="5">
        <v>40947</v>
      </c>
      <c r="BO1593" s="5">
        <v>40917</v>
      </c>
      <c r="BP1593" s="4"/>
      <c r="BQ1593" s="4"/>
      <c r="BR1593" s="4"/>
      <c r="BS1593" s="4"/>
      <c r="BT1593" s="5">
        <v>40918</v>
      </c>
      <c r="BU1593" s="5">
        <v>40924</v>
      </c>
      <c r="BV1593" s="5">
        <v>40935</v>
      </c>
      <c r="BW1593" s="5">
        <v>40935</v>
      </c>
      <c r="BX1593" s="5">
        <v>40927</v>
      </c>
      <c r="BY1593" s="5">
        <v>40942</v>
      </c>
      <c r="BZ1593" s="5">
        <v>40947</v>
      </c>
      <c r="CA1593" s="4"/>
      <c r="CB1593" s="4"/>
      <c r="CC1593" s="4"/>
      <c r="CD1593" s="4"/>
      <c r="CE1593" s="4"/>
      <c r="CF1593" s="4"/>
      <c r="CG1593" s="4"/>
      <c r="CH1593" s="4"/>
      <c r="CI1593" s="5">
        <v>40947</v>
      </c>
      <c r="CJ1593" s="5">
        <v>40953</v>
      </c>
      <c r="CK1593" s="5">
        <v>40949</v>
      </c>
      <c r="CL1593" s="5">
        <v>40963</v>
      </c>
      <c r="CM1593" s="5">
        <v>40968</v>
      </c>
      <c r="CN1593" s="5">
        <v>41058</v>
      </c>
      <c r="CO1593" s="5">
        <v>41145</v>
      </c>
      <c r="CP1593" s="4" t="s">
        <v>712</v>
      </c>
      <c r="CQ1593" s="4"/>
      <c r="CR1593" s="5">
        <v>40941</v>
      </c>
      <c r="CS1593" s="5">
        <v>40920</v>
      </c>
      <c r="CT1593" s="5">
        <v>40884</v>
      </c>
      <c r="CU1593" s="5">
        <v>40892</v>
      </c>
      <c r="CV1593" s="5">
        <v>40935</v>
      </c>
      <c r="CW1593" s="5">
        <v>40892</v>
      </c>
      <c r="CX1593" s="5">
        <v>40917</v>
      </c>
      <c r="CY1593" s="5">
        <v>40928</v>
      </c>
      <c r="CZ1593" s="5">
        <v>40931</v>
      </c>
      <c r="DA1593" s="5">
        <v>40948</v>
      </c>
      <c r="DB1593" s="5">
        <v>40947</v>
      </c>
      <c r="DC1593" s="4"/>
      <c r="DD1593" s="4"/>
      <c r="DE1593" s="4"/>
      <c r="DF1593" s="4"/>
      <c r="DG1593" s="4"/>
      <c r="DH1593" s="4"/>
      <c r="DI1593" s="5">
        <v>40927</v>
      </c>
      <c r="DJ1593" s="4" t="b">
        <v>0</v>
      </c>
      <c r="DK1593" s="4"/>
      <c r="DL1593" s="4">
        <v>2667525</v>
      </c>
      <c r="DM1593" s="4">
        <v>5998162</v>
      </c>
      <c r="DN1593" s="4" t="s">
        <v>4801</v>
      </c>
      <c r="DO1593" s="4"/>
      <c r="DP1593" s="4"/>
      <c r="DQ1593" s="4" t="s">
        <v>148</v>
      </c>
      <c r="DR1593" s="4"/>
      <c r="DS1593" s="4"/>
      <c r="DT1593" s="5">
        <v>41985</v>
      </c>
      <c r="DU1593" s="4"/>
      <c r="DV1593" s="4"/>
      <c r="DW1593" s="4"/>
      <c r="DX1593" s="4"/>
      <c r="DY1593" s="4"/>
      <c r="DZ1593" s="4"/>
      <c r="EA1593" s="4"/>
      <c r="EB1593" s="4"/>
      <c r="EC1593" s="4"/>
      <c r="ED1593" s="4"/>
      <c r="EE1593" s="4"/>
      <c r="EF1593" s="4"/>
      <c r="EG1593" s="5">
        <v>40949</v>
      </c>
      <c r="EH1593" s="5">
        <v>40954</v>
      </c>
      <c r="EI1593" s="4"/>
    </row>
    <row r="1594" spans="1:139" hidden="1" x14ac:dyDescent="0.2">
      <c r="A1594">
        <f>VLOOKUP(B1594,Sheet1!$A$1:$B$18,2,FALSE)</f>
        <v>0</v>
      </c>
      <c r="B1594" t="str">
        <f>LEFT(D1594,3)</f>
        <v>WLG</v>
      </c>
      <c r="C1594" s="2">
        <v>1593</v>
      </c>
      <c r="D1594" s="3" t="str">
        <f>HYPERLINK("https://sitebase.nzcomms.co.nz/spm/spmnominalview/WLG-046-011/","WLG-046-011")</f>
        <v>WLG-046-011</v>
      </c>
      <c r="E1594" s="4"/>
      <c r="F1594" s="3" t="str">
        <f>HYPERLINK("https://sitebase.nzcomms.co.nz/spm/spmcandidateview/WLG-046-011-A/","WLG-046-011-A")</f>
        <v>WLG-046-011-A</v>
      </c>
      <c r="G1594" s="4" t="s">
        <v>4359</v>
      </c>
      <c r="H1594" s="4" t="s">
        <v>4778</v>
      </c>
      <c r="I1594" s="4"/>
      <c r="J1594" s="4" t="s">
        <v>139</v>
      </c>
      <c r="K1594" s="4" t="s">
        <v>141</v>
      </c>
      <c r="L1594" s="4" t="s">
        <v>181</v>
      </c>
      <c r="M1594" s="4" t="s">
        <v>143</v>
      </c>
      <c r="N1594" s="4" t="s">
        <v>364</v>
      </c>
      <c r="O1594" s="4" t="s">
        <v>144</v>
      </c>
      <c r="P1594" s="4"/>
      <c r="Q1594" s="4"/>
      <c r="R1594" s="4">
        <v>9.6</v>
      </c>
      <c r="S1594" s="4">
        <v>9.6</v>
      </c>
      <c r="T1594" s="4"/>
      <c r="U1594" s="4">
        <v>-41.210431759999999</v>
      </c>
      <c r="V1594" s="4">
        <v>174.93429075</v>
      </c>
      <c r="W1594" s="4"/>
      <c r="X1594" s="4"/>
      <c r="Y1594" s="4"/>
      <c r="Z1594" s="4"/>
      <c r="AA1594" s="4" t="s">
        <v>217</v>
      </c>
      <c r="AB1594" s="4" t="s">
        <v>4802</v>
      </c>
      <c r="AC1594" s="4"/>
      <c r="AD1594" s="4"/>
      <c r="AE1594" s="4"/>
      <c r="AF1594" s="4"/>
      <c r="AG1594" s="4"/>
      <c r="AH1594" s="4" t="s">
        <v>4747</v>
      </c>
      <c r="AI1594" s="4"/>
      <c r="AJ1594" s="4"/>
      <c r="AK1594" s="4"/>
      <c r="AL1594" s="4"/>
      <c r="AM1594" s="4"/>
      <c r="AN1594" s="5">
        <v>39547</v>
      </c>
      <c r="AO1594" s="4">
        <v>1</v>
      </c>
      <c r="AP1594" s="4"/>
      <c r="AQ1594" s="5">
        <v>39547</v>
      </c>
      <c r="AR1594" s="4"/>
      <c r="AS1594" s="4"/>
      <c r="AT1594" s="5">
        <v>39629</v>
      </c>
      <c r="AU1594" s="5">
        <v>39629</v>
      </c>
      <c r="AV1594" s="4">
        <v>1</v>
      </c>
      <c r="AW1594" s="5">
        <v>39629</v>
      </c>
      <c r="AX1594" s="5">
        <v>39629</v>
      </c>
      <c r="AY1594" s="4"/>
      <c r="AZ1594" s="4"/>
      <c r="BA1594" s="4"/>
      <c r="BB1594" s="5">
        <v>39658</v>
      </c>
      <c r="BC1594" s="4"/>
      <c r="BD1594" s="4"/>
      <c r="BE1594" s="5">
        <v>39658</v>
      </c>
      <c r="BF1594" s="5">
        <v>39658</v>
      </c>
      <c r="BG1594" s="4"/>
      <c r="BH1594" s="5">
        <v>39658</v>
      </c>
      <c r="BI1594" s="4"/>
      <c r="BJ1594" s="5">
        <v>39708</v>
      </c>
      <c r="BK1594" s="4">
        <v>1</v>
      </c>
      <c r="BL1594" s="4">
        <v>1</v>
      </c>
      <c r="BM1594" s="5">
        <v>39708</v>
      </c>
      <c r="BN1594" s="5">
        <v>39708</v>
      </c>
      <c r="BO1594" s="4"/>
      <c r="BP1594" s="4"/>
      <c r="BQ1594" s="4"/>
      <c r="BR1594" s="4"/>
      <c r="BS1594" s="4"/>
      <c r="BT1594" s="4"/>
      <c r="BU1594" s="5">
        <v>39717</v>
      </c>
      <c r="BV1594" s="5">
        <v>39752</v>
      </c>
      <c r="BW1594" s="5">
        <v>39751</v>
      </c>
      <c r="BX1594" s="4"/>
      <c r="BY1594" s="5">
        <v>39777</v>
      </c>
      <c r="BZ1594" s="5">
        <v>39777</v>
      </c>
      <c r="CA1594" s="4"/>
      <c r="CB1594" s="4"/>
      <c r="CC1594" s="4"/>
      <c r="CD1594" s="4"/>
      <c r="CE1594" s="4"/>
      <c r="CF1594" s="4"/>
      <c r="CG1594" s="4"/>
      <c r="CH1594" s="4"/>
      <c r="CI1594" s="5">
        <v>39802</v>
      </c>
      <c r="CJ1594" s="5">
        <v>39813</v>
      </c>
      <c r="CK1594" s="5">
        <v>39802</v>
      </c>
      <c r="CL1594" s="4"/>
      <c r="CM1594" s="4"/>
      <c r="CN1594" s="4"/>
      <c r="CO1594" s="4"/>
      <c r="CP1594" s="4" t="s">
        <v>405</v>
      </c>
      <c r="CQ1594" s="4"/>
      <c r="CR1594" s="5">
        <v>39813</v>
      </c>
      <c r="CS1594" s="4"/>
      <c r="CT1594" s="4"/>
      <c r="CU1594" s="4"/>
      <c r="CV1594" s="4"/>
      <c r="CW1594" s="4"/>
      <c r="CX1594" s="4"/>
      <c r="CY1594" s="4"/>
      <c r="CZ1594" s="4"/>
      <c r="DA1594" s="4"/>
      <c r="DB1594" s="4"/>
      <c r="DC1594" s="4"/>
      <c r="DD1594" s="4"/>
      <c r="DE1594" s="4"/>
      <c r="DF1594" s="4"/>
      <c r="DG1594" s="4"/>
      <c r="DH1594" s="4"/>
      <c r="DI1594" s="4"/>
      <c r="DJ1594" s="4" t="b">
        <v>0</v>
      </c>
      <c r="DK1594" s="4"/>
      <c r="DL1594" s="4">
        <v>2672184</v>
      </c>
      <c r="DM1594" s="4">
        <v>5997793</v>
      </c>
      <c r="DN1594" s="4" t="s">
        <v>4803</v>
      </c>
      <c r="DO1594" s="4"/>
      <c r="DP1594" s="4"/>
      <c r="DQ1594" s="4" t="s">
        <v>148</v>
      </c>
      <c r="DR1594" s="4"/>
      <c r="DS1594" s="4"/>
      <c r="DT1594" s="5">
        <v>41985</v>
      </c>
      <c r="DU1594" s="4"/>
      <c r="DV1594" s="4"/>
      <c r="DW1594" s="4"/>
      <c r="DX1594" s="4"/>
      <c r="DY1594" s="4"/>
      <c r="DZ1594" s="5">
        <v>39713</v>
      </c>
      <c r="EA1594" s="4"/>
      <c r="EB1594" s="4"/>
      <c r="EC1594" s="4"/>
      <c r="ED1594" s="4"/>
      <c r="EE1594" s="4"/>
      <c r="EF1594" s="4"/>
      <c r="EG1594" s="4"/>
      <c r="EH1594" s="4"/>
      <c r="EI1594" s="5">
        <v>39511</v>
      </c>
    </row>
    <row r="1595" spans="1:139" hidden="1" x14ac:dyDescent="0.2">
      <c r="A1595">
        <f>VLOOKUP(B1595,Sheet1!$A$1:$B$18,2,FALSE)</f>
        <v>0</v>
      </c>
      <c r="B1595" t="str">
        <f>LEFT(D1595,3)</f>
        <v>WLG</v>
      </c>
      <c r="C1595" s="2">
        <v>1594</v>
      </c>
      <c r="D1595" s="3" t="str">
        <f>HYPERLINK("https://sitebase.nzcomms.co.nz/spm/spmnominalview/WLG-046-013/","WLG-046-013")</f>
        <v>WLG-046-013</v>
      </c>
      <c r="E1595" s="4"/>
      <c r="F1595" s="3" t="str">
        <f>HYPERLINK("https://sitebase.nzcomms.co.nz/spm/spmcandidateview/WLG-046-013-C/","WLG-046-013-C")</f>
        <v>WLG-046-013-C</v>
      </c>
      <c r="G1595" s="4" t="s">
        <v>4804</v>
      </c>
      <c r="H1595" s="4" t="s">
        <v>4778</v>
      </c>
      <c r="I1595" s="4">
        <v>7</v>
      </c>
      <c r="J1595" s="4" t="s">
        <v>139</v>
      </c>
      <c r="K1595" s="4" t="s">
        <v>141</v>
      </c>
      <c r="L1595" s="4" t="s">
        <v>181</v>
      </c>
      <c r="M1595" s="4" t="s">
        <v>442</v>
      </c>
      <c r="N1595" s="4" t="s">
        <v>364</v>
      </c>
      <c r="O1595" s="4" t="s">
        <v>144</v>
      </c>
      <c r="P1595" s="4"/>
      <c r="Q1595" s="4"/>
      <c r="R1595" s="4">
        <v>35.950000000000003</v>
      </c>
      <c r="S1595" s="4">
        <v>35.950000000000003</v>
      </c>
      <c r="T1595" s="4"/>
      <c r="U1595" s="4">
        <v>-41.21082148</v>
      </c>
      <c r="V1595" s="4">
        <v>174.90262408999999</v>
      </c>
      <c r="W1595" s="4"/>
      <c r="X1595" s="4"/>
      <c r="Y1595" s="4"/>
      <c r="Z1595" s="4"/>
      <c r="AA1595" s="4" t="s">
        <v>1125</v>
      </c>
      <c r="AB1595" s="4" t="s">
        <v>4779</v>
      </c>
      <c r="AC1595" s="4" t="b">
        <v>0</v>
      </c>
      <c r="AD1595" s="4" t="b">
        <v>0</v>
      </c>
      <c r="AE1595" s="4"/>
      <c r="AF1595" s="4"/>
      <c r="AG1595" s="4" t="b">
        <v>0</v>
      </c>
      <c r="AH1595" s="4" t="s">
        <v>4789</v>
      </c>
      <c r="AI1595" s="4"/>
      <c r="AJ1595" s="4"/>
      <c r="AK1595" s="4"/>
      <c r="AL1595" s="4"/>
      <c r="AM1595" s="4"/>
      <c r="AN1595" s="5">
        <v>39423</v>
      </c>
      <c r="AO1595" s="4">
        <v>4</v>
      </c>
      <c r="AP1595" s="5">
        <v>40767</v>
      </c>
      <c r="AQ1595" s="5">
        <v>39975</v>
      </c>
      <c r="AR1595" s="4"/>
      <c r="AS1595" s="4"/>
      <c r="AT1595" s="5">
        <v>39599</v>
      </c>
      <c r="AU1595" s="5">
        <v>39583</v>
      </c>
      <c r="AV1595" s="4">
        <v>1</v>
      </c>
      <c r="AW1595" s="5">
        <v>40757</v>
      </c>
      <c r="AX1595" s="5">
        <v>40756</v>
      </c>
      <c r="AY1595" s="4"/>
      <c r="AZ1595" s="4"/>
      <c r="BA1595" s="5">
        <v>40760</v>
      </c>
      <c r="BB1595" s="5">
        <v>39493</v>
      </c>
      <c r="BC1595" s="5">
        <v>40760</v>
      </c>
      <c r="BD1595" s="4">
        <v>4</v>
      </c>
      <c r="BE1595" s="5">
        <v>40760</v>
      </c>
      <c r="BF1595" s="5">
        <v>40760</v>
      </c>
      <c r="BG1595" s="4"/>
      <c r="BH1595" s="5">
        <v>39524</v>
      </c>
      <c r="BI1595" s="4"/>
      <c r="BJ1595" s="5">
        <v>39568</v>
      </c>
      <c r="BK1595" s="4">
        <v>1</v>
      </c>
      <c r="BL1595" s="4">
        <v>2</v>
      </c>
      <c r="BM1595" s="5">
        <v>39568</v>
      </c>
      <c r="BN1595" s="5">
        <v>39568</v>
      </c>
      <c r="BO1595" s="4"/>
      <c r="BP1595" s="4"/>
      <c r="BQ1595" s="4"/>
      <c r="BR1595" s="4"/>
      <c r="BS1595" s="4"/>
      <c r="BT1595" s="4"/>
      <c r="BU1595" s="5">
        <v>39612</v>
      </c>
      <c r="BV1595" s="5">
        <v>39629</v>
      </c>
      <c r="BW1595" s="5">
        <v>39629</v>
      </c>
      <c r="BX1595" s="4"/>
      <c r="BY1595" s="5">
        <v>39668</v>
      </c>
      <c r="BZ1595" s="5">
        <v>39660</v>
      </c>
      <c r="CA1595" s="4"/>
      <c r="CB1595" s="4"/>
      <c r="CC1595" s="4"/>
      <c r="CD1595" s="4"/>
      <c r="CE1595" s="4"/>
      <c r="CF1595" s="4"/>
      <c r="CG1595" s="4"/>
      <c r="CH1595" s="4"/>
      <c r="CI1595" s="5">
        <v>39801</v>
      </c>
      <c r="CJ1595" s="5">
        <v>39813</v>
      </c>
      <c r="CK1595" s="5">
        <v>39801</v>
      </c>
      <c r="CL1595" s="4"/>
      <c r="CM1595" s="4"/>
      <c r="CN1595" s="4"/>
      <c r="CO1595" s="4"/>
      <c r="CP1595" s="4" t="s">
        <v>4805</v>
      </c>
      <c r="CQ1595" s="4"/>
      <c r="CR1595" s="5">
        <v>39813</v>
      </c>
      <c r="CS1595" s="4"/>
      <c r="CT1595" s="4"/>
      <c r="CU1595" s="4"/>
      <c r="CV1595" s="4"/>
      <c r="CW1595" s="4"/>
      <c r="CX1595" s="4"/>
      <c r="CY1595" s="4"/>
      <c r="CZ1595" s="4"/>
      <c r="DA1595" s="4"/>
      <c r="DB1595" s="4"/>
      <c r="DC1595" s="4"/>
      <c r="DD1595" s="4"/>
      <c r="DE1595" s="4"/>
      <c r="DF1595" s="4"/>
      <c r="DG1595" s="4"/>
      <c r="DH1595" s="4"/>
      <c r="DI1595" s="4"/>
      <c r="DJ1595" s="4" t="b">
        <v>0</v>
      </c>
      <c r="DK1595" s="4"/>
      <c r="DL1595" s="4">
        <v>2669528</v>
      </c>
      <c r="DM1595" s="4">
        <v>5997808</v>
      </c>
      <c r="DN1595" s="4" t="s">
        <v>4806</v>
      </c>
      <c r="DO1595" s="4"/>
      <c r="DP1595" s="4"/>
      <c r="DQ1595" s="4" t="s">
        <v>148</v>
      </c>
      <c r="DR1595" s="4"/>
      <c r="DS1595" s="4"/>
      <c r="DT1595" s="5">
        <v>41985</v>
      </c>
      <c r="DU1595" s="4"/>
      <c r="DV1595" s="4"/>
      <c r="DW1595" s="4"/>
      <c r="DX1595" s="4"/>
      <c r="DY1595" s="4"/>
      <c r="DZ1595" s="5">
        <v>39587</v>
      </c>
      <c r="EA1595" s="4"/>
      <c r="EB1595" s="4"/>
      <c r="EC1595" s="4"/>
      <c r="ED1595" s="4"/>
      <c r="EE1595" s="4"/>
      <c r="EF1595" s="4"/>
      <c r="EG1595" s="4"/>
      <c r="EH1595" s="4"/>
      <c r="EI1595" s="5">
        <v>39392</v>
      </c>
    </row>
    <row r="1596" spans="1:139" hidden="1" x14ac:dyDescent="0.2">
      <c r="A1596">
        <f>VLOOKUP(B1596,Sheet1!$A$1:$B$18,2,FALSE)</f>
        <v>0</v>
      </c>
      <c r="B1596" t="str">
        <f>LEFT(D1596,3)</f>
        <v>WLG</v>
      </c>
      <c r="C1596" s="2">
        <v>1595</v>
      </c>
      <c r="D1596" s="3" t="str">
        <f>HYPERLINK("https://sitebase.nzcomms.co.nz/spm/spmnominalview/WLG-046-014/","WLG-046-014")</f>
        <v>WLG-046-014</v>
      </c>
      <c r="E1596" s="4"/>
      <c r="F1596" s="3" t="str">
        <f>HYPERLINK("https://sitebase.nzcomms.co.nz/spm/spmcandidateview/WLG-046-014-G/","WLG-046-014-G")</f>
        <v>WLG-046-014-G</v>
      </c>
      <c r="G1596" s="4" t="s">
        <v>4807</v>
      </c>
      <c r="H1596" s="4" t="s">
        <v>4778</v>
      </c>
      <c r="I1596" s="4"/>
      <c r="J1596" s="4" t="s">
        <v>139</v>
      </c>
      <c r="K1596" s="4" t="s">
        <v>141</v>
      </c>
      <c r="L1596" s="4" t="s">
        <v>150</v>
      </c>
      <c r="M1596" s="4" t="s">
        <v>143</v>
      </c>
      <c r="N1596" s="4" t="s">
        <v>291</v>
      </c>
      <c r="O1596" s="4" t="s">
        <v>144</v>
      </c>
      <c r="P1596" s="4"/>
      <c r="Q1596" s="4"/>
      <c r="R1596" s="4">
        <v>13.8</v>
      </c>
      <c r="S1596" s="4">
        <v>13.8</v>
      </c>
      <c r="T1596" s="4"/>
      <c r="U1596" s="4">
        <v>-41.213321450000002</v>
      </c>
      <c r="V1596" s="4">
        <v>174.88801347</v>
      </c>
      <c r="W1596" s="4"/>
      <c r="X1596" s="4"/>
      <c r="Y1596" s="4"/>
      <c r="Z1596" s="4"/>
      <c r="AA1596" s="4"/>
      <c r="AB1596" s="4"/>
      <c r="AC1596" s="4"/>
      <c r="AD1596" s="4"/>
      <c r="AE1596" s="4"/>
      <c r="AF1596" s="4"/>
      <c r="AG1596" s="4"/>
      <c r="AH1596" s="4"/>
      <c r="AI1596" s="4"/>
      <c r="AJ1596" s="4"/>
      <c r="AK1596" s="4"/>
      <c r="AL1596" s="4"/>
      <c r="AM1596" s="4"/>
      <c r="AN1596" s="5">
        <v>39787</v>
      </c>
      <c r="AO1596" s="4">
        <v>1</v>
      </c>
      <c r="AP1596" s="4"/>
      <c r="AQ1596" s="5">
        <v>39787</v>
      </c>
      <c r="AR1596" s="4"/>
      <c r="AS1596" s="4"/>
      <c r="AT1596" s="5">
        <v>39834</v>
      </c>
      <c r="AU1596" s="5">
        <v>39689</v>
      </c>
      <c r="AV1596" s="4"/>
      <c r="AW1596" s="5">
        <v>39834</v>
      </c>
      <c r="AX1596" s="5">
        <v>39834</v>
      </c>
      <c r="AY1596" s="4"/>
      <c r="AZ1596" s="4"/>
      <c r="BA1596" s="4"/>
      <c r="BB1596" s="5">
        <v>39841</v>
      </c>
      <c r="BC1596" s="4"/>
      <c r="BD1596" s="4"/>
      <c r="BE1596" s="5">
        <v>39841</v>
      </c>
      <c r="BF1596" s="5">
        <v>39841</v>
      </c>
      <c r="BG1596" s="4"/>
      <c r="BH1596" s="5">
        <v>39839</v>
      </c>
      <c r="BI1596" s="4"/>
      <c r="BJ1596" s="5">
        <v>39869</v>
      </c>
      <c r="BK1596" s="4">
        <v>1</v>
      </c>
      <c r="BL1596" s="4">
        <v>1</v>
      </c>
      <c r="BM1596" s="5">
        <v>39874</v>
      </c>
      <c r="BN1596" s="5">
        <v>39869</v>
      </c>
      <c r="BO1596" s="5">
        <v>39867</v>
      </c>
      <c r="BP1596" s="4"/>
      <c r="BQ1596" s="4"/>
      <c r="BR1596" s="4"/>
      <c r="BS1596" s="4"/>
      <c r="BT1596" s="5">
        <v>39884</v>
      </c>
      <c r="BU1596" s="5">
        <v>39878</v>
      </c>
      <c r="BV1596" s="5">
        <v>39901</v>
      </c>
      <c r="BW1596" s="5">
        <v>39901</v>
      </c>
      <c r="BX1596" s="4"/>
      <c r="BY1596" s="5">
        <v>39903</v>
      </c>
      <c r="BZ1596" s="5">
        <v>39902</v>
      </c>
      <c r="CA1596" s="4"/>
      <c r="CB1596" s="4"/>
      <c r="CC1596" s="4"/>
      <c r="CD1596" s="4"/>
      <c r="CE1596" s="4"/>
      <c r="CF1596" s="4"/>
      <c r="CG1596" s="4"/>
      <c r="CH1596" s="4"/>
      <c r="CI1596" s="5">
        <v>39932</v>
      </c>
      <c r="CJ1596" s="5">
        <v>39931</v>
      </c>
      <c r="CK1596" s="5">
        <v>39932</v>
      </c>
      <c r="CL1596" s="4"/>
      <c r="CM1596" s="4"/>
      <c r="CN1596" s="4"/>
      <c r="CO1596" s="4"/>
      <c r="CP1596" s="4" t="s">
        <v>4808</v>
      </c>
      <c r="CQ1596" s="4"/>
      <c r="CR1596" s="5">
        <v>39931</v>
      </c>
      <c r="CS1596" s="4"/>
      <c r="CT1596" s="4"/>
      <c r="CU1596" s="4"/>
      <c r="CV1596" s="4"/>
      <c r="CW1596" s="5">
        <v>39867</v>
      </c>
      <c r="CX1596" s="5">
        <v>39867</v>
      </c>
      <c r="CY1596" s="4"/>
      <c r="CZ1596" s="4"/>
      <c r="DA1596" s="4"/>
      <c r="DB1596" s="4"/>
      <c r="DC1596" s="4"/>
      <c r="DD1596" s="4"/>
      <c r="DE1596" s="4"/>
      <c r="DF1596" s="4"/>
      <c r="DG1596" s="4"/>
      <c r="DH1596" s="4"/>
      <c r="DI1596" s="4"/>
      <c r="DJ1596" s="4" t="b">
        <v>0</v>
      </c>
      <c r="DK1596" s="4"/>
      <c r="DL1596" s="4">
        <v>2668297</v>
      </c>
      <c r="DM1596" s="4">
        <v>5997557</v>
      </c>
      <c r="DN1596" s="4" t="s">
        <v>4809</v>
      </c>
      <c r="DO1596" s="4"/>
      <c r="DP1596" s="4"/>
      <c r="DQ1596" s="4" t="s">
        <v>148</v>
      </c>
      <c r="DR1596" s="4"/>
      <c r="DS1596" s="4"/>
      <c r="DT1596" s="5">
        <v>41985</v>
      </c>
      <c r="DU1596" s="4"/>
      <c r="DV1596" s="4"/>
      <c r="DW1596" s="4"/>
      <c r="DX1596" s="4"/>
      <c r="DY1596" s="4"/>
      <c r="DZ1596" s="5">
        <v>39867</v>
      </c>
      <c r="EA1596" s="4"/>
      <c r="EB1596" s="4"/>
      <c r="EC1596" s="4"/>
      <c r="ED1596" s="4"/>
      <c r="EE1596" s="4"/>
      <c r="EF1596" s="4"/>
      <c r="EG1596" s="4"/>
      <c r="EH1596" s="4"/>
      <c r="EI1596" s="5">
        <v>39783</v>
      </c>
    </row>
    <row r="1597" spans="1:139" hidden="1" x14ac:dyDescent="0.2">
      <c r="A1597">
        <f>VLOOKUP(B1597,Sheet1!$A$1:$B$18,2,FALSE)</f>
        <v>0</v>
      </c>
      <c r="B1597" t="str">
        <f>LEFT(D1597,3)</f>
        <v>WLG</v>
      </c>
      <c r="C1597" s="2">
        <v>1596</v>
      </c>
      <c r="D1597" s="3" t="str">
        <f>HYPERLINK("https://sitebase.nzcomms.co.nz/spm/spmnominalview/WLG-046-016/","WLG-046-016")</f>
        <v>WLG-046-016</v>
      </c>
      <c r="E1597" s="4"/>
      <c r="F1597" s="3" t="str">
        <f>HYPERLINK("https://sitebase.nzcomms.co.nz/spm/spmcandidateview/WLG-046-016-I/","WLG-046-016-I")</f>
        <v>WLG-046-016-I</v>
      </c>
      <c r="G1597" s="4" t="s">
        <v>4810</v>
      </c>
      <c r="H1597" s="4" t="s">
        <v>4778</v>
      </c>
      <c r="I1597" s="4"/>
      <c r="J1597" s="4" t="s">
        <v>139</v>
      </c>
      <c r="K1597" s="4" t="s">
        <v>141</v>
      </c>
      <c r="L1597" s="4" t="s">
        <v>150</v>
      </c>
      <c r="M1597" s="4" t="s">
        <v>143</v>
      </c>
      <c r="N1597" s="4" t="s">
        <v>246</v>
      </c>
      <c r="O1597" s="4" t="s">
        <v>144</v>
      </c>
      <c r="P1597" s="4"/>
      <c r="Q1597" s="4"/>
      <c r="R1597" s="4">
        <v>13.8</v>
      </c>
      <c r="S1597" s="4">
        <v>13.8</v>
      </c>
      <c r="T1597" s="4"/>
      <c r="U1597" s="4">
        <v>-41.218143259999998</v>
      </c>
      <c r="V1597" s="4">
        <v>174.88892662999999</v>
      </c>
      <c r="W1597" s="4"/>
      <c r="X1597" s="4"/>
      <c r="Y1597" s="4"/>
      <c r="Z1597" s="4"/>
      <c r="AA1597" s="4"/>
      <c r="AB1597" s="4"/>
      <c r="AC1597" s="4"/>
      <c r="AD1597" s="4"/>
      <c r="AE1597" s="4"/>
      <c r="AF1597" s="4"/>
      <c r="AG1597" s="4"/>
      <c r="AH1597" s="4"/>
      <c r="AI1597" s="4"/>
      <c r="AJ1597" s="4"/>
      <c r="AK1597" s="4"/>
      <c r="AL1597" s="4"/>
      <c r="AM1597" s="4"/>
      <c r="AN1597" s="5">
        <v>39778</v>
      </c>
      <c r="AO1597" s="4">
        <v>1</v>
      </c>
      <c r="AP1597" s="4"/>
      <c r="AQ1597" s="5">
        <v>39778</v>
      </c>
      <c r="AR1597" s="4"/>
      <c r="AS1597" s="4"/>
      <c r="AT1597" s="4"/>
      <c r="AU1597" s="5">
        <v>39758</v>
      </c>
      <c r="AV1597" s="4">
        <v>1</v>
      </c>
      <c r="AW1597" s="4"/>
      <c r="AX1597" s="5">
        <v>39758</v>
      </c>
      <c r="AY1597" s="4"/>
      <c r="AZ1597" s="4"/>
      <c r="BA1597" s="4"/>
      <c r="BB1597" s="5">
        <v>39818</v>
      </c>
      <c r="BC1597" s="4"/>
      <c r="BD1597" s="4"/>
      <c r="BE1597" s="5">
        <v>39818</v>
      </c>
      <c r="BF1597" s="5">
        <v>39818</v>
      </c>
      <c r="BG1597" s="4"/>
      <c r="BH1597" s="5">
        <v>39839</v>
      </c>
      <c r="BI1597" s="4"/>
      <c r="BJ1597" s="5">
        <v>39860</v>
      </c>
      <c r="BK1597" s="4">
        <v>1</v>
      </c>
      <c r="BL1597" s="4">
        <v>1</v>
      </c>
      <c r="BM1597" s="5">
        <v>39860</v>
      </c>
      <c r="BN1597" s="5">
        <v>39860</v>
      </c>
      <c r="BO1597" s="5">
        <v>39818</v>
      </c>
      <c r="BP1597" s="4"/>
      <c r="BQ1597" s="4"/>
      <c r="BR1597" s="4"/>
      <c r="BS1597" s="4"/>
      <c r="BT1597" s="4"/>
      <c r="BU1597" s="5">
        <v>39875</v>
      </c>
      <c r="BV1597" s="5">
        <v>39897</v>
      </c>
      <c r="BW1597" s="5">
        <v>39897</v>
      </c>
      <c r="BX1597" s="4"/>
      <c r="BY1597" s="5">
        <v>39898</v>
      </c>
      <c r="BZ1597" s="5">
        <v>39899</v>
      </c>
      <c r="CA1597" s="4"/>
      <c r="CB1597" s="4"/>
      <c r="CC1597" s="4"/>
      <c r="CD1597" s="4"/>
      <c r="CE1597" s="4"/>
      <c r="CF1597" s="4"/>
      <c r="CG1597" s="4"/>
      <c r="CH1597" s="4"/>
      <c r="CI1597" s="5">
        <v>39933</v>
      </c>
      <c r="CJ1597" s="5">
        <v>39933</v>
      </c>
      <c r="CK1597" s="5">
        <v>39933</v>
      </c>
      <c r="CL1597" s="4"/>
      <c r="CM1597" s="4"/>
      <c r="CN1597" s="4"/>
      <c r="CO1597" s="4"/>
      <c r="CP1597" s="4" t="s">
        <v>4811</v>
      </c>
      <c r="CQ1597" s="4"/>
      <c r="CR1597" s="5">
        <v>39933</v>
      </c>
      <c r="CS1597" s="4"/>
      <c r="CT1597" s="4"/>
      <c r="CU1597" s="4"/>
      <c r="CV1597" s="4"/>
      <c r="CW1597" s="4"/>
      <c r="CX1597" s="5">
        <v>39818</v>
      </c>
      <c r="CY1597" s="4"/>
      <c r="CZ1597" s="4"/>
      <c r="DA1597" s="4"/>
      <c r="DB1597" s="4"/>
      <c r="DC1597" s="4"/>
      <c r="DD1597" s="4"/>
      <c r="DE1597" s="4"/>
      <c r="DF1597" s="4"/>
      <c r="DG1597" s="4"/>
      <c r="DH1597" s="4"/>
      <c r="DI1597" s="4"/>
      <c r="DJ1597" s="4" t="b">
        <v>0</v>
      </c>
      <c r="DK1597" s="4"/>
      <c r="DL1597" s="4">
        <v>2668362</v>
      </c>
      <c r="DM1597" s="4">
        <v>5997020</v>
      </c>
      <c r="DN1597" s="4" t="s">
        <v>4812</v>
      </c>
      <c r="DO1597" s="4"/>
      <c r="DP1597" s="4"/>
      <c r="DQ1597" s="4" t="s">
        <v>148</v>
      </c>
      <c r="DR1597" s="4"/>
      <c r="DS1597" s="4"/>
      <c r="DT1597" s="5">
        <v>41985</v>
      </c>
      <c r="DU1597" s="4"/>
      <c r="DV1597" s="4"/>
      <c r="DW1597" s="4"/>
      <c r="DX1597" s="4"/>
      <c r="DY1597" s="4"/>
      <c r="DZ1597" s="5">
        <v>39848</v>
      </c>
      <c r="EA1597" s="4"/>
      <c r="EB1597" s="4"/>
      <c r="EC1597" s="4"/>
      <c r="ED1597" s="4"/>
      <c r="EE1597" s="4"/>
      <c r="EF1597" s="4"/>
      <c r="EG1597" s="4"/>
      <c r="EH1597" s="4"/>
      <c r="EI1597" s="5">
        <v>39763</v>
      </c>
    </row>
    <row r="1598" spans="1:139" hidden="1" x14ac:dyDescent="0.2">
      <c r="A1598">
        <f>VLOOKUP(B1598,Sheet1!$A$1:$B$18,2,FALSE)</f>
        <v>0</v>
      </c>
      <c r="B1598" t="str">
        <f>LEFT(D1598,3)</f>
        <v>WLG</v>
      </c>
      <c r="C1598" s="2">
        <v>1597</v>
      </c>
      <c r="D1598" s="3" t="str">
        <f>HYPERLINK("https://sitebase.nzcomms.co.nz/spm/spmnominalview/WLG-046-019/","WLG-046-019")</f>
        <v>WLG-046-019</v>
      </c>
      <c r="E1598" s="4"/>
      <c r="F1598" s="3" t="str">
        <f>HYPERLINK("https://sitebase.nzcomms.co.nz/spm/spmcandidateview/WLG-046-019-E/","WLG-046-019-E")</f>
        <v>WLG-046-019-E</v>
      </c>
      <c r="G1598" s="4" t="s">
        <v>4813</v>
      </c>
      <c r="H1598" s="4" t="s">
        <v>4778</v>
      </c>
      <c r="I1598" s="4"/>
      <c r="J1598" s="4" t="s">
        <v>139</v>
      </c>
      <c r="K1598" s="4" t="s">
        <v>141</v>
      </c>
      <c r="L1598" s="4" t="s">
        <v>150</v>
      </c>
      <c r="M1598" s="4" t="s">
        <v>143</v>
      </c>
      <c r="N1598" s="4" t="s">
        <v>291</v>
      </c>
      <c r="O1598" s="4" t="s">
        <v>144</v>
      </c>
      <c r="P1598" s="4"/>
      <c r="Q1598" s="4"/>
      <c r="R1598" s="4">
        <v>18.8</v>
      </c>
      <c r="S1598" s="4">
        <v>18.8</v>
      </c>
      <c r="T1598" s="4"/>
      <c r="U1598" s="4">
        <v>-41.238728520000002</v>
      </c>
      <c r="V1598" s="4">
        <v>174.91114826</v>
      </c>
      <c r="W1598" s="4"/>
      <c r="X1598" s="4"/>
      <c r="Y1598" s="4"/>
      <c r="Z1598" s="4"/>
      <c r="AA1598" s="4" t="s">
        <v>171</v>
      </c>
      <c r="AB1598" s="3" t="str">
        <f>HYPERLINK("https://sitebase.nzcomms.co.nz/spm/spmcandidateview/WLG-046-031-B/","WLG-046-031-B")</f>
        <v>WLG-046-031-B</v>
      </c>
      <c r="AC1598" s="4"/>
      <c r="AD1598" s="4"/>
      <c r="AE1598" s="4"/>
      <c r="AF1598" s="4"/>
      <c r="AG1598" s="4"/>
      <c r="AH1598" s="4" t="s">
        <v>4814</v>
      </c>
      <c r="AI1598" s="4"/>
      <c r="AJ1598" s="4"/>
      <c r="AK1598" s="4"/>
      <c r="AL1598" s="4"/>
      <c r="AM1598" s="4"/>
      <c r="AN1598" s="5">
        <v>39463</v>
      </c>
      <c r="AO1598" s="4">
        <v>4</v>
      </c>
      <c r="AP1598" s="5">
        <v>39875</v>
      </c>
      <c r="AQ1598" s="5">
        <v>39903</v>
      </c>
      <c r="AR1598" s="4"/>
      <c r="AS1598" s="4"/>
      <c r="AT1598" s="5">
        <v>39548</v>
      </c>
      <c r="AU1598" s="5">
        <v>39548</v>
      </c>
      <c r="AV1598" s="4">
        <v>1</v>
      </c>
      <c r="AW1598" s="5">
        <v>39548</v>
      </c>
      <c r="AX1598" s="5">
        <v>39548</v>
      </c>
      <c r="AY1598" s="4"/>
      <c r="AZ1598" s="4"/>
      <c r="BA1598" s="4"/>
      <c r="BB1598" s="5">
        <v>39707</v>
      </c>
      <c r="BC1598" s="4"/>
      <c r="BD1598" s="4"/>
      <c r="BE1598" s="5">
        <v>39707</v>
      </c>
      <c r="BF1598" s="5">
        <v>39707</v>
      </c>
      <c r="BG1598" s="4"/>
      <c r="BH1598" s="5">
        <v>39546</v>
      </c>
      <c r="BI1598" s="4"/>
      <c r="BJ1598" s="5">
        <v>39738</v>
      </c>
      <c r="BK1598" s="4">
        <v>1</v>
      </c>
      <c r="BL1598" s="4">
        <v>2</v>
      </c>
      <c r="BM1598" s="5">
        <v>39738</v>
      </c>
      <c r="BN1598" s="5">
        <v>39738</v>
      </c>
      <c r="BO1598" s="5">
        <v>39797</v>
      </c>
      <c r="BP1598" s="4"/>
      <c r="BQ1598" s="4"/>
      <c r="BR1598" s="4"/>
      <c r="BS1598" s="4"/>
      <c r="BT1598" s="4"/>
      <c r="BU1598" s="5">
        <v>39776</v>
      </c>
      <c r="BV1598" s="5">
        <v>39843</v>
      </c>
      <c r="BW1598" s="5">
        <v>39843</v>
      </c>
      <c r="BX1598" s="4"/>
      <c r="BY1598" s="5">
        <v>39923</v>
      </c>
      <c r="BZ1598" s="5">
        <v>39924</v>
      </c>
      <c r="CA1598" s="4"/>
      <c r="CB1598" s="4"/>
      <c r="CC1598" s="4"/>
      <c r="CD1598" s="4"/>
      <c r="CE1598" s="4"/>
      <c r="CF1598" s="4"/>
      <c r="CG1598" s="4"/>
      <c r="CH1598" s="4"/>
      <c r="CI1598" s="5">
        <v>39960</v>
      </c>
      <c r="CJ1598" s="5">
        <v>39963</v>
      </c>
      <c r="CK1598" s="5">
        <v>39960</v>
      </c>
      <c r="CL1598" s="4"/>
      <c r="CM1598" s="4"/>
      <c r="CN1598" s="4"/>
      <c r="CO1598" s="4"/>
      <c r="CP1598" s="4" t="s">
        <v>4815</v>
      </c>
      <c r="CQ1598" s="4"/>
      <c r="CR1598" s="5">
        <v>39963</v>
      </c>
      <c r="CS1598" s="4"/>
      <c r="CT1598" s="4"/>
      <c r="CU1598" s="4"/>
      <c r="CV1598" s="4"/>
      <c r="CW1598" s="4"/>
      <c r="CX1598" s="5">
        <v>39797</v>
      </c>
      <c r="CY1598" s="4"/>
      <c r="CZ1598" s="4"/>
      <c r="DA1598" s="4"/>
      <c r="DB1598" s="4"/>
      <c r="DC1598" s="4"/>
      <c r="DD1598" s="4"/>
      <c r="DE1598" s="4"/>
      <c r="DF1598" s="4"/>
      <c r="DG1598" s="4"/>
      <c r="DH1598" s="4"/>
      <c r="DI1598" s="4"/>
      <c r="DJ1598" s="4" t="b">
        <v>0</v>
      </c>
      <c r="DK1598" s="4"/>
      <c r="DL1598" s="4">
        <v>2670175</v>
      </c>
      <c r="DM1598" s="4">
        <v>5994694</v>
      </c>
      <c r="DN1598" s="4" t="s">
        <v>4816</v>
      </c>
      <c r="DO1598" s="4"/>
      <c r="DP1598" s="4"/>
      <c r="DQ1598" s="4" t="s">
        <v>148</v>
      </c>
      <c r="DR1598" s="4"/>
      <c r="DS1598" s="4"/>
      <c r="DT1598" s="5">
        <v>41985</v>
      </c>
      <c r="DU1598" s="4"/>
      <c r="DV1598" s="4"/>
      <c r="DW1598" s="4"/>
      <c r="DX1598" s="4"/>
      <c r="DY1598" s="4"/>
      <c r="DZ1598" s="5">
        <v>39763</v>
      </c>
      <c r="EA1598" s="4"/>
      <c r="EB1598" s="4"/>
      <c r="EC1598" s="4"/>
      <c r="ED1598" s="4"/>
      <c r="EE1598" s="4"/>
      <c r="EF1598" s="4"/>
      <c r="EG1598" s="4"/>
      <c r="EH1598" s="4"/>
      <c r="EI1598" s="5">
        <v>39455</v>
      </c>
    </row>
    <row r="1599" spans="1:139" hidden="1" x14ac:dyDescent="0.2">
      <c r="A1599">
        <f>VLOOKUP(B1599,Sheet1!$A$1:$B$18,2,FALSE)</f>
        <v>0</v>
      </c>
      <c r="B1599" t="str">
        <f>LEFT(D1599,3)</f>
        <v>WLG</v>
      </c>
      <c r="C1599" s="2">
        <v>1598</v>
      </c>
      <c r="D1599" s="3" t="str">
        <f>HYPERLINK("https://sitebase.nzcomms.co.nz/spm/spmnominalview/WLG-046-020/","WLG-046-020")</f>
        <v>WLG-046-020</v>
      </c>
      <c r="E1599" s="4"/>
      <c r="F1599" s="3" t="str">
        <f>HYPERLINK("https://sitebase.nzcomms.co.nz/spm/spmcandidateview/WLG-046-020-B/","WLG-046-020-B")</f>
        <v>WLG-046-020-B</v>
      </c>
      <c r="G1599" s="4" t="s">
        <v>4817</v>
      </c>
      <c r="H1599" s="4" t="s">
        <v>4778</v>
      </c>
      <c r="I1599" s="4"/>
      <c r="J1599" s="4" t="s">
        <v>139</v>
      </c>
      <c r="K1599" s="4" t="s">
        <v>141</v>
      </c>
      <c r="L1599" s="4" t="s">
        <v>150</v>
      </c>
      <c r="M1599" s="4" t="s">
        <v>143</v>
      </c>
      <c r="N1599" s="4" t="s">
        <v>291</v>
      </c>
      <c r="O1599" s="4" t="s">
        <v>356</v>
      </c>
      <c r="P1599" s="4"/>
      <c r="Q1599" s="4"/>
      <c r="R1599" s="4">
        <v>13.8</v>
      </c>
      <c r="S1599" s="4">
        <v>13.8</v>
      </c>
      <c r="T1599" s="4"/>
      <c r="U1599" s="4">
        <v>-41.24856029</v>
      </c>
      <c r="V1599" s="4">
        <v>174.94061106000001</v>
      </c>
      <c r="W1599" s="4"/>
      <c r="X1599" s="4"/>
      <c r="Y1599" s="4"/>
      <c r="Z1599" s="4"/>
      <c r="AA1599" s="4"/>
      <c r="AB1599" s="4"/>
      <c r="AC1599" s="4"/>
      <c r="AD1599" s="4"/>
      <c r="AE1599" s="4"/>
      <c r="AF1599" s="4"/>
      <c r="AG1599" s="4"/>
      <c r="AH1599" s="4"/>
      <c r="AI1599" s="4"/>
      <c r="AJ1599" s="4"/>
      <c r="AK1599" s="4"/>
      <c r="AL1599" s="4"/>
      <c r="AM1599" s="4"/>
      <c r="AN1599" s="5">
        <v>39463</v>
      </c>
      <c r="AO1599" s="4">
        <v>4</v>
      </c>
      <c r="AP1599" s="4"/>
      <c r="AQ1599" s="5">
        <v>42254</v>
      </c>
      <c r="AR1599" s="4"/>
      <c r="AS1599" s="4"/>
      <c r="AT1599" s="5">
        <v>39782</v>
      </c>
      <c r="AU1599" s="5">
        <v>39762</v>
      </c>
      <c r="AV1599" s="4">
        <v>1</v>
      </c>
      <c r="AW1599" s="5">
        <v>39782</v>
      </c>
      <c r="AX1599" s="5">
        <v>39762</v>
      </c>
      <c r="AY1599" s="4"/>
      <c r="AZ1599" s="4"/>
      <c r="BA1599" s="4"/>
      <c r="BB1599" s="5">
        <v>39555</v>
      </c>
      <c r="BC1599" s="4"/>
      <c r="BD1599" s="4"/>
      <c r="BE1599" s="5">
        <v>39555</v>
      </c>
      <c r="BF1599" s="5">
        <v>39555</v>
      </c>
      <c r="BG1599" s="4"/>
      <c r="BH1599" s="5">
        <v>39546</v>
      </c>
      <c r="BI1599" s="4"/>
      <c r="BJ1599" s="5">
        <v>39631</v>
      </c>
      <c r="BK1599" s="4">
        <v>1</v>
      </c>
      <c r="BL1599" s="4">
        <v>3</v>
      </c>
      <c r="BM1599" s="5">
        <v>39631</v>
      </c>
      <c r="BN1599" s="5">
        <v>39631</v>
      </c>
      <c r="BO1599" s="5">
        <v>39818</v>
      </c>
      <c r="BP1599" s="4"/>
      <c r="BQ1599" s="4"/>
      <c r="BR1599" s="4"/>
      <c r="BS1599" s="4"/>
      <c r="BT1599" s="4"/>
      <c r="BU1599" s="5">
        <v>39785</v>
      </c>
      <c r="BV1599" s="5">
        <v>39843</v>
      </c>
      <c r="BW1599" s="5">
        <v>39843</v>
      </c>
      <c r="BX1599" s="4"/>
      <c r="BY1599" s="5">
        <v>39839</v>
      </c>
      <c r="BZ1599" s="5">
        <v>39843</v>
      </c>
      <c r="CA1599" s="4"/>
      <c r="CB1599" s="4"/>
      <c r="CC1599" s="4"/>
      <c r="CD1599" s="4"/>
      <c r="CE1599" s="4"/>
      <c r="CF1599" s="4"/>
      <c r="CG1599" s="4"/>
      <c r="CH1599" s="4"/>
      <c r="CI1599" s="5">
        <v>39933</v>
      </c>
      <c r="CJ1599" s="5">
        <v>39933</v>
      </c>
      <c r="CK1599" s="5">
        <v>39933</v>
      </c>
      <c r="CL1599" s="4"/>
      <c r="CM1599" s="4"/>
      <c r="CN1599" s="4"/>
      <c r="CO1599" s="4"/>
      <c r="CP1599" s="4" t="s">
        <v>4818</v>
      </c>
      <c r="CQ1599" s="4"/>
      <c r="CR1599" s="5">
        <v>39933</v>
      </c>
      <c r="CS1599" s="4"/>
      <c r="CT1599" s="4"/>
      <c r="CU1599" s="4"/>
      <c r="CV1599" s="4"/>
      <c r="CW1599" s="4"/>
      <c r="CX1599" s="5">
        <v>39818</v>
      </c>
      <c r="CY1599" s="4"/>
      <c r="CZ1599" s="4"/>
      <c r="DA1599" s="4"/>
      <c r="DB1599" s="4"/>
      <c r="DC1599" s="4"/>
      <c r="DD1599" s="4"/>
      <c r="DE1599" s="4"/>
      <c r="DF1599" s="4"/>
      <c r="DG1599" s="4"/>
      <c r="DH1599" s="4"/>
      <c r="DI1599" s="4"/>
      <c r="DJ1599" s="4" t="b">
        <v>0</v>
      </c>
      <c r="DK1599" s="4"/>
      <c r="DL1599" s="4">
        <v>2672620</v>
      </c>
      <c r="DM1599" s="4">
        <v>5993548</v>
      </c>
      <c r="DN1599" s="4" t="s">
        <v>4819</v>
      </c>
      <c r="DO1599" s="4"/>
      <c r="DP1599" s="4"/>
      <c r="DQ1599" s="4" t="s">
        <v>148</v>
      </c>
      <c r="DR1599" s="4"/>
      <c r="DS1599" s="4"/>
      <c r="DT1599" s="5">
        <v>41985</v>
      </c>
      <c r="DU1599" s="4"/>
      <c r="DV1599" s="4"/>
      <c r="DW1599" s="4"/>
      <c r="DX1599" s="4"/>
      <c r="DY1599" s="4"/>
      <c r="DZ1599" s="5">
        <v>39780</v>
      </c>
      <c r="EA1599" s="4"/>
      <c r="EB1599" s="4"/>
      <c r="EC1599" s="4"/>
      <c r="ED1599" s="4"/>
      <c r="EE1599" s="4"/>
      <c r="EF1599" s="4"/>
      <c r="EG1599" s="4"/>
      <c r="EH1599" s="4"/>
      <c r="EI1599" s="5">
        <v>39416</v>
      </c>
    </row>
    <row r="1600" spans="1:139" hidden="1" x14ac:dyDescent="0.2">
      <c r="A1600">
        <f>VLOOKUP(B1600,Sheet1!$A$1:$B$18,2,FALSE)</f>
        <v>0</v>
      </c>
      <c r="B1600" t="str">
        <f>LEFT(D1600,3)</f>
        <v>WLG</v>
      </c>
      <c r="C1600" s="2">
        <v>1599</v>
      </c>
      <c r="D1600" s="3" t="str">
        <f>HYPERLINK("https://sitebase.nzcomms.co.nz/spm/spmnominalview/WLG-046-023/","WLG-046-023")</f>
        <v>WLG-046-023</v>
      </c>
      <c r="E1600" s="4"/>
      <c r="F1600" s="3" t="str">
        <f>HYPERLINK("https://sitebase.nzcomms.co.nz/spm/spmcandidateview/WLG-046-023-A/","WLG-046-023-A")</f>
        <v>WLG-046-023-A</v>
      </c>
      <c r="G1600" s="4" t="s">
        <v>4820</v>
      </c>
      <c r="H1600" s="4" t="s">
        <v>4778</v>
      </c>
      <c r="I1600" s="4"/>
      <c r="J1600" s="4" t="s">
        <v>139</v>
      </c>
      <c r="K1600" s="4" t="s">
        <v>141</v>
      </c>
      <c r="L1600" s="4" t="s">
        <v>150</v>
      </c>
      <c r="M1600" s="4" t="s">
        <v>143</v>
      </c>
      <c r="N1600" s="4" t="s">
        <v>246</v>
      </c>
      <c r="O1600" s="4" t="s">
        <v>144</v>
      </c>
      <c r="P1600" s="4"/>
      <c r="Q1600" s="4"/>
      <c r="R1600" s="4">
        <v>13.8</v>
      </c>
      <c r="S1600" s="4">
        <v>13.8</v>
      </c>
      <c r="T1600" s="4"/>
      <c r="U1600" s="4">
        <v>-41.259908850000002</v>
      </c>
      <c r="V1600" s="4">
        <v>174.9454446</v>
      </c>
      <c r="W1600" s="4"/>
      <c r="X1600" s="4"/>
      <c r="Y1600" s="4"/>
      <c r="Z1600" s="4"/>
      <c r="AA1600" s="4" t="s">
        <v>152</v>
      </c>
      <c r="AB1600" s="3" t="str">
        <f>HYPERLINK("https://sitebase.nzcomms.co.nz/spm/spmcandidateview/WLG-047-071-A/","WLG-047-071-A")</f>
        <v>WLG-047-071-A</v>
      </c>
      <c r="AC1600" s="4"/>
      <c r="AD1600" s="4"/>
      <c r="AE1600" s="4"/>
      <c r="AF1600" s="4"/>
      <c r="AG1600" s="4"/>
      <c r="AH1600" s="4"/>
      <c r="AI1600" s="4"/>
      <c r="AJ1600" s="4"/>
      <c r="AK1600" s="4"/>
      <c r="AL1600" s="4"/>
      <c r="AM1600" s="4"/>
      <c r="AN1600" s="5">
        <v>39435</v>
      </c>
      <c r="AO1600" s="4">
        <v>1</v>
      </c>
      <c r="AP1600" s="4"/>
      <c r="AQ1600" s="5">
        <v>39435</v>
      </c>
      <c r="AR1600" s="4"/>
      <c r="AS1600" s="4"/>
      <c r="AT1600" s="5">
        <v>39599</v>
      </c>
      <c r="AU1600" s="5">
        <v>39580</v>
      </c>
      <c r="AV1600" s="4">
        <v>1</v>
      </c>
      <c r="AW1600" s="5">
        <v>39599</v>
      </c>
      <c r="AX1600" s="5">
        <v>39580</v>
      </c>
      <c r="AY1600" s="4"/>
      <c r="AZ1600" s="4"/>
      <c r="BA1600" s="4"/>
      <c r="BB1600" s="5">
        <v>39658</v>
      </c>
      <c r="BC1600" s="4"/>
      <c r="BD1600" s="4"/>
      <c r="BE1600" s="5">
        <v>39658</v>
      </c>
      <c r="BF1600" s="5">
        <v>39658</v>
      </c>
      <c r="BG1600" s="4"/>
      <c r="BH1600" s="5">
        <v>39546</v>
      </c>
      <c r="BI1600" s="4"/>
      <c r="BJ1600" s="5">
        <v>39627</v>
      </c>
      <c r="BK1600" s="4">
        <v>2</v>
      </c>
      <c r="BL1600" s="4">
        <v>1</v>
      </c>
      <c r="BM1600" s="5">
        <v>39658</v>
      </c>
      <c r="BN1600" s="5">
        <v>39658</v>
      </c>
      <c r="BO1600" s="4"/>
      <c r="BP1600" s="4"/>
      <c r="BQ1600" s="4"/>
      <c r="BR1600" s="4"/>
      <c r="BS1600" s="4"/>
      <c r="BT1600" s="4"/>
      <c r="BU1600" s="5">
        <v>39706</v>
      </c>
      <c r="BV1600" s="5">
        <v>39731</v>
      </c>
      <c r="BW1600" s="5">
        <v>39731</v>
      </c>
      <c r="BX1600" s="4"/>
      <c r="BY1600" s="5">
        <v>39736</v>
      </c>
      <c r="BZ1600" s="5">
        <v>39737</v>
      </c>
      <c r="CA1600" s="4"/>
      <c r="CB1600" s="4"/>
      <c r="CC1600" s="4"/>
      <c r="CD1600" s="4"/>
      <c r="CE1600" s="4"/>
      <c r="CF1600" s="4"/>
      <c r="CG1600" s="4"/>
      <c r="CH1600" s="4"/>
      <c r="CI1600" s="5">
        <v>39909</v>
      </c>
      <c r="CJ1600" s="5">
        <v>39919</v>
      </c>
      <c r="CK1600" s="5">
        <v>39909</v>
      </c>
      <c r="CL1600" s="4"/>
      <c r="CM1600" s="4"/>
      <c r="CN1600" s="4"/>
      <c r="CO1600" s="4"/>
      <c r="CP1600" s="4" t="s">
        <v>4821</v>
      </c>
      <c r="CQ1600" s="4"/>
      <c r="CR1600" s="5">
        <v>39919</v>
      </c>
      <c r="CS1600" s="4"/>
      <c r="CT1600" s="4"/>
      <c r="CU1600" s="4"/>
      <c r="CV1600" s="4"/>
      <c r="CW1600" s="4"/>
      <c r="CX1600" s="4"/>
      <c r="CY1600" s="4"/>
      <c r="CZ1600" s="4"/>
      <c r="DA1600" s="4"/>
      <c r="DB1600" s="4"/>
      <c r="DC1600" s="4"/>
      <c r="DD1600" s="4"/>
      <c r="DE1600" s="4"/>
      <c r="DF1600" s="4"/>
      <c r="DG1600" s="4"/>
      <c r="DH1600" s="4"/>
      <c r="DI1600" s="4"/>
      <c r="DJ1600" s="4" t="b">
        <v>0</v>
      </c>
      <c r="DK1600" s="4"/>
      <c r="DL1600" s="4">
        <v>2672997</v>
      </c>
      <c r="DM1600" s="4">
        <v>5992279</v>
      </c>
      <c r="DN1600" s="4" t="s">
        <v>4822</v>
      </c>
      <c r="DO1600" s="4"/>
      <c r="DP1600" s="4"/>
      <c r="DQ1600" s="4" t="s">
        <v>148</v>
      </c>
      <c r="DR1600" s="4"/>
      <c r="DS1600" s="4"/>
      <c r="DT1600" s="4"/>
      <c r="DU1600" s="4"/>
      <c r="DV1600" s="4"/>
      <c r="DW1600" s="4"/>
      <c r="DX1600" s="4"/>
      <c r="DY1600" s="4"/>
      <c r="DZ1600" s="5">
        <v>39660</v>
      </c>
      <c r="EA1600" s="4"/>
      <c r="EB1600" s="4"/>
      <c r="EC1600" s="4"/>
      <c r="ED1600" s="4"/>
      <c r="EE1600" s="4"/>
      <c r="EF1600" s="4"/>
      <c r="EG1600" s="4"/>
      <c r="EH1600" s="4"/>
      <c r="EI1600" s="5">
        <v>39381</v>
      </c>
    </row>
    <row r="1601" spans="1:139" hidden="1" x14ac:dyDescent="0.2">
      <c r="A1601">
        <f>VLOOKUP(B1601,Sheet1!$A$1:$B$18,2,FALSE)</f>
        <v>0</v>
      </c>
      <c r="B1601" t="str">
        <f>LEFT(D1601,3)</f>
        <v>WLG</v>
      </c>
      <c r="C1601" s="2">
        <v>1600</v>
      </c>
      <c r="D1601" s="3" t="str">
        <f>HYPERLINK("https://sitebase.nzcomms.co.nz/spm/spmnominalview/WLG-046-024/","WLG-046-024")</f>
        <v>WLG-046-024</v>
      </c>
      <c r="E1601" s="4"/>
      <c r="F1601" s="3" t="str">
        <f>HYPERLINK("https://sitebase.nzcomms.co.nz/spm/spmcandidateview/WLG-046-024-C/","WLG-046-024-C")</f>
        <v>WLG-046-024-C</v>
      </c>
      <c r="G1601" s="4" t="s">
        <v>4823</v>
      </c>
      <c r="H1601" s="4" t="s">
        <v>4778</v>
      </c>
      <c r="I1601" s="4"/>
      <c r="J1601" s="4" t="s">
        <v>139</v>
      </c>
      <c r="K1601" s="4" t="s">
        <v>141</v>
      </c>
      <c r="L1601" s="4" t="s">
        <v>150</v>
      </c>
      <c r="M1601" s="4" t="s">
        <v>143</v>
      </c>
      <c r="N1601" s="4" t="s">
        <v>246</v>
      </c>
      <c r="O1601" s="4" t="s">
        <v>144</v>
      </c>
      <c r="P1601" s="4"/>
      <c r="Q1601" s="4"/>
      <c r="R1601" s="4">
        <v>13.8</v>
      </c>
      <c r="S1601" s="4">
        <v>13.8</v>
      </c>
      <c r="T1601" s="4"/>
      <c r="U1601" s="4">
        <v>-41.27534069</v>
      </c>
      <c r="V1601" s="4">
        <v>174.94900372999999</v>
      </c>
      <c r="W1601" s="4"/>
      <c r="X1601" s="4"/>
      <c r="Y1601" s="4"/>
      <c r="Z1601" s="4"/>
      <c r="AA1601" s="4" t="s">
        <v>152</v>
      </c>
      <c r="AB1601" s="3" t="str">
        <f>HYPERLINK("https://sitebase.nzcomms.co.nz/spm/spmcandidateview/WLG-047-071-A/","WLG-047-071-A")</f>
        <v>WLG-047-071-A</v>
      </c>
      <c r="AC1601" s="4"/>
      <c r="AD1601" s="4"/>
      <c r="AE1601" s="4"/>
      <c r="AF1601" s="4"/>
      <c r="AG1601" s="4"/>
      <c r="AH1601" s="4"/>
      <c r="AI1601" s="4"/>
      <c r="AJ1601" s="4"/>
      <c r="AK1601" s="4"/>
      <c r="AL1601" s="4"/>
      <c r="AM1601" s="4"/>
      <c r="AN1601" s="5">
        <v>39430</v>
      </c>
      <c r="AO1601" s="4">
        <v>3</v>
      </c>
      <c r="AP1601" s="4"/>
      <c r="AQ1601" s="5">
        <v>39729</v>
      </c>
      <c r="AR1601" s="4"/>
      <c r="AS1601" s="4"/>
      <c r="AT1601" s="5">
        <v>39598</v>
      </c>
      <c r="AU1601" s="5">
        <v>39597</v>
      </c>
      <c r="AV1601" s="4">
        <v>3</v>
      </c>
      <c r="AW1601" s="5">
        <v>39598</v>
      </c>
      <c r="AX1601" s="5">
        <v>39597</v>
      </c>
      <c r="AY1601" s="4"/>
      <c r="AZ1601" s="4"/>
      <c r="BA1601" s="4"/>
      <c r="BB1601" s="5">
        <v>39602</v>
      </c>
      <c r="BC1601" s="4"/>
      <c r="BD1601" s="4"/>
      <c r="BE1601" s="5">
        <v>39602</v>
      </c>
      <c r="BF1601" s="5">
        <v>39602</v>
      </c>
      <c r="BG1601" s="4"/>
      <c r="BH1601" s="5">
        <v>39552</v>
      </c>
      <c r="BI1601" s="4"/>
      <c r="BJ1601" s="5">
        <v>39687</v>
      </c>
      <c r="BK1601" s="4">
        <v>1</v>
      </c>
      <c r="BL1601" s="4">
        <v>2</v>
      </c>
      <c r="BM1601" s="5">
        <v>39687</v>
      </c>
      <c r="BN1601" s="5">
        <v>39687</v>
      </c>
      <c r="BO1601" s="4"/>
      <c r="BP1601" s="4"/>
      <c r="BQ1601" s="4"/>
      <c r="BR1601" s="4"/>
      <c r="BS1601" s="4"/>
      <c r="BT1601" s="4"/>
      <c r="BU1601" s="5">
        <v>39709</v>
      </c>
      <c r="BV1601" s="5">
        <v>39752</v>
      </c>
      <c r="BW1601" s="5">
        <v>39744</v>
      </c>
      <c r="BX1601" s="4"/>
      <c r="BY1601" s="4"/>
      <c r="BZ1601" s="5">
        <v>39744</v>
      </c>
      <c r="CA1601" s="4"/>
      <c r="CB1601" s="4"/>
      <c r="CC1601" s="4"/>
      <c r="CD1601" s="4"/>
      <c r="CE1601" s="4"/>
      <c r="CF1601" s="4"/>
      <c r="CG1601" s="4"/>
      <c r="CH1601" s="4"/>
      <c r="CI1601" s="5">
        <v>39878</v>
      </c>
      <c r="CJ1601" s="5">
        <v>39902</v>
      </c>
      <c r="CK1601" s="5">
        <v>39878</v>
      </c>
      <c r="CL1601" s="4"/>
      <c r="CM1601" s="4"/>
      <c r="CN1601" s="4"/>
      <c r="CO1601" s="4"/>
      <c r="CP1601" s="4" t="s">
        <v>405</v>
      </c>
      <c r="CQ1601" s="4"/>
      <c r="CR1601" s="5">
        <v>39902</v>
      </c>
      <c r="CS1601" s="4"/>
      <c r="CT1601" s="4"/>
      <c r="CU1601" s="4"/>
      <c r="CV1601" s="4"/>
      <c r="CW1601" s="4"/>
      <c r="CX1601" s="4"/>
      <c r="CY1601" s="4"/>
      <c r="CZ1601" s="4"/>
      <c r="DA1601" s="4"/>
      <c r="DB1601" s="4"/>
      <c r="DC1601" s="4"/>
      <c r="DD1601" s="4"/>
      <c r="DE1601" s="4"/>
      <c r="DF1601" s="4"/>
      <c r="DG1601" s="4"/>
      <c r="DH1601" s="4"/>
      <c r="DI1601" s="4"/>
      <c r="DJ1601" s="4" t="b">
        <v>0</v>
      </c>
      <c r="DK1601" s="4"/>
      <c r="DL1601" s="4">
        <v>2673257</v>
      </c>
      <c r="DM1601" s="4">
        <v>5990559</v>
      </c>
      <c r="DN1601" s="4" t="s">
        <v>4824</v>
      </c>
      <c r="DO1601" s="4"/>
      <c r="DP1601" s="4"/>
      <c r="DQ1601" s="4" t="s">
        <v>148</v>
      </c>
      <c r="DR1601" s="4"/>
      <c r="DS1601" s="4"/>
      <c r="DT1601" s="4"/>
      <c r="DU1601" s="4"/>
      <c r="DV1601" s="4"/>
      <c r="DW1601" s="4"/>
      <c r="DX1601" s="4"/>
      <c r="DY1601" s="4"/>
      <c r="DZ1601" s="5">
        <v>39692</v>
      </c>
      <c r="EA1601" s="4"/>
      <c r="EB1601" s="4"/>
      <c r="EC1601" s="4"/>
      <c r="ED1601" s="4"/>
      <c r="EE1601" s="4"/>
      <c r="EF1601" s="4"/>
      <c r="EG1601" s="4"/>
      <c r="EH1601" s="4"/>
      <c r="EI1601" s="5">
        <v>39420</v>
      </c>
    </row>
    <row r="1602" spans="1:139" hidden="1" x14ac:dyDescent="0.2">
      <c r="A1602">
        <f>VLOOKUP(B1602,Sheet1!$A$1:$B$18,2,FALSE)</f>
        <v>0</v>
      </c>
      <c r="B1602" t="str">
        <f>LEFT(D1602,3)</f>
        <v>WLG</v>
      </c>
      <c r="C1602" s="2">
        <v>1601</v>
      </c>
      <c r="D1602" s="3" t="str">
        <f>HYPERLINK("https://sitebase.nzcomms.co.nz/spm/spmnominalview/WLG-046-025/","WLG-046-025")</f>
        <v>WLG-046-025</v>
      </c>
      <c r="E1602" s="4"/>
      <c r="F1602" s="3" t="str">
        <f>HYPERLINK("https://sitebase.nzcomms.co.nz/spm/spmcandidateview/WLG-046-025-C/","WLG-046-025-C")</f>
        <v>WLG-046-025-C</v>
      </c>
      <c r="G1602" s="4" t="s">
        <v>4825</v>
      </c>
      <c r="H1602" s="4" t="s">
        <v>4778</v>
      </c>
      <c r="I1602" s="4"/>
      <c r="J1602" s="4" t="s">
        <v>139</v>
      </c>
      <c r="K1602" s="4" t="s">
        <v>141</v>
      </c>
      <c r="L1602" s="4" t="s">
        <v>189</v>
      </c>
      <c r="M1602" s="4" t="s">
        <v>143</v>
      </c>
      <c r="N1602" s="4" t="s">
        <v>612</v>
      </c>
      <c r="O1602" s="4" t="s">
        <v>356</v>
      </c>
      <c r="P1602" s="4"/>
      <c r="Q1602" s="4"/>
      <c r="R1602" s="4">
        <v>13.2</v>
      </c>
      <c r="S1602" s="4">
        <v>13.2</v>
      </c>
      <c r="T1602" s="4"/>
      <c r="U1602" s="4">
        <v>-41.290043220000001</v>
      </c>
      <c r="V1602" s="4">
        <v>174.89726678</v>
      </c>
      <c r="W1602" s="4"/>
      <c r="X1602" s="4"/>
      <c r="Y1602" s="4"/>
      <c r="Z1602" s="4"/>
      <c r="AA1602" s="4" t="s">
        <v>152</v>
      </c>
      <c r="AB1602" s="3" t="str">
        <f>HYPERLINK("https://sitebase.nzcomms.co.nz/spm/spmcandidateview/WLG-047-071-A/","WLG-047-071-A")</f>
        <v>WLG-047-071-A</v>
      </c>
      <c r="AC1602" s="4"/>
      <c r="AD1602" s="4"/>
      <c r="AE1602" s="4"/>
      <c r="AF1602" s="4"/>
      <c r="AG1602" s="4"/>
      <c r="AH1602" s="4"/>
      <c r="AI1602" s="4"/>
      <c r="AJ1602" s="4"/>
      <c r="AK1602" s="4"/>
      <c r="AL1602" s="4"/>
      <c r="AM1602" s="4"/>
      <c r="AN1602" s="5">
        <v>39436</v>
      </c>
      <c r="AO1602" s="4">
        <v>3</v>
      </c>
      <c r="AP1602" s="4"/>
      <c r="AQ1602" s="5">
        <v>39562</v>
      </c>
      <c r="AR1602" s="4"/>
      <c r="AS1602" s="4"/>
      <c r="AT1602" s="5">
        <v>39689</v>
      </c>
      <c r="AU1602" s="5">
        <v>39660</v>
      </c>
      <c r="AV1602" s="4">
        <v>3</v>
      </c>
      <c r="AW1602" s="5">
        <v>39689</v>
      </c>
      <c r="AX1602" s="5">
        <v>39660</v>
      </c>
      <c r="AY1602" s="4"/>
      <c r="AZ1602" s="4"/>
      <c r="BA1602" s="4"/>
      <c r="BB1602" s="5">
        <v>39500</v>
      </c>
      <c r="BC1602" s="4"/>
      <c r="BD1602" s="4"/>
      <c r="BE1602" s="5">
        <v>39500</v>
      </c>
      <c r="BF1602" s="5">
        <v>39500</v>
      </c>
      <c r="BG1602" s="4"/>
      <c r="BH1602" s="5">
        <v>39548</v>
      </c>
      <c r="BI1602" s="4"/>
      <c r="BJ1602" s="5">
        <v>39591</v>
      </c>
      <c r="BK1602" s="4">
        <v>2</v>
      </c>
      <c r="BL1602" s="4">
        <v>3</v>
      </c>
      <c r="BM1602" s="5">
        <v>39696</v>
      </c>
      <c r="BN1602" s="5">
        <v>39696</v>
      </c>
      <c r="BO1602" s="4"/>
      <c r="BP1602" s="4"/>
      <c r="BQ1602" s="4"/>
      <c r="BR1602" s="4"/>
      <c r="BS1602" s="4"/>
      <c r="BT1602" s="4"/>
      <c r="BU1602" s="5">
        <v>39695</v>
      </c>
      <c r="BV1602" s="5">
        <v>39731</v>
      </c>
      <c r="BW1602" s="5">
        <v>39731</v>
      </c>
      <c r="BX1602" s="4"/>
      <c r="BY1602" s="5">
        <v>39742</v>
      </c>
      <c r="BZ1602" s="5">
        <v>39741</v>
      </c>
      <c r="CA1602" s="4"/>
      <c r="CB1602" s="4"/>
      <c r="CC1602" s="4"/>
      <c r="CD1602" s="4"/>
      <c r="CE1602" s="4"/>
      <c r="CF1602" s="4"/>
      <c r="CG1602" s="4"/>
      <c r="CH1602" s="4"/>
      <c r="CI1602" s="5">
        <v>39878</v>
      </c>
      <c r="CJ1602" s="5">
        <v>39881</v>
      </c>
      <c r="CK1602" s="5">
        <v>39878</v>
      </c>
      <c r="CL1602" s="4"/>
      <c r="CM1602" s="4"/>
      <c r="CN1602" s="4"/>
      <c r="CO1602" s="4"/>
      <c r="CP1602" s="4" t="s">
        <v>4826</v>
      </c>
      <c r="CQ1602" s="4"/>
      <c r="CR1602" s="5">
        <v>39881</v>
      </c>
      <c r="CS1602" s="4"/>
      <c r="CT1602" s="4"/>
      <c r="CU1602" s="4"/>
      <c r="CV1602" s="4"/>
      <c r="CW1602" s="4"/>
      <c r="CX1602" s="4"/>
      <c r="CY1602" s="4"/>
      <c r="CZ1602" s="4"/>
      <c r="DA1602" s="4"/>
      <c r="DB1602" s="4"/>
      <c r="DC1602" s="4"/>
      <c r="DD1602" s="4"/>
      <c r="DE1602" s="4"/>
      <c r="DF1602" s="4"/>
      <c r="DG1602" s="4"/>
      <c r="DH1602" s="4"/>
      <c r="DI1602" s="4"/>
      <c r="DJ1602" s="4" t="b">
        <v>0</v>
      </c>
      <c r="DK1602" s="4"/>
      <c r="DL1602" s="4">
        <v>2668888</v>
      </c>
      <c r="DM1602" s="4">
        <v>5989022</v>
      </c>
      <c r="DN1602" s="4" t="s">
        <v>4827</v>
      </c>
      <c r="DO1602" s="4"/>
      <c r="DP1602" s="4"/>
      <c r="DQ1602" s="4" t="s">
        <v>148</v>
      </c>
      <c r="DR1602" s="4"/>
      <c r="DS1602" s="4"/>
      <c r="DT1602" s="4"/>
      <c r="DU1602" s="4"/>
      <c r="DV1602" s="4"/>
      <c r="DW1602" s="4"/>
      <c r="DX1602" s="4"/>
      <c r="DY1602" s="4"/>
      <c r="DZ1602" s="5">
        <v>39692</v>
      </c>
      <c r="EA1602" s="4"/>
      <c r="EB1602" s="4"/>
      <c r="EC1602" s="4"/>
      <c r="ED1602" s="4"/>
      <c r="EE1602" s="4"/>
      <c r="EF1602" s="4"/>
      <c r="EG1602" s="4"/>
      <c r="EH1602" s="4"/>
      <c r="EI1602" s="5">
        <v>39407</v>
      </c>
    </row>
    <row r="1603" spans="1:139" hidden="1" x14ac:dyDescent="0.2">
      <c r="A1603">
        <f>VLOOKUP(B1603,Sheet1!$A$1:$B$18,2,FALSE)</f>
        <v>0</v>
      </c>
      <c r="B1603" t="str">
        <f>LEFT(D1603,3)</f>
        <v>WLG</v>
      </c>
      <c r="C1603" s="2">
        <v>1602</v>
      </c>
      <c r="D1603" s="3" t="str">
        <f>HYPERLINK("https://sitebase.nzcomms.co.nz/spm/spmnominalview/WLG-046-027/","WLG-046-027")</f>
        <v>WLG-046-027</v>
      </c>
      <c r="E1603" s="4"/>
      <c r="F1603" s="3" t="str">
        <f>HYPERLINK("https://sitebase.nzcomms.co.nz/spm/spmcandidateview/WLG-046-027-C/","WLG-046-027-C")</f>
        <v>WLG-046-027-C</v>
      </c>
      <c r="G1603" s="4" t="s">
        <v>4828</v>
      </c>
      <c r="H1603" s="4" t="s">
        <v>4778</v>
      </c>
      <c r="I1603" s="4"/>
      <c r="J1603" s="4" t="s">
        <v>139</v>
      </c>
      <c r="K1603" s="4" t="s">
        <v>141</v>
      </c>
      <c r="L1603" s="4" t="s">
        <v>150</v>
      </c>
      <c r="M1603" s="4" t="s">
        <v>143</v>
      </c>
      <c r="N1603" s="4" t="s">
        <v>156</v>
      </c>
      <c r="O1603" s="4" t="s">
        <v>144</v>
      </c>
      <c r="P1603" s="4"/>
      <c r="Q1603" s="4"/>
      <c r="R1603" s="4">
        <v>13.8</v>
      </c>
      <c r="S1603" s="4">
        <v>13.8</v>
      </c>
      <c r="T1603" s="4"/>
      <c r="U1603" s="4">
        <v>-41.222586010000001</v>
      </c>
      <c r="V1603" s="4">
        <v>174.91182631000001</v>
      </c>
      <c r="W1603" s="4"/>
      <c r="X1603" s="4"/>
      <c r="Y1603" s="4"/>
      <c r="Z1603" s="4"/>
      <c r="AA1603" s="4" t="s">
        <v>171</v>
      </c>
      <c r="AB1603" s="3" t="str">
        <f>HYPERLINK("https://sitebase.nzcomms.co.nz/spm/spmcandidateview/WLG-046-033-B/","WLG-046-033-B")</f>
        <v>WLG-046-033-B</v>
      </c>
      <c r="AC1603" s="4"/>
      <c r="AD1603" s="4"/>
      <c r="AE1603" s="4"/>
      <c r="AF1603" s="4"/>
      <c r="AG1603" s="4"/>
      <c r="AH1603" s="4"/>
      <c r="AI1603" s="4"/>
      <c r="AJ1603" s="4"/>
      <c r="AK1603" s="4"/>
      <c r="AL1603" s="4"/>
      <c r="AM1603" s="4"/>
      <c r="AN1603" s="5">
        <v>39738</v>
      </c>
      <c r="AO1603" s="4">
        <v>1</v>
      </c>
      <c r="AP1603" s="5">
        <v>39736</v>
      </c>
      <c r="AQ1603" s="5">
        <v>39738</v>
      </c>
      <c r="AR1603" s="4"/>
      <c r="AS1603" s="4"/>
      <c r="AT1603" s="5">
        <v>39721</v>
      </c>
      <c r="AU1603" s="5">
        <v>39696</v>
      </c>
      <c r="AV1603" s="4">
        <v>1</v>
      </c>
      <c r="AW1603" s="5">
        <v>39721</v>
      </c>
      <c r="AX1603" s="5">
        <v>39696</v>
      </c>
      <c r="AY1603" s="4"/>
      <c r="AZ1603" s="4"/>
      <c r="BA1603" s="4"/>
      <c r="BB1603" s="5">
        <v>39770</v>
      </c>
      <c r="BC1603" s="4"/>
      <c r="BD1603" s="4"/>
      <c r="BE1603" s="5">
        <v>39770</v>
      </c>
      <c r="BF1603" s="5">
        <v>39770</v>
      </c>
      <c r="BG1603" s="4"/>
      <c r="BH1603" s="5">
        <v>39804</v>
      </c>
      <c r="BI1603" s="4"/>
      <c r="BJ1603" s="5">
        <v>39841</v>
      </c>
      <c r="BK1603" s="4">
        <v>1</v>
      </c>
      <c r="BL1603" s="4">
        <v>1</v>
      </c>
      <c r="BM1603" s="5">
        <v>39841</v>
      </c>
      <c r="BN1603" s="5">
        <v>39841</v>
      </c>
      <c r="BO1603" s="5">
        <v>39801</v>
      </c>
      <c r="BP1603" s="4"/>
      <c r="BQ1603" s="4"/>
      <c r="BR1603" s="4"/>
      <c r="BS1603" s="4"/>
      <c r="BT1603" s="4"/>
      <c r="BU1603" s="5">
        <v>39846</v>
      </c>
      <c r="BV1603" s="5">
        <v>39864</v>
      </c>
      <c r="BW1603" s="5">
        <v>39864</v>
      </c>
      <c r="BX1603" s="4"/>
      <c r="BY1603" s="5">
        <v>39908</v>
      </c>
      <c r="BZ1603" s="5">
        <v>39909</v>
      </c>
      <c r="CA1603" s="4"/>
      <c r="CB1603" s="4"/>
      <c r="CC1603" s="4"/>
      <c r="CD1603" s="4"/>
      <c r="CE1603" s="4"/>
      <c r="CF1603" s="4"/>
      <c r="CG1603" s="4"/>
      <c r="CH1603" s="4"/>
      <c r="CI1603" s="5">
        <v>39933</v>
      </c>
      <c r="CJ1603" s="5">
        <v>39932</v>
      </c>
      <c r="CK1603" s="5">
        <v>39933</v>
      </c>
      <c r="CL1603" s="4"/>
      <c r="CM1603" s="4"/>
      <c r="CN1603" s="4"/>
      <c r="CO1603" s="4"/>
      <c r="CP1603" s="4" t="s">
        <v>4829</v>
      </c>
      <c r="CQ1603" s="4"/>
      <c r="CR1603" s="5">
        <v>39932</v>
      </c>
      <c r="CS1603" s="4"/>
      <c r="CT1603" s="4"/>
      <c r="CU1603" s="4"/>
      <c r="CV1603" s="4"/>
      <c r="CW1603" s="5">
        <v>39813</v>
      </c>
      <c r="CX1603" s="5">
        <v>39801</v>
      </c>
      <c r="CY1603" s="4"/>
      <c r="CZ1603" s="4"/>
      <c r="DA1603" s="4"/>
      <c r="DB1603" s="4"/>
      <c r="DC1603" s="4"/>
      <c r="DD1603" s="4"/>
      <c r="DE1603" s="4"/>
      <c r="DF1603" s="4"/>
      <c r="DG1603" s="4"/>
      <c r="DH1603" s="4"/>
      <c r="DI1603" s="4"/>
      <c r="DJ1603" s="4" t="b">
        <v>0</v>
      </c>
      <c r="DK1603" s="4"/>
      <c r="DL1603" s="4">
        <v>2670271</v>
      </c>
      <c r="DM1603" s="4">
        <v>5996485</v>
      </c>
      <c r="DN1603" s="4" t="s">
        <v>4830</v>
      </c>
      <c r="DO1603" s="4"/>
      <c r="DP1603" s="4"/>
      <c r="DQ1603" s="4" t="s">
        <v>148</v>
      </c>
      <c r="DR1603" s="4"/>
      <c r="DS1603" s="4"/>
      <c r="DT1603" s="5">
        <v>41985</v>
      </c>
      <c r="DU1603" s="4"/>
      <c r="DV1603" s="4"/>
      <c r="DW1603" s="4"/>
      <c r="DX1603" s="4"/>
      <c r="DY1603" s="4"/>
      <c r="DZ1603" s="5">
        <v>39847</v>
      </c>
      <c r="EA1603" s="4"/>
      <c r="EB1603" s="4"/>
      <c r="EC1603" s="4"/>
      <c r="ED1603" s="4"/>
      <c r="EE1603" s="4"/>
      <c r="EF1603" s="4"/>
      <c r="EG1603" s="4"/>
      <c r="EH1603" s="4"/>
      <c r="EI1603" s="5">
        <v>39687</v>
      </c>
    </row>
    <row r="1604" spans="1:139" hidden="1" x14ac:dyDescent="0.2">
      <c r="A1604">
        <f>VLOOKUP(B1604,Sheet1!$A$1:$B$18,2,FALSE)</f>
        <v>0</v>
      </c>
      <c r="B1604" t="str">
        <f>LEFT(D1604,3)</f>
        <v>WLG</v>
      </c>
      <c r="C1604" s="2">
        <v>1603</v>
      </c>
      <c r="D1604" s="3" t="str">
        <f>HYPERLINK("https://sitebase.nzcomms.co.nz/spm/spmnominalview/WLG-046-028/","WLG-046-028")</f>
        <v>WLG-046-028</v>
      </c>
      <c r="E1604" s="4"/>
      <c r="F1604" s="3" t="str">
        <f>HYPERLINK("https://sitebase.nzcomms.co.nz/spm/spmcandidateview/WLG-046-028-D/","WLG-046-028-D")</f>
        <v>WLG-046-028-D</v>
      </c>
      <c r="G1604" s="4" t="s">
        <v>4831</v>
      </c>
      <c r="H1604" s="4" t="s">
        <v>4778</v>
      </c>
      <c r="I1604" s="4"/>
      <c r="J1604" s="4" t="s">
        <v>139</v>
      </c>
      <c r="K1604" s="4" t="s">
        <v>141</v>
      </c>
      <c r="L1604" s="4" t="s">
        <v>181</v>
      </c>
      <c r="M1604" s="4" t="s">
        <v>442</v>
      </c>
      <c r="N1604" s="4" t="s">
        <v>364</v>
      </c>
      <c r="O1604" s="4" t="s">
        <v>144</v>
      </c>
      <c r="P1604" s="4"/>
      <c r="Q1604" s="4"/>
      <c r="R1604" s="4">
        <v>11.2</v>
      </c>
      <c r="S1604" s="4">
        <v>11.2</v>
      </c>
      <c r="T1604" s="4"/>
      <c r="U1604" s="4">
        <v>-41.214069440000003</v>
      </c>
      <c r="V1604" s="4">
        <v>174.92083561000001</v>
      </c>
      <c r="W1604" s="4"/>
      <c r="X1604" s="4"/>
      <c r="Y1604" s="4"/>
      <c r="Z1604" s="4"/>
      <c r="AA1604" s="4" t="s">
        <v>217</v>
      </c>
      <c r="AB1604" s="4" t="s">
        <v>4802</v>
      </c>
      <c r="AC1604" s="4"/>
      <c r="AD1604" s="4"/>
      <c r="AE1604" s="4"/>
      <c r="AF1604" s="4"/>
      <c r="AG1604" s="4"/>
      <c r="AH1604" s="4" t="s">
        <v>4832</v>
      </c>
      <c r="AI1604" s="4"/>
      <c r="AJ1604" s="5">
        <v>39539</v>
      </c>
      <c r="AK1604" s="4"/>
      <c r="AL1604" s="4"/>
      <c r="AM1604" s="4"/>
      <c r="AN1604" s="5">
        <v>39561</v>
      </c>
      <c r="AO1604" s="4">
        <v>3</v>
      </c>
      <c r="AP1604" s="4"/>
      <c r="AQ1604" s="5">
        <v>39637</v>
      </c>
      <c r="AR1604" s="4"/>
      <c r="AS1604" s="4"/>
      <c r="AT1604" s="5">
        <v>39751</v>
      </c>
      <c r="AU1604" s="5">
        <v>39728</v>
      </c>
      <c r="AV1604" s="4">
        <v>3</v>
      </c>
      <c r="AW1604" s="5">
        <v>39751</v>
      </c>
      <c r="AX1604" s="5">
        <v>39728</v>
      </c>
      <c r="AY1604" s="4"/>
      <c r="AZ1604" s="4"/>
      <c r="BA1604" s="4"/>
      <c r="BB1604" s="5">
        <v>39833</v>
      </c>
      <c r="BC1604" s="4"/>
      <c r="BD1604" s="4"/>
      <c r="BE1604" s="5">
        <v>39833</v>
      </c>
      <c r="BF1604" s="5">
        <v>39833</v>
      </c>
      <c r="BG1604" s="4"/>
      <c r="BH1604" s="5">
        <v>39783</v>
      </c>
      <c r="BI1604" s="4"/>
      <c r="BJ1604" s="5">
        <v>39856</v>
      </c>
      <c r="BK1604" s="4">
        <v>1</v>
      </c>
      <c r="BL1604" s="4">
        <v>3</v>
      </c>
      <c r="BM1604" s="5">
        <v>39856</v>
      </c>
      <c r="BN1604" s="5">
        <v>39856</v>
      </c>
      <c r="BO1604" s="4"/>
      <c r="BP1604" s="4"/>
      <c r="BQ1604" s="4"/>
      <c r="BR1604" s="4"/>
      <c r="BS1604" s="4"/>
      <c r="BT1604" s="5">
        <v>39948</v>
      </c>
      <c r="BU1604" s="5">
        <v>39941</v>
      </c>
      <c r="BV1604" s="5">
        <v>39992</v>
      </c>
      <c r="BW1604" s="5">
        <v>39993</v>
      </c>
      <c r="BX1604" s="4"/>
      <c r="BY1604" s="5">
        <v>39997</v>
      </c>
      <c r="BZ1604" s="5">
        <v>39995</v>
      </c>
      <c r="CA1604" s="4"/>
      <c r="CB1604" s="4"/>
      <c r="CC1604" s="4"/>
      <c r="CD1604" s="4"/>
      <c r="CE1604" s="4"/>
      <c r="CF1604" s="4"/>
      <c r="CG1604" s="4"/>
      <c r="CH1604" s="4"/>
      <c r="CI1604" s="5">
        <v>39996</v>
      </c>
      <c r="CJ1604" s="5">
        <v>40000</v>
      </c>
      <c r="CK1604" s="5">
        <v>39996</v>
      </c>
      <c r="CL1604" s="4"/>
      <c r="CM1604" s="4"/>
      <c r="CN1604" s="4"/>
      <c r="CO1604" s="4"/>
      <c r="CP1604" s="4" t="s">
        <v>4833</v>
      </c>
      <c r="CQ1604" s="4"/>
      <c r="CR1604" s="5">
        <v>40000</v>
      </c>
      <c r="CS1604" s="4"/>
      <c r="CT1604" s="4"/>
      <c r="CU1604" s="4"/>
      <c r="CV1604" s="4"/>
      <c r="CW1604" s="4"/>
      <c r="CX1604" s="4"/>
      <c r="CY1604" s="4"/>
      <c r="CZ1604" s="4"/>
      <c r="DA1604" s="4"/>
      <c r="DB1604" s="4"/>
      <c r="DC1604" s="4"/>
      <c r="DD1604" s="4"/>
      <c r="DE1604" s="4"/>
      <c r="DF1604" s="4"/>
      <c r="DG1604" s="4"/>
      <c r="DH1604" s="4"/>
      <c r="DI1604" s="4"/>
      <c r="DJ1604" s="4" t="b">
        <v>0</v>
      </c>
      <c r="DK1604" s="4"/>
      <c r="DL1604" s="4">
        <v>2671047</v>
      </c>
      <c r="DM1604" s="4">
        <v>5997414</v>
      </c>
      <c r="DN1604" s="4" t="s">
        <v>4834</v>
      </c>
      <c r="DO1604" s="4"/>
      <c r="DP1604" s="4"/>
      <c r="DQ1604" s="4" t="s">
        <v>148</v>
      </c>
      <c r="DR1604" s="4"/>
      <c r="DS1604" s="4"/>
      <c r="DT1604" s="5">
        <v>41985</v>
      </c>
      <c r="DU1604" s="4"/>
      <c r="DV1604" s="4"/>
      <c r="DW1604" s="4"/>
      <c r="DX1604" s="4"/>
      <c r="DY1604" s="4"/>
      <c r="DZ1604" s="5">
        <v>39867</v>
      </c>
      <c r="EA1604" s="4"/>
      <c r="EB1604" s="4"/>
      <c r="EC1604" s="4"/>
      <c r="ED1604" s="4"/>
      <c r="EE1604" s="4"/>
      <c r="EF1604" s="4"/>
      <c r="EG1604" s="4"/>
      <c r="EH1604" s="4"/>
      <c r="EI1604" s="5">
        <v>39538</v>
      </c>
    </row>
    <row r="1605" spans="1:139" hidden="1" x14ac:dyDescent="0.2">
      <c r="A1605">
        <f>VLOOKUP(B1605,Sheet1!$A$1:$B$18,2,FALSE)</f>
        <v>0</v>
      </c>
      <c r="B1605" t="str">
        <f>LEFT(D1605,3)</f>
        <v>WLG</v>
      </c>
      <c r="C1605" s="2">
        <v>1604</v>
      </c>
      <c r="D1605" s="3" t="str">
        <f>HYPERLINK("https://sitebase.nzcomms.co.nz/spm/spmnominalview/WLG-046-031/","WLG-046-031")</f>
        <v>WLG-046-031</v>
      </c>
      <c r="E1605" s="4"/>
      <c r="F1605" s="3" t="str">
        <f>HYPERLINK("https://sitebase.nzcomms.co.nz/spm/spmcandidateview/WLG-046-031-B/","WLG-046-031-B")</f>
        <v>WLG-046-031-B</v>
      </c>
      <c r="G1605" s="4" t="s">
        <v>4835</v>
      </c>
      <c r="H1605" s="4" t="s">
        <v>4778</v>
      </c>
      <c r="I1605" s="4"/>
      <c r="J1605" s="4" t="s">
        <v>139</v>
      </c>
      <c r="K1605" s="4" t="s">
        <v>141</v>
      </c>
      <c r="L1605" s="4" t="s">
        <v>181</v>
      </c>
      <c r="M1605" s="4" t="s">
        <v>442</v>
      </c>
      <c r="N1605" s="4" t="s">
        <v>364</v>
      </c>
      <c r="O1605" s="4" t="s">
        <v>144</v>
      </c>
      <c r="P1605" s="4"/>
      <c r="Q1605" s="4"/>
      <c r="R1605" s="4"/>
      <c r="S1605" s="4"/>
      <c r="T1605" s="4"/>
      <c r="U1605" s="4">
        <v>-41.226133349999998</v>
      </c>
      <c r="V1605" s="4">
        <v>174.86944733999999</v>
      </c>
      <c r="W1605" s="4"/>
      <c r="X1605" s="4"/>
      <c r="Y1605" s="4"/>
      <c r="Z1605" s="4"/>
      <c r="AA1605" s="4"/>
      <c r="AB1605" s="4"/>
      <c r="AC1605" s="4"/>
      <c r="AD1605" s="4"/>
      <c r="AE1605" s="4"/>
      <c r="AF1605" s="4"/>
      <c r="AG1605" s="4"/>
      <c r="AH1605" s="4"/>
      <c r="AI1605" s="4"/>
      <c r="AJ1605" s="4"/>
      <c r="AK1605" s="4"/>
      <c r="AL1605" s="4"/>
      <c r="AM1605" s="4"/>
      <c r="AN1605" s="5">
        <v>39476</v>
      </c>
      <c r="AO1605" s="4">
        <v>5</v>
      </c>
      <c r="AP1605" s="4"/>
      <c r="AQ1605" s="5">
        <v>41498</v>
      </c>
      <c r="AR1605" s="4"/>
      <c r="AS1605" s="4"/>
      <c r="AT1605" s="5">
        <v>39599</v>
      </c>
      <c r="AU1605" s="5">
        <v>39581</v>
      </c>
      <c r="AV1605" s="4">
        <v>1</v>
      </c>
      <c r="AW1605" s="5">
        <v>39599</v>
      </c>
      <c r="AX1605" s="5">
        <v>39581</v>
      </c>
      <c r="AY1605" s="4"/>
      <c r="AZ1605" s="4"/>
      <c r="BA1605" s="4"/>
      <c r="BB1605" s="5">
        <v>39570</v>
      </c>
      <c r="BC1605" s="4"/>
      <c r="BD1605" s="4"/>
      <c r="BE1605" s="5">
        <v>39800</v>
      </c>
      <c r="BF1605" s="5">
        <v>39800</v>
      </c>
      <c r="BG1605" s="4"/>
      <c r="BH1605" s="5">
        <v>39552</v>
      </c>
      <c r="BI1605" s="4"/>
      <c r="BJ1605" s="5">
        <v>39629</v>
      </c>
      <c r="BK1605" s="4">
        <v>4</v>
      </c>
      <c r="BL1605" s="4">
        <v>2</v>
      </c>
      <c r="BM1605" s="5">
        <v>39792</v>
      </c>
      <c r="BN1605" s="5">
        <v>39792</v>
      </c>
      <c r="BO1605" s="4"/>
      <c r="BP1605" s="4"/>
      <c r="BQ1605" s="4"/>
      <c r="BR1605" s="4"/>
      <c r="BS1605" s="4"/>
      <c r="BT1605" s="5">
        <v>39853</v>
      </c>
      <c r="BU1605" s="5">
        <v>39855</v>
      </c>
      <c r="BV1605" s="5">
        <v>39889</v>
      </c>
      <c r="BW1605" s="5">
        <v>39888</v>
      </c>
      <c r="BX1605" s="4"/>
      <c r="BY1605" s="5">
        <v>39892</v>
      </c>
      <c r="BZ1605" s="5">
        <v>39892</v>
      </c>
      <c r="CA1605" s="4"/>
      <c r="CB1605" s="4"/>
      <c r="CC1605" s="4"/>
      <c r="CD1605" s="4"/>
      <c r="CE1605" s="4"/>
      <c r="CF1605" s="4"/>
      <c r="CG1605" s="4"/>
      <c r="CH1605" s="4"/>
      <c r="CI1605" s="5">
        <v>39892</v>
      </c>
      <c r="CJ1605" s="5">
        <v>39897</v>
      </c>
      <c r="CK1605" s="5">
        <v>39892</v>
      </c>
      <c r="CL1605" s="4"/>
      <c r="CM1605" s="4"/>
      <c r="CN1605" s="4"/>
      <c r="CO1605" s="4"/>
      <c r="CP1605" s="4" t="s">
        <v>4836</v>
      </c>
      <c r="CQ1605" s="4"/>
      <c r="CR1605" s="5">
        <v>39897</v>
      </c>
      <c r="CS1605" s="4"/>
      <c r="CT1605" s="4"/>
      <c r="CU1605" s="4"/>
      <c r="CV1605" s="4"/>
      <c r="CW1605" s="4"/>
      <c r="CX1605" s="4"/>
      <c r="CY1605" s="4"/>
      <c r="CZ1605" s="4"/>
      <c r="DA1605" s="4"/>
      <c r="DB1605" s="4"/>
      <c r="DC1605" s="4"/>
      <c r="DD1605" s="4"/>
      <c r="DE1605" s="4"/>
      <c r="DF1605" s="4"/>
      <c r="DG1605" s="4"/>
      <c r="DH1605" s="4"/>
      <c r="DI1605" s="4"/>
      <c r="DJ1605" s="4" t="b">
        <v>0</v>
      </c>
      <c r="DK1605" s="4"/>
      <c r="DL1605" s="4">
        <v>2666710</v>
      </c>
      <c r="DM1605" s="4">
        <v>5996168</v>
      </c>
      <c r="DN1605" s="4" t="s">
        <v>4837</v>
      </c>
      <c r="DO1605" s="4"/>
      <c r="DP1605" s="4"/>
      <c r="DQ1605" s="4" t="s">
        <v>148</v>
      </c>
      <c r="DR1605" s="4"/>
      <c r="DS1605" s="4"/>
      <c r="DT1605" s="5">
        <v>41985</v>
      </c>
      <c r="DU1605" s="4"/>
      <c r="DV1605" s="4"/>
      <c r="DW1605" s="4"/>
      <c r="DX1605" s="4"/>
      <c r="DY1605" s="4"/>
      <c r="DZ1605" s="5">
        <v>39790</v>
      </c>
      <c r="EA1605" s="4"/>
      <c r="EB1605" s="4"/>
      <c r="EC1605" s="4"/>
      <c r="ED1605" s="4"/>
      <c r="EE1605" s="4"/>
      <c r="EF1605" s="4"/>
      <c r="EG1605" s="4"/>
      <c r="EH1605" s="4"/>
      <c r="EI1605" s="5">
        <v>39420</v>
      </c>
    </row>
    <row r="1606" spans="1:139" hidden="1" x14ac:dyDescent="0.2">
      <c r="A1606">
        <f>VLOOKUP(B1606,Sheet1!$A$1:$B$18,2,FALSE)</f>
        <v>0</v>
      </c>
      <c r="B1606" t="str">
        <f>LEFT(D1606,3)</f>
        <v>WLG</v>
      </c>
      <c r="C1606" s="2">
        <v>1605</v>
      </c>
      <c r="D1606" s="3" t="str">
        <f>HYPERLINK("https://sitebase.nzcomms.co.nz/spm/spmnominalview/WLG-046-032/","WLG-046-032")</f>
        <v>WLG-046-032</v>
      </c>
      <c r="E1606" s="4"/>
      <c r="F1606" s="3" t="str">
        <f>HYPERLINK("https://sitebase.nzcomms.co.nz/spm/spmcandidateview/WLG-046-032-B/","WLG-046-032-B")</f>
        <v>WLG-046-032-B</v>
      </c>
      <c r="G1606" s="4" t="s">
        <v>4838</v>
      </c>
      <c r="H1606" s="4" t="s">
        <v>4778</v>
      </c>
      <c r="I1606" s="4"/>
      <c r="J1606" s="4" t="s">
        <v>139</v>
      </c>
      <c r="K1606" s="4" t="s">
        <v>141</v>
      </c>
      <c r="L1606" s="4" t="s">
        <v>150</v>
      </c>
      <c r="M1606" s="4" t="s">
        <v>143</v>
      </c>
      <c r="N1606" s="4" t="s">
        <v>291</v>
      </c>
      <c r="O1606" s="4" t="s">
        <v>144</v>
      </c>
      <c r="P1606" s="4"/>
      <c r="Q1606" s="4"/>
      <c r="R1606" s="4">
        <v>13.8</v>
      </c>
      <c r="S1606" s="4">
        <v>13.8</v>
      </c>
      <c r="T1606" s="4"/>
      <c r="U1606" s="4">
        <v>-41.221120409999997</v>
      </c>
      <c r="V1606" s="4">
        <v>174.87699949</v>
      </c>
      <c r="W1606" s="4"/>
      <c r="X1606" s="4"/>
      <c r="Y1606" s="4"/>
      <c r="Z1606" s="4"/>
      <c r="AA1606" s="4" t="s">
        <v>217</v>
      </c>
      <c r="AB1606" s="4" t="s">
        <v>4839</v>
      </c>
      <c r="AC1606" s="4"/>
      <c r="AD1606" s="4"/>
      <c r="AE1606" s="4"/>
      <c r="AF1606" s="4"/>
      <c r="AG1606" s="4"/>
      <c r="AH1606" s="4" t="s">
        <v>4840</v>
      </c>
      <c r="AI1606" s="4"/>
      <c r="AJ1606" s="4"/>
      <c r="AK1606" s="4"/>
      <c r="AL1606" s="4"/>
      <c r="AM1606" s="5">
        <v>39905</v>
      </c>
      <c r="AN1606" s="5">
        <v>39710</v>
      </c>
      <c r="AO1606" s="4">
        <v>3</v>
      </c>
      <c r="AP1606" s="5">
        <v>39885</v>
      </c>
      <c r="AQ1606" s="5">
        <v>39876</v>
      </c>
      <c r="AR1606" s="4"/>
      <c r="AS1606" s="4"/>
      <c r="AT1606" s="5">
        <v>39698</v>
      </c>
      <c r="AU1606" s="5">
        <v>39689</v>
      </c>
      <c r="AV1606" s="4">
        <v>2</v>
      </c>
      <c r="AW1606" s="5">
        <v>39698</v>
      </c>
      <c r="AX1606" s="5">
        <v>39689</v>
      </c>
      <c r="AY1606" s="4"/>
      <c r="AZ1606" s="4"/>
      <c r="BA1606" s="4"/>
      <c r="BB1606" s="5">
        <v>39800</v>
      </c>
      <c r="BC1606" s="4"/>
      <c r="BD1606" s="4"/>
      <c r="BE1606" s="5">
        <v>39859</v>
      </c>
      <c r="BF1606" s="5">
        <v>39800</v>
      </c>
      <c r="BG1606" s="4"/>
      <c r="BH1606" s="5">
        <v>39742</v>
      </c>
      <c r="BI1606" s="4"/>
      <c r="BJ1606" s="5">
        <v>39800</v>
      </c>
      <c r="BK1606" s="4">
        <v>1</v>
      </c>
      <c r="BL1606" s="4">
        <v>1</v>
      </c>
      <c r="BM1606" s="5">
        <v>39800</v>
      </c>
      <c r="BN1606" s="5">
        <v>39800</v>
      </c>
      <c r="BO1606" s="5">
        <v>39846</v>
      </c>
      <c r="BP1606" s="4"/>
      <c r="BQ1606" s="4"/>
      <c r="BR1606" s="4"/>
      <c r="BS1606" s="4"/>
      <c r="BT1606" s="4"/>
      <c r="BU1606" s="5">
        <v>39843</v>
      </c>
      <c r="BV1606" s="5">
        <v>39872</v>
      </c>
      <c r="BW1606" s="5">
        <v>39869</v>
      </c>
      <c r="BX1606" s="4"/>
      <c r="BY1606" s="5">
        <v>39872</v>
      </c>
      <c r="BZ1606" s="5">
        <v>39871</v>
      </c>
      <c r="CA1606" s="4"/>
      <c r="CB1606" s="4"/>
      <c r="CC1606" s="4"/>
      <c r="CD1606" s="4"/>
      <c r="CE1606" s="4"/>
      <c r="CF1606" s="4"/>
      <c r="CG1606" s="4"/>
      <c r="CH1606" s="4"/>
      <c r="CI1606" s="5">
        <v>39896</v>
      </c>
      <c r="CJ1606" s="5">
        <v>39896</v>
      </c>
      <c r="CK1606" s="5">
        <v>39896</v>
      </c>
      <c r="CL1606" s="4"/>
      <c r="CM1606" s="4"/>
      <c r="CN1606" s="4"/>
      <c r="CO1606" s="4"/>
      <c r="CP1606" s="4" t="s">
        <v>405</v>
      </c>
      <c r="CQ1606" s="4"/>
      <c r="CR1606" s="5">
        <v>39896</v>
      </c>
      <c r="CS1606" s="4"/>
      <c r="CT1606" s="4"/>
      <c r="CU1606" s="4"/>
      <c r="CV1606" s="4"/>
      <c r="CW1606" s="5">
        <v>39841</v>
      </c>
      <c r="CX1606" s="5">
        <v>39846</v>
      </c>
      <c r="CY1606" s="4"/>
      <c r="CZ1606" s="4"/>
      <c r="DA1606" s="4"/>
      <c r="DB1606" s="4"/>
      <c r="DC1606" s="4"/>
      <c r="DD1606" s="4"/>
      <c r="DE1606" s="4"/>
      <c r="DF1606" s="4"/>
      <c r="DG1606" s="4"/>
      <c r="DH1606" s="4"/>
      <c r="DI1606" s="4"/>
      <c r="DJ1606" s="4" t="b">
        <v>0</v>
      </c>
      <c r="DK1606" s="4"/>
      <c r="DL1606" s="4">
        <v>2667355</v>
      </c>
      <c r="DM1606" s="4">
        <v>5996711</v>
      </c>
      <c r="DN1606" s="4" t="s">
        <v>4841</v>
      </c>
      <c r="DO1606" s="4"/>
      <c r="DP1606" s="4"/>
      <c r="DQ1606" s="4" t="s">
        <v>148</v>
      </c>
      <c r="DR1606" s="4"/>
      <c r="DS1606" s="4"/>
      <c r="DT1606" s="5">
        <v>41985</v>
      </c>
      <c r="DU1606" s="4"/>
      <c r="DV1606" s="4"/>
      <c r="DW1606" s="4"/>
      <c r="DX1606" s="4"/>
      <c r="DY1606" s="4"/>
      <c r="DZ1606" s="5">
        <v>39821</v>
      </c>
      <c r="EA1606" s="4"/>
      <c r="EB1606" s="4"/>
      <c r="EC1606" s="4"/>
      <c r="ED1606" s="4"/>
      <c r="EE1606" s="4"/>
      <c r="EF1606" s="4"/>
      <c r="EG1606" s="4"/>
      <c r="EH1606" s="4"/>
      <c r="EI1606" s="5">
        <v>39687</v>
      </c>
    </row>
    <row r="1607" spans="1:139" hidden="1" x14ac:dyDescent="0.2">
      <c r="A1607">
        <f>VLOOKUP(B1607,Sheet1!$A$1:$B$18,2,FALSE)</f>
        <v>0</v>
      </c>
      <c r="B1607" t="str">
        <f>LEFT(D1607,3)</f>
        <v>WLG</v>
      </c>
      <c r="C1607" s="2">
        <v>1606</v>
      </c>
      <c r="D1607" s="3" t="str">
        <f>HYPERLINK("https://sitebase.nzcomms.co.nz/spm/spmnominalview/WLG-046-033/","WLG-046-033")</f>
        <v>WLG-046-033</v>
      </c>
      <c r="E1607" s="4"/>
      <c r="F1607" s="3" t="str">
        <f>HYPERLINK("https://sitebase.nzcomms.co.nz/spm/spmcandidateview/WLG-046-033-B/","WLG-046-033-B")</f>
        <v>WLG-046-033-B</v>
      </c>
      <c r="G1607" s="4" t="s">
        <v>4842</v>
      </c>
      <c r="H1607" s="4" t="s">
        <v>4778</v>
      </c>
      <c r="I1607" s="4">
        <v>7</v>
      </c>
      <c r="J1607" s="4" t="s">
        <v>139</v>
      </c>
      <c r="K1607" s="4" t="s">
        <v>141</v>
      </c>
      <c r="L1607" s="4" t="s">
        <v>150</v>
      </c>
      <c r="M1607" s="4" t="s">
        <v>143</v>
      </c>
      <c r="N1607" s="4" t="s">
        <v>291</v>
      </c>
      <c r="O1607" s="4" t="s">
        <v>144</v>
      </c>
      <c r="P1607" s="4"/>
      <c r="Q1607" s="4"/>
      <c r="R1607" s="4">
        <v>18.8</v>
      </c>
      <c r="S1607" s="4">
        <v>18.8</v>
      </c>
      <c r="T1607" s="4"/>
      <c r="U1607" s="4">
        <v>-41.22939865</v>
      </c>
      <c r="V1607" s="4">
        <v>174.90177539999999</v>
      </c>
      <c r="W1607" s="4"/>
      <c r="X1607" s="4"/>
      <c r="Y1607" s="4"/>
      <c r="Z1607" s="4"/>
      <c r="AA1607" s="4" t="s">
        <v>217</v>
      </c>
      <c r="AB1607" s="4" t="s">
        <v>4843</v>
      </c>
      <c r="AC1607" s="4" t="b">
        <v>0</v>
      </c>
      <c r="AD1607" s="4" t="b">
        <v>0</v>
      </c>
      <c r="AE1607" s="4"/>
      <c r="AF1607" s="4"/>
      <c r="AG1607" s="4" t="b">
        <v>0</v>
      </c>
      <c r="AH1607" s="4" t="s">
        <v>4844</v>
      </c>
      <c r="AI1607" s="4"/>
      <c r="AJ1607" s="4"/>
      <c r="AK1607" s="4"/>
      <c r="AL1607" s="4"/>
      <c r="AM1607" s="4"/>
      <c r="AN1607" s="5">
        <v>39647</v>
      </c>
      <c r="AO1607" s="4">
        <v>3</v>
      </c>
      <c r="AP1607" s="5">
        <v>40767</v>
      </c>
      <c r="AQ1607" s="5">
        <v>39876</v>
      </c>
      <c r="AR1607" s="4"/>
      <c r="AS1607" s="4"/>
      <c r="AT1607" s="5">
        <v>39721</v>
      </c>
      <c r="AU1607" s="5">
        <v>39654</v>
      </c>
      <c r="AV1607" s="4">
        <v>2</v>
      </c>
      <c r="AW1607" s="5">
        <v>40757</v>
      </c>
      <c r="AX1607" s="5">
        <v>40756</v>
      </c>
      <c r="AY1607" s="4"/>
      <c r="AZ1607" s="4"/>
      <c r="BA1607" s="5">
        <v>40760</v>
      </c>
      <c r="BB1607" s="5">
        <v>39699</v>
      </c>
      <c r="BC1607" s="5">
        <v>40760</v>
      </c>
      <c r="BD1607" s="4">
        <v>3</v>
      </c>
      <c r="BE1607" s="5">
        <v>40760</v>
      </c>
      <c r="BF1607" s="5">
        <v>40760</v>
      </c>
      <c r="BG1607" s="4"/>
      <c r="BH1607" s="5">
        <v>39687</v>
      </c>
      <c r="BI1607" s="4"/>
      <c r="BJ1607" s="5">
        <v>39764</v>
      </c>
      <c r="BK1607" s="4">
        <v>1</v>
      </c>
      <c r="BL1607" s="4">
        <v>2</v>
      </c>
      <c r="BM1607" s="5">
        <v>39764</v>
      </c>
      <c r="BN1607" s="5">
        <v>39764</v>
      </c>
      <c r="BO1607" s="5">
        <v>39853</v>
      </c>
      <c r="BP1607" s="4"/>
      <c r="BQ1607" s="4"/>
      <c r="BR1607" s="4"/>
      <c r="BS1607" s="4"/>
      <c r="BT1607" s="4"/>
      <c r="BU1607" s="5">
        <v>39785</v>
      </c>
      <c r="BV1607" s="5">
        <v>39872</v>
      </c>
      <c r="BW1607" s="5">
        <v>39870</v>
      </c>
      <c r="BX1607" s="4"/>
      <c r="BY1607" s="5">
        <v>39872</v>
      </c>
      <c r="BZ1607" s="5">
        <v>39875</v>
      </c>
      <c r="CA1607" s="4"/>
      <c r="CB1607" s="4"/>
      <c r="CC1607" s="4"/>
      <c r="CD1607" s="4"/>
      <c r="CE1607" s="4"/>
      <c r="CF1607" s="4"/>
      <c r="CG1607" s="4"/>
      <c r="CH1607" s="4"/>
      <c r="CI1607" s="5">
        <v>39933</v>
      </c>
      <c r="CJ1607" s="5">
        <v>39932</v>
      </c>
      <c r="CK1607" s="5">
        <v>39933</v>
      </c>
      <c r="CL1607" s="4"/>
      <c r="CM1607" s="4"/>
      <c r="CN1607" s="4"/>
      <c r="CO1607" s="4"/>
      <c r="CP1607" s="4" t="s">
        <v>405</v>
      </c>
      <c r="CQ1607" s="4"/>
      <c r="CR1607" s="5">
        <v>39932</v>
      </c>
      <c r="CS1607" s="4"/>
      <c r="CT1607" s="4"/>
      <c r="CU1607" s="4"/>
      <c r="CV1607" s="4"/>
      <c r="CW1607" s="4"/>
      <c r="CX1607" s="5">
        <v>39853</v>
      </c>
      <c r="CY1607" s="4"/>
      <c r="CZ1607" s="4"/>
      <c r="DA1607" s="4"/>
      <c r="DB1607" s="4"/>
      <c r="DC1607" s="4"/>
      <c r="DD1607" s="4"/>
      <c r="DE1607" s="4"/>
      <c r="DF1607" s="4"/>
      <c r="DG1607" s="4"/>
      <c r="DH1607" s="4"/>
      <c r="DI1607" s="4"/>
      <c r="DJ1607" s="4" t="b">
        <v>0</v>
      </c>
      <c r="DK1607" s="4"/>
      <c r="DL1607" s="4">
        <v>2669412</v>
      </c>
      <c r="DM1607" s="4">
        <v>5995747</v>
      </c>
      <c r="DN1607" s="4" t="s">
        <v>4845</v>
      </c>
      <c r="DO1607" s="4"/>
      <c r="DP1607" s="4"/>
      <c r="DQ1607" s="4" t="s">
        <v>148</v>
      </c>
      <c r="DR1607" s="4"/>
      <c r="DS1607" s="4"/>
      <c r="DT1607" s="5">
        <v>41985</v>
      </c>
      <c r="DU1607" s="4"/>
      <c r="DV1607" s="4"/>
      <c r="DW1607" s="4"/>
      <c r="DX1607" s="4"/>
      <c r="DY1607" s="4"/>
      <c r="DZ1607" s="5">
        <v>39769</v>
      </c>
      <c r="EA1607" s="4"/>
      <c r="EB1607" s="4"/>
      <c r="EC1607" s="4"/>
      <c r="ED1607" s="4"/>
      <c r="EE1607" s="4"/>
      <c r="EF1607" s="4"/>
      <c r="EG1607" s="4"/>
      <c r="EH1607" s="4"/>
      <c r="EI1607" s="5">
        <v>39612</v>
      </c>
    </row>
    <row r="1608" spans="1:139" hidden="1" x14ac:dyDescent="0.2">
      <c r="A1608">
        <f>VLOOKUP(B1608,Sheet1!$A$1:$B$18,2,FALSE)</f>
        <v>0</v>
      </c>
      <c r="B1608" t="str">
        <f>LEFT(D1608,3)</f>
        <v>WLG</v>
      </c>
      <c r="C1608" s="2">
        <v>1607</v>
      </c>
      <c r="D1608" s="3" t="str">
        <f>HYPERLINK("https://sitebase.nzcomms.co.nz/spm/spmnominalview/WLG-046-035/","WLG-046-035")</f>
        <v>WLG-046-035</v>
      </c>
      <c r="E1608" s="4"/>
      <c r="F1608" s="3" t="str">
        <f>HYPERLINK("https://sitebase.nzcomms.co.nz/spm/spmcandidateview/WLG-046-035-B/","WLG-046-035-B")</f>
        <v>WLG-046-035-B</v>
      </c>
      <c r="G1608" s="4" t="s">
        <v>4846</v>
      </c>
      <c r="H1608" s="4" t="s">
        <v>4778</v>
      </c>
      <c r="I1608" s="4"/>
      <c r="J1608" s="4" t="s">
        <v>139</v>
      </c>
      <c r="K1608" s="4" t="s">
        <v>141</v>
      </c>
      <c r="L1608" s="4" t="s">
        <v>150</v>
      </c>
      <c r="M1608" s="4" t="s">
        <v>143</v>
      </c>
      <c r="N1608" s="4" t="s">
        <v>291</v>
      </c>
      <c r="O1608" s="4" t="s">
        <v>3256</v>
      </c>
      <c r="P1608" s="4"/>
      <c r="Q1608" s="4" t="s">
        <v>142</v>
      </c>
      <c r="R1608" s="4">
        <v>10</v>
      </c>
      <c r="S1608" s="4">
        <v>10</v>
      </c>
      <c r="T1608" s="4"/>
      <c r="U1608" s="4">
        <v>-41.316807969999999</v>
      </c>
      <c r="V1608" s="4">
        <v>174.87977182</v>
      </c>
      <c r="W1608" s="4"/>
      <c r="X1608" s="4"/>
      <c r="Y1608" s="4"/>
      <c r="Z1608" s="4"/>
      <c r="AA1608" s="4"/>
      <c r="AB1608" s="4"/>
      <c r="AC1608" s="4"/>
      <c r="AD1608" s="4"/>
      <c r="AE1608" s="4"/>
      <c r="AF1608" s="4"/>
      <c r="AG1608" s="4"/>
      <c r="AH1608" s="4"/>
      <c r="AI1608" s="5">
        <v>40035</v>
      </c>
      <c r="AJ1608" s="5">
        <v>40035</v>
      </c>
      <c r="AK1608" s="4"/>
      <c r="AL1608" s="4"/>
      <c r="AM1608" s="5">
        <v>40051</v>
      </c>
      <c r="AN1608" s="5">
        <v>40074</v>
      </c>
      <c r="AO1608" s="4">
        <v>1</v>
      </c>
      <c r="AP1608" s="5">
        <v>40051</v>
      </c>
      <c r="AQ1608" s="5">
        <v>40074</v>
      </c>
      <c r="AR1608" s="4"/>
      <c r="AS1608" s="4"/>
      <c r="AT1608" s="5">
        <v>40167</v>
      </c>
      <c r="AU1608" s="5">
        <v>40255</v>
      </c>
      <c r="AV1608" s="4"/>
      <c r="AW1608" s="5">
        <v>40167</v>
      </c>
      <c r="AX1608" s="4"/>
      <c r="AY1608" s="4"/>
      <c r="AZ1608" s="5">
        <v>39997</v>
      </c>
      <c r="BA1608" s="4"/>
      <c r="BB1608" s="5">
        <v>40024</v>
      </c>
      <c r="BC1608" s="4"/>
      <c r="BD1608" s="4"/>
      <c r="BE1608" s="5">
        <v>40024</v>
      </c>
      <c r="BF1608" s="5">
        <v>40014</v>
      </c>
      <c r="BG1608" s="5">
        <v>40051</v>
      </c>
      <c r="BH1608" s="5">
        <v>40051</v>
      </c>
      <c r="BI1608" s="5">
        <v>40074</v>
      </c>
      <c r="BJ1608" s="5">
        <v>40092</v>
      </c>
      <c r="BK1608" s="4">
        <v>1</v>
      </c>
      <c r="BL1608" s="4">
        <v>1</v>
      </c>
      <c r="BM1608" s="5">
        <v>40074</v>
      </c>
      <c r="BN1608" s="5">
        <v>40092</v>
      </c>
      <c r="BO1608" s="4"/>
      <c r="BP1608" s="4"/>
      <c r="BQ1608" s="4"/>
      <c r="BR1608" s="4"/>
      <c r="BS1608" s="4"/>
      <c r="BT1608" s="5">
        <v>40139</v>
      </c>
      <c r="BU1608" s="5">
        <v>40127</v>
      </c>
      <c r="BV1608" s="5">
        <v>40169</v>
      </c>
      <c r="BW1608" s="5">
        <v>40164</v>
      </c>
      <c r="BX1608" s="4"/>
      <c r="BY1608" s="5">
        <v>40171</v>
      </c>
      <c r="BZ1608" s="5">
        <v>40164</v>
      </c>
      <c r="CA1608" s="4"/>
      <c r="CB1608" s="4"/>
      <c r="CC1608" s="4"/>
      <c r="CD1608" s="4"/>
      <c r="CE1608" s="4"/>
      <c r="CF1608" s="4"/>
      <c r="CG1608" s="4"/>
      <c r="CH1608" s="4"/>
      <c r="CI1608" s="5">
        <v>40168</v>
      </c>
      <c r="CJ1608" s="5">
        <v>40171</v>
      </c>
      <c r="CK1608" s="5">
        <v>40168</v>
      </c>
      <c r="CL1608" s="4"/>
      <c r="CM1608" s="4"/>
      <c r="CN1608" s="4"/>
      <c r="CO1608" s="4"/>
      <c r="CP1608" s="4" t="s">
        <v>4847</v>
      </c>
      <c r="CQ1608" s="4"/>
      <c r="CR1608" s="5">
        <v>40171</v>
      </c>
      <c r="CS1608" s="4"/>
      <c r="CT1608" s="4"/>
      <c r="CU1608" s="4"/>
      <c r="CV1608" s="4"/>
      <c r="CW1608" s="4"/>
      <c r="CX1608" s="4"/>
      <c r="CY1608" s="4"/>
      <c r="CZ1608" s="4"/>
      <c r="DA1608" s="4"/>
      <c r="DB1608" s="4"/>
      <c r="DC1608" s="4"/>
      <c r="DD1608" s="4"/>
      <c r="DE1608" s="4"/>
      <c r="DF1608" s="4"/>
      <c r="DG1608" s="4"/>
      <c r="DH1608" s="4"/>
      <c r="DI1608" s="4"/>
      <c r="DJ1608" s="4" t="b">
        <v>0</v>
      </c>
      <c r="DK1608" s="4"/>
      <c r="DL1608" s="4">
        <v>2667359</v>
      </c>
      <c r="DM1608" s="4">
        <v>5986082</v>
      </c>
      <c r="DN1608" s="4" t="s">
        <v>4848</v>
      </c>
      <c r="DO1608" s="4"/>
      <c r="DP1608" s="4"/>
      <c r="DQ1608" s="4" t="s">
        <v>148</v>
      </c>
      <c r="DR1608" s="4"/>
      <c r="DS1608" s="4"/>
      <c r="DT1608" s="4"/>
      <c r="DU1608" s="4"/>
      <c r="DV1608" s="4"/>
      <c r="DW1608" s="4"/>
      <c r="DX1608" s="4"/>
      <c r="DY1608" s="5">
        <v>40126</v>
      </c>
      <c r="DZ1608" s="5">
        <v>40128</v>
      </c>
      <c r="EA1608" s="4"/>
      <c r="EB1608" s="4"/>
      <c r="EC1608" s="4"/>
      <c r="ED1608" s="4"/>
      <c r="EE1608" s="4"/>
      <c r="EF1608" s="4"/>
      <c r="EG1608" s="4"/>
      <c r="EH1608" s="4"/>
      <c r="EI1608" s="5">
        <v>40050</v>
      </c>
    </row>
    <row r="1609" spans="1:139" hidden="1" x14ac:dyDescent="0.2">
      <c r="A1609">
        <f>VLOOKUP(B1609,Sheet1!$A$1:$B$18,2,FALSE)</f>
        <v>0</v>
      </c>
      <c r="B1609" t="str">
        <f>LEFT(D1609,3)</f>
        <v>WLG</v>
      </c>
      <c r="C1609" s="2">
        <v>1608</v>
      </c>
      <c r="D1609" s="3" t="str">
        <f>HYPERLINK("https://sitebase.nzcomms.co.nz/spm/spmnominalview/WLG-046-036/","WLG-046-036")</f>
        <v>WLG-046-036</v>
      </c>
      <c r="E1609" s="4"/>
      <c r="F1609" s="3" t="str">
        <f>HYPERLINK("https://sitebase.nzcomms.co.nz/spm/spmcandidateview/WLG-046-036-A/","WLG-046-036-A")</f>
        <v>WLG-046-036-A</v>
      </c>
      <c r="G1609" s="4" t="s">
        <v>4849</v>
      </c>
      <c r="H1609" s="4" t="s">
        <v>4778</v>
      </c>
      <c r="I1609" s="4"/>
      <c r="J1609" s="4" t="s">
        <v>139</v>
      </c>
      <c r="K1609" s="4" t="s">
        <v>141</v>
      </c>
      <c r="L1609" s="4" t="s">
        <v>150</v>
      </c>
      <c r="M1609" s="4" t="s">
        <v>143</v>
      </c>
      <c r="N1609" s="4" t="s">
        <v>156</v>
      </c>
      <c r="O1609" s="4" t="s">
        <v>356</v>
      </c>
      <c r="P1609" s="4"/>
      <c r="Q1609" s="4"/>
      <c r="R1609" s="4">
        <v>18.8</v>
      </c>
      <c r="S1609" s="4">
        <v>18.8</v>
      </c>
      <c r="T1609" s="4"/>
      <c r="U1609" s="4">
        <v>-41.227969889999997</v>
      </c>
      <c r="V1609" s="4">
        <v>174.89167723</v>
      </c>
      <c r="W1609" s="4"/>
      <c r="X1609" s="4"/>
      <c r="Y1609" s="4"/>
      <c r="Z1609" s="4"/>
      <c r="AA1609" s="4"/>
      <c r="AB1609" s="4"/>
      <c r="AC1609" s="4"/>
      <c r="AD1609" s="4"/>
      <c r="AE1609" s="4"/>
      <c r="AF1609" s="4"/>
      <c r="AG1609" s="4"/>
      <c r="AH1609" s="4"/>
      <c r="AI1609" s="4"/>
      <c r="AJ1609" s="4"/>
      <c r="AK1609" s="4"/>
      <c r="AL1609" s="4"/>
      <c r="AM1609" s="4"/>
      <c r="AN1609" s="5">
        <v>39772</v>
      </c>
      <c r="AO1609" s="4">
        <v>3</v>
      </c>
      <c r="AP1609" s="4"/>
      <c r="AQ1609" s="5">
        <v>39861</v>
      </c>
      <c r="AR1609" s="4"/>
      <c r="AS1609" s="4"/>
      <c r="AT1609" s="5">
        <v>39887</v>
      </c>
      <c r="AU1609" s="5">
        <v>39891</v>
      </c>
      <c r="AV1609" s="4">
        <v>3</v>
      </c>
      <c r="AW1609" s="5">
        <v>39887</v>
      </c>
      <c r="AX1609" s="5">
        <v>39887</v>
      </c>
      <c r="AY1609" s="4"/>
      <c r="AZ1609" s="4"/>
      <c r="BA1609" s="4"/>
      <c r="BB1609" s="5">
        <v>39839</v>
      </c>
      <c r="BC1609" s="4"/>
      <c r="BD1609" s="4"/>
      <c r="BE1609" s="5">
        <v>39839</v>
      </c>
      <c r="BF1609" s="5">
        <v>39839</v>
      </c>
      <c r="BG1609" s="4"/>
      <c r="BH1609" s="5">
        <v>39846</v>
      </c>
      <c r="BI1609" s="5">
        <v>39857</v>
      </c>
      <c r="BJ1609" s="5">
        <v>39884</v>
      </c>
      <c r="BK1609" s="4">
        <v>1</v>
      </c>
      <c r="BL1609" s="4">
        <v>3</v>
      </c>
      <c r="BM1609" s="5">
        <v>39885</v>
      </c>
      <c r="BN1609" s="5">
        <v>39884</v>
      </c>
      <c r="BO1609" s="5">
        <v>39846</v>
      </c>
      <c r="BP1609" s="4"/>
      <c r="BQ1609" s="4"/>
      <c r="BR1609" s="4"/>
      <c r="BS1609" s="4"/>
      <c r="BT1609" s="5">
        <v>39904</v>
      </c>
      <c r="BU1609" s="5">
        <v>39904</v>
      </c>
      <c r="BV1609" s="5">
        <v>39943</v>
      </c>
      <c r="BW1609" s="5">
        <v>39933</v>
      </c>
      <c r="BX1609" s="4"/>
      <c r="BY1609" s="5">
        <v>39951</v>
      </c>
      <c r="BZ1609" s="5">
        <v>39947</v>
      </c>
      <c r="CA1609" s="4"/>
      <c r="CB1609" s="4"/>
      <c r="CC1609" s="4"/>
      <c r="CD1609" s="4"/>
      <c r="CE1609" s="4"/>
      <c r="CF1609" s="4"/>
      <c r="CG1609" s="4"/>
      <c r="CH1609" s="4"/>
      <c r="CI1609" s="5">
        <v>39961</v>
      </c>
      <c r="CJ1609" s="5">
        <v>39963</v>
      </c>
      <c r="CK1609" s="5">
        <v>39961</v>
      </c>
      <c r="CL1609" s="4"/>
      <c r="CM1609" s="4"/>
      <c r="CN1609" s="4"/>
      <c r="CO1609" s="4"/>
      <c r="CP1609" s="4" t="s">
        <v>4850</v>
      </c>
      <c r="CQ1609" s="4"/>
      <c r="CR1609" s="5">
        <v>39963</v>
      </c>
      <c r="CS1609" s="4"/>
      <c r="CT1609" s="4"/>
      <c r="CU1609" s="4"/>
      <c r="CV1609" s="4"/>
      <c r="CW1609" s="5">
        <v>39871</v>
      </c>
      <c r="CX1609" s="5">
        <v>39846</v>
      </c>
      <c r="CY1609" s="4"/>
      <c r="CZ1609" s="4"/>
      <c r="DA1609" s="4"/>
      <c r="DB1609" s="4"/>
      <c r="DC1609" s="4"/>
      <c r="DD1609" s="4"/>
      <c r="DE1609" s="4"/>
      <c r="DF1609" s="4"/>
      <c r="DG1609" s="4"/>
      <c r="DH1609" s="4"/>
      <c r="DI1609" s="4"/>
      <c r="DJ1609" s="4" t="b">
        <v>0</v>
      </c>
      <c r="DK1609" s="4"/>
      <c r="DL1609" s="4">
        <v>2668782</v>
      </c>
      <c r="DM1609" s="4">
        <v>5995830</v>
      </c>
      <c r="DN1609" s="4" t="s">
        <v>4851</v>
      </c>
      <c r="DO1609" s="4"/>
      <c r="DP1609" s="4"/>
      <c r="DQ1609" s="4" t="s">
        <v>148</v>
      </c>
      <c r="DR1609" s="4"/>
      <c r="DS1609" s="4"/>
      <c r="DT1609" s="5">
        <v>41985</v>
      </c>
      <c r="DU1609" s="4"/>
      <c r="DV1609" s="4"/>
      <c r="DW1609" s="4"/>
      <c r="DX1609" s="4"/>
      <c r="DY1609" s="5">
        <v>39904</v>
      </c>
      <c r="DZ1609" s="5">
        <v>39902</v>
      </c>
      <c r="EA1609" s="4"/>
      <c r="EB1609" s="4"/>
      <c r="EC1609" s="4"/>
      <c r="ED1609" s="4"/>
      <c r="EE1609" s="4"/>
      <c r="EF1609" s="4"/>
      <c r="EG1609" s="4"/>
      <c r="EH1609" s="4"/>
      <c r="EI1609" s="5">
        <v>39731</v>
      </c>
    </row>
    <row r="1610" spans="1:139" hidden="1" x14ac:dyDescent="0.2">
      <c r="A1610">
        <f>VLOOKUP(B1610,Sheet1!$A$1:$B$18,2,FALSE)</f>
        <v>0</v>
      </c>
      <c r="B1610" t="str">
        <f>LEFT(D1610,3)</f>
        <v>WLG</v>
      </c>
      <c r="C1610" s="2">
        <v>1609</v>
      </c>
      <c r="D1610" s="3" t="str">
        <f>HYPERLINK("https://sitebase.nzcomms.co.nz/spm/spmnominalview/WLG-046-037/","WLG-046-037")</f>
        <v>WLG-046-037</v>
      </c>
      <c r="E1610" s="4" t="s">
        <v>4852</v>
      </c>
      <c r="F1610" s="3" t="str">
        <f>HYPERLINK("https://sitebase.nzcomms.co.nz/spm/spmcandidateview/WLG-046-037-F/","WLG-046-037-F")</f>
        <v>WLG-046-037-F</v>
      </c>
      <c r="G1610" s="4" t="s">
        <v>4853</v>
      </c>
      <c r="H1610" s="4" t="s">
        <v>4778</v>
      </c>
      <c r="I1610" s="4">
        <v>7</v>
      </c>
      <c r="J1610" s="4" t="s">
        <v>194</v>
      </c>
      <c r="K1610" s="4" t="s">
        <v>141</v>
      </c>
      <c r="L1610" s="4" t="s">
        <v>189</v>
      </c>
      <c r="M1610" s="4" t="s">
        <v>296</v>
      </c>
      <c r="N1610" s="4" t="s">
        <v>612</v>
      </c>
      <c r="O1610" s="4" t="s">
        <v>144</v>
      </c>
      <c r="P1610" s="4" t="s">
        <v>182</v>
      </c>
      <c r="Q1610" s="4" t="s">
        <v>192</v>
      </c>
      <c r="R1610" s="4">
        <v>11.2</v>
      </c>
      <c r="S1610" s="4">
        <v>12.2</v>
      </c>
      <c r="T1610" s="4">
        <v>2</v>
      </c>
      <c r="U1610" s="4">
        <v>-41.17738413</v>
      </c>
      <c r="V1610" s="4">
        <v>174.93543367000001</v>
      </c>
      <c r="W1610" s="4"/>
      <c r="X1610" s="4"/>
      <c r="Y1610" s="4"/>
      <c r="Z1610" s="4"/>
      <c r="AA1610" s="4" t="s">
        <v>446</v>
      </c>
      <c r="AB1610" s="4" t="s">
        <v>4854</v>
      </c>
      <c r="AC1610" s="4" t="b">
        <v>0</v>
      </c>
      <c r="AD1610" s="4" t="b">
        <v>0</v>
      </c>
      <c r="AE1610" s="4"/>
      <c r="AF1610" s="4"/>
      <c r="AG1610" s="4" t="b">
        <v>0</v>
      </c>
      <c r="AH1610" s="4"/>
      <c r="AI1610" s="5">
        <v>40724</v>
      </c>
      <c r="AJ1610" s="5">
        <v>40723</v>
      </c>
      <c r="AK1610" s="5">
        <v>40729</v>
      </c>
      <c r="AL1610" s="5">
        <v>40729</v>
      </c>
      <c r="AM1610" s="5">
        <v>40746</v>
      </c>
      <c r="AN1610" s="5">
        <v>40743</v>
      </c>
      <c r="AO1610" s="4">
        <v>3</v>
      </c>
      <c r="AP1610" s="5">
        <v>40813</v>
      </c>
      <c r="AQ1610" s="5">
        <v>40813</v>
      </c>
      <c r="AR1610" s="5">
        <v>40834</v>
      </c>
      <c r="AS1610" s="5">
        <v>40820</v>
      </c>
      <c r="AT1610" s="5">
        <v>40872</v>
      </c>
      <c r="AU1610" s="5">
        <v>40863</v>
      </c>
      <c r="AV1610" s="4"/>
      <c r="AW1610" s="4"/>
      <c r="AX1610" s="5">
        <v>40863</v>
      </c>
      <c r="AY1610" s="4" t="s">
        <v>193</v>
      </c>
      <c r="AZ1610" s="5">
        <v>40750</v>
      </c>
      <c r="BA1610" s="5">
        <v>40759</v>
      </c>
      <c r="BB1610" s="5">
        <v>40795</v>
      </c>
      <c r="BC1610" s="5">
        <v>40784</v>
      </c>
      <c r="BD1610" s="4">
        <v>1</v>
      </c>
      <c r="BE1610" s="4"/>
      <c r="BF1610" s="5">
        <v>40784</v>
      </c>
      <c r="BG1610" s="4"/>
      <c r="BH1610" s="4"/>
      <c r="BI1610" s="4"/>
      <c r="BJ1610" s="4"/>
      <c r="BK1610" s="4"/>
      <c r="BL1610" s="4"/>
      <c r="BM1610" s="4"/>
      <c r="BN1610" s="4"/>
      <c r="BO1610" s="4"/>
      <c r="BP1610" s="4"/>
      <c r="BQ1610" s="4"/>
      <c r="BR1610" s="4"/>
      <c r="BS1610" s="4"/>
      <c r="BT1610" s="4"/>
      <c r="BU1610" s="4"/>
      <c r="BV1610" s="4"/>
      <c r="BW1610" s="4"/>
      <c r="BX1610" s="4"/>
      <c r="BY1610" s="4"/>
      <c r="BZ1610" s="4"/>
      <c r="CA1610" s="4"/>
      <c r="CB1610" s="4"/>
      <c r="CC1610" s="4"/>
      <c r="CD1610" s="4"/>
      <c r="CE1610" s="4"/>
      <c r="CF1610" s="4"/>
      <c r="CG1610" s="4"/>
      <c r="CH1610" s="4"/>
      <c r="CI1610" s="4"/>
      <c r="CJ1610" s="4"/>
      <c r="CK1610" s="4"/>
      <c r="CL1610" s="4"/>
      <c r="CM1610" s="4"/>
      <c r="CN1610" s="4"/>
      <c r="CO1610" s="4"/>
      <c r="CP1610" s="4" t="s">
        <v>4855</v>
      </c>
      <c r="CQ1610" s="4"/>
      <c r="CR1610" s="4"/>
      <c r="CS1610" s="4"/>
      <c r="CT1610" s="4"/>
      <c r="CU1610" s="4"/>
      <c r="CV1610" s="4"/>
      <c r="CW1610" s="4"/>
      <c r="CX1610" s="4"/>
      <c r="CY1610" s="4"/>
      <c r="CZ1610" s="4"/>
      <c r="DA1610" s="4"/>
      <c r="DB1610" s="4"/>
      <c r="DC1610" s="4"/>
      <c r="DD1610" s="4"/>
      <c r="DE1610" s="4"/>
      <c r="DF1610" s="4"/>
      <c r="DG1610" s="4"/>
      <c r="DH1610" s="4" t="s">
        <v>240</v>
      </c>
      <c r="DI1610" s="4"/>
      <c r="DJ1610" s="4" t="b">
        <v>0</v>
      </c>
      <c r="DK1610" s="4"/>
      <c r="DL1610" s="4">
        <v>2672361</v>
      </c>
      <c r="DM1610" s="4">
        <v>6001460</v>
      </c>
      <c r="DN1610" s="4" t="s">
        <v>4856</v>
      </c>
      <c r="DO1610" s="4"/>
      <c r="DP1610" s="4" t="s">
        <v>4857</v>
      </c>
      <c r="DQ1610" s="4" t="s">
        <v>148</v>
      </c>
      <c r="DR1610" s="4" t="s">
        <v>244</v>
      </c>
      <c r="DS1610" s="4"/>
      <c r="DT1610" s="4"/>
      <c r="DU1610" s="4"/>
      <c r="DV1610" s="4"/>
      <c r="DW1610" s="4"/>
      <c r="DX1610" s="4"/>
      <c r="DY1610" s="4"/>
      <c r="DZ1610" s="4"/>
      <c r="EA1610" s="4"/>
      <c r="EB1610" s="4"/>
      <c r="EC1610" s="4"/>
      <c r="ED1610" s="4"/>
      <c r="EE1610" s="4"/>
      <c r="EF1610" s="4"/>
      <c r="EG1610" s="4"/>
      <c r="EH1610" s="4"/>
      <c r="EI1610" s="4"/>
    </row>
    <row r="1611" spans="1:139" hidden="1" x14ac:dyDescent="0.2">
      <c r="A1611">
        <f>VLOOKUP(B1611,Sheet1!$A$1:$B$18,2,FALSE)</f>
        <v>0</v>
      </c>
      <c r="B1611" t="str">
        <f>LEFT(D1611,3)</f>
        <v>WLG</v>
      </c>
      <c r="C1611" s="2">
        <v>1610</v>
      </c>
      <c r="D1611" s="3" t="str">
        <f>HYPERLINK("https://sitebase.nzcomms.co.nz/spm/spmnominalview/WLG-046-038/","WLG-046-038")</f>
        <v>WLG-046-038</v>
      </c>
      <c r="E1611" s="4" t="s">
        <v>4858</v>
      </c>
      <c r="F1611" s="3" t="str">
        <f>HYPERLINK("https://sitebase.nzcomms.co.nz/spm/spmcandidateview/WLG-046-038-A/","WLG-046-038-A")</f>
        <v>WLG-046-038-A</v>
      </c>
      <c r="G1611" s="4" t="s">
        <v>4858</v>
      </c>
      <c r="H1611" s="4" t="s">
        <v>4778</v>
      </c>
      <c r="I1611" s="4">
        <v>6</v>
      </c>
      <c r="J1611" s="4" t="s">
        <v>584</v>
      </c>
      <c r="K1611" s="4" t="s">
        <v>141</v>
      </c>
      <c r="L1611" s="4" t="s">
        <v>181</v>
      </c>
      <c r="M1611" s="4" t="s">
        <v>166</v>
      </c>
      <c r="N1611" s="4" t="s">
        <v>181</v>
      </c>
      <c r="O1611" s="4" t="s">
        <v>168</v>
      </c>
      <c r="P1611" s="4" t="s">
        <v>169</v>
      </c>
      <c r="Q1611" s="4" t="s">
        <v>192</v>
      </c>
      <c r="R1611" s="4"/>
      <c r="S1611" s="4"/>
      <c r="T1611" s="4"/>
      <c r="U1611" s="4">
        <v>-41.209075429999999</v>
      </c>
      <c r="V1611" s="4">
        <v>174.90910961</v>
      </c>
      <c r="W1611" s="4"/>
      <c r="X1611" s="4"/>
      <c r="Y1611" s="4"/>
      <c r="Z1611" s="4"/>
      <c r="AA1611" s="4" t="s">
        <v>152</v>
      </c>
      <c r="AB1611" s="3" t="str">
        <f>HYPERLINK("https://sitebase.nzcomms.co.nz/spm/spmcandidateview/WLG-046-006-B/","WLG-046-006-B")</f>
        <v>WLG-046-006-B</v>
      </c>
      <c r="AC1611" s="4" t="b">
        <v>0</v>
      </c>
      <c r="AD1611" s="4" t="b">
        <v>0</v>
      </c>
      <c r="AE1611" s="4"/>
      <c r="AF1611" s="4"/>
      <c r="AG1611" s="4" t="b">
        <v>0</v>
      </c>
      <c r="AH1611" s="4"/>
      <c r="AI1611" s="5">
        <v>41689</v>
      </c>
      <c r="AJ1611" s="5">
        <v>41689</v>
      </c>
      <c r="AK1611" s="5">
        <v>41610</v>
      </c>
      <c r="AL1611" s="5">
        <v>41610</v>
      </c>
      <c r="AM1611" s="5">
        <v>41610</v>
      </c>
      <c r="AN1611" s="5">
        <v>41590</v>
      </c>
      <c r="AO1611" s="4">
        <v>2</v>
      </c>
      <c r="AP1611" s="5">
        <v>41610</v>
      </c>
      <c r="AQ1611" s="5">
        <v>41907</v>
      </c>
      <c r="AR1611" s="5">
        <v>41610</v>
      </c>
      <c r="AS1611" s="5">
        <v>41610</v>
      </c>
      <c r="AT1611" s="5">
        <v>41708</v>
      </c>
      <c r="AU1611" s="5">
        <v>41698</v>
      </c>
      <c r="AV1611" s="4"/>
      <c r="AW1611" s="5">
        <v>41708</v>
      </c>
      <c r="AX1611" s="5">
        <v>41698</v>
      </c>
      <c r="AY1611" s="4" t="s">
        <v>172</v>
      </c>
      <c r="AZ1611" s="4"/>
      <c r="BA1611" s="5">
        <v>41607</v>
      </c>
      <c r="BB1611" s="5">
        <v>41656</v>
      </c>
      <c r="BC1611" s="5">
        <v>41627</v>
      </c>
      <c r="BD1611" s="4">
        <v>1</v>
      </c>
      <c r="BE1611" s="5">
        <v>41659</v>
      </c>
      <c r="BF1611" s="5">
        <v>41627</v>
      </c>
      <c r="BG1611" s="5">
        <v>41687</v>
      </c>
      <c r="BH1611" s="5">
        <v>41699</v>
      </c>
      <c r="BI1611" s="5">
        <v>41714</v>
      </c>
      <c r="BJ1611" s="5">
        <v>41710</v>
      </c>
      <c r="BK1611" s="4">
        <v>1</v>
      </c>
      <c r="BL1611" s="4"/>
      <c r="BM1611" s="5">
        <v>41737</v>
      </c>
      <c r="BN1611" s="5">
        <v>41710</v>
      </c>
      <c r="BO1611" s="4"/>
      <c r="BP1611" s="4"/>
      <c r="BQ1611" s="4"/>
      <c r="BR1611" s="4"/>
      <c r="BS1611" s="4"/>
      <c r="BT1611" s="5">
        <v>41806</v>
      </c>
      <c r="BU1611" s="5">
        <v>41806</v>
      </c>
      <c r="BV1611" s="5">
        <v>41855</v>
      </c>
      <c r="BW1611" s="5">
        <v>41852</v>
      </c>
      <c r="BX1611" s="5">
        <v>41835</v>
      </c>
      <c r="BY1611" s="5">
        <v>41838</v>
      </c>
      <c r="BZ1611" s="5">
        <v>41852</v>
      </c>
      <c r="CA1611" s="5">
        <v>41835</v>
      </c>
      <c r="CB1611" s="5">
        <v>41835</v>
      </c>
      <c r="CC1611" s="4"/>
      <c r="CD1611" s="4"/>
      <c r="CE1611" s="4"/>
      <c r="CF1611" s="4"/>
      <c r="CG1611" s="4"/>
      <c r="CH1611" s="4"/>
      <c r="CI1611" s="4"/>
      <c r="CJ1611" s="5">
        <v>41864</v>
      </c>
      <c r="CK1611" s="5">
        <v>41865</v>
      </c>
      <c r="CL1611" s="4"/>
      <c r="CM1611" s="4"/>
      <c r="CN1611" s="4"/>
      <c r="CO1611" s="4"/>
      <c r="CP1611" s="4"/>
      <c r="CQ1611" s="4"/>
      <c r="CR1611" s="4"/>
      <c r="CS1611" s="4"/>
      <c r="CT1611" s="4"/>
      <c r="CU1611" s="4"/>
      <c r="CV1611" s="4"/>
      <c r="CW1611" s="4"/>
      <c r="CX1611" s="4"/>
      <c r="CY1611" s="4"/>
      <c r="CZ1611" s="4"/>
      <c r="DA1611" s="5">
        <v>41852</v>
      </c>
      <c r="DB1611" s="5">
        <v>41855</v>
      </c>
      <c r="DC1611" s="5">
        <v>41607</v>
      </c>
      <c r="DD1611" s="4" t="s">
        <v>206</v>
      </c>
      <c r="DE1611" s="4" t="s">
        <v>194</v>
      </c>
      <c r="DF1611" s="5">
        <v>41835</v>
      </c>
      <c r="DG1611" s="5">
        <v>41835</v>
      </c>
      <c r="DH1611" s="4" t="s">
        <v>174</v>
      </c>
      <c r="DI1611" s="5">
        <v>41820</v>
      </c>
      <c r="DJ1611" s="4" t="b">
        <v>0</v>
      </c>
      <c r="DK1611" s="4"/>
      <c r="DL1611" s="4">
        <v>2670076</v>
      </c>
      <c r="DM1611" s="4">
        <v>5997990</v>
      </c>
      <c r="DN1611" s="4" t="s">
        <v>4859</v>
      </c>
      <c r="DO1611" s="4"/>
      <c r="DP1611" s="4"/>
      <c r="DQ1611" s="4" t="s">
        <v>148</v>
      </c>
      <c r="DR1611" s="4"/>
      <c r="DS1611" s="4"/>
      <c r="DT1611" s="5">
        <v>41985</v>
      </c>
      <c r="DU1611" s="4"/>
      <c r="DV1611" s="4"/>
      <c r="DW1611" s="4"/>
      <c r="DX1611" s="4"/>
      <c r="DY1611" s="4"/>
      <c r="DZ1611" s="4"/>
      <c r="EA1611" s="4"/>
      <c r="EB1611" s="4"/>
      <c r="EC1611" s="4"/>
      <c r="ED1611" s="4"/>
      <c r="EE1611" s="4"/>
      <c r="EF1611" s="4"/>
      <c r="EG1611" s="4"/>
      <c r="EH1611" s="4"/>
      <c r="EI1611" s="5">
        <v>41610</v>
      </c>
    </row>
    <row r="1612" spans="1:139" hidden="1" x14ac:dyDescent="0.2">
      <c r="A1612">
        <f>VLOOKUP(B1612,Sheet1!$A$1:$B$18,2,FALSE)</f>
        <v>0</v>
      </c>
      <c r="B1612" t="str">
        <f>LEFT(D1612,3)</f>
        <v>WLG</v>
      </c>
      <c r="C1612" s="2">
        <v>1611</v>
      </c>
      <c r="D1612" s="3" t="str">
        <f>HYPERLINK("https://sitebase.nzcomms.co.nz/spm/spmnominalview/WLG-046-039/","WLG-046-039")</f>
        <v>WLG-046-039</v>
      </c>
      <c r="E1612" s="4" t="s">
        <v>4823</v>
      </c>
      <c r="F1612" s="3" t="str">
        <f>HYPERLINK("https://sitebase.nzcomms.co.nz/spm/spmcandidateview/WLG-046-039-A/","WLG-046-039-A")</f>
        <v>WLG-046-039-A</v>
      </c>
      <c r="G1612" s="4" t="s">
        <v>4860</v>
      </c>
      <c r="H1612" s="4" t="s">
        <v>4778</v>
      </c>
      <c r="I1612" s="4"/>
      <c r="J1612" s="4" t="s">
        <v>317</v>
      </c>
      <c r="K1612" s="4" t="s">
        <v>141</v>
      </c>
      <c r="L1612" s="4"/>
      <c r="M1612" s="4"/>
      <c r="N1612" s="4"/>
      <c r="O1612" s="4"/>
      <c r="P1612" s="4"/>
      <c r="Q1612" s="4"/>
      <c r="R1612" s="4"/>
      <c r="S1612" s="4"/>
      <c r="T1612" s="4"/>
      <c r="U1612" s="4"/>
      <c r="V1612" s="4"/>
      <c r="W1612" s="4"/>
      <c r="X1612" s="4"/>
      <c r="Y1612" s="4"/>
      <c r="Z1612" s="4"/>
      <c r="AA1612" s="4"/>
      <c r="AB1612" s="4"/>
      <c r="AC1612" s="4"/>
      <c r="AD1612" s="4"/>
      <c r="AE1612" s="4"/>
      <c r="AF1612" s="4"/>
      <c r="AG1612" s="4"/>
      <c r="AH1612" s="4"/>
      <c r="AI1612" s="4"/>
      <c r="AJ1612" s="4"/>
      <c r="AK1612" s="4"/>
      <c r="AL1612" s="4"/>
      <c r="AM1612" s="4"/>
      <c r="AN1612" s="4"/>
      <c r="AO1612" s="4"/>
      <c r="AP1612" s="4"/>
      <c r="AQ1612" s="4"/>
      <c r="AR1612" s="4"/>
      <c r="AS1612" s="4"/>
      <c r="AT1612" s="4"/>
      <c r="AU1612" s="4"/>
      <c r="AV1612" s="4"/>
      <c r="AW1612" s="4"/>
      <c r="AX1612" s="4"/>
      <c r="AY1612" s="4"/>
      <c r="AZ1612" s="4"/>
      <c r="BA1612" s="4"/>
      <c r="BB1612" s="4"/>
      <c r="BC1612" s="4"/>
      <c r="BD1612" s="4"/>
      <c r="BE1612" s="4"/>
      <c r="BF1612" s="4"/>
      <c r="BG1612" s="4"/>
      <c r="BH1612" s="4"/>
      <c r="BI1612" s="4"/>
      <c r="BJ1612" s="4"/>
      <c r="BK1612" s="4"/>
      <c r="BL1612" s="4"/>
      <c r="BM1612" s="4"/>
      <c r="BN1612" s="4"/>
      <c r="BO1612" s="4"/>
      <c r="BP1612" s="4"/>
      <c r="BQ1612" s="4"/>
      <c r="BR1612" s="4"/>
      <c r="BS1612" s="4"/>
      <c r="BT1612" s="4"/>
      <c r="BU1612" s="4"/>
      <c r="BV1612" s="4"/>
      <c r="BW1612" s="4"/>
      <c r="BX1612" s="4"/>
      <c r="BY1612" s="4"/>
      <c r="BZ1612" s="4"/>
      <c r="CA1612" s="4"/>
      <c r="CB1612" s="4"/>
      <c r="CC1612" s="4"/>
      <c r="CD1612" s="4"/>
      <c r="CE1612" s="4"/>
      <c r="CF1612" s="4"/>
      <c r="CG1612" s="4"/>
      <c r="CH1612" s="4"/>
      <c r="CI1612" s="4"/>
      <c r="CJ1612" s="4"/>
      <c r="CK1612" s="4"/>
      <c r="CL1612" s="4"/>
      <c r="CM1612" s="4"/>
      <c r="CN1612" s="4"/>
      <c r="CO1612" s="4"/>
      <c r="CP1612" s="4"/>
      <c r="CQ1612" s="4"/>
      <c r="CR1612" s="4"/>
      <c r="CS1612" s="4"/>
      <c r="CT1612" s="4"/>
      <c r="CU1612" s="4"/>
      <c r="CV1612" s="4"/>
      <c r="CW1612" s="4"/>
      <c r="CX1612" s="4"/>
      <c r="CY1612" s="4"/>
      <c r="CZ1612" s="4"/>
      <c r="DA1612" s="4"/>
      <c r="DB1612" s="4"/>
      <c r="DC1612" s="4"/>
      <c r="DD1612" s="4"/>
      <c r="DE1612" s="4"/>
      <c r="DF1612" s="4"/>
      <c r="DG1612" s="4"/>
      <c r="DH1612" s="4" t="s">
        <v>240</v>
      </c>
      <c r="DI1612" s="4"/>
      <c r="DJ1612" s="4"/>
      <c r="DK1612" s="4"/>
      <c r="DL1612" s="4"/>
      <c r="DM1612" s="4"/>
      <c r="DN1612" s="4"/>
      <c r="DO1612" s="4"/>
      <c r="DP1612" s="4"/>
      <c r="DQ1612" s="4"/>
      <c r="DR1612" s="4"/>
      <c r="DS1612" s="4"/>
      <c r="DT1612" s="4"/>
      <c r="DU1612" s="4"/>
      <c r="DV1612" s="4"/>
      <c r="DW1612" s="4"/>
      <c r="DX1612" s="4"/>
      <c r="DY1612" s="4"/>
      <c r="DZ1612" s="4"/>
      <c r="EA1612" s="4"/>
      <c r="EB1612" s="4"/>
      <c r="EC1612" s="4"/>
      <c r="ED1612" s="4"/>
      <c r="EE1612" s="4"/>
      <c r="EF1612" s="4"/>
      <c r="EG1612" s="4"/>
      <c r="EH1612" s="4"/>
      <c r="EI1612" s="4"/>
    </row>
    <row r="1613" spans="1:139" hidden="1" x14ac:dyDescent="0.2">
      <c r="A1613">
        <f>VLOOKUP(B1613,Sheet1!$A$1:$B$18,2,FALSE)</f>
        <v>0</v>
      </c>
      <c r="B1613" t="str">
        <f>LEFT(D1613,3)</f>
        <v>WLG</v>
      </c>
      <c r="C1613" s="2">
        <v>1612</v>
      </c>
      <c r="D1613" s="3" t="str">
        <f>HYPERLINK("https://sitebase.nzcomms.co.nz/spm/spmnominalview/WLG-046-040/","WLG-046-040")</f>
        <v>WLG-046-040</v>
      </c>
      <c r="E1613" s="4" t="s">
        <v>4861</v>
      </c>
      <c r="F1613" s="3" t="str">
        <f>HYPERLINK("https://sitebase.nzcomms.co.nz/spm/spmcandidateview/WLG-046-040-A/","WLG-046-040-A")</f>
        <v>WLG-046-040-A</v>
      </c>
      <c r="G1613" s="4" t="s">
        <v>4862</v>
      </c>
      <c r="H1613" s="4" t="s">
        <v>4778</v>
      </c>
      <c r="I1613" s="4">
        <v>24</v>
      </c>
      <c r="J1613" s="4" t="s">
        <v>1027</v>
      </c>
      <c r="K1613" s="4" t="s">
        <v>141</v>
      </c>
      <c r="L1613" s="4" t="s">
        <v>189</v>
      </c>
      <c r="M1613" s="4" t="s">
        <v>592</v>
      </c>
      <c r="N1613" s="4" t="s">
        <v>364</v>
      </c>
      <c r="O1613" s="4"/>
      <c r="P1613" s="4"/>
      <c r="Q1613" s="4"/>
      <c r="R1613" s="4">
        <v>8</v>
      </c>
      <c r="S1613" s="4">
        <v>9.14</v>
      </c>
      <c r="T1613" s="4"/>
      <c r="U1613" s="4">
        <v>-41.17967033</v>
      </c>
      <c r="V1613" s="4">
        <v>174.93229375000001</v>
      </c>
      <c r="W1613" s="4"/>
      <c r="X1613" s="5">
        <v>41912</v>
      </c>
      <c r="Y1613" s="4"/>
      <c r="Z1613" s="4"/>
      <c r="AA1613" s="4" t="s">
        <v>145</v>
      </c>
      <c r="AB1613" s="3" t="str">
        <f>HYPERLINK("https://sitebase.nzcomms.co.nz/spm/spmcandidateview/WLG-046-006-B/","WLG-046-006-B")</f>
        <v>WLG-046-006-B</v>
      </c>
      <c r="AC1613" s="4" t="b">
        <v>0</v>
      </c>
      <c r="AD1613" s="4" t="b">
        <v>0</v>
      </c>
      <c r="AE1613" s="4"/>
      <c r="AF1613" s="4"/>
      <c r="AG1613" s="4" t="b">
        <v>0</v>
      </c>
      <c r="AH1613" s="4"/>
      <c r="AI1613" s="5">
        <v>41878</v>
      </c>
      <c r="AJ1613" s="5">
        <v>41878</v>
      </c>
      <c r="AK1613" s="5">
        <v>41884</v>
      </c>
      <c r="AL1613" s="5">
        <v>41884</v>
      </c>
      <c r="AM1613" s="5">
        <v>41897</v>
      </c>
      <c r="AN1613" s="5">
        <v>41892</v>
      </c>
      <c r="AO1613" s="4">
        <v>1</v>
      </c>
      <c r="AP1613" s="5">
        <v>41912</v>
      </c>
      <c r="AQ1613" s="5">
        <v>41892</v>
      </c>
      <c r="AR1613" s="5">
        <v>41957</v>
      </c>
      <c r="AS1613" s="5">
        <v>41941</v>
      </c>
      <c r="AT1613" s="5">
        <v>41957</v>
      </c>
      <c r="AU1613" s="5">
        <v>41941</v>
      </c>
      <c r="AV1613" s="4">
        <v>1</v>
      </c>
      <c r="AW1613" s="4"/>
      <c r="AX1613" s="5">
        <v>41961</v>
      </c>
      <c r="AY1613" s="4" t="s">
        <v>247</v>
      </c>
      <c r="AZ1613" s="5">
        <v>41956</v>
      </c>
      <c r="BA1613" s="5">
        <v>41956</v>
      </c>
      <c r="BB1613" s="5">
        <v>41992</v>
      </c>
      <c r="BC1613" s="5">
        <v>41981</v>
      </c>
      <c r="BD1613" s="4">
        <v>1</v>
      </c>
      <c r="BE1613" s="4"/>
      <c r="BF1613" s="5">
        <v>41981</v>
      </c>
      <c r="BG1613" s="5">
        <v>41932</v>
      </c>
      <c r="BH1613" s="5">
        <v>41932</v>
      </c>
      <c r="BI1613" s="5">
        <v>42020</v>
      </c>
      <c r="BJ1613" s="5">
        <v>42018</v>
      </c>
      <c r="BK1613" s="4">
        <v>1</v>
      </c>
      <c r="BL1613" s="4"/>
      <c r="BM1613" s="4"/>
      <c r="BN1613" s="5">
        <v>42018</v>
      </c>
      <c r="BO1613" s="4"/>
      <c r="BP1613" s="4"/>
      <c r="BQ1613" s="4"/>
      <c r="BR1613" s="4"/>
      <c r="BS1613" s="4"/>
      <c r="BT1613" s="5">
        <v>42065</v>
      </c>
      <c r="BU1613" s="5">
        <v>42065</v>
      </c>
      <c r="BV1613" s="5">
        <v>42069</v>
      </c>
      <c r="BW1613" s="5">
        <v>42069</v>
      </c>
      <c r="BX1613" s="4"/>
      <c r="BY1613" s="5">
        <v>42090</v>
      </c>
      <c r="BZ1613" s="5">
        <v>42090</v>
      </c>
      <c r="CA1613" s="4"/>
      <c r="CB1613" s="4"/>
      <c r="CC1613" s="4"/>
      <c r="CD1613" s="4"/>
      <c r="CE1613" s="4"/>
      <c r="CF1613" s="4"/>
      <c r="CG1613" s="4"/>
      <c r="CH1613" s="4"/>
      <c r="CI1613" s="4"/>
      <c r="CJ1613" s="5">
        <v>42111</v>
      </c>
      <c r="CK1613" s="5">
        <v>42110</v>
      </c>
      <c r="CL1613" s="4"/>
      <c r="CM1613" s="4"/>
      <c r="CN1613" s="4"/>
      <c r="CO1613" s="4"/>
      <c r="CP1613" s="4" t="s">
        <v>4863</v>
      </c>
      <c r="CQ1613" s="4"/>
      <c r="CR1613" s="4"/>
      <c r="CS1613" s="4"/>
      <c r="CT1613" s="4"/>
      <c r="CU1613" s="4"/>
      <c r="CV1613" s="4"/>
      <c r="CW1613" s="4"/>
      <c r="CX1613" s="4"/>
      <c r="CY1613" s="4"/>
      <c r="CZ1613" s="4"/>
      <c r="DA1613" s="5">
        <v>42111</v>
      </c>
      <c r="DB1613" s="4"/>
      <c r="DC1613" s="5">
        <v>41982</v>
      </c>
      <c r="DD1613" s="4" t="s">
        <v>586</v>
      </c>
      <c r="DE1613" s="4"/>
      <c r="DF1613" s="5">
        <v>42039</v>
      </c>
      <c r="DG1613" s="5">
        <v>42039</v>
      </c>
      <c r="DH1613" s="4" t="s">
        <v>174</v>
      </c>
      <c r="DI1613" s="4"/>
      <c r="DJ1613" s="4" t="b">
        <v>1</v>
      </c>
      <c r="DK1613" s="5">
        <v>41992</v>
      </c>
      <c r="DL1613" s="4">
        <v>2672092</v>
      </c>
      <c r="DM1613" s="4">
        <v>6001212</v>
      </c>
      <c r="DN1613" s="4" t="s">
        <v>4864</v>
      </c>
      <c r="DO1613" s="4" t="s">
        <v>4865</v>
      </c>
      <c r="DP1613" s="4"/>
      <c r="DQ1613" s="4" t="s">
        <v>148</v>
      </c>
      <c r="DR1613" s="4"/>
      <c r="DS1613" s="4"/>
      <c r="DT1613" s="4"/>
      <c r="DU1613" s="4" t="s">
        <v>1030</v>
      </c>
      <c r="DV1613" s="4"/>
      <c r="DW1613" s="4"/>
      <c r="DX1613" s="4"/>
      <c r="DY1613" s="4"/>
      <c r="DZ1613" s="4"/>
      <c r="EA1613" s="4"/>
      <c r="EB1613" s="4"/>
      <c r="EC1613" s="4"/>
      <c r="ED1613" s="4"/>
      <c r="EE1613" s="4"/>
      <c r="EF1613" s="4"/>
      <c r="EG1613" s="4"/>
      <c r="EH1613" s="4"/>
      <c r="EI1613" s="5">
        <v>41884</v>
      </c>
    </row>
    <row r="1614" spans="1:139" hidden="1" x14ac:dyDescent="0.2">
      <c r="A1614">
        <f>VLOOKUP(B1614,Sheet1!$A$1:$B$18,2,FALSE)</f>
        <v>0</v>
      </c>
      <c r="B1614" t="str">
        <f>LEFT(D1614,3)</f>
        <v>WLG</v>
      </c>
      <c r="C1614" s="2">
        <v>1613</v>
      </c>
      <c r="D1614" s="3" t="str">
        <f>HYPERLINK("https://sitebase.nzcomms.co.nz/spm/spmnominalview/WLG-046-041/","WLG-046-041")</f>
        <v>WLG-046-041</v>
      </c>
      <c r="E1614" s="4" t="s">
        <v>4866</v>
      </c>
      <c r="F1614" s="3" t="str">
        <f>HYPERLINK("https://sitebase.nzcomms.co.nz/spm/spmcandidateview/WLG-046-041-A/","WLG-046-041-A")</f>
        <v>WLG-046-041-A</v>
      </c>
      <c r="G1614" s="4" t="s">
        <v>4867</v>
      </c>
      <c r="H1614" s="4" t="s">
        <v>4778</v>
      </c>
      <c r="I1614" s="4">
        <v>24</v>
      </c>
      <c r="J1614" s="4" t="s">
        <v>1027</v>
      </c>
      <c r="K1614" s="4" t="s">
        <v>141</v>
      </c>
      <c r="L1614" s="4" t="s">
        <v>189</v>
      </c>
      <c r="M1614" s="4" t="s">
        <v>592</v>
      </c>
      <c r="N1614" s="4" t="s">
        <v>364</v>
      </c>
      <c r="O1614" s="4"/>
      <c r="P1614" s="4"/>
      <c r="Q1614" s="4"/>
      <c r="R1614" s="4">
        <v>8</v>
      </c>
      <c r="S1614" s="4">
        <v>9.14</v>
      </c>
      <c r="T1614" s="4"/>
      <c r="U1614" s="4">
        <v>-41.174303760000001</v>
      </c>
      <c r="V1614" s="4">
        <v>174.9370481</v>
      </c>
      <c r="W1614" s="4"/>
      <c r="X1614" s="5">
        <v>41912</v>
      </c>
      <c r="Y1614" s="4"/>
      <c r="Z1614" s="4"/>
      <c r="AA1614" s="4" t="s">
        <v>145</v>
      </c>
      <c r="AB1614" s="3" t="str">
        <f>HYPERLINK("https://sitebase.nzcomms.co.nz/spm/spmcandidateview/WLG-046-006-B/","WLG-046-006-B")</f>
        <v>WLG-046-006-B</v>
      </c>
      <c r="AC1614" s="4" t="b">
        <v>0</v>
      </c>
      <c r="AD1614" s="4" t="b">
        <v>0</v>
      </c>
      <c r="AE1614" s="4"/>
      <c r="AF1614" s="4"/>
      <c r="AG1614" s="4" t="b">
        <v>0</v>
      </c>
      <c r="AH1614" s="4"/>
      <c r="AI1614" s="5">
        <v>41878</v>
      </c>
      <c r="AJ1614" s="5">
        <v>41878</v>
      </c>
      <c r="AK1614" s="5">
        <v>41884</v>
      </c>
      <c r="AL1614" s="5">
        <v>41884</v>
      </c>
      <c r="AM1614" s="5">
        <v>41897</v>
      </c>
      <c r="AN1614" s="5">
        <v>41901</v>
      </c>
      <c r="AO1614" s="4">
        <v>1</v>
      </c>
      <c r="AP1614" s="5">
        <v>41912</v>
      </c>
      <c r="AQ1614" s="5">
        <v>41901</v>
      </c>
      <c r="AR1614" s="5">
        <v>41957</v>
      </c>
      <c r="AS1614" s="5">
        <v>41941</v>
      </c>
      <c r="AT1614" s="5">
        <v>41957</v>
      </c>
      <c r="AU1614" s="5">
        <v>41941</v>
      </c>
      <c r="AV1614" s="4">
        <v>1</v>
      </c>
      <c r="AW1614" s="4"/>
      <c r="AX1614" s="5">
        <v>41961</v>
      </c>
      <c r="AY1614" s="4" t="s">
        <v>247</v>
      </c>
      <c r="AZ1614" s="5">
        <v>41957</v>
      </c>
      <c r="BA1614" s="5">
        <v>41956</v>
      </c>
      <c r="BB1614" s="5">
        <v>41992</v>
      </c>
      <c r="BC1614" s="5">
        <v>41978</v>
      </c>
      <c r="BD1614" s="4">
        <v>1</v>
      </c>
      <c r="BE1614" s="4"/>
      <c r="BF1614" s="5">
        <v>41978</v>
      </c>
      <c r="BG1614" s="5">
        <v>41978</v>
      </c>
      <c r="BH1614" s="5">
        <v>41978</v>
      </c>
      <c r="BI1614" s="5">
        <v>42020</v>
      </c>
      <c r="BJ1614" s="5">
        <v>42018</v>
      </c>
      <c r="BK1614" s="4">
        <v>1</v>
      </c>
      <c r="BL1614" s="4"/>
      <c r="BM1614" s="4"/>
      <c r="BN1614" s="5">
        <v>42018</v>
      </c>
      <c r="BO1614" s="4"/>
      <c r="BP1614" s="4"/>
      <c r="BQ1614" s="4"/>
      <c r="BR1614" s="4"/>
      <c r="BS1614" s="4"/>
      <c r="BT1614" s="5">
        <v>42065</v>
      </c>
      <c r="BU1614" s="5">
        <v>42065</v>
      </c>
      <c r="BV1614" s="5">
        <v>42069</v>
      </c>
      <c r="BW1614" s="5">
        <v>42069</v>
      </c>
      <c r="BX1614" s="4"/>
      <c r="BY1614" s="5">
        <v>42103</v>
      </c>
      <c r="BZ1614" s="4"/>
      <c r="CA1614" s="4"/>
      <c r="CB1614" s="4"/>
      <c r="CC1614" s="4"/>
      <c r="CD1614" s="4"/>
      <c r="CE1614" s="4"/>
      <c r="CF1614" s="4"/>
      <c r="CG1614" s="4"/>
      <c r="CH1614" s="4"/>
      <c r="CI1614" s="4"/>
      <c r="CJ1614" s="5">
        <v>42111</v>
      </c>
      <c r="CK1614" s="5">
        <v>42110</v>
      </c>
      <c r="CL1614" s="4"/>
      <c r="CM1614" s="4"/>
      <c r="CN1614" s="4"/>
      <c r="CO1614" s="4"/>
      <c r="CP1614" s="4" t="s">
        <v>4868</v>
      </c>
      <c r="CQ1614" s="4"/>
      <c r="CR1614" s="4"/>
      <c r="CS1614" s="4"/>
      <c r="CT1614" s="4"/>
      <c r="CU1614" s="4"/>
      <c r="CV1614" s="4"/>
      <c r="CW1614" s="4"/>
      <c r="CX1614" s="4"/>
      <c r="CY1614" s="4"/>
      <c r="CZ1614" s="4"/>
      <c r="DA1614" s="5">
        <v>42111</v>
      </c>
      <c r="DB1614" s="4"/>
      <c r="DC1614" s="4"/>
      <c r="DD1614" s="4"/>
      <c r="DE1614" s="4"/>
      <c r="DF1614" s="5">
        <v>42110</v>
      </c>
      <c r="DG1614" s="5">
        <v>42066</v>
      </c>
      <c r="DH1614" s="4" t="s">
        <v>174</v>
      </c>
      <c r="DI1614" s="4"/>
      <c r="DJ1614" s="4" t="b">
        <v>1</v>
      </c>
      <c r="DK1614" s="5">
        <v>41992</v>
      </c>
      <c r="DL1614" s="4">
        <v>2672504</v>
      </c>
      <c r="DM1614" s="4">
        <v>6001799</v>
      </c>
      <c r="DN1614" s="4" t="s">
        <v>4869</v>
      </c>
      <c r="DO1614" s="4" t="s">
        <v>4865</v>
      </c>
      <c r="DP1614" s="4"/>
      <c r="DQ1614" s="4" t="s">
        <v>148</v>
      </c>
      <c r="DR1614" s="4"/>
      <c r="DS1614" s="4"/>
      <c r="DT1614" s="4"/>
      <c r="DU1614" s="4" t="s">
        <v>1030</v>
      </c>
      <c r="DV1614" s="4"/>
      <c r="DW1614" s="4"/>
      <c r="DX1614" s="4"/>
      <c r="DY1614" s="4"/>
      <c r="DZ1614" s="4"/>
      <c r="EA1614" s="4"/>
      <c r="EB1614" s="4"/>
      <c r="EC1614" s="4"/>
      <c r="ED1614" s="4"/>
      <c r="EE1614" s="4"/>
      <c r="EF1614" s="4"/>
      <c r="EG1614" s="4"/>
      <c r="EH1614" s="4"/>
      <c r="EI1614" s="5">
        <v>41884</v>
      </c>
    </row>
    <row r="1615" spans="1:139" hidden="1" x14ac:dyDescent="0.2">
      <c r="A1615">
        <f>VLOOKUP(B1615,Sheet1!$A$1:$B$18,2,FALSE)</f>
        <v>0</v>
      </c>
      <c r="B1615" t="str">
        <f>LEFT(D1615,3)</f>
        <v>WLG</v>
      </c>
      <c r="C1615" s="2">
        <v>1614</v>
      </c>
      <c r="D1615" s="3" t="str">
        <f>HYPERLINK("https://sitebase.nzcomms.co.nz/spm/spmnominalview/WLG-047-001/","WLG-047-001")</f>
        <v>WLG-047-001</v>
      </c>
      <c r="E1615" s="4"/>
      <c r="F1615" s="3" t="str">
        <f>HYPERLINK("https://sitebase.nzcomms.co.nz/spm/spmcandidateview/WLG-047-001-B/","WLG-047-001-B")</f>
        <v>WLG-047-001-B</v>
      </c>
      <c r="G1615" s="4" t="s">
        <v>4870</v>
      </c>
      <c r="H1615" s="4" t="s">
        <v>4871</v>
      </c>
      <c r="I1615" s="4"/>
      <c r="J1615" s="4" t="s">
        <v>139</v>
      </c>
      <c r="K1615" s="4" t="s">
        <v>141</v>
      </c>
      <c r="L1615" s="4" t="s">
        <v>150</v>
      </c>
      <c r="M1615" s="4" t="s">
        <v>143</v>
      </c>
      <c r="N1615" s="4" t="s">
        <v>291</v>
      </c>
      <c r="O1615" s="4" t="s">
        <v>144</v>
      </c>
      <c r="P1615" s="4"/>
      <c r="Q1615" s="4"/>
      <c r="R1615" s="4">
        <v>18.8</v>
      </c>
      <c r="S1615" s="4">
        <v>18.8</v>
      </c>
      <c r="T1615" s="4"/>
      <c r="U1615" s="4">
        <v>-41.260031390000002</v>
      </c>
      <c r="V1615" s="4">
        <v>174.75933394</v>
      </c>
      <c r="W1615" s="4"/>
      <c r="X1615" s="4"/>
      <c r="Y1615" s="4"/>
      <c r="Z1615" s="4"/>
      <c r="AA1615" s="4" t="s">
        <v>171</v>
      </c>
      <c r="AB1615" s="3" t="str">
        <f>HYPERLINK("https://sitebase.nzcomms.co.nz/spm/spmcandidateview/WLG-047-074-B/","WLG-047-074-B")</f>
        <v>WLG-047-074-B</v>
      </c>
      <c r="AC1615" s="4"/>
      <c r="AD1615" s="4"/>
      <c r="AE1615" s="4"/>
      <c r="AF1615" s="4"/>
      <c r="AG1615" s="4"/>
      <c r="AH1615" s="4"/>
      <c r="AI1615" s="4"/>
      <c r="AJ1615" s="5">
        <v>39493</v>
      </c>
      <c r="AK1615" s="4"/>
      <c r="AL1615" s="4"/>
      <c r="AM1615" s="4"/>
      <c r="AN1615" s="5">
        <v>39533</v>
      </c>
      <c r="AO1615" s="4">
        <v>9</v>
      </c>
      <c r="AP1615" s="4"/>
      <c r="AQ1615" s="5">
        <v>40133</v>
      </c>
      <c r="AR1615" s="4"/>
      <c r="AS1615" s="4"/>
      <c r="AT1615" s="5">
        <v>40056</v>
      </c>
      <c r="AU1615" s="5">
        <v>40060</v>
      </c>
      <c r="AV1615" s="4">
        <v>7</v>
      </c>
      <c r="AW1615" s="5">
        <v>40056</v>
      </c>
      <c r="AX1615" s="5">
        <v>40099</v>
      </c>
      <c r="AY1615" s="4"/>
      <c r="AZ1615" s="4"/>
      <c r="BA1615" s="4"/>
      <c r="BB1615" s="5">
        <v>39650</v>
      </c>
      <c r="BC1615" s="4"/>
      <c r="BD1615" s="4"/>
      <c r="BE1615" s="5">
        <v>39963</v>
      </c>
      <c r="BF1615" s="5">
        <v>39947</v>
      </c>
      <c r="BG1615" s="5">
        <v>39979</v>
      </c>
      <c r="BH1615" s="5">
        <v>39945</v>
      </c>
      <c r="BI1615" s="5">
        <v>40071</v>
      </c>
      <c r="BJ1615" s="5">
        <v>40074</v>
      </c>
      <c r="BK1615" s="4">
        <v>3</v>
      </c>
      <c r="BL1615" s="4">
        <v>7</v>
      </c>
      <c r="BM1615" s="5">
        <v>40071</v>
      </c>
      <c r="BN1615" s="5">
        <v>40107</v>
      </c>
      <c r="BO1615" s="5">
        <v>39895</v>
      </c>
      <c r="BP1615" s="4"/>
      <c r="BQ1615" s="4"/>
      <c r="BR1615" s="4"/>
      <c r="BS1615" s="4"/>
      <c r="BT1615" s="5">
        <v>40126</v>
      </c>
      <c r="BU1615" s="5">
        <v>40126</v>
      </c>
      <c r="BV1615" s="5">
        <v>40143</v>
      </c>
      <c r="BW1615" s="5">
        <v>40141</v>
      </c>
      <c r="BX1615" s="4"/>
      <c r="BY1615" s="5">
        <v>40158</v>
      </c>
      <c r="BZ1615" s="5">
        <v>40162</v>
      </c>
      <c r="CA1615" s="4"/>
      <c r="CB1615" s="4"/>
      <c r="CC1615" s="4"/>
      <c r="CD1615" s="4"/>
      <c r="CE1615" s="4"/>
      <c r="CF1615" s="4"/>
      <c r="CG1615" s="4"/>
      <c r="CH1615" s="4"/>
      <c r="CI1615" s="5">
        <v>40165</v>
      </c>
      <c r="CJ1615" s="5">
        <v>40163</v>
      </c>
      <c r="CK1615" s="5">
        <v>40165</v>
      </c>
      <c r="CL1615" s="4"/>
      <c r="CM1615" s="4"/>
      <c r="CN1615" s="4"/>
      <c r="CO1615" s="4"/>
      <c r="CP1615" s="4" t="s">
        <v>4872</v>
      </c>
      <c r="CQ1615" s="4"/>
      <c r="CR1615" s="5">
        <v>40163</v>
      </c>
      <c r="CS1615" s="4"/>
      <c r="CT1615" s="4"/>
      <c r="CU1615" s="4"/>
      <c r="CV1615" s="4"/>
      <c r="CW1615" s="5">
        <v>39892</v>
      </c>
      <c r="CX1615" s="5">
        <v>39895</v>
      </c>
      <c r="CY1615" s="4"/>
      <c r="CZ1615" s="4"/>
      <c r="DA1615" s="4"/>
      <c r="DB1615" s="4"/>
      <c r="DC1615" s="4"/>
      <c r="DD1615" s="4"/>
      <c r="DE1615" s="4"/>
      <c r="DF1615" s="4"/>
      <c r="DG1615" s="4"/>
      <c r="DH1615" s="4"/>
      <c r="DI1615" s="4"/>
      <c r="DJ1615" s="4" t="b">
        <v>0</v>
      </c>
      <c r="DK1615" s="4"/>
      <c r="DL1615" s="4">
        <v>2657404</v>
      </c>
      <c r="DM1615" s="4">
        <v>5992596</v>
      </c>
      <c r="DN1615" s="4" t="s">
        <v>4873</v>
      </c>
      <c r="DO1615" s="4"/>
      <c r="DP1615" s="4"/>
      <c r="DQ1615" s="4" t="s">
        <v>148</v>
      </c>
      <c r="DR1615" s="4"/>
      <c r="DS1615" s="4"/>
      <c r="DT1615" s="4"/>
      <c r="DU1615" s="4"/>
      <c r="DV1615" s="4"/>
      <c r="DW1615" s="4"/>
      <c r="DX1615" s="4"/>
      <c r="DY1615" s="5">
        <v>40091</v>
      </c>
      <c r="DZ1615" s="5">
        <v>40091</v>
      </c>
      <c r="EA1615" s="4"/>
      <c r="EB1615" s="4"/>
      <c r="EC1615" s="4"/>
      <c r="ED1615" s="4"/>
      <c r="EE1615" s="4"/>
      <c r="EF1615" s="4"/>
      <c r="EG1615" s="4"/>
      <c r="EH1615" s="4"/>
      <c r="EI1615" s="5">
        <v>39513</v>
      </c>
    </row>
    <row r="1616" spans="1:139" hidden="1" x14ac:dyDescent="0.2">
      <c r="A1616">
        <f>VLOOKUP(B1616,Sheet1!$A$1:$B$18,2,FALSE)</f>
        <v>0</v>
      </c>
      <c r="B1616" t="str">
        <f>LEFT(D1616,3)</f>
        <v>WLG</v>
      </c>
      <c r="C1616" s="2">
        <v>1615</v>
      </c>
      <c r="D1616" s="3" t="str">
        <f>HYPERLINK("https://sitebase.nzcomms.co.nz/spm/spmnominalview/WLG-047-002/","WLG-047-002")</f>
        <v>WLG-047-002</v>
      </c>
      <c r="E1616" s="4"/>
      <c r="F1616" s="3" t="str">
        <f>HYPERLINK("https://sitebase.nzcomms.co.nz/spm/spmcandidateview/WLG-047-002-C/","WLG-047-002-C")</f>
        <v>WLG-047-002-C</v>
      </c>
      <c r="G1616" s="4" t="s">
        <v>4874</v>
      </c>
      <c r="H1616" s="4" t="s">
        <v>4871</v>
      </c>
      <c r="I1616" s="4"/>
      <c r="J1616" s="4" t="s">
        <v>139</v>
      </c>
      <c r="K1616" s="4" t="s">
        <v>141</v>
      </c>
      <c r="L1616" s="4" t="s">
        <v>181</v>
      </c>
      <c r="M1616" s="4" t="s">
        <v>442</v>
      </c>
      <c r="N1616" s="4" t="s">
        <v>364</v>
      </c>
      <c r="O1616" s="4" t="s">
        <v>144</v>
      </c>
      <c r="P1616" s="4"/>
      <c r="Q1616" s="4"/>
      <c r="R1616" s="4">
        <v>16.8</v>
      </c>
      <c r="S1616" s="4">
        <v>16.8</v>
      </c>
      <c r="T1616" s="4"/>
      <c r="U1616" s="4">
        <v>-41.169374390000002</v>
      </c>
      <c r="V1616" s="4">
        <v>174.82528970999999</v>
      </c>
      <c r="W1616" s="4"/>
      <c r="X1616" s="4"/>
      <c r="Y1616" s="4"/>
      <c r="Z1616" s="4"/>
      <c r="AA1616" s="4" t="s">
        <v>483</v>
      </c>
      <c r="AB1616" s="4" t="s">
        <v>4875</v>
      </c>
      <c r="AC1616" s="4"/>
      <c r="AD1616" s="4"/>
      <c r="AE1616" s="4"/>
      <c r="AF1616" s="4"/>
      <c r="AG1616" s="4"/>
      <c r="AH1616" s="4" t="s">
        <v>4876</v>
      </c>
      <c r="AI1616" s="4"/>
      <c r="AJ1616" s="4"/>
      <c r="AK1616" s="4"/>
      <c r="AL1616" s="4"/>
      <c r="AM1616" s="4"/>
      <c r="AN1616" s="5">
        <v>39476</v>
      </c>
      <c r="AO1616" s="4">
        <v>1</v>
      </c>
      <c r="AP1616" s="4"/>
      <c r="AQ1616" s="5">
        <v>39476</v>
      </c>
      <c r="AR1616" s="4"/>
      <c r="AS1616" s="4"/>
      <c r="AT1616" s="5">
        <v>39599</v>
      </c>
      <c r="AU1616" s="5">
        <v>39581</v>
      </c>
      <c r="AV1616" s="4">
        <v>1</v>
      </c>
      <c r="AW1616" s="5">
        <v>39599</v>
      </c>
      <c r="AX1616" s="5">
        <v>39581</v>
      </c>
      <c r="AY1616" s="4"/>
      <c r="AZ1616" s="4"/>
      <c r="BA1616" s="4"/>
      <c r="BB1616" s="5">
        <v>39518</v>
      </c>
      <c r="BC1616" s="4"/>
      <c r="BD1616" s="4"/>
      <c r="BE1616" s="5">
        <v>39518</v>
      </c>
      <c r="BF1616" s="5">
        <v>39518</v>
      </c>
      <c r="BG1616" s="4"/>
      <c r="BH1616" s="5">
        <v>39548</v>
      </c>
      <c r="BI1616" s="4"/>
      <c r="BJ1616" s="5">
        <v>39629</v>
      </c>
      <c r="BK1616" s="4">
        <v>2</v>
      </c>
      <c r="BL1616" s="4">
        <v>1</v>
      </c>
      <c r="BM1616" s="5">
        <v>39652</v>
      </c>
      <c r="BN1616" s="5">
        <v>39652</v>
      </c>
      <c r="BO1616" s="4"/>
      <c r="BP1616" s="4"/>
      <c r="BQ1616" s="4"/>
      <c r="BR1616" s="4"/>
      <c r="BS1616" s="4"/>
      <c r="BT1616" s="4"/>
      <c r="BU1616" s="5">
        <v>39666</v>
      </c>
      <c r="BV1616" s="5">
        <v>39691</v>
      </c>
      <c r="BW1616" s="5">
        <v>39691</v>
      </c>
      <c r="BX1616" s="4"/>
      <c r="BY1616" s="5">
        <v>39699</v>
      </c>
      <c r="BZ1616" s="5">
        <v>39699</v>
      </c>
      <c r="CA1616" s="4"/>
      <c r="CB1616" s="4"/>
      <c r="CC1616" s="4"/>
      <c r="CD1616" s="4"/>
      <c r="CE1616" s="4"/>
      <c r="CF1616" s="4"/>
      <c r="CG1616" s="4"/>
      <c r="CH1616" s="4"/>
      <c r="CI1616" s="5">
        <v>39806</v>
      </c>
      <c r="CJ1616" s="5">
        <v>39871</v>
      </c>
      <c r="CK1616" s="5">
        <v>39806</v>
      </c>
      <c r="CL1616" s="4"/>
      <c r="CM1616" s="4"/>
      <c r="CN1616" s="4"/>
      <c r="CO1616" s="4"/>
      <c r="CP1616" s="4" t="s">
        <v>405</v>
      </c>
      <c r="CQ1616" s="4"/>
      <c r="CR1616" s="5">
        <v>39871</v>
      </c>
      <c r="CS1616" s="4"/>
      <c r="CT1616" s="4"/>
      <c r="CU1616" s="4"/>
      <c r="CV1616" s="4"/>
      <c r="CW1616" s="4"/>
      <c r="CX1616" s="4"/>
      <c r="CY1616" s="4"/>
      <c r="CZ1616" s="4"/>
      <c r="DA1616" s="4"/>
      <c r="DB1616" s="4"/>
      <c r="DC1616" s="4"/>
      <c r="DD1616" s="4"/>
      <c r="DE1616" s="4"/>
      <c r="DF1616" s="4"/>
      <c r="DG1616" s="4"/>
      <c r="DH1616" s="4"/>
      <c r="DI1616" s="4"/>
      <c r="DJ1616" s="4" t="b">
        <v>0</v>
      </c>
      <c r="DK1616" s="4"/>
      <c r="DL1616" s="4">
        <v>2663140</v>
      </c>
      <c r="DM1616" s="4">
        <v>6002548</v>
      </c>
      <c r="DN1616" s="4" t="s">
        <v>4877</v>
      </c>
      <c r="DO1616" s="4"/>
      <c r="DP1616" s="4"/>
      <c r="DQ1616" s="4" t="s">
        <v>148</v>
      </c>
      <c r="DR1616" s="4"/>
      <c r="DS1616" s="4"/>
      <c r="DT1616" s="4"/>
      <c r="DU1616" s="4"/>
      <c r="DV1616" s="4"/>
      <c r="DW1616" s="4"/>
      <c r="DX1616" s="4"/>
      <c r="DY1616" s="4"/>
      <c r="DZ1616" s="5">
        <v>39630</v>
      </c>
      <c r="EA1616" s="4"/>
      <c r="EB1616" s="4"/>
      <c r="EC1616" s="4"/>
      <c r="ED1616" s="4"/>
      <c r="EE1616" s="4"/>
      <c r="EF1616" s="4"/>
      <c r="EG1616" s="4"/>
      <c r="EH1616" s="4"/>
      <c r="EI1616" s="5">
        <v>39421</v>
      </c>
    </row>
    <row r="1617" spans="1:139" hidden="1" x14ac:dyDescent="0.2">
      <c r="A1617">
        <f>VLOOKUP(B1617,Sheet1!$A$1:$B$18,2,FALSE)</f>
        <v>0</v>
      </c>
      <c r="B1617" t="str">
        <f>LEFT(D1617,3)</f>
        <v>WLG</v>
      </c>
      <c r="C1617" s="2">
        <v>1616</v>
      </c>
      <c r="D1617" s="3" t="str">
        <f>HYPERLINK("https://sitebase.nzcomms.co.nz/spm/spmnominalview/WLG-047-003/","WLG-047-003")</f>
        <v>WLG-047-003</v>
      </c>
      <c r="E1617" s="4"/>
      <c r="F1617" s="3" t="str">
        <f>HYPERLINK("https://sitebase.nzcomms.co.nz/spm/spmcandidateview/WLG-047-003-A/","WLG-047-003-A")</f>
        <v>WLG-047-003-A</v>
      </c>
      <c r="G1617" s="4" t="s">
        <v>4878</v>
      </c>
      <c r="H1617" s="4" t="s">
        <v>4871</v>
      </c>
      <c r="I1617" s="4"/>
      <c r="J1617" s="4" t="s">
        <v>139</v>
      </c>
      <c r="K1617" s="4" t="s">
        <v>141</v>
      </c>
      <c r="L1617" s="4" t="s">
        <v>150</v>
      </c>
      <c r="M1617" s="4" t="s">
        <v>143</v>
      </c>
      <c r="N1617" s="4" t="s">
        <v>291</v>
      </c>
      <c r="O1617" s="4" t="s">
        <v>144</v>
      </c>
      <c r="P1617" s="4"/>
      <c r="Q1617" s="4"/>
      <c r="R1617" s="4">
        <v>18.8</v>
      </c>
      <c r="S1617" s="4">
        <v>18.8</v>
      </c>
      <c r="T1617" s="4"/>
      <c r="U1617" s="4">
        <v>-41.181693180000003</v>
      </c>
      <c r="V1617" s="4">
        <v>174.83001712000001</v>
      </c>
      <c r="W1617" s="4"/>
      <c r="X1617" s="4"/>
      <c r="Y1617" s="4"/>
      <c r="Z1617" s="4"/>
      <c r="AA1617" s="4" t="s">
        <v>217</v>
      </c>
      <c r="AB1617" s="4" t="s">
        <v>4706</v>
      </c>
      <c r="AC1617" s="4"/>
      <c r="AD1617" s="4"/>
      <c r="AE1617" s="4"/>
      <c r="AF1617" s="4"/>
      <c r="AG1617" s="4"/>
      <c r="AH1617" s="4" t="s">
        <v>4879</v>
      </c>
      <c r="AI1617" s="4"/>
      <c r="AJ1617" s="4"/>
      <c r="AK1617" s="4"/>
      <c r="AL1617" s="4"/>
      <c r="AM1617" s="4"/>
      <c r="AN1617" s="5">
        <v>39463</v>
      </c>
      <c r="AO1617" s="4">
        <v>5</v>
      </c>
      <c r="AP1617" s="5">
        <v>39878</v>
      </c>
      <c r="AQ1617" s="5">
        <v>39898</v>
      </c>
      <c r="AR1617" s="4"/>
      <c r="AS1617" s="4"/>
      <c r="AT1617" s="5">
        <v>39685</v>
      </c>
      <c r="AU1617" s="5">
        <v>39680</v>
      </c>
      <c r="AV1617" s="4"/>
      <c r="AW1617" s="5">
        <v>39933</v>
      </c>
      <c r="AX1617" s="5">
        <v>39924</v>
      </c>
      <c r="AY1617" s="4"/>
      <c r="AZ1617" s="4"/>
      <c r="BA1617" s="4"/>
      <c r="BB1617" s="5">
        <v>39853</v>
      </c>
      <c r="BC1617" s="4"/>
      <c r="BD1617" s="4"/>
      <c r="BE1617" s="5">
        <v>39853</v>
      </c>
      <c r="BF1617" s="5">
        <v>39853</v>
      </c>
      <c r="BG1617" s="4"/>
      <c r="BH1617" s="5">
        <v>39874</v>
      </c>
      <c r="BI1617" s="4"/>
      <c r="BJ1617" s="5">
        <v>39898</v>
      </c>
      <c r="BK1617" s="4">
        <v>2</v>
      </c>
      <c r="BL1617" s="4">
        <v>5</v>
      </c>
      <c r="BM1617" s="5">
        <v>39904</v>
      </c>
      <c r="BN1617" s="5">
        <v>39976</v>
      </c>
      <c r="BO1617" s="5">
        <v>39924</v>
      </c>
      <c r="BP1617" s="4"/>
      <c r="BQ1617" s="4"/>
      <c r="BR1617" s="4"/>
      <c r="BS1617" s="4"/>
      <c r="BT1617" s="5">
        <v>39944</v>
      </c>
      <c r="BU1617" s="5">
        <v>39946</v>
      </c>
      <c r="BV1617" s="5">
        <v>39993</v>
      </c>
      <c r="BW1617" s="5">
        <v>39993</v>
      </c>
      <c r="BX1617" s="4"/>
      <c r="BY1617" s="5">
        <v>39997</v>
      </c>
      <c r="BZ1617" s="5">
        <v>39995</v>
      </c>
      <c r="CA1617" s="4"/>
      <c r="CB1617" s="4"/>
      <c r="CC1617" s="4"/>
      <c r="CD1617" s="4"/>
      <c r="CE1617" s="4"/>
      <c r="CF1617" s="4"/>
      <c r="CG1617" s="4"/>
      <c r="CH1617" s="4"/>
      <c r="CI1617" s="5">
        <v>40001</v>
      </c>
      <c r="CJ1617" s="5">
        <v>40004</v>
      </c>
      <c r="CK1617" s="5">
        <v>40001</v>
      </c>
      <c r="CL1617" s="4"/>
      <c r="CM1617" s="4"/>
      <c r="CN1617" s="4"/>
      <c r="CO1617" s="4"/>
      <c r="CP1617" s="4" t="s">
        <v>4880</v>
      </c>
      <c r="CQ1617" s="4"/>
      <c r="CR1617" s="5">
        <v>40004</v>
      </c>
      <c r="CS1617" s="4"/>
      <c r="CT1617" s="4"/>
      <c r="CU1617" s="4"/>
      <c r="CV1617" s="4"/>
      <c r="CW1617" s="5">
        <v>39925</v>
      </c>
      <c r="CX1617" s="5">
        <v>39924</v>
      </c>
      <c r="CY1617" s="4"/>
      <c r="CZ1617" s="4"/>
      <c r="DA1617" s="4"/>
      <c r="DB1617" s="4"/>
      <c r="DC1617" s="4"/>
      <c r="DD1617" s="4"/>
      <c r="DE1617" s="4"/>
      <c r="DF1617" s="4"/>
      <c r="DG1617" s="4"/>
      <c r="DH1617" s="4"/>
      <c r="DI1617" s="4"/>
      <c r="DJ1617" s="4" t="b">
        <v>0</v>
      </c>
      <c r="DK1617" s="4"/>
      <c r="DL1617" s="4">
        <v>2663508</v>
      </c>
      <c r="DM1617" s="4">
        <v>6001172</v>
      </c>
      <c r="DN1617" s="4" t="s">
        <v>4881</v>
      </c>
      <c r="DO1617" s="4"/>
      <c r="DP1617" s="4"/>
      <c r="DQ1617" s="4" t="s">
        <v>148</v>
      </c>
      <c r="DR1617" s="4"/>
      <c r="DS1617" s="4"/>
      <c r="DT1617" s="4"/>
      <c r="DU1617" s="4"/>
      <c r="DV1617" s="4"/>
      <c r="DW1617" s="4"/>
      <c r="DX1617" s="4"/>
      <c r="DY1617" s="5">
        <v>39944</v>
      </c>
      <c r="DZ1617" s="5">
        <v>39944</v>
      </c>
      <c r="EA1617" s="4"/>
      <c r="EB1617" s="4"/>
      <c r="EC1617" s="4"/>
      <c r="ED1617" s="4"/>
      <c r="EE1617" s="4"/>
      <c r="EF1617" s="4"/>
      <c r="EG1617" s="4"/>
      <c r="EH1617" s="4"/>
      <c r="EI1617" s="5">
        <v>39416</v>
      </c>
    </row>
    <row r="1618" spans="1:139" hidden="1" x14ac:dyDescent="0.2">
      <c r="A1618">
        <f>VLOOKUP(B1618,Sheet1!$A$1:$B$18,2,FALSE)</f>
        <v>0</v>
      </c>
      <c r="B1618" t="str">
        <f>LEFT(D1618,3)</f>
        <v>WLG</v>
      </c>
      <c r="C1618" s="2">
        <v>1617</v>
      </c>
      <c r="D1618" s="3" t="str">
        <f>HYPERLINK("https://sitebase.nzcomms.co.nz/spm/spmnominalview/WLG-047-004/","WLG-047-004")</f>
        <v>WLG-047-004</v>
      </c>
      <c r="E1618" s="4"/>
      <c r="F1618" s="3" t="str">
        <f>HYPERLINK("https://sitebase.nzcomms.co.nz/spm/spmcandidateview/WLG-047-004-A/","WLG-047-004-A")</f>
        <v>WLG-047-004-A</v>
      </c>
      <c r="G1618" s="4" t="s">
        <v>4882</v>
      </c>
      <c r="H1618" s="4" t="s">
        <v>4871</v>
      </c>
      <c r="I1618" s="4"/>
      <c r="J1618" s="4" t="s">
        <v>139</v>
      </c>
      <c r="K1618" s="4" t="s">
        <v>141</v>
      </c>
      <c r="L1618" s="4" t="s">
        <v>189</v>
      </c>
      <c r="M1618" s="4" t="s">
        <v>143</v>
      </c>
      <c r="N1618" s="4" t="s">
        <v>612</v>
      </c>
      <c r="O1618" s="4" t="s">
        <v>356</v>
      </c>
      <c r="P1618" s="4"/>
      <c r="Q1618" s="4"/>
      <c r="R1618" s="4">
        <v>13</v>
      </c>
      <c r="S1618" s="4">
        <v>13</v>
      </c>
      <c r="T1618" s="4"/>
      <c r="U1618" s="4">
        <v>-41.204027170000003</v>
      </c>
      <c r="V1618" s="4">
        <v>174.82049905</v>
      </c>
      <c r="W1618" s="4"/>
      <c r="X1618" s="4"/>
      <c r="Y1618" s="4"/>
      <c r="Z1618" s="4"/>
      <c r="AA1618" s="4" t="s">
        <v>152</v>
      </c>
      <c r="AB1618" s="3" t="str">
        <f>HYPERLINK("https://sitebase.nzcomms.co.nz/spm/spmcandidateview/WLG-047-071-A/","WLG-047-071-A")</f>
        <v>WLG-047-071-A</v>
      </c>
      <c r="AC1618" s="4"/>
      <c r="AD1618" s="4"/>
      <c r="AE1618" s="4"/>
      <c r="AF1618" s="4"/>
      <c r="AG1618" s="4"/>
      <c r="AH1618" s="4"/>
      <c r="AI1618" s="4"/>
      <c r="AJ1618" s="4"/>
      <c r="AK1618" s="4"/>
      <c r="AL1618" s="4"/>
      <c r="AM1618" s="4"/>
      <c r="AN1618" s="5">
        <v>39436</v>
      </c>
      <c r="AO1618" s="4">
        <v>4</v>
      </c>
      <c r="AP1618" s="4"/>
      <c r="AQ1618" s="5">
        <v>39591</v>
      </c>
      <c r="AR1618" s="4"/>
      <c r="AS1618" s="4"/>
      <c r="AT1618" s="5">
        <v>39863</v>
      </c>
      <c r="AU1618" s="5">
        <v>39861</v>
      </c>
      <c r="AV1618" s="4">
        <v>4</v>
      </c>
      <c r="AW1618" s="5">
        <v>39902</v>
      </c>
      <c r="AX1618" s="5">
        <v>39892</v>
      </c>
      <c r="AY1618" s="4"/>
      <c r="AZ1618" s="4"/>
      <c r="BA1618" s="4"/>
      <c r="BB1618" s="5">
        <v>39861</v>
      </c>
      <c r="BC1618" s="4"/>
      <c r="BD1618" s="4"/>
      <c r="BE1618" s="5">
        <v>39861</v>
      </c>
      <c r="BF1618" s="5">
        <v>39861</v>
      </c>
      <c r="BG1618" s="4"/>
      <c r="BH1618" s="5">
        <v>39629</v>
      </c>
      <c r="BI1618" s="4"/>
      <c r="BJ1618" s="5">
        <v>39627</v>
      </c>
      <c r="BK1618" s="4">
        <v>1</v>
      </c>
      <c r="BL1618" s="4">
        <v>4</v>
      </c>
      <c r="BM1618" s="5">
        <v>39627</v>
      </c>
      <c r="BN1618" s="5">
        <v>39627</v>
      </c>
      <c r="BO1618" s="5">
        <v>39869</v>
      </c>
      <c r="BP1618" s="4"/>
      <c r="BQ1618" s="4"/>
      <c r="BR1618" s="4"/>
      <c r="BS1618" s="4"/>
      <c r="BT1618" s="5">
        <v>39948</v>
      </c>
      <c r="BU1618" s="5">
        <v>39931</v>
      </c>
      <c r="BV1618" s="5">
        <v>39963</v>
      </c>
      <c r="BW1618" s="5">
        <v>39946</v>
      </c>
      <c r="BX1618" s="4"/>
      <c r="BY1618" s="5">
        <v>39969</v>
      </c>
      <c r="BZ1618" s="5">
        <v>39961</v>
      </c>
      <c r="CA1618" s="4"/>
      <c r="CB1618" s="4"/>
      <c r="CC1618" s="4"/>
      <c r="CD1618" s="4"/>
      <c r="CE1618" s="4"/>
      <c r="CF1618" s="4"/>
      <c r="CG1618" s="4"/>
      <c r="CH1618" s="4"/>
      <c r="CI1618" s="5">
        <v>40003</v>
      </c>
      <c r="CJ1618" s="5">
        <v>40004</v>
      </c>
      <c r="CK1618" s="5">
        <v>40003</v>
      </c>
      <c r="CL1618" s="4"/>
      <c r="CM1618" s="4"/>
      <c r="CN1618" s="4"/>
      <c r="CO1618" s="4"/>
      <c r="CP1618" s="4" t="s">
        <v>4883</v>
      </c>
      <c r="CQ1618" s="4"/>
      <c r="CR1618" s="5">
        <v>40004</v>
      </c>
      <c r="CS1618" s="4"/>
      <c r="CT1618" s="4"/>
      <c r="CU1618" s="4"/>
      <c r="CV1618" s="4"/>
      <c r="CW1618" s="4"/>
      <c r="CX1618" s="5">
        <v>39869</v>
      </c>
      <c r="CY1618" s="4"/>
      <c r="CZ1618" s="4"/>
      <c r="DA1618" s="4"/>
      <c r="DB1618" s="4"/>
      <c r="DC1618" s="4"/>
      <c r="DD1618" s="4"/>
      <c r="DE1618" s="4"/>
      <c r="DF1618" s="4"/>
      <c r="DG1618" s="4"/>
      <c r="DH1618" s="4"/>
      <c r="DI1618" s="4"/>
      <c r="DJ1618" s="4" t="b">
        <v>0</v>
      </c>
      <c r="DK1618" s="4"/>
      <c r="DL1618" s="4">
        <v>2662658</v>
      </c>
      <c r="DM1618" s="4">
        <v>5998709</v>
      </c>
      <c r="DN1618" s="4" t="s">
        <v>4884</v>
      </c>
      <c r="DO1618" s="4"/>
      <c r="DP1618" s="4"/>
      <c r="DQ1618" s="4" t="s">
        <v>148</v>
      </c>
      <c r="DR1618" s="4"/>
      <c r="DS1618" s="4"/>
      <c r="DT1618" s="4"/>
      <c r="DU1618" s="4"/>
      <c r="DV1618" s="4"/>
      <c r="DW1618" s="4"/>
      <c r="DX1618" s="4"/>
      <c r="DY1618" s="5">
        <v>39948</v>
      </c>
      <c r="DZ1618" s="5">
        <v>39917</v>
      </c>
      <c r="EA1618" s="4"/>
      <c r="EB1618" s="4"/>
      <c r="EC1618" s="4"/>
      <c r="ED1618" s="4"/>
      <c r="EE1618" s="4"/>
      <c r="EF1618" s="4"/>
      <c r="EG1618" s="4"/>
      <c r="EH1618" s="4"/>
      <c r="EI1618" s="5">
        <v>39407</v>
      </c>
    </row>
    <row r="1619" spans="1:139" hidden="1" x14ac:dyDescent="0.2">
      <c r="A1619">
        <f>VLOOKUP(B1619,Sheet1!$A$1:$B$18,2,FALSE)</f>
        <v>0</v>
      </c>
      <c r="B1619" t="str">
        <f>LEFT(D1619,3)</f>
        <v>WLG</v>
      </c>
      <c r="C1619" s="2">
        <v>1618</v>
      </c>
      <c r="D1619" s="3" t="str">
        <f>HYPERLINK("https://sitebase.nzcomms.co.nz/spm/spmnominalview/WLG-047-005/","WLG-047-005")</f>
        <v>WLG-047-005</v>
      </c>
      <c r="E1619" s="4"/>
      <c r="F1619" s="3" t="str">
        <f>HYPERLINK("https://sitebase.nzcomms.co.nz/spm/spmcandidateview/WLG-047-005-B/","WLG-047-005-B")</f>
        <v>WLG-047-005-B</v>
      </c>
      <c r="G1619" s="4" t="s">
        <v>4885</v>
      </c>
      <c r="H1619" s="4" t="s">
        <v>4871</v>
      </c>
      <c r="I1619" s="4"/>
      <c r="J1619" s="4" t="s">
        <v>139</v>
      </c>
      <c r="K1619" s="4" t="s">
        <v>141</v>
      </c>
      <c r="L1619" s="4" t="s">
        <v>189</v>
      </c>
      <c r="M1619" s="4" t="s">
        <v>143</v>
      </c>
      <c r="N1619" s="4" t="s">
        <v>612</v>
      </c>
      <c r="O1619" s="4" t="s">
        <v>356</v>
      </c>
      <c r="P1619" s="4"/>
      <c r="Q1619" s="4"/>
      <c r="R1619" s="4">
        <v>14.2</v>
      </c>
      <c r="S1619" s="4">
        <v>14.2</v>
      </c>
      <c r="T1619" s="4"/>
      <c r="U1619" s="4">
        <v>-41.209535979999998</v>
      </c>
      <c r="V1619" s="4">
        <v>174.80288024999999</v>
      </c>
      <c r="W1619" s="4"/>
      <c r="X1619" s="4"/>
      <c r="Y1619" s="4"/>
      <c r="Z1619" s="4"/>
      <c r="AA1619" s="4" t="s">
        <v>217</v>
      </c>
      <c r="AB1619" s="4" t="s">
        <v>4886</v>
      </c>
      <c r="AC1619" s="4"/>
      <c r="AD1619" s="4"/>
      <c r="AE1619" s="4"/>
      <c r="AF1619" s="4"/>
      <c r="AG1619" s="4"/>
      <c r="AH1619" s="4" t="s">
        <v>4887</v>
      </c>
      <c r="AI1619" s="4"/>
      <c r="AJ1619" s="4"/>
      <c r="AK1619" s="4"/>
      <c r="AL1619" s="4"/>
      <c r="AM1619" s="4"/>
      <c r="AN1619" s="5">
        <v>39436</v>
      </c>
      <c r="AO1619" s="4">
        <v>4</v>
      </c>
      <c r="AP1619" s="4"/>
      <c r="AQ1619" s="5">
        <v>39542</v>
      </c>
      <c r="AR1619" s="4"/>
      <c r="AS1619" s="4"/>
      <c r="AT1619" s="5">
        <v>39567</v>
      </c>
      <c r="AU1619" s="5">
        <v>39567</v>
      </c>
      <c r="AV1619" s="4">
        <v>2</v>
      </c>
      <c r="AW1619" s="5">
        <v>39567</v>
      </c>
      <c r="AX1619" s="5">
        <v>39567</v>
      </c>
      <c r="AY1619" s="4"/>
      <c r="AZ1619" s="4"/>
      <c r="BA1619" s="4"/>
      <c r="BB1619" s="5">
        <v>39659</v>
      </c>
      <c r="BC1619" s="4"/>
      <c r="BD1619" s="4"/>
      <c r="BE1619" s="5">
        <v>39659</v>
      </c>
      <c r="BF1619" s="5">
        <v>39659</v>
      </c>
      <c r="BG1619" s="4"/>
      <c r="BH1619" s="5">
        <v>39548</v>
      </c>
      <c r="BI1619" s="4"/>
      <c r="BJ1619" s="5">
        <v>39591</v>
      </c>
      <c r="BK1619" s="4">
        <v>2</v>
      </c>
      <c r="BL1619" s="4">
        <v>4</v>
      </c>
      <c r="BM1619" s="5">
        <v>39672</v>
      </c>
      <c r="BN1619" s="5">
        <v>39672</v>
      </c>
      <c r="BO1619" s="4"/>
      <c r="BP1619" s="4"/>
      <c r="BQ1619" s="4"/>
      <c r="BR1619" s="4"/>
      <c r="BS1619" s="4"/>
      <c r="BT1619" s="4"/>
      <c r="BU1619" s="5">
        <v>39737</v>
      </c>
      <c r="BV1619" s="5">
        <v>39746</v>
      </c>
      <c r="BW1619" s="5">
        <v>39745</v>
      </c>
      <c r="BX1619" s="4"/>
      <c r="BY1619" s="4"/>
      <c r="BZ1619" s="5">
        <v>39745</v>
      </c>
      <c r="CA1619" s="4"/>
      <c r="CB1619" s="4"/>
      <c r="CC1619" s="4"/>
      <c r="CD1619" s="4"/>
      <c r="CE1619" s="4"/>
      <c r="CF1619" s="4"/>
      <c r="CG1619" s="4"/>
      <c r="CH1619" s="4"/>
      <c r="CI1619" s="5">
        <v>39797</v>
      </c>
      <c r="CJ1619" s="5">
        <v>39813</v>
      </c>
      <c r="CK1619" s="5">
        <v>39797</v>
      </c>
      <c r="CL1619" s="4"/>
      <c r="CM1619" s="4"/>
      <c r="CN1619" s="4"/>
      <c r="CO1619" s="4"/>
      <c r="CP1619" s="4" t="s">
        <v>405</v>
      </c>
      <c r="CQ1619" s="4"/>
      <c r="CR1619" s="5">
        <v>39805</v>
      </c>
      <c r="CS1619" s="4"/>
      <c r="CT1619" s="4"/>
      <c r="CU1619" s="4"/>
      <c r="CV1619" s="4"/>
      <c r="CW1619" s="4"/>
      <c r="CX1619" s="4"/>
      <c r="CY1619" s="4"/>
      <c r="CZ1619" s="4"/>
      <c r="DA1619" s="4"/>
      <c r="DB1619" s="4"/>
      <c r="DC1619" s="4"/>
      <c r="DD1619" s="4"/>
      <c r="DE1619" s="4"/>
      <c r="DF1619" s="4"/>
      <c r="DG1619" s="4"/>
      <c r="DH1619" s="4"/>
      <c r="DI1619" s="4"/>
      <c r="DJ1619" s="4" t="b">
        <v>0</v>
      </c>
      <c r="DK1619" s="4"/>
      <c r="DL1619" s="4">
        <v>2661168</v>
      </c>
      <c r="DM1619" s="4">
        <v>5998128</v>
      </c>
      <c r="DN1619" s="4" t="s">
        <v>4888</v>
      </c>
      <c r="DO1619" s="4"/>
      <c r="DP1619" s="4"/>
      <c r="DQ1619" s="4" t="s">
        <v>148</v>
      </c>
      <c r="DR1619" s="4"/>
      <c r="DS1619" s="4"/>
      <c r="DT1619" s="4"/>
      <c r="DU1619" s="4"/>
      <c r="DV1619" s="4"/>
      <c r="DW1619" s="4"/>
      <c r="DX1619" s="4"/>
      <c r="DY1619" s="4"/>
      <c r="DZ1619" s="5">
        <v>39722</v>
      </c>
      <c r="EA1619" s="4"/>
      <c r="EB1619" s="4"/>
      <c r="EC1619" s="4"/>
      <c r="ED1619" s="4"/>
      <c r="EE1619" s="4"/>
      <c r="EF1619" s="4"/>
      <c r="EG1619" s="4"/>
      <c r="EH1619" s="4"/>
      <c r="EI1619" s="5">
        <v>39407</v>
      </c>
    </row>
    <row r="1620" spans="1:139" hidden="1" x14ac:dyDescent="0.2">
      <c r="A1620">
        <f>VLOOKUP(B1620,Sheet1!$A$1:$B$18,2,FALSE)</f>
        <v>0</v>
      </c>
      <c r="B1620" t="str">
        <f>LEFT(D1620,3)</f>
        <v>WLG</v>
      </c>
      <c r="C1620" s="2">
        <v>1619</v>
      </c>
      <c r="D1620" s="3" t="str">
        <f>HYPERLINK("https://sitebase.nzcomms.co.nz/spm/spmnominalview/WLG-047-006/","WLG-047-006")</f>
        <v>WLG-047-006</v>
      </c>
      <c r="E1620" s="4"/>
      <c r="F1620" s="3" t="str">
        <f>HYPERLINK("https://sitebase.nzcomms.co.nz/spm/spmcandidateview/WLG-047-006-G/","WLG-047-006-G")</f>
        <v>WLG-047-006-G</v>
      </c>
      <c r="G1620" s="4" t="s">
        <v>4889</v>
      </c>
      <c r="H1620" s="4" t="s">
        <v>4871</v>
      </c>
      <c r="I1620" s="4"/>
      <c r="J1620" s="4" t="s">
        <v>139</v>
      </c>
      <c r="K1620" s="4" t="s">
        <v>141</v>
      </c>
      <c r="L1620" s="4" t="s">
        <v>181</v>
      </c>
      <c r="M1620" s="4" t="s">
        <v>442</v>
      </c>
      <c r="N1620" s="4" t="s">
        <v>364</v>
      </c>
      <c r="O1620" s="4" t="s">
        <v>356</v>
      </c>
      <c r="P1620" s="4"/>
      <c r="Q1620" s="4"/>
      <c r="R1620" s="4">
        <v>10.9</v>
      </c>
      <c r="S1620" s="4">
        <v>10.9</v>
      </c>
      <c r="T1620" s="4"/>
      <c r="U1620" s="4">
        <v>-41.222909129999998</v>
      </c>
      <c r="V1620" s="4">
        <v>174.80878039000001</v>
      </c>
      <c r="W1620" s="4"/>
      <c r="X1620" s="4"/>
      <c r="Y1620" s="4"/>
      <c r="Z1620" s="4"/>
      <c r="AA1620" s="4" t="s">
        <v>217</v>
      </c>
      <c r="AB1620" s="4" t="s">
        <v>4886</v>
      </c>
      <c r="AC1620" s="4" t="b">
        <v>0</v>
      </c>
      <c r="AD1620" s="4" t="b">
        <v>0</v>
      </c>
      <c r="AE1620" s="4"/>
      <c r="AF1620" s="4"/>
      <c r="AG1620" s="4" t="b">
        <v>0</v>
      </c>
      <c r="AH1620" s="4" t="s">
        <v>4890</v>
      </c>
      <c r="AI1620" s="4"/>
      <c r="AJ1620" s="4"/>
      <c r="AK1620" s="4"/>
      <c r="AL1620" s="4"/>
      <c r="AM1620" s="4"/>
      <c r="AN1620" s="5">
        <v>39532</v>
      </c>
      <c r="AO1620" s="4">
        <v>2</v>
      </c>
      <c r="AP1620" s="5">
        <v>39878</v>
      </c>
      <c r="AQ1620" s="5">
        <v>39875</v>
      </c>
      <c r="AR1620" s="4"/>
      <c r="AS1620" s="4"/>
      <c r="AT1620" s="5">
        <v>39629</v>
      </c>
      <c r="AU1620" s="5">
        <v>39622</v>
      </c>
      <c r="AV1620" s="4">
        <v>1</v>
      </c>
      <c r="AW1620" s="5">
        <v>39629</v>
      </c>
      <c r="AX1620" s="5">
        <v>39622</v>
      </c>
      <c r="AY1620" s="4"/>
      <c r="AZ1620" s="4"/>
      <c r="BA1620" s="4"/>
      <c r="BB1620" s="5">
        <v>39611</v>
      </c>
      <c r="BC1620" s="4"/>
      <c r="BD1620" s="4"/>
      <c r="BE1620" s="5">
        <v>39611</v>
      </c>
      <c r="BF1620" s="5">
        <v>39611</v>
      </c>
      <c r="BG1620" s="4"/>
      <c r="BH1620" s="5">
        <v>39602</v>
      </c>
      <c r="BI1620" s="4"/>
      <c r="BJ1620" s="5">
        <v>39652</v>
      </c>
      <c r="BK1620" s="4">
        <v>2</v>
      </c>
      <c r="BL1620" s="4">
        <v>1</v>
      </c>
      <c r="BM1620" s="5">
        <v>39689</v>
      </c>
      <c r="BN1620" s="5">
        <v>39689</v>
      </c>
      <c r="BO1620" s="4"/>
      <c r="BP1620" s="4"/>
      <c r="BQ1620" s="4"/>
      <c r="BR1620" s="4"/>
      <c r="BS1620" s="4"/>
      <c r="BT1620" s="4"/>
      <c r="BU1620" s="5">
        <v>39692</v>
      </c>
      <c r="BV1620" s="5">
        <v>39721</v>
      </c>
      <c r="BW1620" s="5">
        <v>39720</v>
      </c>
      <c r="BX1620" s="4"/>
      <c r="BY1620" s="5">
        <v>39731</v>
      </c>
      <c r="BZ1620" s="5">
        <v>39731</v>
      </c>
      <c r="CA1620" s="4"/>
      <c r="CB1620" s="4"/>
      <c r="CC1620" s="4"/>
      <c r="CD1620" s="4"/>
      <c r="CE1620" s="4"/>
      <c r="CF1620" s="4"/>
      <c r="CG1620" s="4"/>
      <c r="CH1620" s="4"/>
      <c r="CI1620" s="5">
        <v>39793</v>
      </c>
      <c r="CJ1620" s="5">
        <v>39813</v>
      </c>
      <c r="CK1620" s="5">
        <v>39793</v>
      </c>
      <c r="CL1620" s="4"/>
      <c r="CM1620" s="4"/>
      <c r="CN1620" s="4"/>
      <c r="CO1620" s="4"/>
      <c r="CP1620" s="4" t="s">
        <v>405</v>
      </c>
      <c r="CQ1620" s="4"/>
      <c r="CR1620" s="5">
        <v>39805</v>
      </c>
      <c r="CS1620" s="4"/>
      <c r="CT1620" s="4"/>
      <c r="CU1620" s="4"/>
      <c r="CV1620" s="4"/>
      <c r="CW1620" s="4"/>
      <c r="CX1620" s="4"/>
      <c r="CY1620" s="4"/>
      <c r="CZ1620" s="4"/>
      <c r="DA1620" s="4"/>
      <c r="DB1620" s="4"/>
      <c r="DC1620" s="4"/>
      <c r="DD1620" s="4"/>
      <c r="DE1620" s="4"/>
      <c r="DF1620" s="4"/>
      <c r="DG1620" s="4"/>
      <c r="DH1620" s="4"/>
      <c r="DI1620" s="4"/>
      <c r="DJ1620" s="4" t="b">
        <v>0</v>
      </c>
      <c r="DK1620" s="4"/>
      <c r="DL1620" s="4">
        <v>2661632</v>
      </c>
      <c r="DM1620" s="4">
        <v>5996633</v>
      </c>
      <c r="DN1620" s="4" t="s">
        <v>4891</v>
      </c>
      <c r="DO1620" s="4"/>
      <c r="DP1620" s="4"/>
      <c r="DQ1620" s="4" t="s">
        <v>148</v>
      </c>
      <c r="DR1620" s="4"/>
      <c r="DS1620" s="4"/>
      <c r="DT1620" s="5">
        <v>42340</v>
      </c>
      <c r="DU1620" s="4"/>
      <c r="DV1620" s="4"/>
      <c r="DW1620" s="4"/>
      <c r="DX1620" s="4"/>
      <c r="DY1620" s="4"/>
      <c r="DZ1620" s="5">
        <v>39660</v>
      </c>
      <c r="EA1620" s="4"/>
      <c r="EB1620" s="4"/>
      <c r="EC1620" s="4"/>
      <c r="ED1620" s="4"/>
      <c r="EE1620" s="4"/>
      <c r="EF1620" s="4"/>
      <c r="EG1620" s="4"/>
      <c r="EH1620" s="4"/>
      <c r="EI1620" s="5">
        <v>39493</v>
      </c>
    </row>
    <row r="1621" spans="1:139" hidden="1" x14ac:dyDescent="0.2">
      <c r="A1621">
        <f>VLOOKUP(B1621,Sheet1!$A$1:$B$18,2,FALSE)</f>
        <v>0</v>
      </c>
      <c r="B1621" t="str">
        <f>LEFT(D1621,3)</f>
        <v>WLG</v>
      </c>
      <c r="C1621" s="2">
        <v>1620</v>
      </c>
      <c r="D1621" s="3" t="str">
        <f>HYPERLINK("https://sitebase.nzcomms.co.nz/spm/spmnominalview/WLG-047-007/","WLG-047-007")</f>
        <v>WLG-047-007</v>
      </c>
      <c r="E1621" s="4" t="s">
        <v>4892</v>
      </c>
      <c r="F1621" s="3" t="str">
        <f>HYPERLINK("https://sitebase.nzcomms.co.nz/spm/spmcandidateview/WLG-047-007-C/","WLG-047-007-C")</f>
        <v>WLG-047-007-C</v>
      </c>
      <c r="G1621" s="4" t="s">
        <v>4893</v>
      </c>
      <c r="H1621" s="4" t="s">
        <v>4871</v>
      </c>
      <c r="I1621" s="4"/>
      <c r="J1621" s="4" t="s">
        <v>139</v>
      </c>
      <c r="K1621" s="4" t="s">
        <v>141</v>
      </c>
      <c r="L1621" s="4" t="s">
        <v>189</v>
      </c>
      <c r="M1621" s="4" t="s">
        <v>143</v>
      </c>
      <c r="N1621" s="4" t="s">
        <v>612</v>
      </c>
      <c r="O1621" s="4" t="s">
        <v>144</v>
      </c>
      <c r="P1621" s="4"/>
      <c r="Q1621" s="4"/>
      <c r="R1621" s="4">
        <v>13.8</v>
      </c>
      <c r="S1621" s="4">
        <v>13.8</v>
      </c>
      <c r="T1621" s="4"/>
      <c r="U1621" s="4">
        <v>-41.223440709999998</v>
      </c>
      <c r="V1621" s="4">
        <v>174.82197661000001</v>
      </c>
      <c r="W1621" s="4"/>
      <c r="X1621" s="4"/>
      <c r="Y1621" s="4"/>
      <c r="Z1621" s="4"/>
      <c r="AA1621" s="4" t="s">
        <v>152</v>
      </c>
      <c r="AB1621" s="3" t="str">
        <f>HYPERLINK("https://sitebase.nzcomms.co.nz/spm/spmcandidateview/WLG-047-071-A/","WLG-047-071-A")</f>
        <v>WLG-047-071-A</v>
      </c>
      <c r="AC1621" s="4"/>
      <c r="AD1621" s="4"/>
      <c r="AE1621" s="4"/>
      <c r="AF1621" s="4"/>
      <c r="AG1621" s="4"/>
      <c r="AH1621" s="4"/>
      <c r="AI1621" s="4"/>
      <c r="AJ1621" s="4"/>
      <c r="AK1621" s="4"/>
      <c r="AL1621" s="4"/>
      <c r="AM1621" s="4"/>
      <c r="AN1621" s="5">
        <v>39430</v>
      </c>
      <c r="AO1621" s="4">
        <v>4</v>
      </c>
      <c r="AP1621" s="4"/>
      <c r="AQ1621" s="5">
        <v>39702</v>
      </c>
      <c r="AR1621" s="4"/>
      <c r="AS1621" s="4"/>
      <c r="AT1621" s="5">
        <v>39566</v>
      </c>
      <c r="AU1621" s="5">
        <v>39566</v>
      </c>
      <c r="AV1621" s="4">
        <v>1</v>
      </c>
      <c r="AW1621" s="5">
        <v>39566</v>
      </c>
      <c r="AX1621" s="5">
        <v>39566</v>
      </c>
      <c r="AY1621" s="4"/>
      <c r="AZ1621" s="4"/>
      <c r="BA1621" s="4"/>
      <c r="BB1621" s="5">
        <v>39737</v>
      </c>
      <c r="BC1621" s="4"/>
      <c r="BD1621" s="4"/>
      <c r="BE1621" s="5">
        <v>39737</v>
      </c>
      <c r="BF1621" s="5">
        <v>39737</v>
      </c>
      <c r="BG1621" s="4"/>
      <c r="BH1621" s="5">
        <v>39573</v>
      </c>
      <c r="BI1621" s="4"/>
      <c r="BJ1621" s="5">
        <v>39627</v>
      </c>
      <c r="BK1621" s="4">
        <v>1</v>
      </c>
      <c r="BL1621" s="4">
        <v>3</v>
      </c>
      <c r="BM1621" s="5">
        <v>39627</v>
      </c>
      <c r="BN1621" s="5">
        <v>39627</v>
      </c>
      <c r="BO1621" s="4"/>
      <c r="BP1621" s="4"/>
      <c r="BQ1621" s="4"/>
      <c r="BR1621" s="4"/>
      <c r="BS1621" s="4"/>
      <c r="BT1621" s="4"/>
      <c r="BU1621" s="5">
        <v>39762</v>
      </c>
      <c r="BV1621" s="5">
        <v>39780</v>
      </c>
      <c r="BW1621" s="5">
        <v>39780</v>
      </c>
      <c r="BX1621" s="4"/>
      <c r="BY1621" s="5">
        <v>39778</v>
      </c>
      <c r="BZ1621" s="5">
        <v>39780</v>
      </c>
      <c r="CA1621" s="4"/>
      <c r="CB1621" s="4"/>
      <c r="CC1621" s="4"/>
      <c r="CD1621" s="4"/>
      <c r="CE1621" s="4"/>
      <c r="CF1621" s="4"/>
      <c r="CG1621" s="4"/>
      <c r="CH1621" s="4"/>
      <c r="CI1621" s="5">
        <v>39881</v>
      </c>
      <c r="CJ1621" s="5">
        <v>39990</v>
      </c>
      <c r="CK1621" s="5">
        <v>39881</v>
      </c>
      <c r="CL1621" s="4"/>
      <c r="CM1621" s="4"/>
      <c r="CN1621" s="4"/>
      <c r="CO1621" s="4"/>
      <c r="CP1621" s="4" t="s">
        <v>4821</v>
      </c>
      <c r="CQ1621" s="4"/>
      <c r="CR1621" s="5">
        <v>39990</v>
      </c>
      <c r="CS1621" s="4"/>
      <c r="CT1621" s="4"/>
      <c r="CU1621" s="4"/>
      <c r="CV1621" s="4"/>
      <c r="CW1621" s="4"/>
      <c r="CX1621" s="4"/>
      <c r="CY1621" s="4"/>
      <c r="CZ1621" s="4"/>
      <c r="DA1621" s="4"/>
      <c r="DB1621" s="4"/>
      <c r="DC1621" s="4"/>
      <c r="DD1621" s="4"/>
      <c r="DE1621" s="4"/>
      <c r="DF1621" s="4"/>
      <c r="DG1621" s="4"/>
      <c r="DH1621" s="4"/>
      <c r="DI1621" s="4"/>
      <c r="DJ1621" s="4" t="b">
        <v>0</v>
      </c>
      <c r="DK1621" s="4"/>
      <c r="DL1621" s="4">
        <v>2662737</v>
      </c>
      <c r="DM1621" s="4">
        <v>5996551</v>
      </c>
      <c r="DN1621" s="4" t="s">
        <v>4894</v>
      </c>
      <c r="DO1621" s="4"/>
      <c r="DP1621" s="4"/>
      <c r="DQ1621" s="4" t="s">
        <v>148</v>
      </c>
      <c r="DR1621" s="4"/>
      <c r="DS1621" s="4"/>
      <c r="DT1621" s="5">
        <v>42340</v>
      </c>
      <c r="DU1621" s="4"/>
      <c r="DV1621" s="4"/>
      <c r="DW1621" s="4"/>
      <c r="DX1621" s="4"/>
      <c r="DY1621" s="4"/>
      <c r="DZ1621" s="5">
        <v>39763</v>
      </c>
      <c r="EA1621" s="4"/>
      <c r="EB1621" s="4"/>
      <c r="EC1621" s="4"/>
      <c r="ED1621" s="4"/>
      <c r="EE1621" s="4"/>
      <c r="EF1621" s="4"/>
      <c r="EG1621" s="4"/>
      <c r="EH1621" s="4"/>
      <c r="EI1621" s="5">
        <v>39416</v>
      </c>
    </row>
    <row r="1622" spans="1:139" hidden="1" x14ac:dyDescent="0.2">
      <c r="A1622">
        <f>VLOOKUP(B1622,Sheet1!$A$1:$B$18,2,FALSE)</f>
        <v>0</v>
      </c>
      <c r="B1622" t="str">
        <f>LEFT(D1622,3)</f>
        <v>WLG</v>
      </c>
      <c r="C1622" s="2">
        <v>1621</v>
      </c>
      <c r="D1622" s="3" t="str">
        <f>HYPERLINK("https://sitebase.nzcomms.co.nz/spm/spmnominalview/WLG-047-008/","WLG-047-008")</f>
        <v>WLG-047-008</v>
      </c>
      <c r="E1622" s="4"/>
      <c r="F1622" s="4"/>
      <c r="G1622" s="4"/>
      <c r="H1622" s="4" t="s">
        <v>4871</v>
      </c>
      <c r="I1622" s="4"/>
      <c r="J1622" s="4" t="s">
        <v>139</v>
      </c>
      <c r="K1622" s="4"/>
      <c r="L1622" s="4"/>
      <c r="M1622" s="4"/>
      <c r="N1622" s="4"/>
      <c r="O1622" s="4"/>
      <c r="P1622" s="4"/>
      <c r="Q1622" s="4"/>
      <c r="R1622" s="4"/>
      <c r="S1622" s="4"/>
      <c r="T1622" s="4"/>
      <c r="U1622" s="4"/>
      <c r="V1622" s="4"/>
      <c r="W1622" s="4"/>
      <c r="X1622" s="4"/>
      <c r="Y1622" s="4"/>
      <c r="Z1622" s="4"/>
      <c r="AA1622" s="4"/>
      <c r="AB1622" s="4"/>
      <c r="AC1622" s="4"/>
      <c r="AD1622" s="4"/>
      <c r="AE1622" s="4"/>
      <c r="AF1622" s="4"/>
      <c r="AG1622" s="4"/>
      <c r="AH1622" s="4"/>
      <c r="AI1622" s="4"/>
      <c r="AJ1622" s="4"/>
      <c r="AK1622" s="4"/>
      <c r="AL1622" s="4"/>
      <c r="AM1622" s="4"/>
      <c r="AN1622" s="4"/>
      <c r="AO1622" s="4"/>
      <c r="AP1622" s="4"/>
      <c r="AQ1622" s="4"/>
      <c r="AR1622" s="4"/>
      <c r="AS1622" s="4"/>
      <c r="AT1622" s="4"/>
      <c r="AU1622" s="4"/>
      <c r="AV1622" s="4"/>
      <c r="AW1622" s="4"/>
      <c r="AX1622" s="4"/>
      <c r="AY1622" s="4"/>
      <c r="AZ1622" s="4"/>
      <c r="BA1622" s="4"/>
      <c r="BB1622" s="4"/>
      <c r="BC1622" s="4"/>
      <c r="BD1622" s="4"/>
      <c r="BE1622" s="4"/>
      <c r="BF1622" s="4"/>
      <c r="BG1622" s="4"/>
      <c r="BH1622" s="4"/>
      <c r="BI1622" s="4"/>
      <c r="BJ1622" s="4"/>
      <c r="BK1622" s="4"/>
      <c r="BL1622" s="4"/>
      <c r="BM1622" s="4"/>
      <c r="BN1622" s="4"/>
      <c r="BO1622" s="4"/>
      <c r="BP1622" s="4"/>
      <c r="BQ1622" s="4"/>
      <c r="BR1622" s="4"/>
      <c r="BS1622" s="4"/>
      <c r="BT1622" s="4"/>
      <c r="BU1622" s="4"/>
      <c r="BV1622" s="4"/>
      <c r="BW1622" s="4"/>
      <c r="BX1622" s="4"/>
      <c r="BY1622" s="4"/>
      <c r="BZ1622" s="4"/>
      <c r="CA1622" s="4"/>
      <c r="CB1622" s="4"/>
      <c r="CC1622" s="4"/>
      <c r="CD1622" s="4"/>
      <c r="CE1622" s="4"/>
      <c r="CF1622" s="4"/>
      <c r="CG1622" s="4"/>
      <c r="CH1622" s="4"/>
      <c r="CI1622" s="4"/>
      <c r="CJ1622" s="4"/>
      <c r="CK1622" s="4"/>
      <c r="CL1622" s="4"/>
      <c r="CM1622" s="4"/>
      <c r="CN1622" s="4"/>
      <c r="CO1622" s="4"/>
      <c r="CP1622" s="4"/>
      <c r="CQ1622" s="4"/>
      <c r="CR1622" s="4"/>
      <c r="CS1622" s="4"/>
      <c r="CT1622" s="4"/>
      <c r="CU1622" s="4"/>
      <c r="CV1622" s="4"/>
      <c r="CW1622" s="4"/>
      <c r="CX1622" s="4"/>
      <c r="CY1622" s="4"/>
      <c r="CZ1622" s="4"/>
      <c r="DA1622" s="4"/>
      <c r="DB1622" s="4"/>
      <c r="DC1622" s="4"/>
      <c r="DD1622" s="4"/>
      <c r="DE1622" s="4"/>
      <c r="DF1622" s="4"/>
      <c r="DG1622" s="4"/>
      <c r="DH1622" s="4"/>
      <c r="DI1622" s="4"/>
      <c r="DJ1622" s="4"/>
      <c r="DK1622" s="4"/>
      <c r="DL1622" s="4"/>
      <c r="DM1622" s="4"/>
      <c r="DN1622" s="4"/>
      <c r="DO1622" s="4"/>
      <c r="DP1622" s="4"/>
      <c r="DQ1622" s="4"/>
      <c r="DR1622" s="4"/>
      <c r="DS1622" s="4"/>
      <c r="DT1622" s="4"/>
      <c r="DU1622" s="4"/>
      <c r="DV1622" s="4"/>
      <c r="DW1622" s="4"/>
      <c r="DX1622" s="4"/>
      <c r="DY1622" s="4"/>
      <c r="DZ1622" s="4"/>
      <c r="EA1622" s="4"/>
      <c r="EB1622" s="4"/>
      <c r="EC1622" s="4"/>
      <c r="ED1622" s="4"/>
      <c r="EE1622" s="4"/>
      <c r="EF1622" s="4"/>
      <c r="EG1622" s="4"/>
      <c r="EH1622" s="4"/>
      <c r="EI1622" s="4"/>
    </row>
    <row r="1623" spans="1:139" hidden="1" x14ac:dyDescent="0.2">
      <c r="A1623">
        <f>VLOOKUP(B1623,Sheet1!$A$1:$B$18,2,FALSE)</f>
        <v>0</v>
      </c>
      <c r="B1623" t="str">
        <f>LEFT(D1623,3)</f>
        <v>WLG</v>
      </c>
      <c r="C1623" s="2">
        <v>1622</v>
      </c>
      <c r="D1623" s="3" t="str">
        <f>HYPERLINK("https://sitebase.nzcomms.co.nz/spm/spmnominalview/WLG-047-009/","WLG-047-009")</f>
        <v>WLG-047-009</v>
      </c>
      <c r="E1623" s="4"/>
      <c r="F1623" s="3" t="str">
        <f>HYPERLINK("https://sitebase.nzcomms.co.nz/spm/spmcandidateview/WLG-047-009-A/","WLG-047-009-A")</f>
        <v>WLG-047-009-A</v>
      </c>
      <c r="G1623" s="4" t="s">
        <v>4895</v>
      </c>
      <c r="H1623" s="4" t="s">
        <v>4871</v>
      </c>
      <c r="I1623" s="4"/>
      <c r="J1623" s="4" t="s">
        <v>139</v>
      </c>
      <c r="K1623" s="4" t="s">
        <v>141</v>
      </c>
      <c r="L1623" s="4" t="s">
        <v>150</v>
      </c>
      <c r="M1623" s="4" t="s">
        <v>143</v>
      </c>
      <c r="N1623" s="4" t="s">
        <v>246</v>
      </c>
      <c r="O1623" s="4" t="s">
        <v>144</v>
      </c>
      <c r="P1623" s="4"/>
      <c r="Q1623" s="4"/>
      <c r="R1623" s="4">
        <v>13.8</v>
      </c>
      <c r="S1623" s="4">
        <v>13.8</v>
      </c>
      <c r="T1623" s="4"/>
      <c r="U1623" s="4">
        <v>-41.234795939999998</v>
      </c>
      <c r="V1623" s="4">
        <v>174.80372510000001</v>
      </c>
      <c r="W1623" s="4"/>
      <c r="X1623" s="4"/>
      <c r="Y1623" s="4"/>
      <c r="Z1623" s="4"/>
      <c r="AA1623" s="4" t="s">
        <v>152</v>
      </c>
      <c r="AB1623" s="3" t="str">
        <f>HYPERLINK("https://sitebase.nzcomms.co.nz/spm/spmcandidateview/WLG-047-071-A/","WLG-047-071-A")</f>
        <v>WLG-047-071-A</v>
      </c>
      <c r="AC1623" s="4"/>
      <c r="AD1623" s="4"/>
      <c r="AE1623" s="4"/>
      <c r="AF1623" s="4"/>
      <c r="AG1623" s="4"/>
      <c r="AH1623" s="4"/>
      <c r="AI1623" s="4"/>
      <c r="AJ1623" s="4"/>
      <c r="AK1623" s="4"/>
      <c r="AL1623" s="4"/>
      <c r="AM1623" s="4"/>
      <c r="AN1623" s="5">
        <v>39463</v>
      </c>
      <c r="AO1623" s="4">
        <v>5</v>
      </c>
      <c r="AP1623" s="5">
        <v>39892</v>
      </c>
      <c r="AQ1623" s="5">
        <v>40022</v>
      </c>
      <c r="AR1623" s="4"/>
      <c r="AS1623" s="4"/>
      <c r="AT1623" s="5">
        <v>39660</v>
      </c>
      <c r="AU1623" s="5">
        <v>39622</v>
      </c>
      <c r="AV1623" s="4">
        <v>1</v>
      </c>
      <c r="AW1623" s="5">
        <v>39660</v>
      </c>
      <c r="AX1623" s="5">
        <v>39622</v>
      </c>
      <c r="AY1623" s="4"/>
      <c r="AZ1623" s="4"/>
      <c r="BA1623" s="4"/>
      <c r="BB1623" s="5">
        <v>39679</v>
      </c>
      <c r="BC1623" s="4"/>
      <c r="BD1623" s="4"/>
      <c r="BE1623" s="5">
        <v>39750</v>
      </c>
      <c r="BF1623" s="5">
        <v>39750</v>
      </c>
      <c r="BG1623" s="4"/>
      <c r="BH1623" s="5">
        <v>39587</v>
      </c>
      <c r="BI1623" s="4"/>
      <c r="BJ1623" s="5">
        <v>39742</v>
      </c>
      <c r="BK1623" s="4">
        <v>1</v>
      </c>
      <c r="BL1623" s="4">
        <v>2</v>
      </c>
      <c r="BM1623" s="5">
        <v>39742</v>
      </c>
      <c r="BN1623" s="5">
        <v>39742</v>
      </c>
      <c r="BO1623" s="5">
        <v>39884</v>
      </c>
      <c r="BP1623" s="4"/>
      <c r="BQ1623" s="4"/>
      <c r="BR1623" s="4"/>
      <c r="BS1623" s="4"/>
      <c r="BT1623" s="5">
        <v>39882</v>
      </c>
      <c r="BU1623" s="5">
        <v>39876</v>
      </c>
      <c r="BV1623" s="5">
        <v>39923</v>
      </c>
      <c r="BW1623" s="5">
        <v>39918</v>
      </c>
      <c r="BX1623" s="4"/>
      <c r="BY1623" s="5">
        <v>39926</v>
      </c>
      <c r="BZ1623" s="5">
        <v>39924</v>
      </c>
      <c r="CA1623" s="4"/>
      <c r="CB1623" s="4"/>
      <c r="CC1623" s="4"/>
      <c r="CD1623" s="4"/>
      <c r="CE1623" s="4"/>
      <c r="CF1623" s="4"/>
      <c r="CG1623" s="4"/>
      <c r="CH1623" s="4"/>
      <c r="CI1623" s="5">
        <v>39962</v>
      </c>
      <c r="CJ1623" s="5">
        <v>39962</v>
      </c>
      <c r="CK1623" s="5">
        <v>39962</v>
      </c>
      <c r="CL1623" s="4"/>
      <c r="CM1623" s="4"/>
      <c r="CN1623" s="4"/>
      <c r="CO1623" s="4"/>
      <c r="CP1623" s="4" t="s">
        <v>4896</v>
      </c>
      <c r="CQ1623" s="4"/>
      <c r="CR1623" s="5">
        <v>39962</v>
      </c>
      <c r="CS1623" s="4"/>
      <c r="CT1623" s="4"/>
      <c r="CU1623" s="4"/>
      <c r="CV1623" s="4"/>
      <c r="CW1623" s="5">
        <v>39885</v>
      </c>
      <c r="CX1623" s="5">
        <v>39884</v>
      </c>
      <c r="CY1623" s="4"/>
      <c r="CZ1623" s="4"/>
      <c r="DA1623" s="4"/>
      <c r="DB1623" s="4"/>
      <c r="DC1623" s="4"/>
      <c r="DD1623" s="4"/>
      <c r="DE1623" s="4"/>
      <c r="DF1623" s="4"/>
      <c r="DG1623" s="4"/>
      <c r="DH1623" s="4"/>
      <c r="DI1623" s="4"/>
      <c r="DJ1623" s="4" t="b">
        <v>0</v>
      </c>
      <c r="DK1623" s="4"/>
      <c r="DL1623" s="4">
        <v>2661181</v>
      </c>
      <c r="DM1623" s="4">
        <v>5995322</v>
      </c>
      <c r="DN1623" s="4" t="s">
        <v>4897</v>
      </c>
      <c r="DO1623" s="4"/>
      <c r="DP1623" s="4"/>
      <c r="DQ1623" s="4" t="s">
        <v>148</v>
      </c>
      <c r="DR1623" s="4"/>
      <c r="DS1623" s="4"/>
      <c r="DT1623" s="5">
        <v>42340</v>
      </c>
      <c r="DU1623" s="4"/>
      <c r="DV1623" s="4"/>
      <c r="DW1623" s="4"/>
      <c r="DX1623" s="4"/>
      <c r="DY1623" s="4"/>
      <c r="DZ1623" s="5">
        <v>39829</v>
      </c>
      <c r="EA1623" s="4"/>
      <c r="EB1623" s="4"/>
      <c r="EC1623" s="4"/>
      <c r="ED1623" s="4"/>
      <c r="EE1623" s="4"/>
      <c r="EF1623" s="4"/>
      <c r="EG1623" s="4"/>
      <c r="EH1623" s="4"/>
      <c r="EI1623" s="5">
        <v>39421</v>
      </c>
    </row>
    <row r="1624" spans="1:139" hidden="1" x14ac:dyDescent="0.2">
      <c r="A1624">
        <f>VLOOKUP(B1624,Sheet1!$A$1:$B$18,2,FALSE)</f>
        <v>0</v>
      </c>
      <c r="B1624" t="str">
        <f>LEFT(D1624,3)</f>
        <v>WLG</v>
      </c>
      <c r="C1624" s="2">
        <v>1623</v>
      </c>
      <c r="D1624" s="3" t="str">
        <f>HYPERLINK("https://sitebase.nzcomms.co.nz/spm/spmnominalview/WLG-047-012/","WLG-047-012")</f>
        <v>WLG-047-012</v>
      </c>
      <c r="E1624" s="4" t="s">
        <v>4898</v>
      </c>
      <c r="F1624" s="3" t="str">
        <f>HYPERLINK("https://sitebase.nzcomms.co.nz/spm/spmcandidateview/WLG-047-012-E/","WLG-047-012-E")</f>
        <v>WLG-047-012-E</v>
      </c>
      <c r="G1624" s="4" t="s">
        <v>4898</v>
      </c>
      <c r="H1624" s="4" t="s">
        <v>4871</v>
      </c>
      <c r="I1624" s="4"/>
      <c r="J1624" s="4" t="s">
        <v>139</v>
      </c>
      <c r="K1624" s="4" t="s">
        <v>141</v>
      </c>
      <c r="L1624" s="4" t="s">
        <v>150</v>
      </c>
      <c r="M1624" s="4" t="s">
        <v>143</v>
      </c>
      <c r="N1624" s="4" t="s">
        <v>156</v>
      </c>
      <c r="O1624" s="4" t="s">
        <v>144</v>
      </c>
      <c r="P1624" s="4"/>
      <c r="Q1624" s="4"/>
      <c r="R1624" s="4">
        <v>18.8</v>
      </c>
      <c r="S1624" s="4">
        <v>18.8</v>
      </c>
      <c r="T1624" s="4"/>
      <c r="U1624" s="4">
        <v>-41.247740090000001</v>
      </c>
      <c r="V1624" s="4">
        <v>174.81400748999999</v>
      </c>
      <c r="W1624" s="4"/>
      <c r="X1624" s="4"/>
      <c r="Y1624" s="4"/>
      <c r="Z1624" s="4"/>
      <c r="AA1624" s="4" t="s">
        <v>152</v>
      </c>
      <c r="AB1624" s="3" t="str">
        <f>HYPERLINK("https://sitebase.nzcomms.co.nz/spm/spmcandidateview/WLG-047-071-A/","WLG-047-071-A")</f>
        <v>WLG-047-071-A</v>
      </c>
      <c r="AC1624" s="4"/>
      <c r="AD1624" s="4"/>
      <c r="AE1624" s="4"/>
      <c r="AF1624" s="4"/>
      <c r="AG1624" s="4"/>
      <c r="AH1624" s="4"/>
      <c r="AI1624" s="4"/>
      <c r="AJ1624" s="4"/>
      <c r="AK1624" s="4"/>
      <c r="AL1624" s="4"/>
      <c r="AM1624" s="4"/>
      <c r="AN1624" s="5">
        <v>39524</v>
      </c>
      <c r="AO1624" s="4">
        <v>8</v>
      </c>
      <c r="AP1624" s="5">
        <v>39876</v>
      </c>
      <c r="AQ1624" s="5">
        <v>42254</v>
      </c>
      <c r="AR1624" s="4"/>
      <c r="AS1624" s="4"/>
      <c r="AT1624" s="5">
        <v>39872</v>
      </c>
      <c r="AU1624" s="5">
        <v>39861</v>
      </c>
      <c r="AV1624" s="4">
        <v>3</v>
      </c>
      <c r="AW1624" s="5">
        <v>39872</v>
      </c>
      <c r="AX1624" s="5">
        <v>39861</v>
      </c>
      <c r="AY1624" s="4" t="s">
        <v>183</v>
      </c>
      <c r="AZ1624" s="4"/>
      <c r="BA1624" s="5">
        <v>41614</v>
      </c>
      <c r="BB1624" s="5">
        <v>39790</v>
      </c>
      <c r="BC1624" s="5">
        <v>41645</v>
      </c>
      <c r="BD1624" s="4">
        <v>7</v>
      </c>
      <c r="BE1624" s="5">
        <v>39790</v>
      </c>
      <c r="BF1624" s="5">
        <v>41645</v>
      </c>
      <c r="BG1624" s="4"/>
      <c r="BH1624" s="5">
        <v>39790</v>
      </c>
      <c r="BI1624" s="4"/>
      <c r="BJ1624" s="5">
        <v>39848</v>
      </c>
      <c r="BK1624" s="4">
        <v>1</v>
      </c>
      <c r="BL1624" s="4">
        <v>4</v>
      </c>
      <c r="BM1624" s="5">
        <v>39848</v>
      </c>
      <c r="BN1624" s="5">
        <v>39848</v>
      </c>
      <c r="BO1624" s="5">
        <v>39885</v>
      </c>
      <c r="BP1624" s="4"/>
      <c r="BQ1624" s="4"/>
      <c r="BR1624" s="4"/>
      <c r="BS1624" s="4"/>
      <c r="BT1624" s="5">
        <v>39887</v>
      </c>
      <c r="BU1624" s="5">
        <v>39885</v>
      </c>
      <c r="BV1624" s="5">
        <v>39930</v>
      </c>
      <c r="BW1624" s="5">
        <v>39920</v>
      </c>
      <c r="BX1624" s="4"/>
      <c r="BY1624" s="5">
        <v>39933</v>
      </c>
      <c r="BZ1624" s="5">
        <v>39920</v>
      </c>
      <c r="CA1624" s="4"/>
      <c r="CB1624" s="4"/>
      <c r="CC1624" s="4"/>
      <c r="CD1624" s="4"/>
      <c r="CE1624" s="4"/>
      <c r="CF1624" s="4"/>
      <c r="CG1624" s="4"/>
      <c r="CH1624" s="4"/>
      <c r="CI1624" s="5">
        <v>39946</v>
      </c>
      <c r="CJ1624" s="5">
        <v>39970</v>
      </c>
      <c r="CK1624" s="5">
        <v>39946</v>
      </c>
      <c r="CL1624" s="4"/>
      <c r="CM1624" s="4"/>
      <c r="CN1624" s="4"/>
      <c r="CO1624" s="4"/>
      <c r="CP1624" s="4" t="s">
        <v>4899</v>
      </c>
      <c r="CQ1624" s="4"/>
      <c r="CR1624" s="5">
        <v>39970</v>
      </c>
      <c r="CS1624" s="4"/>
      <c r="CT1624" s="4"/>
      <c r="CU1624" s="4"/>
      <c r="CV1624" s="4"/>
      <c r="CW1624" s="5">
        <v>39885</v>
      </c>
      <c r="CX1624" s="5">
        <v>39885</v>
      </c>
      <c r="CY1624" s="4"/>
      <c r="CZ1624" s="4"/>
      <c r="DA1624" s="4"/>
      <c r="DB1624" s="4"/>
      <c r="DC1624" s="5">
        <v>41646</v>
      </c>
      <c r="DD1624" s="4" t="s">
        <v>586</v>
      </c>
      <c r="DE1624" s="4"/>
      <c r="DF1624" s="4"/>
      <c r="DG1624" s="4"/>
      <c r="DH1624" s="4"/>
      <c r="DI1624" s="4"/>
      <c r="DJ1624" s="4" t="b">
        <v>0</v>
      </c>
      <c r="DK1624" s="4"/>
      <c r="DL1624" s="4">
        <v>2662013</v>
      </c>
      <c r="DM1624" s="4">
        <v>5993867</v>
      </c>
      <c r="DN1624" s="4" t="s">
        <v>4900</v>
      </c>
      <c r="DO1624" s="4"/>
      <c r="DP1624" s="4" t="s">
        <v>4901</v>
      </c>
      <c r="DQ1624" s="4" t="s">
        <v>148</v>
      </c>
      <c r="DR1624" s="4"/>
      <c r="DS1624" s="4"/>
      <c r="DT1624" s="5">
        <v>41985</v>
      </c>
      <c r="DU1624" s="4"/>
      <c r="DV1624" s="4"/>
      <c r="DW1624" s="4"/>
      <c r="DX1624" s="4"/>
      <c r="DY1624" s="4"/>
      <c r="DZ1624" s="5">
        <v>39867</v>
      </c>
      <c r="EA1624" s="4"/>
      <c r="EB1624" s="4"/>
      <c r="EC1624" s="4"/>
      <c r="ED1624" s="4"/>
      <c r="EE1624" s="4"/>
      <c r="EF1624" s="4"/>
      <c r="EG1624" s="4"/>
      <c r="EH1624" s="4"/>
      <c r="EI1624" s="5">
        <v>39524</v>
      </c>
    </row>
    <row r="1625" spans="1:139" hidden="1" x14ac:dyDescent="0.2">
      <c r="A1625">
        <f>VLOOKUP(B1625,Sheet1!$A$1:$B$18,2,FALSE)</f>
        <v>0</v>
      </c>
      <c r="B1625" t="str">
        <f>LEFT(D1625,3)</f>
        <v>WLG</v>
      </c>
      <c r="C1625" s="2">
        <v>1624</v>
      </c>
      <c r="D1625" s="3" t="str">
        <f>HYPERLINK("https://sitebase.nzcomms.co.nz/spm/spmnominalview/WLG-047-015/","WLG-047-015")</f>
        <v>WLG-047-015</v>
      </c>
      <c r="E1625" s="4"/>
      <c r="F1625" s="3" t="str">
        <f>HYPERLINK("https://sitebase.nzcomms.co.nz/spm/spmcandidateview/WLG-047-015-D/","WLG-047-015-D")</f>
        <v>WLG-047-015-D</v>
      </c>
      <c r="G1625" s="4" t="s">
        <v>4902</v>
      </c>
      <c r="H1625" s="4" t="s">
        <v>4871</v>
      </c>
      <c r="I1625" s="4"/>
      <c r="J1625" s="4" t="s">
        <v>139</v>
      </c>
      <c r="K1625" s="4" t="s">
        <v>141</v>
      </c>
      <c r="L1625" s="4" t="s">
        <v>181</v>
      </c>
      <c r="M1625" s="4" t="s">
        <v>442</v>
      </c>
      <c r="N1625" s="4" t="s">
        <v>364</v>
      </c>
      <c r="O1625" s="4" t="s">
        <v>144</v>
      </c>
      <c r="P1625" s="4"/>
      <c r="Q1625" s="4"/>
      <c r="R1625" s="4">
        <v>16</v>
      </c>
      <c r="S1625" s="4">
        <v>16</v>
      </c>
      <c r="T1625" s="4"/>
      <c r="U1625" s="4">
        <v>-41.261854829999997</v>
      </c>
      <c r="V1625" s="4">
        <v>174.77440994</v>
      </c>
      <c r="W1625" s="4"/>
      <c r="X1625" s="4"/>
      <c r="Y1625" s="4"/>
      <c r="Z1625" s="4"/>
      <c r="AA1625" s="4" t="s">
        <v>152</v>
      </c>
      <c r="AB1625" s="3" t="str">
        <f>HYPERLINK("https://sitebase.nzcomms.co.nz/spm/spmcandidateview/WLG-047-071-A/","WLG-047-071-A")</f>
        <v>WLG-047-071-A</v>
      </c>
      <c r="AC1625" s="4"/>
      <c r="AD1625" s="4"/>
      <c r="AE1625" s="4"/>
      <c r="AF1625" s="4"/>
      <c r="AG1625" s="4"/>
      <c r="AH1625" s="4"/>
      <c r="AI1625" s="4"/>
      <c r="AJ1625" s="4"/>
      <c r="AK1625" s="4"/>
      <c r="AL1625" s="4"/>
      <c r="AM1625" s="4"/>
      <c r="AN1625" s="5">
        <v>39505</v>
      </c>
      <c r="AO1625" s="4">
        <v>4</v>
      </c>
      <c r="AP1625" s="5">
        <v>39892</v>
      </c>
      <c r="AQ1625" s="5">
        <v>39890</v>
      </c>
      <c r="AR1625" s="4"/>
      <c r="AS1625" s="4"/>
      <c r="AT1625" s="5">
        <v>39546</v>
      </c>
      <c r="AU1625" s="5">
        <v>39552</v>
      </c>
      <c r="AV1625" s="4">
        <v>3</v>
      </c>
      <c r="AW1625" s="5">
        <v>39546</v>
      </c>
      <c r="AX1625" s="5">
        <v>39552</v>
      </c>
      <c r="AY1625" s="4"/>
      <c r="AZ1625" s="4"/>
      <c r="BA1625" s="4"/>
      <c r="BB1625" s="5">
        <v>39654</v>
      </c>
      <c r="BC1625" s="4"/>
      <c r="BD1625" s="4"/>
      <c r="BE1625" s="5">
        <v>39654</v>
      </c>
      <c r="BF1625" s="5">
        <v>39654</v>
      </c>
      <c r="BG1625" s="4"/>
      <c r="BH1625" s="5">
        <v>39587</v>
      </c>
      <c r="BI1625" s="4"/>
      <c r="BJ1625" s="5">
        <v>39699</v>
      </c>
      <c r="BK1625" s="4">
        <v>3</v>
      </c>
      <c r="BL1625" s="4">
        <v>3</v>
      </c>
      <c r="BM1625" s="5">
        <v>39800</v>
      </c>
      <c r="BN1625" s="5">
        <v>39800</v>
      </c>
      <c r="BO1625" s="4"/>
      <c r="BP1625" s="4"/>
      <c r="BQ1625" s="4"/>
      <c r="BR1625" s="4"/>
      <c r="BS1625" s="4"/>
      <c r="BT1625" s="4"/>
      <c r="BU1625" s="5">
        <v>39736</v>
      </c>
      <c r="BV1625" s="5">
        <v>39748</v>
      </c>
      <c r="BW1625" s="5">
        <v>39745</v>
      </c>
      <c r="BX1625" s="4"/>
      <c r="BY1625" s="5">
        <v>39759</v>
      </c>
      <c r="BZ1625" s="5">
        <v>39755</v>
      </c>
      <c r="CA1625" s="4"/>
      <c r="CB1625" s="4"/>
      <c r="CC1625" s="4"/>
      <c r="CD1625" s="4"/>
      <c r="CE1625" s="4"/>
      <c r="CF1625" s="4"/>
      <c r="CG1625" s="4"/>
      <c r="CH1625" s="4"/>
      <c r="CI1625" s="5">
        <v>39875</v>
      </c>
      <c r="CJ1625" s="5">
        <v>39892</v>
      </c>
      <c r="CK1625" s="5">
        <v>39875</v>
      </c>
      <c r="CL1625" s="4"/>
      <c r="CM1625" s="4"/>
      <c r="CN1625" s="4"/>
      <c r="CO1625" s="4"/>
      <c r="CP1625" s="4" t="s">
        <v>4826</v>
      </c>
      <c r="CQ1625" s="4"/>
      <c r="CR1625" s="5">
        <v>39892</v>
      </c>
      <c r="CS1625" s="4"/>
      <c r="CT1625" s="4"/>
      <c r="CU1625" s="4"/>
      <c r="CV1625" s="4"/>
      <c r="CW1625" s="4"/>
      <c r="CX1625" s="4"/>
      <c r="CY1625" s="4"/>
      <c r="CZ1625" s="4"/>
      <c r="DA1625" s="4"/>
      <c r="DB1625" s="4"/>
      <c r="DC1625" s="4"/>
      <c r="DD1625" s="4"/>
      <c r="DE1625" s="4"/>
      <c r="DF1625" s="4"/>
      <c r="DG1625" s="4"/>
      <c r="DH1625" s="4"/>
      <c r="DI1625" s="4"/>
      <c r="DJ1625" s="4" t="b">
        <v>0</v>
      </c>
      <c r="DK1625" s="4"/>
      <c r="DL1625" s="4">
        <v>2658663</v>
      </c>
      <c r="DM1625" s="4">
        <v>5992368</v>
      </c>
      <c r="DN1625" s="4" t="s">
        <v>4903</v>
      </c>
      <c r="DO1625" s="4"/>
      <c r="DP1625" s="4"/>
      <c r="DQ1625" s="4" t="s">
        <v>148</v>
      </c>
      <c r="DR1625" s="4"/>
      <c r="DS1625" s="4"/>
      <c r="DT1625" s="4"/>
      <c r="DU1625" s="4"/>
      <c r="DV1625" s="4"/>
      <c r="DW1625" s="4"/>
      <c r="DX1625" s="4"/>
      <c r="DY1625" s="4"/>
      <c r="DZ1625" s="5">
        <v>39700</v>
      </c>
      <c r="EA1625" s="4"/>
      <c r="EB1625" s="4"/>
      <c r="EC1625" s="4"/>
      <c r="ED1625" s="4"/>
      <c r="EE1625" s="4"/>
      <c r="EF1625" s="4"/>
      <c r="EG1625" s="4"/>
      <c r="EH1625" s="4"/>
      <c r="EI1625" s="5">
        <v>39485</v>
      </c>
    </row>
    <row r="1626" spans="1:139" hidden="1" x14ac:dyDescent="0.2">
      <c r="A1626">
        <f>VLOOKUP(B1626,Sheet1!$A$1:$B$18,2,FALSE)</f>
        <v>0</v>
      </c>
      <c r="B1626" t="str">
        <f>LEFT(D1626,3)</f>
        <v>WLG</v>
      </c>
      <c r="C1626" s="2">
        <v>1625</v>
      </c>
      <c r="D1626" s="3" t="str">
        <f>HYPERLINK("https://sitebase.nzcomms.co.nz/spm/spmnominalview/WLG-047-016/","WLG-047-016")</f>
        <v>WLG-047-016</v>
      </c>
      <c r="E1626" s="4"/>
      <c r="F1626" s="3" t="str">
        <f>HYPERLINK("https://sitebase.nzcomms.co.nz/spm/spmcandidateview/WLG-047-016-D/","WLG-047-016-D")</f>
        <v>WLG-047-016-D</v>
      </c>
      <c r="G1626" s="4" t="s">
        <v>4904</v>
      </c>
      <c r="H1626" s="4" t="s">
        <v>4871</v>
      </c>
      <c r="I1626" s="4"/>
      <c r="J1626" s="4" t="s">
        <v>139</v>
      </c>
      <c r="K1626" s="4" t="s">
        <v>141</v>
      </c>
      <c r="L1626" s="4" t="s">
        <v>150</v>
      </c>
      <c r="M1626" s="4" t="s">
        <v>143</v>
      </c>
      <c r="N1626" s="4" t="s">
        <v>246</v>
      </c>
      <c r="O1626" s="4" t="s">
        <v>144</v>
      </c>
      <c r="P1626" s="4"/>
      <c r="Q1626" s="4"/>
      <c r="R1626" s="4">
        <v>13.8</v>
      </c>
      <c r="S1626" s="4">
        <v>13.8</v>
      </c>
      <c r="T1626" s="4"/>
      <c r="U1626" s="4">
        <v>-41.257674399999999</v>
      </c>
      <c r="V1626" s="4">
        <v>174.78737852</v>
      </c>
      <c r="W1626" s="4"/>
      <c r="X1626" s="4"/>
      <c r="Y1626" s="4"/>
      <c r="Z1626" s="4"/>
      <c r="AA1626" s="4" t="s">
        <v>152</v>
      </c>
      <c r="AB1626" s="3" t="str">
        <f>HYPERLINK("https://sitebase.nzcomms.co.nz/spm/spmcandidateview/WLG-047-071-A/","WLG-047-071-A")</f>
        <v>WLG-047-071-A</v>
      </c>
      <c r="AC1626" s="4"/>
      <c r="AD1626" s="4"/>
      <c r="AE1626" s="4"/>
      <c r="AF1626" s="4"/>
      <c r="AG1626" s="4"/>
      <c r="AH1626" s="4"/>
      <c r="AI1626" s="4"/>
      <c r="AJ1626" s="4"/>
      <c r="AK1626" s="4"/>
      <c r="AL1626" s="4"/>
      <c r="AM1626" s="4"/>
      <c r="AN1626" s="5">
        <v>39561</v>
      </c>
      <c r="AO1626" s="4">
        <v>2</v>
      </c>
      <c r="AP1626" s="4"/>
      <c r="AQ1626" s="5">
        <v>39709</v>
      </c>
      <c r="AR1626" s="4"/>
      <c r="AS1626" s="4"/>
      <c r="AT1626" s="5">
        <v>39660</v>
      </c>
      <c r="AU1626" s="5">
        <v>39639</v>
      </c>
      <c r="AV1626" s="4">
        <v>1</v>
      </c>
      <c r="AW1626" s="5">
        <v>39660</v>
      </c>
      <c r="AX1626" s="5">
        <v>39639</v>
      </c>
      <c r="AY1626" s="4"/>
      <c r="AZ1626" s="4"/>
      <c r="BA1626" s="4"/>
      <c r="BB1626" s="5">
        <v>39694</v>
      </c>
      <c r="BC1626" s="4"/>
      <c r="BD1626" s="4"/>
      <c r="BE1626" s="5">
        <v>39744</v>
      </c>
      <c r="BF1626" s="5">
        <v>39744</v>
      </c>
      <c r="BG1626" s="4"/>
      <c r="BH1626" s="5">
        <v>39651</v>
      </c>
      <c r="BI1626" s="4"/>
      <c r="BJ1626" s="5">
        <v>39730</v>
      </c>
      <c r="BK1626" s="4">
        <v>1</v>
      </c>
      <c r="BL1626" s="4">
        <v>2</v>
      </c>
      <c r="BM1626" s="5">
        <v>39730</v>
      </c>
      <c r="BN1626" s="5">
        <v>39730</v>
      </c>
      <c r="BO1626" s="4"/>
      <c r="BP1626" s="4"/>
      <c r="BQ1626" s="4"/>
      <c r="BR1626" s="4"/>
      <c r="BS1626" s="4"/>
      <c r="BT1626" s="4"/>
      <c r="BU1626" s="5">
        <v>39759</v>
      </c>
      <c r="BV1626" s="5">
        <v>39780</v>
      </c>
      <c r="BW1626" s="5">
        <v>39780</v>
      </c>
      <c r="BX1626" s="4"/>
      <c r="BY1626" s="5">
        <v>39794</v>
      </c>
      <c r="BZ1626" s="5">
        <v>39780</v>
      </c>
      <c r="CA1626" s="4"/>
      <c r="CB1626" s="4"/>
      <c r="CC1626" s="4"/>
      <c r="CD1626" s="4"/>
      <c r="CE1626" s="4"/>
      <c r="CF1626" s="4"/>
      <c r="CG1626" s="4"/>
      <c r="CH1626" s="4"/>
      <c r="CI1626" s="5">
        <v>39878</v>
      </c>
      <c r="CJ1626" s="5">
        <v>39878</v>
      </c>
      <c r="CK1626" s="5">
        <v>39878</v>
      </c>
      <c r="CL1626" s="4"/>
      <c r="CM1626" s="4"/>
      <c r="CN1626" s="4"/>
      <c r="CO1626" s="4"/>
      <c r="CP1626" s="4" t="s">
        <v>4821</v>
      </c>
      <c r="CQ1626" s="4"/>
      <c r="CR1626" s="5">
        <v>39878</v>
      </c>
      <c r="CS1626" s="4"/>
      <c r="CT1626" s="4"/>
      <c r="CU1626" s="4"/>
      <c r="CV1626" s="4"/>
      <c r="CW1626" s="4"/>
      <c r="CX1626" s="4"/>
      <c r="CY1626" s="4"/>
      <c r="CZ1626" s="4"/>
      <c r="DA1626" s="4"/>
      <c r="DB1626" s="4"/>
      <c r="DC1626" s="4"/>
      <c r="DD1626" s="4"/>
      <c r="DE1626" s="4"/>
      <c r="DF1626" s="4"/>
      <c r="DG1626" s="4"/>
      <c r="DH1626" s="4"/>
      <c r="DI1626" s="4"/>
      <c r="DJ1626" s="4" t="b">
        <v>0</v>
      </c>
      <c r="DK1626" s="4"/>
      <c r="DL1626" s="4">
        <v>2659759</v>
      </c>
      <c r="DM1626" s="4">
        <v>5992810</v>
      </c>
      <c r="DN1626" s="4" t="s">
        <v>4905</v>
      </c>
      <c r="DO1626" s="4"/>
      <c r="DP1626" s="4"/>
      <c r="DQ1626" s="4" t="s">
        <v>148</v>
      </c>
      <c r="DR1626" s="4"/>
      <c r="DS1626" s="4"/>
      <c r="DT1626" s="4"/>
      <c r="DU1626" s="4"/>
      <c r="DV1626" s="4"/>
      <c r="DW1626" s="4"/>
      <c r="DX1626" s="4"/>
      <c r="DY1626" s="4"/>
      <c r="DZ1626" s="5">
        <v>39751</v>
      </c>
      <c r="EA1626" s="4"/>
      <c r="EB1626" s="4"/>
      <c r="EC1626" s="4"/>
      <c r="ED1626" s="4"/>
      <c r="EE1626" s="4"/>
      <c r="EF1626" s="4"/>
      <c r="EG1626" s="4"/>
      <c r="EH1626" s="4"/>
      <c r="EI1626" s="5">
        <v>39524</v>
      </c>
    </row>
    <row r="1627" spans="1:139" hidden="1" x14ac:dyDescent="0.2">
      <c r="A1627">
        <f>VLOOKUP(B1627,Sheet1!$A$1:$B$18,2,FALSE)</f>
        <v>0</v>
      </c>
      <c r="B1627" t="str">
        <f>LEFT(D1627,3)</f>
        <v>WLG</v>
      </c>
      <c r="C1627" s="2">
        <v>1626</v>
      </c>
      <c r="D1627" s="3" t="str">
        <f>HYPERLINK("https://sitebase.nzcomms.co.nz/spm/spmnominalview/WLG-047-018/","WLG-047-018")</f>
        <v>WLG-047-018</v>
      </c>
      <c r="E1627" s="4"/>
      <c r="F1627" s="3" t="str">
        <f>HYPERLINK("https://sitebase.nzcomms.co.nz/spm/spmcandidateview/WLG-047-018-C/","WLG-047-018-C")</f>
        <v>WLG-047-018-C</v>
      </c>
      <c r="G1627" s="4" t="s">
        <v>4906</v>
      </c>
      <c r="H1627" s="4" t="s">
        <v>4871</v>
      </c>
      <c r="I1627" s="4"/>
      <c r="J1627" s="4" t="s">
        <v>139</v>
      </c>
      <c r="K1627" s="4" t="s">
        <v>141</v>
      </c>
      <c r="L1627" s="4" t="s">
        <v>181</v>
      </c>
      <c r="M1627" s="4" t="s">
        <v>442</v>
      </c>
      <c r="N1627" s="4" t="s">
        <v>364</v>
      </c>
      <c r="O1627" s="4" t="s">
        <v>144</v>
      </c>
      <c r="P1627" s="4"/>
      <c r="Q1627" s="4"/>
      <c r="R1627" s="4">
        <v>7.2</v>
      </c>
      <c r="S1627" s="4">
        <v>7.2</v>
      </c>
      <c r="T1627" s="4"/>
      <c r="U1627" s="4">
        <v>-41.274412830000003</v>
      </c>
      <c r="V1627" s="4">
        <v>174.75888190000001</v>
      </c>
      <c r="W1627" s="4"/>
      <c r="X1627" s="4"/>
      <c r="Y1627" s="4"/>
      <c r="Z1627" s="4"/>
      <c r="AA1627" s="4" t="s">
        <v>152</v>
      </c>
      <c r="AB1627" s="3" t="str">
        <f>HYPERLINK("https://sitebase.nzcomms.co.nz/spm/spmcandidateview/WLG-047-071-A/","WLG-047-071-A")</f>
        <v>WLG-047-071-A</v>
      </c>
      <c r="AC1627" s="4"/>
      <c r="AD1627" s="4"/>
      <c r="AE1627" s="4"/>
      <c r="AF1627" s="4"/>
      <c r="AG1627" s="4"/>
      <c r="AH1627" s="4"/>
      <c r="AI1627" s="4"/>
      <c r="AJ1627" s="4"/>
      <c r="AK1627" s="4"/>
      <c r="AL1627" s="4"/>
      <c r="AM1627" s="4"/>
      <c r="AN1627" s="5">
        <v>39512</v>
      </c>
      <c r="AO1627" s="4">
        <v>5</v>
      </c>
      <c r="AP1627" s="4"/>
      <c r="AQ1627" s="5">
        <v>39911</v>
      </c>
      <c r="AR1627" s="4"/>
      <c r="AS1627" s="4"/>
      <c r="AT1627" s="5">
        <v>39595</v>
      </c>
      <c r="AU1627" s="5">
        <v>39582</v>
      </c>
      <c r="AV1627" s="4">
        <v>2</v>
      </c>
      <c r="AW1627" s="5">
        <v>39943</v>
      </c>
      <c r="AX1627" s="5">
        <v>39931</v>
      </c>
      <c r="AY1627" s="4"/>
      <c r="AZ1627" s="4"/>
      <c r="BA1627" s="4"/>
      <c r="BB1627" s="5">
        <v>39647</v>
      </c>
      <c r="BC1627" s="4"/>
      <c r="BD1627" s="4"/>
      <c r="BE1627" s="5">
        <v>39941</v>
      </c>
      <c r="BF1627" s="5">
        <v>39647</v>
      </c>
      <c r="BG1627" s="4"/>
      <c r="BH1627" s="5">
        <v>39587</v>
      </c>
      <c r="BI1627" s="4"/>
      <c r="BJ1627" s="5">
        <v>39709</v>
      </c>
      <c r="BK1627" s="4">
        <v>3</v>
      </c>
      <c r="BL1627" s="4">
        <v>5</v>
      </c>
      <c r="BM1627" s="5">
        <v>39903</v>
      </c>
      <c r="BN1627" s="5">
        <v>39953</v>
      </c>
      <c r="BO1627" s="4"/>
      <c r="BP1627" s="4"/>
      <c r="BQ1627" s="4"/>
      <c r="BR1627" s="4"/>
      <c r="BS1627" s="4"/>
      <c r="BT1627" s="5">
        <v>39919</v>
      </c>
      <c r="BU1627" s="5">
        <v>39919</v>
      </c>
      <c r="BV1627" s="5">
        <v>39932</v>
      </c>
      <c r="BW1627" s="5">
        <v>39932</v>
      </c>
      <c r="BX1627" s="4"/>
      <c r="BY1627" s="5">
        <v>39975</v>
      </c>
      <c r="BZ1627" s="5">
        <v>39972</v>
      </c>
      <c r="CA1627" s="4"/>
      <c r="CB1627" s="4"/>
      <c r="CC1627" s="4"/>
      <c r="CD1627" s="4"/>
      <c r="CE1627" s="4"/>
      <c r="CF1627" s="4"/>
      <c r="CG1627" s="4"/>
      <c r="CH1627" s="4"/>
      <c r="CI1627" s="5">
        <v>39975</v>
      </c>
      <c r="CJ1627" s="5">
        <v>39982</v>
      </c>
      <c r="CK1627" s="5">
        <v>39975</v>
      </c>
      <c r="CL1627" s="4"/>
      <c r="CM1627" s="4"/>
      <c r="CN1627" s="4"/>
      <c r="CO1627" s="4"/>
      <c r="CP1627" s="4" t="s">
        <v>4907</v>
      </c>
      <c r="CQ1627" s="4"/>
      <c r="CR1627" s="5">
        <v>39982</v>
      </c>
      <c r="CS1627" s="4"/>
      <c r="CT1627" s="4"/>
      <c r="CU1627" s="4"/>
      <c r="CV1627" s="4"/>
      <c r="CW1627" s="4"/>
      <c r="CX1627" s="4"/>
      <c r="CY1627" s="4"/>
      <c r="CZ1627" s="4"/>
      <c r="DA1627" s="4"/>
      <c r="DB1627" s="4"/>
      <c r="DC1627" s="4"/>
      <c r="DD1627" s="4"/>
      <c r="DE1627" s="4"/>
      <c r="DF1627" s="4"/>
      <c r="DG1627" s="4"/>
      <c r="DH1627" s="4"/>
      <c r="DI1627" s="4"/>
      <c r="DJ1627" s="4" t="b">
        <v>0</v>
      </c>
      <c r="DK1627" s="4"/>
      <c r="DL1627" s="4">
        <v>2657334</v>
      </c>
      <c r="DM1627" s="4">
        <v>5991000</v>
      </c>
      <c r="DN1627" s="4" t="s">
        <v>4908</v>
      </c>
      <c r="DO1627" s="4"/>
      <c r="DP1627" s="4"/>
      <c r="DQ1627" s="4" t="s">
        <v>148</v>
      </c>
      <c r="DR1627" s="4"/>
      <c r="DS1627" s="4"/>
      <c r="DT1627" s="5">
        <v>42334</v>
      </c>
      <c r="DU1627" s="4"/>
      <c r="DV1627" s="4"/>
      <c r="DW1627" s="4"/>
      <c r="DX1627" s="4"/>
      <c r="DY1627" s="4"/>
      <c r="DZ1627" s="5">
        <v>39867</v>
      </c>
      <c r="EA1627" s="4"/>
      <c r="EB1627" s="4"/>
      <c r="EC1627" s="4"/>
      <c r="ED1627" s="4"/>
      <c r="EE1627" s="4"/>
      <c r="EF1627" s="4"/>
      <c r="EG1627" s="4"/>
      <c r="EH1627" s="4"/>
      <c r="EI1627" s="5">
        <v>39504</v>
      </c>
    </row>
    <row r="1628" spans="1:139" hidden="1" x14ac:dyDescent="0.2">
      <c r="A1628">
        <f>VLOOKUP(B1628,Sheet1!$A$1:$B$18,2,FALSE)</f>
        <v>0</v>
      </c>
      <c r="B1628" t="str">
        <f>LEFT(D1628,3)</f>
        <v>WLG</v>
      </c>
      <c r="C1628" s="2">
        <v>1627</v>
      </c>
      <c r="D1628" s="3" t="str">
        <f>HYPERLINK("https://sitebase.nzcomms.co.nz/spm/spmnominalview/WLG-047-019/","WLG-047-019")</f>
        <v>WLG-047-019</v>
      </c>
      <c r="E1628" s="4"/>
      <c r="F1628" s="3" t="str">
        <f>HYPERLINK("https://sitebase.nzcomms.co.nz/spm/spmcandidateview/WLG-047-019-C/","WLG-047-019-C")</f>
        <v>WLG-047-019-C</v>
      </c>
      <c r="G1628" s="4" t="s">
        <v>4909</v>
      </c>
      <c r="H1628" s="4" t="s">
        <v>4871</v>
      </c>
      <c r="I1628" s="4"/>
      <c r="J1628" s="4" t="s">
        <v>139</v>
      </c>
      <c r="K1628" s="4" t="s">
        <v>141</v>
      </c>
      <c r="L1628" s="4" t="s">
        <v>150</v>
      </c>
      <c r="M1628" s="4" t="s">
        <v>143</v>
      </c>
      <c r="N1628" s="4" t="s">
        <v>246</v>
      </c>
      <c r="O1628" s="4" t="s">
        <v>144</v>
      </c>
      <c r="P1628" s="4"/>
      <c r="Q1628" s="4"/>
      <c r="R1628" s="4">
        <v>10.8</v>
      </c>
      <c r="S1628" s="4">
        <v>10.8</v>
      </c>
      <c r="T1628" s="4"/>
      <c r="U1628" s="4">
        <v>-41.289433189999997</v>
      </c>
      <c r="V1628" s="4">
        <v>174.76201707000001</v>
      </c>
      <c r="W1628" s="4"/>
      <c r="X1628" s="4"/>
      <c r="Y1628" s="4"/>
      <c r="Z1628" s="4"/>
      <c r="AA1628" s="4" t="s">
        <v>152</v>
      </c>
      <c r="AB1628" s="3" t="str">
        <f>HYPERLINK("https://sitebase.nzcomms.co.nz/spm/spmcandidateview/WLG-047-071-A/","WLG-047-071-A")</f>
        <v>WLG-047-071-A</v>
      </c>
      <c r="AC1628" s="4"/>
      <c r="AD1628" s="4"/>
      <c r="AE1628" s="4"/>
      <c r="AF1628" s="4"/>
      <c r="AG1628" s="4"/>
      <c r="AH1628" s="4"/>
      <c r="AI1628" s="4"/>
      <c r="AJ1628" s="4"/>
      <c r="AK1628" s="4"/>
      <c r="AL1628" s="4"/>
      <c r="AM1628" s="4"/>
      <c r="AN1628" s="5">
        <v>39778</v>
      </c>
      <c r="AO1628" s="4">
        <v>2</v>
      </c>
      <c r="AP1628" s="5">
        <v>39876</v>
      </c>
      <c r="AQ1628" s="5">
        <v>39875</v>
      </c>
      <c r="AR1628" s="4"/>
      <c r="AS1628" s="4"/>
      <c r="AT1628" s="4"/>
      <c r="AU1628" s="5">
        <v>39764</v>
      </c>
      <c r="AV1628" s="4">
        <v>1</v>
      </c>
      <c r="AW1628" s="5">
        <v>39903</v>
      </c>
      <c r="AX1628" s="5">
        <v>39895</v>
      </c>
      <c r="AY1628" s="4"/>
      <c r="AZ1628" s="4"/>
      <c r="BA1628" s="4"/>
      <c r="BB1628" s="5">
        <v>39828</v>
      </c>
      <c r="BC1628" s="4"/>
      <c r="BD1628" s="4"/>
      <c r="BE1628" s="5">
        <v>39828</v>
      </c>
      <c r="BF1628" s="5">
        <v>39828</v>
      </c>
      <c r="BG1628" s="4"/>
      <c r="BH1628" s="5">
        <v>39839</v>
      </c>
      <c r="BI1628" s="4"/>
      <c r="BJ1628" s="5">
        <v>39853</v>
      </c>
      <c r="BK1628" s="4">
        <v>1</v>
      </c>
      <c r="BL1628" s="4">
        <v>1</v>
      </c>
      <c r="BM1628" s="5">
        <v>39853</v>
      </c>
      <c r="BN1628" s="5">
        <v>39853</v>
      </c>
      <c r="BO1628" s="5">
        <v>39846</v>
      </c>
      <c r="BP1628" s="4"/>
      <c r="BQ1628" s="4"/>
      <c r="BR1628" s="4"/>
      <c r="BS1628" s="4"/>
      <c r="BT1628" s="5">
        <v>39904</v>
      </c>
      <c r="BU1628" s="5">
        <v>39904</v>
      </c>
      <c r="BV1628" s="5">
        <v>39933</v>
      </c>
      <c r="BW1628" s="5">
        <v>39933</v>
      </c>
      <c r="BX1628" s="4"/>
      <c r="BY1628" s="5">
        <v>39937</v>
      </c>
      <c r="BZ1628" s="5">
        <v>39933</v>
      </c>
      <c r="CA1628" s="4"/>
      <c r="CB1628" s="4"/>
      <c r="CC1628" s="4"/>
      <c r="CD1628" s="4"/>
      <c r="CE1628" s="4"/>
      <c r="CF1628" s="4"/>
      <c r="CG1628" s="4"/>
      <c r="CH1628" s="4"/>
      <c r="CI1628" s="5">
        <v>39974</v>
      </c>
      <c r="CJ1628" s="5">
        <v>39976</v>
      </c>
      <c r="CK1628" s="5">
        <v>39974</v>
      </c>
      <c r="CL1628" s="4"/>
      <c r="CM1628" s="4"/>
      <c r="CN1628" s="4"/>
      <c r="CO1628" s="4"/>
      <c r="CP1628" s="4" t="s">
        <v>4910</v>
      </c>
      <c r="CQ1628" s="4"/>
      <c r="CR1628" s="5">
        <v>39976</v>
      </c>
      <c r="CS1628" s="4"/>
      <c r="CT1628" s="4"/>
      <c r="CU1628" s="4"/>
      <c r="CV1628" s="4"/>
      <c r="CW1628" s="5">
        <v>39843</v>
      </c>
      <c r="CX1628" s="5">
        <v>39846</v>
      </c>
      <c r="CY1628" s="4"/>
      <c r="CZ1628" s="4"/>
      <c r="DA1628" s="4"/>
      <c r="DB1628" s="4"/>
      <c r="DC1628" s="4"/>
      <c r="DD1628" s="4"/>
      <c r="DE1628" s="4"/>
      <c r="DF1628" s="4"/>
      <c r="DG1628" s="4"/>
      <c r="DH1628" s="4"/>
      <c r="DI1628" s="4"/>
      <c r="DJ1628" s="4" t="b">
        <v>0</v>
      </c>
      <c r="DK1628" s="4"/>
      <c r="DL1628" s="4">
        <v>2657563</v>
      </c>
      <c r="DM1628" s="4">
        <v>5989327</v>
      </c>
      <c r="DN1628" s="4" t="s">
        <v>4911</v>
      </c>
      <c r="DO1628" s="4"/>
      <c r="DP1628" s="4"/>
      <c r="DQ1628" s="4" t="s">
        <v>148</v>
      </c>
      <c r="DR1628" s="4"/>
      <c r="DS1628" s="4"/>
      <c r="DT1628" s="5">
        <v>42334</v>
      </c>
      <c r="DU1628" s="4"/>
      <c r="DV1628" s="4"/>
      <c r="DW1628" s="4"/>
      <c r="DX1628" s="4"/>
      <c r="DY1628" s="4"/>
      <c r="DZ1628" s="5">
        <v>39848</v>
      </c>
      <c r="EA1628" s="4"/>
      <c r="EB1628" s="4"/>
      <c r="EC1628" s="4"/>
      <c r="ED1628" s="4"/>
      <c r="EE1628" s="4"/>
      <c r="EF1628" s="4"/>
      <c r="EG1628" s="4"/>
      <c r="EH1628" s="4"/>
      <c r="EI1628" s="5">
        <v>39763</v>
      </c>
    </row>
    <row r="1629" spans="1:139" hidden="1" x14ac:dyDescent="0.2">
      <c r="A1629">
        <f>VLOOKUP(B1629,Sheet1!$A$1:$B$18,2,FALSE)</f>
        <v>0</v>
      </c>
      <c r="B1629" t="str">
        <f>LEFT(D1629,3)</f>
        <v>WLG</v>
      </c>
      <c r="C1629" s="2">
        <v>1628</v>
      </c>
      <c r="D1629" s="3" t="str">
        <f>HYPERLINK("https://sitebase.nzcomms.co.nz/spm/spmnominalview/WLG-047-020/","WLG-047-020")</f>
        <v>WLG-047-020</v>
      </c>
      <c r="E1629" s="4"/>
      <c r="F1629" s="3" t="str">
        <f>HYPERLINK("https://sitebase.nzcomms.co.nz/spm/spmcandidateview/WLG-047-020-D/","WLG-047-020-D")</f>
        <v>WLG-047-020-D</v>
      </c>
      <c r="G1629" s="4" t="s">
        <v>4912</v>
      </c>
      <c r="H1629" s="4" t="s">
        <v>4871</v>
      </c>
      <c r="I1629" s="4"/>
      <c r="J1629" s="4" t="s">
        <v>139</v>
      </c>
      <c r="K1629" s="4" t="s">
        <v>141</v>
      </c>
      <c r="L1629" s="4" t="s">
        <v>189</v>
      </c>
      <c r="M1629" s="4" t="s">
        <v>143</v>
      </c>
      <c r="N1629" s="4" t="s">
        <v>612</v>
      </c>
      <c r="O1629" s="4" t="s">
        <v>356</v>
      </c>
      <c r="P1629" s="4"/>
      <c r="Q1629" s="4"/>
      <c r="R1629" s="4">
        <v>14.2</v>
      </c>
      <c r="S1629" s="4">
        <v>14.2</v>
      </c>
      <c r="T1629" s="4"/>
      <c r="U1629" s="4">
        <v>-41.286837509999998</v>
      </c>
      <c r="V1629" s="4">
        <v>174.75382819999999</v>
      </c>
      <c r="W1629" s="4"/>
      <c r="X1629" s="4"/>
      <c r="Y1629" s="4"/>
      <c r="Z1629" s="4"/>
      <c r="AA1629" s="4" t="s">
        <v>152</v>
      </c>
      <c r="AB1629" s="3" t="str">
        <f>HYPERLINK("https://sitebase.nzcomms.co.nz/spm/spmcandidateview/WLG-047-071-A/","WLG-047-071-A")</f>
        <v>WLG-047-071-A</v>
      </c>
      <c r="AC1629" s="4"/>
      <c r="AD1629" s="4"/>
      <c r="AE1629" s="4"/>
      <c r="AF1629" s="4"/>
      <c r="AG1629" s="4"/>
      <c r="AH1629" s="4"/>
      <c r="AI1629" s="4"/>
      <c r="AJ1629" s="4"/>
      <c r="AK1629" s="4"/>
      <c r="AL1629" s="4"/>
      <c r="AM1629" s="4"/>
      <c r="AN1629" s="5">
        <v>39435</v>
      </c>
      <c r="AO1629" s="4">
        <v>4</v>
      </c>
      <c r="AP1629" s="5">
        <v>39885</v>
      </c>
      <c r="AQ1629" s="5">
        <v>39876</v>
      </c>
      <c r="AR1629" s="4"/>
      <c r="AS1629" s="4"/>
      <c r="AT1629" s="5">
        <v>39567</v>
      </c>
      <c r="AU1629" s="5">
        <v>39567</v>
      </c>
      <c r="AV1629" s="4">
        <v>2</v>
      </c>
      <c r="AW1629" s="5">
        <v>39567</v>
      </c>
      <c r="AX1629" s="5">
        <v>39567</v>
      </c>
      <c r="AY1629" s="4"/>
      <c r="AZ1629" s="4"/>
      <c r="BA1629" s="4"/>
      <c r="BB1629" s="5">
        <v>39688</v>
      </c>
      <c r="BC1629" s="4"/>
      <c r="BD1629" s="4"/>
      <c r="BE1629" s="5">
        <v>39688</v>
      </c>
      <c r="BF1629" s="5">
        <v>39688</v>
      </c>
      <c r="BG1629" s="4"/>
      <c r="BH1629" s="5">
        <v>39570</v>
      </c>
      <c r="BI1629" s="4"/>
      <c r="BJ1629" s="5">
        <v>39674</v>
      </c>
      <c r="BK1629" s="4">
        <v>1</v>
      </c>
      <c r="BL1629" s="4">
        <v>3</v>
      </c>
      <c r="BM1629" s="5">
        <v>39674</v>
      </c>
      <c r="BN1629" s="5">
        <v>39674</v>
      </c>
      <c r="BO1629" s="4"/>
      <c r="BP1629" s="4"/>
      <c r="BQ1629" s="4"/>
      <c r="BR1629" s="4"/>
      <c r="BS1629" s="4"/>
      <c r="BT1629" s="4"/>
      <c r="BU1629" s="5">
        <v>39730</v>
      </c>
      <c r="BV1629" s="5">
        <v>39746</v>
      </c>
      <c r="BW1629" s="5">
        <v>39744</v>
      </c>
      <c r="BX1629" s="4"/>
      <c r="BY1629" s="4"/>
      <c r="BZ1629" s="5">
        <v>39772</v>
      </c>
      <c r="CA1629" s="4"/>
      <c r="CB1629" s="4"/>
      <c r="CC1629" s="4"/>
      <c r="CD1629" s="4"/>
      <c r="CE1629" s="4"/>
      <c r="CF1629" s="4"/>
      <c r="CG1629" s="4"/>
      <c r="CH1629" s="4"/>
      <c r="CI1629" s="5">
        <v>39798</v>
      </c>
      <c r="CJ1629" s="5">
        <v>39813</v>
      </c>
      <c r="CK1629" s="5">
        <v>39798</v>
      </c>
      <c r="CL1629" s="4"/>
      <c r="CM1629" s="4"/>
      <c r="CN1629" s="4"/>
      <c r="CO1629" s="4"/>
      <c r="CP1629" s="4" t="s">
        <v>405</v>
      </c>
      <c r="CQ1629" s="4"/>
      <c r="CR1629" s="5">
        <v>39813</v>
      </c>
      <c r="CS1629" s="4"/>
      <c r="CT1629" s="4"/>
      <c r="CU1629" s="4"/>
      <c r="CV1629" s="4"/>
      <c r="CW1629" s="4"/>
      <c r="CX1629" s="4"/>
      <c r="CY1629" s="4"/>
      <c r="CZ1629" s="4"/>
      <c r="DA1629" s="4"/>
      <c r="DB1629" s="4"/>
      <c r="DC1629" s="4"/>
      <c r="DD1629" s="4"/>
      <c r="DE1629" s="4"/>
      <c r="DF1629" s="4"/>
      <c r="DG1629" s="4"/>
      <c r="DH1629" s="4"/>
      <c r="DI1629" s="4"/>
      <c r="DJ1629" s="4" t="b">
        <v>0</v>
      </c>
      <c r="DK1629" s="4"/>
      <c r="DL1629" s="4">
        <v>2656883</v>
      </c>
      <c r="DM1629" s="4">
        <v>5989629</v>
      </c>
      <c r="DN1629" s="4" t="s">
        <v>4913</v>
      </c>
      <c r="DO1629" s="4"/>
      <c r="DP1629" s="4"/>
      <c r="DQ1629" s="4" t="s">
        <v>148</v>
      </c>
      <c r="DR1629" s="4"/>
      <c r="DS1629" s="4"/>
      <c r="DT1629" s="4"/>
      <c r="DU1629" s="4"/>
      <c r="DV1629" s="4"/>
      <c r="DW1629" s="4"/>
      <c r="DX1629" s="4"/>
      <c r="DY1629" s="4"/>
      <c r="DZ1629" s="5">
        <v>39708</v>
      </c>
      <c r="EA1629" s="4"/>
      <c r="EB1629" s="4"/>
      <c r="EC1629" s="4"/>
      <c r="ED1629" s="4"/>
      <c r="EE1629" s="4"/>
      <c r="EF1629" s="4"/>
      <c r="EG1629" s="4"/>
      <c r="EH1629" s="4"/>
      <c r="EI1629" s="5">
        <v>39407</v>
      </c>
    </row>
    <row r="1630" spans="1:139" hidden="1" x14ac:dyDescent="0.2">
      <c r="A1630">
        <f>VLOOKUP(B1630,Sheet1!$A$1:$B$18,2,FALSE)</f>
        <v>0</v>
      </c>
      <c r="B1630" t="str">
        <f>LEFT(D1630,3)</f>
        <v>WLG</v>
      </c>
      <c r="C1630" s="2">
        <v>1629</v>
      </c>
      <c r="D1630" s="3" t="str">
        <f>HYPERLINK("https://sitebase.nzcomms.co.nz/spm/spmnominalview/WLG-047-021/","WLG-047-021")</f>
        <v>WLG-047-021</v>
      </c>
      <c r="E1630" s="4"/>
      <c r="F1630" s="3" t="str">
        <f>HYPERLINK("https://sitebase.nzcomms.co.nz/spm/spmcandidateview/WLG-047-021-J/","WLG-047-021-J")</f>
        <v>WLG-047-021-J</v>
      </c>
      <c r="G1630" s="4" t="s">
        <v>4914</v>
      </c>
      <c r="H1630" s="4" t="s">
        <v>4871</v>
      </c>
      <c r="I1630" s="4"/>
      <c r="J1630" s="4" t="s">
        <v>139</v>
      </c>
      <c r="K1630" s="4" t="s">
        <v>141</v>
      </c>
      <c r="L1630" s="4" t="s">
        <v>150</v>
      </c>
      <c r="M1630" s="4" t="s">
        <v>160</v>
      </c>
      <c r="N1630" s="4" t="s">
        <v>291</v>
      </c>
      <c r="O1630" s="4" t="s">
        <v>144</v>
      </c>
      <c r="P1630" s="4"/>
      <c r="Q1630" s="4"/>
      <c r="R1630" s="4">
        <v>13.8</v>
      </c>
      <c r="S1630" s="4">
        <v>13.8</v>
      </c>
      <c r="T1630" s="4"/>
      <c r="U1630" s="4">
        <v>-41.282508</v>
      </c>
      <c r="V1630" s="4">
        <v>174.74590451</v>
      </c>
      <c r="W1630" s="4"/>
      <c r="X1630" s="4"/>
      <c r="Y1630" s="4"/>
      <c r="Z1630" s="4"/>
      <c r="AA1630" s="4"/>
      <c r="AB1630" s="4"/>
      <c r="AC1630" s="4"/>
      <c r="AD1630" s="4"/>
      <c r="AE1630" s="4"/>
      <c r="AF1630" s="4"/>
      <c r="AG1630" s="4"/>
      <c r="AH1630" s="4"/>
      <c r="AI1630" s="5">
        <v>39974</v>
      </c>
      <c r="AJ1630" s="5">
        <v>39974</v>
      </c>
      <c r="AK1630" s="4"/>
      <c r="AL1630" s="4"/>
      <c r="AM1630" s="5">
        <v>40016</v>
      </c>
      <c r="AN1630" s="5">
        <v>40016</v>
      </c>
      <c r="AO1630" s="4">
        <v>2</v>
      </c>
      <c r="AP1630" s="5">
        <v>40016</v>
      </c>
      <c r="AQ1630" s="5">
        <v>40063</v>
      </c>
      <c r="AR1630" s="4"/>
      <c r="AS1630" s="4"/>
      <c r="AT1630" s="5">
        <v>40074</v>
      </c>
      <c r="AU1630" s="5">
        <v>40074</v>
      </c>
      <c r="AV1630" s="4">
        <v>2</v>
      </c>
      <c r="AW1630" s="5">
        <v>40074</v>
      </c>
      <c r="AX1630" s="5">
        <v>40074</v>
      </c>
      <c r="AY1630" s="4"/>
      <c r="AZ1630" s="5">
        <v>40018</v>
      </c>
      <c r="BA1630" s="4"/>
      <c r="BB1630" s="5">
        <v>40086</v>
      </c>
      <c r="BC1630" s="4"/>
      <c r="BD1630" s="4"/>
      <c r="BE1630" s="5">
        <v>40086</v>
      </c>
      <c r="BF1630" s="5">
        <v>40070</v>
      </c>
      <c r="BG1630" s="5">
        <v>40077</v>
      </c>
      <c r="BH1630" s="5">
        <v>40064</v>
      </c>
      <c r="BI1630" s="5">
        <v>40081</v>
      </c>
      <c r="BJ1630" s="5">
        <v>40091</v>
      </c>
      <c r="BK1630" s="4">
        <v>1</v>
      </c>
      <c r="BL1630" s="4">
        <v>2</v>
      </c>
      <c r="BM1630" s="5">
        <v>40081</v>
      </c>
      <c r="BN1630" s="5">
        <v>40091</v>
      </c>
      <c r="BO1630" s="4"/>
      <c r="BP1630" s="4"/>
      <c r="BQ1630" s="4"/>
      <c r="BR1630" s="4"/>
      <c r="BS1630" s="4"/>
      <c r="BT1630" s="5">
        <v>40105</v>
      </c>
      <c r="BU1630" s="5">
        <v>40101</v>
      </c>
      <c r="BV1630" s="5">
        <v>40127</v>
      </c>
      <c r="BW1630" s="5">
        <v>40127</v>
      </c>
      <c r="BX1630" s="4"/>
      <c r="BY1630" s="5">
        <v>40146</v>
      </c>
      <c r="BZ1630" s="5">
        <v>40144</v>
      </c>
      <c r="CA1630" s="4"/>
      <c r="CB1630" s="4"/>
      <c r="CC1630" s="4"/>
      <c r="CD1630" s="4"/>
      <c r="CE1630" s="4"/>
      <c r="CF1630" s="4"/>
      <c r="CG1630" s="4"/>
      <c r="CH1630" s="4"/>
      <c r="CI1630" s="5">
        <v>40169</v>
      </c>
      <c r="CJ1630" s="5">
        <v>40165</v>
      </c>
      <c r="CK1630" s="5">
        <v>40169</v>
      </c>
      <c r="CL1630" s="4"/>
      <c r="CM1630" s="4"/>
      <c r="CN1630" s="4"/>
      <c r="CO1630" s="4"/>
      <c r="CP1630" s="4" t="s">
        <v>4915</v>
      </c>
      <c r="CQ1630" s="4"/>
      <c r="CR1630" s="5">
        <v>40165</v>
      </c>
      <c r="CS1630" s="4"/>
      <c r="CT1630" s="4"/>
      <c r="CU1630" s="4"/>
      <c r="CV1630" s="4"/>
      <c r="CW1630" s="4"/>
      <c r="CX1630" s="4"/>
      <c r="CY1630" s="4"/>
      <c r="CZ1630" s="4"/>
      <c r="DA1630" s="4"/>
      <c r="DB1630" s="4"/>
      <c r="DC1630" s="4"/>
      <c r="DD1630" s="4"/>
      <c r="DE1630" s="4"/>
      <c r="DF1630" s="4"/>
      <c r="DG1630" s="4"/>
      <c r="DH1630" s="4"/>
      <c r="DI1630" s="4"/>
      <c r="DJ1630" s="4" t="b">
        <v>0</v>
      </c>
      <c r="DK1630" s="4"/>
      <c r="DL1630" s="4">
        <v>2656229</v>
      </c>
      <c r="DM1630" s="4">
        <v>5990123</v>
      </c>
      <c r="DN1630" s="4" t="s">
        <v>4916</v>
      </c>
      <c r="DO1630" s="4"/>
      <c r="DP1630" s="4"/>
      <c r="DQ1630" s="4" t="s">
        <v>148</v>
      </c>
      <c r="DR1630" s="4"/>
      <c r="DS1630" s="4"/>
      <c r="DT1630" s="5">
        <v>42403</v>
      </c>
      <c r="DU1630" s="4"/>
      <c r="DV1630" s="4"/>
      <c r="DW1630" s="4"/>
      <c r="DX1630" s="4"/>
      <c r="DY1630" s="5">
        <v>40101</v>
      </c>
      <c r="DZ1630" s="5">
        <v>40101</v>
      </c>
      <c r="EA1630" s="4"/>
      <c r="EB1630" s="4"/>
      <c r="EC1630" s="4"/>
      <c r="ED1630" s="4"/>
      <c r="EE1630" s="4"/>
      <c r="EF1630" s="4"/>
      <c r="EG1630" s="4"/>
      <c r="EH1630" s="4"/>
      <c r="EI1630" s="5">
        <v>39980</v>
      </c>
    </row>
    <row r="1631" spans="1:139" hidden="1" x14ac:dyDescent="0.2">
      <c r="A1631">
        <f>VLOOKUP(B1631,Sheet1!$A$1:$B$18,2,FALSE)</f>
        <v>0</v>
      </c>
      <c r="B1631" t="str">
        <f>LEFT(D1631,3)</f>
        <v>WLG</v>
      </c>
      <c r="C1631" s="2">
        <v>1630</v>
      </c>
      <c r="D1631" s="3" t="str">
        <f>HYPERLINK("https://sitebase.nzcomms.co.nz/spm/spmnominalview/WLG-047-022/","WLG-047-022")</f>
        <v>WLG-047-022</v>
      </c>
      <c r="E1631" s="4"/>
      <c r="F1631" s="3" t="str">
        <f>HYPERLINK("https://sitebase.nzcomms.co.nz/spm/spmcandidateview/WLG-047-022-A/","WLG-047-022-A")</f>
        <v>WLG-047-022-A</v>
      </c>
      <c r="G1631" s="4" t="s">
        <v>4917</v>
      </c>
      <c r="H1631" s="4" t="s">
        <v>4871</v>
      </c>
      <c r="I1631" s="4"/>
      <c r="J1631" s="4" t="s">
        <v>139</v>
      </c>
      <c r="K1631" s="4" t="s">
        <v>141</v>
      </c>
      <c r="L1631" s="4" t="s">
        <v>150</v>
      </c>
      <c r="M1631" s="4" t="s">
        <v>143</v>
      </c>
      <c r="N1631" s="4" t="s">
        <v>291</v>
      </c>
      <c r="O1631" s="4" t="s">
        <v>356</v>
      </c>
      <c r="P1631" s="4"/>
      <c r="Q1631" s="4"/>
      <c r="R1631" s="4">
        <v>10.8</v>
      </c>
      <c r="S1631" s="4">
        <v>10.8</v>
      </c>
      <c r="T1631" s="4"/>
      <c r="U1631" s="4">
        <v>-41.281562729999997</v>
      </c>
      <c r="V1631" s="4">
        <v>174.73148049</v>
      </c>
      <c r="W1631" s="4"/>
      <c r="X1631" s="4"/>
      <c r="Y1631" s="4"/>
      <c r="Z1631" s="4"/>
      <c r="AA1631" s="4"/>
      <c r="AB1631" s="4"/>
      <c r="AC1631" s="4"/>
      <c r="AD1631" s="4"/>
      <c r="AE1631" s="4"/>
      <c r="AF1631" s="4"/>
      <c r="AG1631" s="4"/>
      <c r="AH1631" s="4"/>
      <c r="AI1631" s="4"/>
      <c r="AJ1631" s="5">
        <v>39426</v>
      </c>
      <c r="AK1631" s="4"/>
      <c r="AL1631" s="4"/>
      <c r="AM1631" s="4"/>
      <c r="AN1631" s="5">
        <v>39524</v>
      </c>
      <c r="AO1631" s="4">
        <v>9</v>
      </c>
      <c r="AP1631" s="5">
        <v>39794</v>
      </c>
      <c r="AQ1631" s="5">
        <v>40014</v>
      </c>
      <c r="AR1631" s="4"/>
      <c r="AS1631" s="4"/>
      <c r="AT1631" s="5">
        <v>39623</v>
      </c>
      <c r="AU1631" s="5">
        <v>39598</v>
      </c>
      <c r="AV1631" s="4">
        <v>1</v>
      </c>
      <c r="AW1631" s="5">
        <v>39994</v>
      </c>
      <c r="AX1631" s="5">
        <v>39979</v>
      </c>
      <c r="AY1631" s="4"/>
      <c r="AZ1631" s="5">
        <v>39885</v>
      </c>
      <c r="BA1631" s="4"/>
      <c r="BB1631" s="5">
        <v>39946</v>
      </c>
      <c r="BC1631" s="4"/>
      <c r="BD1631" s="4"/>
      <c r="BE1631" s="5">
        <v>39946</v>
      </c>
      <c r="BF1631" s="5">
        <v>39927</v>
      </c>
      <c r="BG1631" s="4"/>
      <c r="BH1631" s="5">
        <v>39587</v>
      </c>
      <c r="BI1631" s="4"/>
      <c r="BJ1631" s="5">
        <v>39794</v>
      </c>
      <c r="BK1631" s="4">
        <v>4</v>
      </c>
      <c r="BL1631" s="4">
        <v>7</v>
      </c>
      <c r="BM1631" s="5">
        <v>39887</v>
      </c>
      <c r="BN1631" s="5">
        <v>39980</v>
      </c>
      <c r="BO1631" s="5">
        <v>39924</v>
      </c>
      <c r="BP1631" s="4"/>
      <c r="BQ1631" s="4"/>
      <c r="BR1631" s="4"/>
      <c r="BS1631" s="4"/>
      <c r="BT1631" s="5">
        <v>39979</v>
      </c>
      <c r="BU1631" s="5">
        <v>39979</v>
      </c>
      <c r="BV1631" s="5">
        <v>40004</v>
      </c>
      <c r="BW1631" s="5">
        <v>40001</v>
      </c>
      <c r="BX1631" s="4"/>
      <c r="BY1631" s="5">
        <v>40006</v>
      </c>
      <c r="BZ1631" s="5">
        <v>40008</v>
      </c>
      <c r="CA1631" s="4"/>
      <c r="CB1631" s="4"/>
      <c r="CC1631" s="4"/>
      <c r="CD1631" s="4"/>
      <c r="CE1631" s="4"/>
      <c r="CF1631" s="4"/>
      <c r="CG1631" s="4"/>
      <c r="CH1631" s="4"/>
      <c r="CI1631" s="5">
        <v>40008</v>
      </c>
      <c r="CJ1631" s="5">
        <v>40009</v>
      </c>
      <c r="CK1631" s="5">
        <v>40008</v>
      </c>
      <c r="CL1631" s="4"/>
      <c r="CM1631" s="4"/>
      <c r="CN1631" s="4"/>
      <c r="CO1631" s="4"/>
      <c r="CP1631" s="4" t="s">
        <v>4918</v>
      </c>
      <c r="CQ1631" s="4"/>
      <c r="CR1631" s="5">
        <v>40009</v>
      </c>
      <c r="CS1631" s="4"/>
      <c r="CT1631" s="4"/>
      <c r="CU1631" s="4"/>
      <c r="CV1631" s="4"/>
      <c r="CW1631" s="5">
        <v>39925</v>
      </c>
      <c r="CX1631" s="5">
        <v>39924</v>
      </c>
      <c r="CY1631" s="4"/>
      <c r="CZ1631" s="4"/>
      <c r="DA1631" s="4"/>
      <c r="DB1631" s="4"/>
      <c r="DC1631" s="4"/>
      <c r="DD1631" s="4"/>
      <c r="DE1631" s="4"/>
      <c r="DF1631" s="4"/>
      <c r="DG1631" s="4"/>
      <c r="DH1631" s="4"/>
      <c r="DI1631" s="4"/>
      <c r="DJ1631" s="4" t="b">
        <v>0</v>
      </c>
      <c r="DK1631" s="4"/>
      <c r="DL1631" s="4">
        <v>2655023</v>
      </c>
      <c r="DM1631" s="4">
        <v>5990252</v>
      </c>
      <c r="DN1631" s="4" t="s">
        <v>4919</v>
      </c>
      <c r="DO1631" s="4"/>
      <c r="DP1631" s="4"/>
      <c r="DQ1631" s="4" t="s">
        <v>148</v>
      </c>
      <c r="DR1631" s="4"/>
      <c r="DS1631" s="4"/>
      <c r="DT1631" s="5">
        <v>42403</v>
      </c>
      <c r="DU1631" s="4"/>
      <c r="DV1631" s="4"/>
      <c r="DW1631" s="4"/>
      <c r="DX1631" s="4"/>
      <c r="DY1631" s="5">
        <v>39999</v>
      </c>
      <c r="DZ1631" s="5">
        <v>39979</v>
      </c>
      <c r="EA1631" s="4"/>
      <c r="EB1631" s="4"/>
      <c r="EC1631" s="4"/>
      <c r="ED1631" s="4"/>
      <c r="EE1631" s="4"/>
      <c r="EF1631" s="4"/>
      <c r="EG1631" s="4"/>
      <c r="EH1631" s="4"/>
      <c r="EI1631" s="5">
        <v>39485</v>
      </c>
    </row>
    <row r="1632" spans="1:139" hidden="1" x14ac:dyDescent="0.2">
      <c r="A1632">
        <f>VLOOKUP(B1632,Sheet1!$A$1:$B$18,2,FALSE)</f>
        <v>0</v>
      </c>
      <c r="B1632" t="str">
        <f>LEFT(D1632,3)</f>
        <v>WLG</v>
      </c>
      <c r="C1632" s="2">
        <v>1631</v>
      </c>
      <c r="D1632" s="3" t="str">
        <f>HYPERLINK("https://sitebase.nzcomms.co.nz/spm/spmnominalview/WLG-047-023/","WLG-047-023")</f>
        <v>WLG-047-023</v>
      </c>
      <c r="E1632" s="4"/>
      <c r="F1632" s="3" t="str">
        <f>HYPERLINK("https://sitebase.nzcomms.co.nz/spm/spmcandidateview/WLG-047-023-I/","WLG-047-023-I")</f>
        <v>WLG-047-023-I</v>
      </c>
      <c r="G1632" s="4" t="s">
        <v>4920</v>
      </c>
      <c r="H1632" s="4" t="s">
        <v>4871</v>
      </c>
      <c r="I1632" s="4"/>
      <c r="J1632" s="4" t="s">
        <v>139</v>
      </c>
      <c r="K1632" s="4" t="s">
        <v>141</v>
      </c>
      <c r="L1632" s="4" t="s">
        <v>150</v>
      </c>
      <c r="M1632" s="4" t="s">
        <v>143</v>
      </c>
      <c r="N1632" s="4" t="s">
        <v>246</v>
      </c>
      <c r="O1632" s="4" t="s">
        <v>144</v>
      </c>
      <c r="P1632" s="4"/>
      <c r="Q1632" s="4"/>
      <c r="R1632" s="4">
        <v>13.8</v>
      </c>
      <c r="S1632" s="4">
        <v>13.8</v>
      </c>
      <c r="T1632" s="4"/>
      <c r="U1632" s="4">
        <v>-41.305579260000002</v>
      </c>
      <c r="V1632" s="4">
        <v>174.76396563</v>
      </c>
      <c r="W1632" s="4"/>
      <c r="X1632" s="4"/>
      <c r="Y1632" s="4"/>
      <c r="Z1632" s="4"/>
      <c r="AA1632" s="4" t="s">
        <v>152</v>
      </c>
      <c r="AB1632" s="3" t="str">
        <f>HYPERLINK("https://sitebase.nzcomms.co.nz/spm/spmcandidateview/WLG-047-071-A/","WLG-047-071-A")</f>
        <v>WLG-047-071-A</v>
      </c>
      <c r="AC1632" s="4"/>
      <c r="AD1632" s="4"/>
      <c r="AE1632" s="4"/>
      <c r="AF1632" s="4"/>
      <c r="AG1632" s="4"/>
      <c r="AH1632" s="4"/>
      <c r="AI1632" s="4"/>
      <c r="AJ1632" s="4"/>
      <c r="AK1632" s="4"/>
      <c r="AL1632" s="4"/>
      <c r="AM1632" s="4"/>
      <c r="AN1632" s="5">
        <v>39598</v>
      </c>
      <c r="AO1632" s="4">
        <v>2</v>
      </c>
      <c r="AP1632" s="4"/>
      <c r="AQ1632" s="5">
        <v>39722</v>
      </c>
      <c r="AR1632" s="4"/>
      <c r="AS1632" s="4"/>
      <c r="AT1632" s="5">
        <v>39660</v>
      </c>
      <c r="AU1632" s="5">
        <v>39622</v>
      </c>
      <c r="AV1632" s="4">
        <v>1</v>
      </c>
      <c r="AW1632" s="5">
        <v>39660</v>
      </c>
      <c r="AX1632" s="5">
        <v>39622</v>
      </c>
      <c r="AY1632" s="4"/>
      <c r="AZ1632" s="4"/>
      <c r="BA1632" s="4"/>
      <c r="BB1632" s="5">
        <v>39678</v>
      </c>
      <c r="BC1632" s="4"/>
      <c r="BD1632" s="4"/>
      <c r="BE1632" s="5">
        <v>39744</v>
      </c>
      <c r="BF1632" s="5">
        <v>39744</v>
      </c>
      <c r="BG1632" s="4"/>
      <c r="BH1632" s="5">
        <v>39645</v>
      </c>
      <c r="BI1632" s="4"/>
      <c r="BJ1632" s="5">
        <v>39702</v>
      </c>
      <c r="BK1632" s="4">
        <v>1</v>
      </c>
      <c r="BL1632" s="4">
        <v>1</v>
      </c>
      <c r="BM1632" s="5">
        <v>39702</v>
      </c>
      <c r="BN1632" s="5">
        <v>39702</v>
      </c>
      <c r="BO1632" s="5">
        <v>39860</v>
      </c>
      <c r="BP1632" s="4"/>
      <c r="BQ1632" s="4"/>
      <c r="BR1632" s="4"/>
      <c r="BS1632" s="4"/>
      <c r="BT1632" s="4"/>
      <c r="BU1632" s="5">
        <v>39755</v>
      </c>
      <c r="BV1632" s="5">
        <v>39872</v>
      </c>
      <c r="BW1632" s="5">
        <v>39871</v>
      </c>
      <c r="BX1632" s="4"/>
      <c r="BY1632" s="5">
        <v>39875</v>
      </c>
      <c r="BZ1632" s="5">
        <v>39875</v>
      </c>
      <c r="CA1632" s="4"/>
      <c r="CB1632" s="4"/>
      <c r="CC1632" s="4"/>
      <c r="CD1632" s="4"/>
      <c r="CE1632" s="4"/>
      <c r="CF1632" s="4"/>
      <c r="CG1632" s="4"/>
      <c r="CH1632" s="4"/>
      <c r="CI1632" s="5">
        <v>39909</v>
      </c>
      <c r="CJ1632" s="5">
        <v>39909</v>
      </c>
      <c r="CK1632" s="5">
        <v>39909</v>
      </c>
      <c r="CL1632" s="4"/>
      <c r="CM1632" s="4"/>
      <c r="CN1632" s="4"/>
      <c r="CO1632" s="4"/>
      <c r="CP1632" s="4" t="s">
        <v>405</v>
      </c>
      <c r="CQ1632" s="4"/>
      <c r="CR1632" s="5">
        <v>39909</v>
      </c>
      <c r="CS1632" s="4"/>
      <c r="CT1632" s="4"/>
      <c r="CU1632" s="4"/>
      <c r="CV1632" s="4"/>
      <c r="CW1632" s="4"/>
      <c r="CX1632" s="5">
        <v>39860</v>
      </c>
      <c r="CY1632" s="4"/>
      <c r="CZ1632" s="4"/>
      <c r="DA1632" s="4"/>
      <c r="DB1632" s="4"/>
      <c r="DC1632" s="4"/>
      <c r="DD1632" s="4"/>
      <c r="DE1632" s="4"/>
      <c r="DF1632" s="4"/>
      <c r="DG1632" s="4"/>
      <c r="DH1632" s="4"/>
      <c r="DI1632" s="4"/>
      <c r="DJ1632" s="4" t="b">
        <v>0</v>
      </c>
      <c r="DK1632" s="4"/>
      <c r="DL1632" s="4">
        <v>2657690</v>
      </c>
      <c r="DM1632" s="4">
        <v>5987531</v>
      </c>
      <c r="DN1632" s="4" t="s">
        <v>4921</v>
      </c>
      <c r="DO1632" s="4"/>
      <c r="DP1632" s="4"/>
      <c r="DQ1632" s="4" t="s">
        <v>148</v>
      </c>
      <c r="DR1632" s="4"/>
      <c r="DS1632" s="4"/>
      <c r="DT1632" s="5">
        <v>42334</v>
      </c>
      <c r="DU1632" s="4"/>
      <c r="DV1632" s="4"/>
      <c r="DW1632" s="4"/>
      <c r="DX1632" s="4"/>
      <c r="DY1632" s="4"/>
      <c r="DZ1632" s="5">
        <v>39709</v>
      </c>
      <c r="EA1632" s="4"/>
      <c r="EB1632" s="4"/>
      <c r="EC1632" s="4"/>
      <c r="ED1632" s="4"/>
      <c r="EE1632" s="4"/>
      <c r="EF1632" s="4"/>
      <c r="EG1632" s="4"/>
      <c r="EH1632" s="4"/>
      <c r="EI1632" s="5">
        <v>39562</v>
      </c>
    </row>
    <row r="1633" spans="1:139" hidden="1" x14ac:dyDescent="0.2">
      <c r="A1633">
        <f>VLOOKUP(B1633,Sheet1!$A$1:$B$18,2,FALSE)</f>
        <v>0</v>
      </c>
      <c r="B1633" t="str">
        <f>LEFT(D1633,3)</f>
        <v>WLG</v>
      </c>
      <c r="C1633" s="2">
        <v>1632</v>
      </c>
      <c r="D1633" s="3" t="str">
        <f>HYPERLINK("https://sitebase.nzcomms.co.nz/spm/spmnominalview/WLG-047-024/","WLG-047-024")</f>
        <v>WLG-047-024</v>
      </c>
      <c r="E1633" s="4"/>
      <c r="F1633" s="3" t="str">
        <f>HYPERLINK("https://sitebase.nzcomms.co.nz/spm/spmcandidateview/WLG-047-024-C/","WLG-047-024-C")</f>
        <v>WLG-047-024-C</v>
      </c>
      <c r="G1633" s="4" t="s">
        <v>4922</v>
      </c>
      <c r="H1633" s="4" t="s">
        <v>4871</v>
      </c>
      <c r="I1633" s="4"/>
      <c r="J1633" s="4" t="s">
        <v>139</v>
      </c>
      <c r="K1633" s="4" t="s">
        <v>141</v>
      </c>
      <c r="L1633" s="4" t="s">
        <v>150</v>
      </c>
      <c r="M1633" s="4" t="s">
        <v>143</v>
      </c>
      <c r="N1633" s="4" t="s">
        <v>246</v>
      </c>
      <c r="O1633" s="4" t="s">
        <v>144</v>
      </c>
      <c r="P1633" s="4"/>
      <c r="Q1633" s="4"/>
      <c r="R1633" s="4">
        <v>10.8</v>
      </c>
      <c r="S1633" s="4">
        <v>10.8</v>
      </c>
      <c r="T1633" s="4"/>
      <c r="U1633" s="4">
        <v>-41.338527730000003</v>
      </c>
      <c r="V1633" s="4">
        <v>174.75606515000001</v>
      </c>
      <c r="W1633" s="4"/>
      <c r="X1633" s="4"/>
      <c r="Y1633" s="4"/>
      <c r="Z1633" s="4"/>
      <c r="AA1633" s="4" t="s">
        <v>152</v>
      </c>
      <c r="AB1633" s="3" t="str">
        <f>HYPERLINK("https://sitebase.nzcomms.co.nz/spm/spmcandidateview/WLG-047-071-A/","WLG-047-071-A")</f>
        <v>WLG-047-071-A</v>
      </c>
      <c r="AC1633" s="4"/>
      <c r="AD1633" s="4"/>
      <c r="AE1633" s="4"/>
      <c r="AF1633" s="4"/>
      <c r="AG1633" s="4"/>
      <c r="AH1633" s="4"/>
      <c r="AI1633" s="4"/>
      <c r="AJ1633" s="4"/>
      <c r="AK1633" s="4"/>
      <c r="AL1633" s="4"/>
      <c r="AM1633" s="4"/>
      <c r="AN1633" s="5">
        <v>39487</v>
      </c>
      <c r="AO1633" s="4">
        <v>4</v>
      </c>
      <c r="AP1633" s="4"/>
      <c r="AQ1633" s="5">
        <v>39758</v>
      </c>
      <c r="AR1633" s="4"/>
      <c r="AS1633" s="4"/>
      <c r="AT1633" s="5">
        <v>39675</v>
      </c>
      <c r="AU1633" s="5">
        <v>39708</v>
      </c>
      <c r="AV1633" s="4">
        <v>4</v>
      </c>
      <c r="AW1633" s="5">
        <v>39675</v>
      </c>
      <c r="AX1633" s="5">
        <v>39708</v>
      </c>
      <c r="AY1633" s="4"/>
      <c r="AZ1633" s="4"/>
      <c r="BA1633" s="4"/>
      <c r="BB1633" s="5">
        <v>39779</v>
      </c>
      <c r="BC1633" s="4"/>
      <c r="BD1633" s="4"/>
      <c r="BE1633" s="5">
        <v>39779</v>
      </c>
      <c r="BF1633" s="5">
        <v>39779</v>
      </c>
      <c r="BG1633" s="4"/>
      <c r="BH1633" s="5">
        <v>39546</v>
      </c>
      <c r="BI1633" s="4"/>
      <c r="BJ1633" s="5">
        <v>39869</v>
      </c>
      <c r="BK1633" s="4">
        <v>1</v>
      </c>
      <c r="BL1633" s="4">
        <v>4</v>
      </c>
      <c r="BM1633" s="5">
        <v>39871</v>
      </c>
      <c r="BN1633" s="5">
        <v>39869</v>
      </c>
      <c r="BO1633" s="5">
        <v>39863</v>
      </c>
      <c r="BP1633" s="4"/>
      <c r="BQ1633" s="4"/>
      <c r="BR1633" s="4"/>
      <c r="BS1633" s="4"/>
      <c r="BT1633" s="5">
        <v>39892</v>
      </c>
      <c r="BU1633" s="5">
        <v>39892</v>
      </c>
      <c r="BV1633" s="5">
        <v>39932</v>
      </c>
      <c r="BW1633" s="5">
        <v>39923</v>
      </c>
      <c r="BX1633" s="4"/>
      <c r="BY1633" s="5">
        <v>39941</v>
      </c>
      <c r="BZ1633" s="5">
        <v>39941</v>
      </c>
      <c r="CA1633" s="4"/>
      <c r="CB1633" s="4"/>
      <c r="CC1633" s="4"/>
      <c r="CD1633" s="4"/>
      <c r="CE1633" s="4"/>
      <c r="CF1633" s="4"/>
      <c r="CG1633" s="4"/>
      <c r="CH1633" s="4"/>
      <c r="CI1633" s="5">
        <v>39945</v>
      </c>
      <c r="CJ1633" s="5">
        <v>39947</v>
      </c>
      <c r="CK1633" s="5">
        <v>39945</v>
      </c>
      <c r="CL1633" s="4"/>
      <c r="CM1633" s="4"/>
      <c r="CN1633" s="4"/>
      <c r="CO1633" s="4"/>
      <c r="CP1633" s="4" t="s">
        <v>4923</v>
      </c>
      <c r="CQ1633" s="4"/>
      <c r="CR1633" s="5">
        <v>39947</v>
      </c>
      <c r="CS1633" s="4"/>
      <c r="CT1633" s="4"/>
      <c r="CU1633" s="4"/>
      <c r="CV1633" s="4"/>
      <c r="CW1633" s="4"/>
      <c r="CX1633" s="5">
        <v>39863</v>
      </c>
      <c r="CY1633" s="4"/>
      <c r="CZ1633" s="4"/>
      <c r="DA1633" s="4"/>
      <c r="DB1633" s="4"/>
      <c r="DC1633" s="4"/>
      <c r="DD1633" s="4"/>
      <c r="DE1633" s="4"/>
      <c r="DF1633" s="4"/>
      <c r="DG1633" s="4"/>
      <c r="DH1633" s="4"/>
      <c r="DI1633" s="4"/>
      <c r="DJ1633" s="4" t="b">
        <v>0</v>
      </c>
      <c r="DK1633" s="4"/>
      <c r="DL1633" s="4">
        <v>2656955</v>
      </c>
      <c r="DM1633" s="4">
        <v>5983886</v>
      </c>
      <c r="DN1633" s="4" t="s">
        <v>4924</v>
      </c>
      <c r="DO1633" s="4"/>
      <c r="DP1633" s="4"/>
      <c r="DQ1633" s="4" t="s">
        <v>148</v>
      </c>
      <c r="DR1633" s="4"/>
      <c r="DS1633" s="4"/>
      <c r="DT1633" s="5">
        <v>42334</v>
      </c>
      <c r="DU1633" s="4"/>
      <c r="DV1633" s="4"/>
      <c r="DW1633" s="4"/>
      <c r="DX1633" s="4"/>
      <c r="DY1633" s="4"/>
      <c r="DZ1633" s="5">
        <v>39848</v>
      </c>
      <c r="EA1633" s="4"/>
      <c r="EB1633" s="4"/>
      <c r="EC1633" s="4"/>
      <c r="ED1633" s="4"/>
      <c r="EE1633" s="4"/>
      <c r="EF1633" s="4"/>
      <c r="EG1633" s="4"/>
      <c r="EH1633" s="4"/>
      <c r="EI1633" s="5">
        <v>39402</v>
      </c>
    </row>
    <row r="1634" spans="1:139" hidden="1" x14ac:dyDescent="0.2">
      <c r="A1634">
        <f>VLOOKUP(B1634,Sheet1!$A$1:$B$18,2,FALSE)</f>
        <v>0</v>
      </c>
      <c r="B1634" t="str">
        <f>LEFT(D1634,3)</f>
        <v>WLG</v>
      </c>
      <c r="C1634" s="2">
        <v>1633</v>
      </c>
      <c r="D1634" s="3" t="str">
        <f>HYPERLINK("https://sitebase.nzcomms.co.nz/spm/spmnominalview/WLG-047-025/","WLG-047-025")</f>
        <v>WLG-047-025</v>
      </c>
      <c r="E1634" s="4"/>
      <c r="F1634" s="3" t="str">
        <f>HYPERLINK("https://sitebase.nzcomms.co.nz/spm/spmcandidateview/WLG-047-025-A/","WLG-047-025-A")</f>
        <v>WLG-047-025-A</v>
      </c>
      <c r="G1634" s="4" t="s">
        <v>4925</v>
      </c>
      <c r="H1634" s="4" t="s">
        <v>4871</v>
      </c>
      <c r="I1634" s="4"/>
      <c r="J1634" s="4" t="s">
        <v>139</v>
      </c>
      <c r="K1634" s="4" t="s">
        <v>141</v>
      </c>
      <c r="L1634" s="4" t="s">
        <v>181</v>
      </c>
      <c r="M1634" s="4" t="s">
        <v>442</v>
      </c>
      <c r="N1634" s="4" t="s">
        <v>364</v>
      </c>
      <c r="O1634" s="4" t="s">
        <v>144</v>
      </c>
      <c r="P1634" s="4"/>
      <c r="Q1634" s="4"/>
      <c r="R1634" s="4">
        <v>15</v>
      </c>
      <c r="S1634" s="4">
        <v>15</v>
      </c>
      <c r="T1634" s="4"/>
      <c r="U1634" s="4">
        <v>-41.324521959999998</v>
      </c>
      <c r="V1634" s="4">
        <v>174.77620511999999</v>
      </c>
      <c r="W1634" s="4"/>
      <c r="X1634" s="4"/>
      <c r="Y1634" s="4"/>
      <c r="Z1634" s="4"/>
      <c r="AA1634" s="4"/>
      <c r="AB1634" s="4"/>
      <c r="AC1634" s="4"/>
      <c r="AD1634" s="4"/>
      <c r="AE1634" s="4"/>
      <c r="AF1634" s="4"/>
      <c r="AG1634" s="4"/>
      <c r="AH1634" s="4"/>
      <c r="AI1634" s="5">
        <v>39939</v>
      </c>
      <c r="AJ1634" s="5">
        <v>39939</v>
      </c>
      <c r="AK1634" s="4"/>
      <c r="AL1634" s="4"/>
      <c r="AM1634" s="5">
        <v>39953</v>
      </c>
      <c r="AN1634" s="5">
        <v>39955</v>
      </c>
      <c r="AO1634" s="4">
        <v>3</v>
      </c>
      <c r="AP1634" s="5">
        <v>39953</v>
      </c>
      <c r="AQ1634" s="5">
        <v>40049</v>
      </c>
      <c r="AR1634" s="4"/>
      <c r="AS1634" s="4"/>
      <c r="AT1634" s="5">
        <v>40224</v>
      </c>
      <c r="AU1634" s="5">
        <v>40231</v>
      </c>
      <c r="AV1634" s="4"/>
      <c r="AW1634" s="5">
        <v>40224</v>
      </c>
      <c r="AX1634" s="4"/>
      <c r="AY1634" s="4"/>
      <c r="AZ1634" s="5">
        <v>40042</v>
      </c>
      <c r="BA1634" s="4"/>
      <c r="BB1634" s="5">
        <v>40080</v>
      </c>
      <c r="BC1634" s="4"/>
      <c r="BD1634" s="4"/>
      <c r="BE1634" s="5">
        <v>40080</v>
      </c>
      <c r="BF1634" s="5">
        <v>40070</v>
      </c>
      <c r="BG1634" s="5">
        <v>39994</v>
      </c>
      <c r="BH1634" s="5">
        <v>39973</v>
      </c>
      <c r="BI1634" s="5">
        <v>40039</v>
      </c>
      <c r="BJ1634" s="5">
        <v>40025</v>
      </c>
      <c r="BK1634" s="4">
        <v>2</v>
      </c>
      <c r="BL1634" s="4">
        <v>3</v>
      </c>
      <c r="BM1634" s="5">
        <v>40071</v>
      </c>
      <c r="BN1634" s="5">
        <v>40058</v>
      </c>
      <c r="BO1634" s="4"/>
      <c r="BP1634" s="4"/>
      <c r="BQ1634" s="4"/>
      <c r="BR1634" s="4"/>
      <c r="BS1634" s="4"/>
      <c r="BT1634" s="5">
        <v>40253</v>
      </c>
      <c r="BU1634" s="5">
        <v>40287</v>
      </c>
      <c r="BV1634" s="5">
        <v>40298</v>
      </c>
      <c r="BW1634" s="5">
        <v>40297</v>
      </c>
      <c r="BX1634" s="4"/>
      <c r="BY1634" s="5">
        <v>40305</v>
      </c>
      <c r="BZ1634" s="5">
        <v>40302</v>
      </c>
      <c r="CA1634" s="4"/>
      <c r="CB1634" s="4"/>
      <c r="CC1634" s="4"/>
      <c r="CD1634" s="4"/>
      <c r="CE1634" s="4"/>
      <c r="CF1634" s="4"/>
      <c r="CG1634" s="4"/>
      <c r="CH1634" s="4"/>
      <c r="CI1634" s="5">
        <v>40302</v>
      </c>
      <c r="CJ1634" s="5">
        <v>40305</v>
      </c>
      <c r="CK1634" s="5">
        <v>40302</v>
      </c>
      <c r="CL1634" s="4"/>
      <c r="CM1634" s="4"/>
      <c r="CN1634" s="4"/>
      <c r="CO1634" s="4"/>
      <c r="CP1634" s="4" t="s">
        <v>4926</v>
      </c>
      <c r="CQ1634" s="4"/>
      <c r="CR1634" s="5">
        <v>40305</v>
      </c>
      <c r="CS1634" s="4"/>
      <c r="CT1634" s="4"/>
      <c r="CU1634" s="4"/>
      <c r="CV1634" s="4"/>
      <c r="CW1634" s="4"/>
      <c r="CX1634" s="4"/>
      <c r="CY1634" s="4"/>
      <c r="CZ1634" s="4"/>
      <c r="DA1634" s="4"/>
      <c r="DB1634" s="4"/>
      <c r="DC1634" s="4"/>
      <c r="DD1634" s="4"/>
      <c r="DE1634" s="4"/>
      <c r="DF1634" s="4"/>
      <c r="DG1634" s="4"/>
      <c r="DH1634" s="4"/>
      <c r="DI1634" s="4"/>
      <c r="DJ1634" s="4" t="b">
        <v>0</v>
      </c>
      <c r="DK1634" s="4"/>
      <c r="DL1634" s="4">
        <v>2658672</v>
      </c>
      <c r="DM1634" s="4">
        <v>5985407</v>
      </c>
      <c r="DN1634" s="4" t="s">
        <v>4927</v>
      </c>
      <c r="DO1634" s="4"/>
      <c r="DP1634" s="4"/>
      <c r="DQ1634" s="4" t="s">
        <v>148</v>
      </c>
      <c r="DR1634" s="4"/>
      <c r="DS1634" s="4"/>
      <c r="DT1634" s="5">
        <v>42334</v>
      </c>
      <c r="DU1634" s="4"/>
      <c r="DV1634" s="4"/>
      <c r="DW1634" s="4"/>
      <c r="DX1634" s="4"/>
      <c r="DY1634" s="5">
        <v>40246</v>
      </c>
      <c r="DZ1634" s="5">
        <v>40287</v>
      </c>
      <c r="EA1634" s="4"/>
      <c r="EB1634" s="4"/>
      <c r="EC1634" s="4"/>
      <c r="ED1634" s="4"/>
      <c r="EE1634" s="4"/>
      <c r="EF1634" s="4"/>
      <c r="EG1634" s="4"/>
      <c r="EH1634" s="4"/>
      <c r="EI1634" s="5">
        <v>39939</v>
      </c>
    </row>
    <row r="1635" spans="1:139" hidden="1" x14ac:dyDescent="0.2">
      <c r="A1635">
        <f>VLOOKUP(B1635,Sheet1!$A$1:$B$18,2,FALSE)</f>
        <v>0</v>
      </c>
      <c r="B1635" t="str">
        <f>LEFT(D1635,3)</f>
        <v>WLG</v>
      </c>
      <c r="C1635" s="2">
        <v>1634</v>
      </c>
      <c r="D1635" s="3" t="str">
        <f>HYPERLINK("https://sitebase.nzcomms.co.nz/spm/spmnominalview/WLG-047-026/","WLG-047-026")</f>
        <v>WLG-047-026</v>
      </c>
      <c r="E1635" s="4"/>
      <c r="F1635" s="3" t="str">
        <f>HYPERLINK("https://sitebase.nzcomms.co.nz/spm/spmcandidateview/WLG-047-026-B/","WLG-047-026-B")</f>
        <v>WLG-047-026-B</v>
      </c>
      <c r="G1635" s="4" t="s">
        <v>4928</v>
      </c>
      <c r="H1635" s="4" t="s">
        <v>4871</v>
      </c>
      <c r="I1635" s="4"/>
      <c r="J1635" s="4" t="s">
        <v>139</v>
      </c>
      <c r="K1635" s="4" t="s">
        <v>141</v>
      </c>
      <c r="L1635" s="4" t="s">
        <v>142</v>
      </c>
      <c r="M1635" s="4" t="s">
        <v>160</v>
      </c>
      <c r="N1635" s="4" t="s">
        <v>142</v>
      </c>
      <c r="O1635" s="4" t="s">
        <v>168</v>
      </c>
      <c r="P1635" s="4"/>
      <c r="Q1635" s="4" t="s">
        <v>142</v>
      </c>
      <c r="R1635" s="4"/>
      <c r="S1635" s="4"/>
      <c r="T1635" s="4"/>
      <c r="U1635" s="4">
        <v>-41.334222130000001</v>
      </c>
      <c r="V1635" s="4">
        <v>174.77383796999999</v>
      </c>
      <c r="W1635" s="4"/>
      <c r="X1635" s="4"/>
      <c r="Y1635" s="4"/>
      <c r="Z1635" s="4"/>
      <c r="AA1635" s="4"/>
      <c r="AB1635" s="4"/>
      <c r="AC1635" s="4"/>
      <c r="AD1635" s="4"/>
      <c r="AE1635" s="4"/>
      <c r="AF1635" s="4"/>
      <c r="AG1635" s="4"/>
      <c r="AH1635" s="4"/>
      <c r="AI1635" s="5">
        <v>40045</v>
      </c>
      <c r="AJ1635" s="5">
        <v>40045</v>
      </c>
      <c r="AK1635" s="4"/>
      <c r="AL1635" s="4"/>
      <c r="AM1635" s="4"/>
      <c r="AN1635" s="5">
        <v>39511</v>
      </c>
      <c r="AO1635" s="4">
        <v>2</v>
      </c>
      <c r="AP1635" s="5">
        <v>40081</v>
      </c>
      <c r="AQ1635" s="5">
        <v>40080</v>
      </c>
      <c r="AR1635" s="4"/>
      <c r="AS1635" s="4"/>
      <c r="AT1635" s="5">
        <v>40225</v>
      </c>
      <c r="AU1635" s="5">
        <v>40284</v>
      </c>
      <c r="AV1635" s="4">
        <v>1</v>
      </c>
      <c r="AW1635" s="5">
        <v>40359</v>
      </c>
      <c r="AX1635" s="5">
        <v>40359</v>
      </c>
      <c r="AY1635" s="4"/>
      <c r="AZ1635" s="5">
        <v>40060</v>
      </c>
      <c r="BA1635" s="4"/>
      <c r="BB1635" s="5">
        <v>40100</v>
      </c>
      <c r="BC1635" s="4"/>
      <c r="BD1635" s="4"/>
      <c r="BE1635" s="5">
        <v>40100</v>
      </c>
      <c r="BF1635" s="5">
        <v>40093</v>
      </c>
      <c r="BG1635" s="5">
        <v>40346</v>
      </c>
      <c r="BH1635" s="5">
        <v>40071</v>
      </c>
      <c r="BI1635" s="4"/>
      <c r="BJ1635" s="5">
        <v>40113</v>
      </c>
      <c r="BK1635" s="4">
        <v>2</v>
      </c>
      <c r="BL1635" s="4">
        <v>2</v>
      </c>
      <c r="BM1635" s="5">
        <v>40110</v>
      </c>
      <c r="BN1635" s="5">
        <v>40058</v>
      </c>
      <c r="BO1635" s="4"/>
      <c r="BP1635" s="4"/>
      <c r="BQ1635" s="4"/>
      <c r="BR1635" s="4"/>
      <c r="BS1635" s="4"/>
      <c r="BT1635" s="5">
        <v>40396</v>
      </c>
      <c r="BU1635" s="5">
        <v>40396</v>
      </c>
      <c r="BV1635" s="5">
        <v>40424</v>
      </c>
      <c r="BW1635" s="5">
        <v>40419</v>
      </c>
      <c r="BX1635" s="4"/>
      <c r="BY1635" s="5">
        <v>40426</v>
      </c>
      <c r="BZ1635" s="5">
        <v>40427</v>
      </c>
      <c r="CA1635" s="4"/>
      <c r="CB1635" s="4"/>
      <c r="CC1635" s="4"/>
      <c r="CD1635" s="4"/>
      <c r="CE1635" s="4"/>
      <c r="CF1635" s="4"/>
      <c r="CG1635" s="4"/>
      <c r="CH1635" s="4"/>
      <c r="CI1635" s="5">
        <v>40429</v>
      </c>
      <c r="CJ1635" s="5">
        <v>40429</v>
      </c>
      <c r="CK1635" s="5">
        <v>40430</v>
      </c>
      <c r="CL1635" s="4"/>
      <c r="CM1635" s="4"/>
      <c r="CN1635" s="4"/>
      <c r="CO1635" s="4"/>
      <c r="CP1635" s="4" t="s">
        <v>4929</v>
      </c>
      <c r="CQ1635" s="4" t="s">
        <v>816</v>
      </c>
      <c r="CR1635" s="5">
        <v>40429</v>
      </c>
      <c r="CS1635" s="4"/>
      <c r="CT1635" s="4"/>
      <c r="CU1635" s="4"/>
      <c r="CV1635" s="4"/>
      <c r="CW1635" s="4"/>
      <c r="CX1635" s="4"/>
      <c r="CY1635" s="4"/>
      <c r="CZ1635" s="4"/>
      <c r="DA1635" s="4"/>
      <c r="DB1635" s="4"/>
      <c r="DC1635" s="4"/>
      <c r="DD1635" s="4"/>
      <c r="DE1635" s="4"/>
      <c r="DF1635" s="4"/>
      <c r="DG1635" s="4"/>
      <c r="DH1635" s="4"/>
      <c r="DI1635" s="4"/>
      <c r="DJ1635" s="4" t="b">
        <v>0</v>
      </c>
      <c r="DK1635" s="4"/>
      <c r="DL1635" s="4">
        <v>2658452</v>
      </c>
      <c r="DM1635" s="4">
        <v>5984334</v>
      </c>
      <c r="DN1635" s="4" t="s">
        <v>4930</v>
      </c>
      <c r="DO1635" s="4"/>
      <c r="DP1635" s="4"/>
      <c r="DQ1635" s="4" t="s">
        <v>148</v>
      </c>
      <c r="DR1635" s="4"/>
      <c r="DS1635" s="4"/>
      <c r="DT1635" s="5">
        <v>42335</v>
      </c>
      <c r="DU1635" s="4"/>
      <c r="DV1635" s="4"/>
      <c r="DW1635" s="4"/>
      <c r="DX1635" s="4"/>
      <c r="DY1635" s="5">
        <v>40359</v>
      </c>
      <c r="DZ1635" s="5">
        <v>40389</v>
      </c>
      <c r="EA1635" s="4"/>
      <c r="EB1635" s="4"/>
      <c r="EC1635" s="4"/>
      <c r="ED1635" s="4"/>
      <c r="EE1635" s="4"/>
      <c r="EF1635" s="4"/>
      <c r="EG1635" s="4"/>
      <c r="EH1635" s="4"/>
      <c r="EI1635" s="5">
        <v>39485</v>
      </c>
    </row>
    <row r="1636" spans="1:139" hidden="1" x14ac:dyDescent="0.2">
      <c r="A1636">
        <f>VLOOKUP(B1636,Sheet1!$A$1:$B$18,2,FALSE)</f>
        <v>0</v>
      </c>
      <c r="B1636" t="str">
        <f>LEFT(D1636,3)</f>
        <v>WLG</v>
      </c>
      <c r="C1636" s="2">
        <v>1635</v>
      </c>
      <c r="D1636" s="3" t="str">
        <f>HYPERLINK("https://sitebase.nzcomms.co.nz/spm/spmnominalview/WLG-047-027/","WLG-047-027")</f>
        <v>WLG-047-027</v>
      </c>
      <c r="E1636" s="4"/>
      <c r="F1636" s="3" t="str">
        <f>HYPERLINK("https://sitebase.nzcomms.co.nz/spm/spmcandidateview/WLG-047-027-C/","WLG-047-027-C")</f>
        <v>WLG-047-027-C</v>
      </c>
      <c r="G1636" s="4" t="s">
        <v>4931</v>
      </c>
      <c r="H1636" s="4" t="s">
        <v>4871</v>
      </c>
      <c r="I1636" s="4"/>
      <c r="J1636" s="4" t="s">
        <v>139</v>
      </c>
      <c r="K1636" s="4" t="s">
        <v>141</v>
      </c>
      <c r="L1636" s="4" t="s">
        <v>189</v>
      </c>
      <c r="M1636" s="4" t="s">
        <v>143</v>
      </c>
      <c r="N1636" s="4" t="s">
        <v>612</v>
      </c>
      <c r="O1636" s="4" t="s">
        <v>356</v>
      </c>
      <c r="P1636" s="4"/>
      <c r="Q1636" s="4"/>
      <c r="R1636" s="4">
        <v>11.2</v>
      </c>
      <c r="S1636" s="4">
        <v>11.2</v>
      </c>
      <c r="T1636" s="4"/>
      <c r="U1636" s="4">
        <v>-41.262499900000002</v>
      </c>
      <c r="V1636" s="4">
        <v>174.77698161999999</v>
      </c>
      <c r="W1636" s="4"/>
      <c r="X1636" s="4"/>
      <c r="Y1636" s="4"/>
      <c r="Z1636" s="4"/>
      <c r="AA1636" s="4" t="s">
        <v>152</v>
      </c>
      <c r="AB1636" s="3" t="str">
        <f>HYPERLINK("https://sitebase.nzcomms.co.nz/spm/spmcandidateview/WLG-047-071-A/","WLG-047-071-A")</f>
        <v>WLG-047-071-A</v>
      </c>
      <c r="AC1636" s="4"/>
      <c r="AD1636" s="4"/>
      <c r="AE1636" s="4"/>
      <c r="AF1636" s="4"/>
      <c r="AG1636" s="4"/>
      <c r="AH1636" s="4"/>
      <c r="AI1636" s="4"/>
      <c r="AJ1636" s="4"/>
      <c r="AK1636" s="4"/>
      <c r="AL1636" s="4"/>
      <c r="AM1636" s="4"/>
      <c r="AN1636" s="5">
        <v>39703</v>
      </c>
      <c r="AO1636" s="4">
        <v>2</v>
      </c>
      <c r="AP1636" s="4"/>
      <c r="AQ1636" s="5">
        <v>39889</v>
      </c>
      <c r="AR1636" s="4"/>
      <c r="AS1636" s="4"/>
      <c r="AT1636" s="5">
        <v>39859</v>
      </c>
      <c r="AU1636" s="5">
        <v>39786</v>
      </c>
      <c r="AV1636" s="4">
        <v>1</v>
      </c>
      <c r="AW1636" s="5">
        <v>39902</v>
      </c>
      <c r="AX1636" s="5">
        <v>39892</v>
      </c>
      <c r="AY1636" s="4"/>
      <c r="AZ1636" s="4"/>
      <c r="BA1636" s="4"/>
      <c r="BB1636" s="5">
        <v>39835</v>
      </c>
      <c r="BC1636" s="4"/>
      <c r="BD1636" s="4"/>
      <c r="BE1636" s="5">
        <v>39835</v>
      </c>
      <c r="BF1636" s="5">
        <v>39835</v>
      </c>
      <c r="BG1636" s="4"/>
      <c r="BH1636" s="5">
        <v>39728</v>
      </c>
      <c r="BI1636" s="4"/>
      <c r="BJ1636" s="5">
        <v>39766</v>
      </c>
      <c r="BK1636" s="4">
        <v>2</v>
      </c>
      <c r="BL1636" s="4">
        <v>2</v>
      </c>
      <c r="BM1636" s="5">
        <v>39939</v>
      </c>
      <c r="BN1636" s="5">
        <v>39933</v>
      </c>
      <c r="BO1636" s="4"/>
      <c r="BP1636" s="4"/>
      <c r="BQ1636" s="4"/>
      <c r="BR1636" s="4"/>
      <c r="BS1636" s="4"/>
      <c r="BT1636" s="5">
        <v>39955</v>
      </c>
      <c r="BU1636" s="5">
        <v>39951</v>
      </c>
      <c r="BV1636" s="5">
        <v>39969</v>
      </c>
      <c r="BW1636" s="5">
        <v>39961</v>
      </c>
      <c r="BX1636" s="4"/>
      <c r="BY1636" s="5">
        <v>39976</v>
      </c>
      <c r="BZ1636" s="5">
        <v>39965</v>
      </c>
      <c r="CA1636" s="4"/>
      <c r="CB1636" s="4"/>
      <c r="CC1636" s="4"/>
      <c r="CD1636" s="4"/>
      <c r="CE1636" s="4"/>
      <c r="CF1636" s="4"/>
      <c r="CG1636" s="4"/>
      <c r="CH1636" s="4"/>
      <c r="CI1636" s="5">
        <v>39975</v>
      </c>
      <c r="CJ1636" s="5">
        <v>39976</v>
      </c>
      <c r="CK1636" s="5">
        <v>39975</v>
      </c>
      <c r="CL1636" s="4"/>
      <c r="CM1636" s="4"/>
      <c r="CN1636" s="4"/>
      <c r="CO1636" s="4"/>
      <c r="CP1636" s="4" t="s">
        <v>4932</v>
      </c>
      <c r="CQ1636" s="4"/>
      <c r="CR1636" s="5">
        <v>39976</v>
      </c>
      <c r="CS1636" s="4"/>
      <c r="CT1636" s="4"/>
      <c r="CU1636" s="4"/>
      <c r="CV1636" s="4"/>
      <c r="CW1636" s="5">
        <v>39925</v>
      </c>
      <c r="CX1636" s="4"/>
      <c r="CY1636" s="4"/>
      <c r="CZ1636" s="4"/>
      <c r="DA1636" s="4"/>
      <c r="DB1636" s="4"/>
      <c r="DC1636" s="4"/>
      <c r="DD1636" s="4"/>
      <c r="DE1636" s="4"/>
      <c r="DF1636" s="4"/>
      <c r="DG1636" s="4"/>
      <c r="DH1636" s="4"/>
      <c r="DI1636" s="4"/>
      <c r="DJ1636" s="4" t="b">
        <v>0</v>
      </c>
      <c r="DK1636" s="4"/>
      <c r="DL1636" s="4">
        <v>2658877</v>
      </c>
      <c r="DM1636" s="4">
        <v>5992292</v>
      </c>
      <c r="DN1636" s="4" t="s">
        <v>4933</v>
      </c>
      <c r="DO1636" s="4"/>
      <c r="DP1636" s="4"/>
      <c r="DQ1636" s="4" t="s">
        <v>148</v>
      </c>
      <c r="DR1636" s="4"/>
      <c r="DS1636" s="4"/>
      <c r="DT1636" s="4"/>
      <c r="DU1636" s="4"/>
      <c r="DV1636" s="4"/>
      <c r="DW1636" s="4"/>
      <c r="DX1636" s="4"/>
      <c r="DY1636" s="5">
        <v>39930</v>
      </c>
      <c r="DZ1636" s="5">
        <v>39946</v>
      </c>
      <c r="EA1636" s="4"/>
      <c r="EB1636" s="4"/>
      <c r="EC1636" s="4"/>
      <c r="ED1636" s="4"/>
      <c r="EE1636" s="4"/>
      <c r="EF1636" s="4"/>
      <c r="EG1636" s="4"/>
      <c r="EH1636" s="4"/>
      <c r="EI1636" s="5">
        <v>39657</v>
      </c>
    </row>
    <row r="1637" spans="1:139" hidden="1" x14ac:dyDescent="0.2">
      <c r="A1637">
        <f>VLOOKUP(B1637,Sheet1!$A$1:$B$18,2,FALSE)</f>
        <v>0</v>
      </c>
      <c r="B1637" t="str">
        <f>LEFT(D1637,3)</f>
        <v>WLG</v>
      </c>
      <c r="C1637" s="2">
        <v>1636</v>
      </c>
      <c r="D1637" s="3" t="str">
        <f>HYPERLINK("https://sitebase.nzcomms.co.nz/spm/spmnominalview/WLG-047-028/","WLG-047-028")</f>
        <v>WLG-047-028</v>
      </c>
      <c r="E1637" s="4"/>
      <c r="F1637" s="3" t="str">
        <f>HYPERLINK("https://sitebase.nzcomms.co.nz/spm/spmcandidateview/WLG-047-028-H/","WLG-047-028-H")</f>
        <v>WLG-047-028-H</v>
      </c>
      <c r="G1637" s="4" t="s">
        <v>4934</v>
      </c>
      <c r="H1637" s="4" t="s">
        <v>4871</v>
      </c>
      <c r="I1637" s="4"/>
      <c r="J1637" s="4" t="s">
        <v>139</v>
      </c>
      <c r="K1637" s="4" t="s">
        <v>141</v>
      </c>
      <c r="L1637" s="4" t="s">
        <v>150</v>
      </c>
      <c r="M1637" s="4" t="s">
        <v>354</v>
      </c>
      <c r="N1637" s="4" t="s">
        <v>291</v>
      </c>
      <c r="O1637" s="4" t="s">
        <v>144</v>
      </c>
      <c r="P1637" s="4"/>
      <c r="Q1637" s="4"/>
      <c r="R1637" s="4">
        <v>16.8</v>
      </c>
      <c r="S1637" s="4">
        <v>16.8</v>
      </c>
      <c r="T1637" s="4"/>
      <c r="U1637" s="4">
        <v>-41.304912770000001</v>
      </c>
      <c r="V1637" s="4">
        <v>174.79329351999999</v>
      </c>
      <c r="W1637" s="4"/>
      <c r="X1637" s="4"/>
      <c r="Y1637" s="4"/>
      <c r="Z1637" s="4"/>
      <c r="AA1637" s="4"/>
      <c r="AB1637" s="4"/>
      <c r="AC1637" s="4"/>
      <c r="AD1637" s="4"/>
      <c r="AE1637" s="4"/>
      <c r="AF1637" s="4"/>
      <c r="AG1637" s="4"/>
      <c r="AH1637" s="4"/>
      <c r="AI1637" s="4"/>
      <c r="AJ1637" s="5">
        <v>39974</v>
      </c>
      <c r="AK1637" s="4"/>
      <c r="AL1637" s="4"/>
      <c r="AM1637" s="5">
        <v>39975</v>
      </c>
      <c r="AN1637" s="5">
        <v>39975</v>
      </c>
      <c r="AO1637" s="4">
        <v>2</v>
      </c>
      <c r="AP1637" s="5">
        <v>39975</v>
      </c>
      <c r="AQ1637" s="5">
        <v>39982</v>
      </c>
      <c r="AR1637" s="4"/>
      <c r="AS1637" s="4"/>
      <c r="AT1637" s="5">
        <v>39982</v>
      </c>
      <c r="AU1637" s="5">
        <v>39990</v>
      </c>
      <c r="AV1637" s="4">
        <v>2</v>
      </c>
      <c r="AW1637" s="5">
        <v>39989</v>
      </c>
      <c r="AX1637" s="5">
        <v>39990</v>
      </c>
      <c r="AY1637" s="4"/>
      <c r="AZ1637" s="5">
        <v>39975</v>
      </c>
      <c r="BA1637" s="4"/>
      <c r="BB1637" s="5">
        <v>40005</v>
      </c>
      <c r="BC1637" s="4"/>
      <c r="BD1637" s="4"/>
      <c r="BE1637" s="5">
        <v>40005</v>
      </c>
      <c r="BF1637" s="5">
        <v>39990</v>
      </c>
      <c r="BG1637" s="5">
        <v>39973</v>
      </c>
      <c r="BH1637" s="5">
        <v>39973</v>
      </c>
      <c r="BI1637" s="5">
        <v>39994</v>
      </c>
      <c r="BJ1637" s="5">
        <v>39993</v>
      </c>
      <c r="BK1637" s="4">
        <v>1</v>
      </c>
      <c r="BL1637" s="4">
        <v>1</v>
      </c>
      <c r="BM1637" s="5">
        <v>39994</v>
      </c>
      <c r="BN1637" s="5">
        <v>39993</v>
      </c>
      <c r="BO1637" s="4"/>
      <c r="BP1637" s="4"/>
      <c r="BQ1637" s="4"/>
      <c r="BR1637" s="4"/>
      <c r="BS1637" s="4"/>
      <c r="BT1637" s="5">
        <v>40002</v>
      </c>
      <c r="BU1637" s="5">
        <v>39997</v>
      </c>
      <c r="BV1637" s="5">
        <v>40025</v>
      </c>
      <c r="BW1637" s="5">
        <v>40016</v>
      </c>
      <c r="BX1637" s="4"/>
      <c r="BY1637" s="5">
        <v>40028</v>
      </c>
      <c r="BZ1637" s="5">
        <v>40022</v>
      </c>
      <c r="CA1637" s="4"/>
      <c r="CB1637" s="4"/>
      <c r="CC1637" s="4"/>
      <c r="CD1637" s="4"/>
      <c r="CE1637" s="4"/>
      <c r="CF1637" s="4"/>
      <c r="CG1637" s="4"/>
      <c r="CH1637" s="4"/>
      <c r="CI1637" s="5">
        <v>40022</v>
      </c>
      <c r="CJ1637" s="5">
        <v>40032</v>
      </c>
      <c r="CK1637" s="5">
        <v>40022</v>
      </c>
      <c r="CL1637" s="4"/>
      <c r="CM1637" s="4"/>
      <c r="CN1637" s="4"/>
      <c r="CO1637" s="4"/>
      <c r="CP1637" s="4" t="s">
        <v>4935</v>
      </c>
      <c r="CQ1637" s="4"/>
      <c r="CR1637" s="5">
        <v>40031</v>
      </c>
      <c r="CS1637" s="4"/>
      <c r="CT1637" s="4"/>
      <c r="CU1637" s="4"/>
      <c r="CV1637" s="4"/>
      <c r="CW1637" s="4"/>
      <c r="CX1637" s="4"/>
      <c r="CY1637" s="4"/>
      <c r="CZ1637" s="4"/>
      <c r="DA1637" s="4"/>
      <c r="DB1637" s="4"/>
      <c r="DC1637" s="4"/>
      <c r="DD1637" s="4"/>
      <c r="DE1637" s="4"/>
      <c r="DF1637" s="4"/>
      <c r="DG1637" s="4"/>
      <c r="DH1637" s="4"/>
      <c r="DI1637" s="4"/>
      <c r="DJ1637" s="4" t="b">
        <v>0</v>
      </c>
      <c r="DK1637" s="4"/>
      <c r="DL1637" s="4">
        <v>2660147</v>
      </c>
      <c r="DM1637" s="4">
        <v>5987555</v>
      </c>
      <c r="DN1637" s="4" t="s">
        <v>4936</v>
      </c>
      <c r="DO1637" s="4"/>
      <c r="DP1637" s="4"/>
      <c r="DQ1637" s="4" t="s">
        <v>148</v>
      </c>
      <c r="DR1637" s="4"/>
      <c r="DS1637" s="4"/>
      <c r="DT1637" s="5">
        <v>41883</v>
      </c>
      <c r="DU1637" s="4"/>
      <c r="DV1637" s="4"/>
      <c r="DW1637" s="4"/>
      <c r="DX1637" s="4"/>
      <c r="DY1637" s="5">
        <v>40009</v>
      </c>
      <c r="DZ1637" s="5">
        <v>39995</v>
      </c>
      <c r="EA1637" s="4"/>
      <c r="EB1637" s="4"/>
      <c r="EC1637" s="4"/>
      <c r="ED1637" s="4"/>
      <c r="EE1637" s="4"/>
      <c r="EF1637" s="4"/>
      <c r="EG1637" s="4"/>
      <c r="EH1637" s="4"/>
      <c r="EI1637" s="5">
        <v>39973</v>
      </c>
    </row>
    <row r="1638" spans="1:139" hidden="1" x14ac:dyDescent="0.2">
      <c r="A1638">
        <f>VLOOKUP(B1638,Sheet1!$A$1:$B$18,2,FALSE)</f>
        <v>0</v>
      </c>
      <c r="B1638" t="str">
        <f>LEFT(D1638,3)</f>
        <v>WLG</v>
      </c>
      <c r="C1638" s="2">
        <v>1637</v>
      </c>
      <c r="D1638" s="3" t="str">
        <f>HYPERLINK("https://sitebase.nzcomms.co.nz/spm/spmnominalview/WLG-047-029/","WLG-047-029")</f>
        <v>WLG-047-029</v>
      </c>
      <c r="E1638" s="4"/>
      <c r="F1638" s="3" t="str">
        <f>HYPERLINK("https://sitebase.nzcomms.co.nz/spm/spmcandidateview/WLG-047-029-D/","WLG-047-029-D")</f>
        <v>WLG-047-029-D</v>
      </c>
      <c r="G1638" s="4" t="s">
        <v>4937</v>
      </c>
      <c r="H1638" s="4" t="s">
        <v>4871</v>
      </c>
      <c r="I1638" s="4"/>
      <c r="J1638" s="4" t="s">
        <v>139</v>
      </c>
      <c r="K1638" s="4" t="s">
        <v>141</v>
      </c>
      <c r="L1638" s="4" t="s">
        <v>150</v>
      </c>
      <c r="M1638" s="4" t="s">
        <v>354</v>
      </c>
      <c r="N1638" s="4" t="s">
        <v>291</v>
      </c>
      <c r="O1638" s="4" t="s">
        <v>144</v>
      </c>
      <c r="P1638" s="4"/>
      <c r="Q1638" s="4"/>
      <c r="R1638" s="4">
        <v>13.8</v>
      </c>
      <c r="S1638" s="4">
        <v>13.8</v>
      </c>
      <c r="T1638" s="4"/>
      <c r="U1638" s="4">
        <v>-41.320430229999999</v>
      </c>
      <c r="V1638" s="4">
        <v>174.79450438999999</v>
      </c>
      <c r="W1638" s="4"/>
      <c r="X1638" s="4"/>
      <c r="Y1638" s="4"/>
      <c r="Z1638" s="4"/>
      <c r="AA1638" s="4" t="s">
        <v>217</v>
      </c>
      <c r="AB1638" s="4" t="s">
        <v>4938</v>
      </c>
      <c r="AC1638" s="4"/>
      <c r="AD1638" s="4"/>
      <c r="AE1638" s="4"/>
      <c r="AF1638" s="4"/>
      <c r="AG1638" s="4"/>
      <c r="AH1638" s="4" t="s">
        <v>4939</v>
      </c>
      <c r="AI1638" s="4"/>
      <c r="AJ1638" s="4"/>
      <c r="AK1638" s="4"/>
      <c r="AL1638" s="4"/>
      <c r="AM1638" s="4"/>
      <c r="AN1638" s="5">
        <v>39651</v>
      </c>
      <c r="AO1638" s="4">
        <v>3</v>
      </c>
      <c r="AP1638" s="4"/>
      <c r="AQ1638" s="5">
        <v>42250</v>
      </c>
      <c r="AR1638" s="4"/>
      <c r="AS1638" s="4"/>
      <c r="AT1638" s="5">
        <v>39691</v>
      </c>
      <c r="AU1638" s="5">
        <v>39679</v>
      </c>
      <c r="AV1638" s="4">
        <v>1</v>
      </c>
      <c r="AW1638" s="5">
        <v>39691</v>
      </c>
      <c r="AX1638" s="5">
        <v>39679</v>
      </c>
      <c r="AY1638" s="4"/>
      <c r="AZ1638" s="4"/>
      <c r="BA1638" s="4"/>
      <c r="BB1638" s="5">
        <v>39758</v>
      </c>
      <c r="BC1638" s="4"/>
      <c r="BD1638" s="4"/>
      <c r="BE1638" s="5">
        <v>39758</v>
      </c>
      <c r="BF1638" s="5">
        <v>39758</v>
      </c>
      <c r="BG1638" s="4"/>
      <c r="BH1638" s="5">
        <v>39687</v>
      </c>
      <c r="BI1638" s="4"/>
      <c r="BJ1638" s="5">
        <v>39780</v>
      </c>
      <c r="BK1638" s="4">
        <v>1</v>
      </c>
      <c r="BL1638" s="4">
        <v>2</v>
      </c>
      <c r="BM1638" s="5">
        <v>39780</v>
      </c>
      <c r="BN1638" s="5">
        <v>39780</v>
      </c>
      <c r="BO1638" s="5">
        <v>39846</v>
      </c>
      <c r="BP1638" s="4"/>
      <c r="BQ1638" s="4"/>
      <c r="BR1638" s="4"/>
      <c r="BS1638" s="4"/>
      <c r="BT1638" s="4"/>
      <c r="BU1638" s="5">
        <v>39826</v>
      </c>
      <c r="BV1638" s="5">
        <v>39872</v>
      </c>
      <c r="BW1638" s="5">
        <v>39869</v>
      </c>
      <c r="BX1638" s="4"/>
      <c r="BY1638" s="5">
        <v>39875</v>
      </c>
      <c r="BZ1638" s="5">
        <v>39876</v>
      </c>
      <c r="CA1638" s="4"/>
      <c r="CB1638" s="4"/>
      <c r="CC1638" s="4"/>
      <c r="CD1638" s="4"/>
      <c r="CE1638" s="4"/>
      <c r="CF1638" s="4"/>
      <c r="CG1638" s="4"/>
      <c r="CH1638" s="4"/>
      <c r="CI1638" s="5">
        <v>39892</v>
      </c>
      <c r="CJ1638" s="5">
        <v>39895</v>
      </c>
      <c r="CK1638" s="5">
        <v>39892</v>
      </c>
      <c r="CL1638" s="4"/>
      <c r="CM1638" s="4"/>
      <c r="CN1638" s="4"/>
      <c r="CO1638" s="4"/>
      <c r="CP1638" s="4" t="s">
        <v>4940</v>
      </c>
      <c r="CQ1638" s="4"/>
      <c r="CR1638" s="5">
        <v>39895</v>
      </c>
      <c r="CS1638" s="4"/>
      <c r="CT1638" s="4"/>
      <c r="CU1638" s="4"/>
      <c r="CV1638" s="4"/>
      <c r="CW1638" s="5">
        <v>39841</v>
      </c>
      <c r="CX1638" s="5">
        <v>39846</v>
      </c>
      <c r="CY1638" s="4"/>
      <c r="CZ1638" s="4"/>
      <c r="DA1638" s="4"/>
      <c r="DB1638" s="4"/>
      <c r="DC1638" s="4"/>
      <c r="DD1638" s="4"/>
      <c r="DE1638" s="4"/>
      <c r="DF1638" s="4"/>
      <c r="DG1638" s="4"/>
      <c r="DH1638" s="4"/>
      <c r="DI1638" s="4"/>
      <c r="DJ1638" s="4" t="b">
        <v>0</v>
      </c>
      <c r="DK1638" s="4"/>
      <c r="DL1638" s="4">
        <v>2660213</v>
      </c>
      <c r="DM1638" s="4">
        <v>5985828</v>
      </c>
      <c r="DN1638" s="4" t="s">
        <v>4941</v>
      </c>
      <c r="DO1638" s="4"/>
      <c r="DP1638" s="4"/>
      <c r="DQ1638" s="4" t="s">
        <v>148</v>
      </c>
      <c r="DR1638" s="4"/>
      <c r="DS1638" s="4"/>
      <c r="DT1638" s="5">
        <v>41883</v>
      </c>
      <c r="DU1638" s="4"/>
      <c r="DV1638" s="4"/>
      <c r="DW1638" s="4"/>
      <c r="DX1638" s="4"/>
      <c r="DY1638" s="4"/>
      <c r="DZ1638" s="5">
        <v>39790</v>
      </c>
      <c r="EA1638" s="4"/>
      <c r="EB1638" s="4"/>
      <c r="EC1638" s="4"/>
      <c r="ED1638" s="4"/>
      <c r="EE1638" s="4"/>
      <c r="EF1638" s="4"/>
      <c r="EG1638" s="4"/>
      <c r="EH1638" s="4"/>
      <c r="EI1638" s="5">
        <v>39611</v>
      </c>
    </row>
    <row r="1639" spans="1:139" hidden="1" x14ac:dyDescent="0.2">
      <c r="A1639">
        <f>VLOOKUP(B1639,Sheet1!$A$1:$B$18,2,FALSE)</f>
        <v>0</v>
      </c>
      <c r="B1639" t="str">
        <f>LEFT(D1639,3)</f>
        <v>WLG</v>
      </c>
      <c r="C1639" s="2">
        <v>1638</v>
      </c>
      <c r="D1639" s="3" t="str">
        <f>HYPERLINK("https://sitebase.nzcomms.co.nz/spm/spmnominalview/WLG-047-030/","WLG-047-030")</f>
        <v>WLG-047-030</v>
      </c>
      <c r="E1639" s="4"/>
      <c r="F1639" s="3" t="str">
        <f>HYPERLINK("https://sitebase.nzcomms.co.nz/spm/spmcandidateview/WLG-047-030-D/","WLG-047-030-D")</f>
        <v>WLG-047-030-D</v>
      </c>
      <c r="G1639" s="4" t="s">
        <v>4942</v>
      </c>
      <c r="H1639" s="4" t="s">
        <v>4871</v>
      </c>
      <c r="I1639" s="4"/>
      <c r="J1639" s="4" t="s">
        <v>139</v>
      </c>
      <c r="K1639" s="4" t="s">
        <v>141</v>
      </c>
      <c r="L1639" s="4" t="s">
        <v>150</v>
      </c>
      <c r="M1639" s="4" t="s">
        <v>354</v>
      </c>
      <c r="N1639" s="4" t="s">
        <v>291</v>
      </c>
      <c r="O1639" s="4" t="s">
        <v>144</v>
      </c>
      <c r="P1639" s="4"/>
      <c r="Q1639" s="4"/>
      <c r="R1639" s="4">
        <v>18.8</v>
      </c>
      <c r="S1639" s="4">
        <v>18.8</v>
      </c>
      <c r="T1639" s="4"/>
      <c r="U1639" s="4">
        <v>-41.329241160000002</v>
      </c>
      <c r="V1639" s="4">
        <v>174.81341947000001</v>
      </c>
      <c r="W1639" s="4"/>
      <c r="X1639" s="4"/>
      <c r="Y1639" s="4"/>
      <c r="Z1639" s="4"/>
      <c r="AA1639" s="4" t="s">
        <v>217</v>
      </c>
      <c r="AB1639" s="4" t="s">
        <v>4938</v>
      </c>
      <c r="AC1639" s="4"/>
      <c r="AD1639" s="4"/>
      <c r="AE1639" s="4"/>
      <c r="AF1639" s="4"/>
      <c r="AG1639" s="4"/>
      <c r="AH1639" s="4" t="s">
        <v>4943</v>
      </c>
      <c r="AI1639" s="4"/>
      <c r="AJ1639" s="4"/>
      <c r="AK1639" s="4"/>
      <c r="AL1639" s="4"/>
      <c r="AM1639" s="4"/>
      <c r="AN1639" s="5">
        <v>39505</v>
      </c>
      <c r="AO1639" s="4">
        <v>2</v>
      </c>
      <c r="AP1639" s="4"/>
      <c r="AQ1639" s="5">
        <v>39714</v>
      </c>
      <c r="AR1639" s="4"/>
      <c r="AS1639" s="4"/>
      <c r="AT1639" s="5">
        <v>39519</v>
      </c>
      <c r="AU1639" s="5">
        <v>39519</v>
      </c>
      <c r="AV1639" s="4">
        <v>2</v>
      </c>
      <c r="AW1639" s="5">
        <v>39519</v>
      </c>
      <c r="AX1639" s="5">
        <v>39519</v>
      </c>
      <c r="AY1639" s="4"/>
      <c r="AZ1639" s="4"/>
      <c r="BA1639" s="4"/>
      <c r="BB1639" s="5">
        <v>39604</v>
      </c>
      <c r="BC1639" s="4"/>
      <c r="BD1639" s="4"/>
      <c r="BE1639" s="5">
        <v>39731</v>
      </c>
      <c r="BF1639" s="5">
        <v>39731</v>
      </c>
      <c r="BG1639" s="4"/>
      <c r="BH1639" s="5">
        <v>39546</v>
      </c>
      <c r="BI1639" s="4"/>
      <c r="BJ1639" s="5">
        <v>39584</v>
      </c>
      <c r="BK1639" s="4">
        <v>1</v>
      </c>
      <c r="BL1639" s="4">
        <v>2</v>
      </c>
      <c r="BM1639" s="5">
        <v>39584</v>
      </c>
      <c r="BN1639" s="5">
        <v>39584</v>
      </c>
      <c r="BO1639" s="4"/>
      <c r="BP1639" s="4"/>
      <c r="BQ1639" s="4"/>
      <c r="BR1639" s="4"/>
      <c r="BS1639" s="4"/>
      <c r="BT1639" s="4"/>
      <c r="BU1639" s="5">
        <v>39612</v>
      </c>
      <c r="BV1639" s="5">
        <v>39633</v>
      </c>
      <c r="BW1639" s="5">
        <v>39626</v>
      </c>
      <c r="BX1639" s="4"/>
      <c r="BY1639" s="4"/>
      <c r="BZ1639" s="5">
        <v>39633</v>
      </c>
      <c r="CA1639" s="4"/>
      <c r="CB1639" s="4"/>
      <c r="CC1639" s="4"/>
      <c r="CD1639" s="4"/>
      <c r="CE1639" s="4"/>
      <c r="CF1639" s="4"/>
      <c r="CG1639" s="4"/>
      <c r="CH1639" s="4"/>
      <c r="CI1639" s="5">
        <v>39715</v>
      </c>
      <c r="CJ1639" s="4"/>
      <c r="CK1639" s="5">
        <v>39715</v>
      </c>
      <c r="CL1639" s="4"/>
      <c r="CM1639" s="4"/>
      <c r="CN1639" s="4"/>
      <c r="CO1639" s="4"/>
      <c r="CP1639" s="4" t="s">
        <v>405</v>
      </c>
      <c r="CQ1639" s="4"/>
      <c r="CR1639" s="4"/>
      <c r="CS1639" s="4"/>
      <c r="CT1639" s="4"/>
      <c r="CU1639" s="4"/>
      <c r="CV1639" s="4"/>
      <c r="CW1639" s="4"/>
      <c r="CX1639" s="4"/>
      <c r="CY1639" s="4"/>
      <c r="CZ1639" s="4"/>
      <c r="DA1639" s="4"/>
      <c r="DB1639" s="4"/>
      <c r="DC1639" s="4"/>
      <c r="DD1639" s="4"/>
      <c r="DE1639" s="4"/>
      <c r="DF1639" s="4"/>
      <c r="DG1639" s="4"/>
      <c r="DH1639" s="4"/>
      <c r="DI1639" s="4"/>
      <c r="DJ1639" s="4" t="b">
        <v>0</v>
      </c>
      <c r="DK1639" s="4"/>
      <c r="DL1639" s="4">
        <v>2661776</v>
      </c>
      <c r="DM1639" s="4">
        <v>5984819</v>
      </c>
      <c r="DN1639" s="4" t="s">
        <v>4944</v>
      </c>
      <c r="DO1639" s="4"/>
      <c r="DP1639" s="4"/>
      <c r="DQ1639" s="4" t="s">
        <v>148</v>
      </c>
      <c r="DR1639" s="4"/>
      <c r="DS1639" s="4"/>
      <c r="DT1639" s="5">
        <v>41883</v>
      </c>
      <c r="DU1639" s="4"/>
      <c r="DV1639" s="4"/>
      <c r="DW1639" s="4"/>
      <c r="DX1639" s="4"/>
      <c r="DY1639" s="4"/>
      <c r="DZ1639" s="5">
        <v>39605</v>
      </c>
      <c r="EA1639" s="4"/>
      <c r="EB1639" s="4"/>
      <c r="EC1639" s="4"/>
      <c r="ED1639" s="4"/>
      <c r="EE1639" s="4"/>
      <c r="EF1639" s="4"/>
      <c r="EG1639" s="4"/>
      <c r="EH1639" s="4"/>
      <c r="EI1639" s="5">
        <v>39486</v>
      </c>
    </row>
    <row r="1640" spans="1:139" hidden="1" x14ac:dyDescent="0.2">
      <c r="A1640">
        <f>VLOOKUP(B1640,Sheet1!$A$1:$B$18,2,FALSE)</f>
        <v>0</v>
      </c>
      <c r="B1640" t="str">
        <f>LEFT(D1640,3)</f>
        <v>WLG</v>
      </c>
      <c r="C1640" s="2">
        <v>1639</v>
      </c>
      <c r="D1640" s="3" t="str">
        <f>HYPERLINK("https://sitebase.nzcomms.co.nz/spm/spmnominalview/WLG-047-031/","WLG-047-031")</f>
        <v>WLG-047-031</v>
      </c>
      <c r="E1640" s="4" t="s">
        <v>4945</v>
      </c>
      <c r="F1640" s="3" t="str">
        <f>HYPERLINK("https://sitebase.nzcomms.co.nz/spm/spmcandidateview/WLG-047-031-J/","WLG-047-031-J")</f>
        <v>WLG-047-031-J</v>
      </c>
      <c r="G1640" s="4" t="s">
        <v>4946</v>
      </c>
      <c r="H1640" s="4" t="s">
        <v>4871</v>
      </c>
      <c r="I1640" s="4">
        <v>7</v>
      </c>
      <c r="J1640" s="4" t="s">
        <v>194</v>
      </c>
      <c r="K1640" s="4" t="s">
        <v>141</v>
      </c>
      <c r="L1640" s="4" t="s">
        <v>189</v>
      </c>
      <c r="M1640" s="4" t="s">
        <v>190</v>
      </c>
      <c r="N1640" s="4" t="s">
        <v>274</v>
      </c>
      <c r="O1640" s="4" t="s">
        <v>356</v>
      </c>
      <c r="P1640" s="4" t="s">
        <v>182</v>
      </c>
      <c r="Q1640" s="4" t="s">
        <v>192</v>
      </c>
      <c r="R1640" s="4">
        <v>14.75</v>
      </c>
      <c r="S1640" s="4">
        <v>15.25</v>
      </c>
      <c r="T1640" s="4">
        <v>1</v>
      </c>
      <c r="U1640" s="4">
        <v>-41.32489099</v>
      </c>
      <c r="V1640" s="4">
        <v>174.83344310000001</v>
      </c>
      <c r="W1640" s="4"/>
      <c r="X1640" s="4"/>
      <c r="Y1640" s="4"/>
      <c r="Z1640" s="4"/>
      <c r="AA1640" s="4" t="s">
        <v>152</v>
      </c>
      <c r="AB1640" s="3" t="str">
        <f>HYPERLINK("https://sitebase.nzcomms.co.nz/spm/spmcandidateview/WLG-047-071-A/","WLG-047-071-A")</f>
        <v>WLG-047-071-A</v>
      </c>
      <c r="AC1640" s="4" t="b">
        <v>0</v>
      </c>
      <c r="AD1640" s="4" t="b">
        <v>0</v>
      </c>
      <c r="AE1640" s="4"/>
      <c r="AF1640" s="4"/>
      <c r="AG1640" s="4" t="b">
        <v>0</v>
      </c>
      <c r="AH1640" s="4"/>
      <c r="AI1640" s="4"/>
      <c r="AJ1640" s="5">
        <v>40179</v>
      </c>
      <c r="AK1640" s="5">
        <v>40401</v>
      </c>
      <c r="AL1640" s="5">
        <v>40401</v>
      </c>
      <c r="AM1640" s="5">
        <v>40405</v>
      </c>
      <c r="AN1640" s="5">
        <v>40405</v>
      </c>
      <c r="AO1640" s="4">
        <v>2</v>
      </c>
      <c r="AP1640" s="5">
        <v>40490</v>
      </c>
      <c r="AQ1640" s="5">
        <v>40490</v>
      </c>
      <c r="AR1640" s="4"/>
      <c r="AS1640" s="5">
        <v>40614</v>
      </c>
      <c r="AT1640" s="5">
        <v>40396</v>
      </c>
      <c r="AU1640" s="5">
        <v>40614</v>
      </c>
      <c r="AV1640" s="4"/>
      <c r="AW1640" s="5">
        <v>40417</v>
      </c>
      <c r="AX1640" s="5">
        <v>41085</v>
      </c>
      <c r="AY1640" s="4" t="s">
        <v>172</v>
      </c>
      <c r="AZ1640" s="5">
        <v>40490</v>
      </c>
      <c r="BA1640" s="5">
        <v>40490</v>
      </c>
      <c r="BB1640" s="5">
        <v>40430</v>
      </c>
      <c r="BC1640" s="5">
        <v>40520</v>
      </c>
      <c r="BD1640" s="4">
        <v>2</v>
      </c>
      <c r="BE1640" s="5">
        <v>40434</v>
      </c>
      <c r="BF1640" s="5">
        <v>40520</v>
      </c>
      <c r="BG1640" s="4"/>
      <c r="BH1640" s="4"/>
      <c r="BI1640" s="5">
        <v>40625</v>
      </c>
      <c r="BJ1640" s="5">
        <v>40654</v>
      </c>
      <c r="BK1640" s="4">
        <v>1</v>
      </c>
      <c r="BL1640" s="4"/>
      <c r="BM1640" s="4"/>
      <c r="BN1640" s="5">
        <v>40654</v>
      </c>
      <c r="BO1640" s="5">
        <v>40672</v>
      </c>
      <c r="BP1640" s="4"/>
      <c r="BQ1640" s="4"/>
      <c r="BR1640" s="4"/>
      <c r="BS1640" s="4"/>
      <c r="BT1640" s="5">
        <v>40676</v>
      </c>
      <c r="BU1640" s="5">
        <v>40669</v>
      </c>
      <c r="BV1640" s="5">
        <v>40679</v>
      </c>
      <c r="BW1640" s="5">
        <v>40688</v>
      </c>
      <c r="BX1640" s="5">
        <v>40731</v>
      </c>
      <c r="BY1640" s="5">
        <v>40746</v>
      </c>
      <c r="BZ1640" s="5">
        <v>40742</v>
      </c>
      <c r="CA1640" s="4"/>
      <c r="CB1640" s="4"/>
      <c r="CC1640" s="4"/>
      <c r="CD1640" s="4"/>
      <c r="CE1640" s="4"/>
      <c r="CF1640" s="4"/>
      <c r="CG1640" s="4"/>
      <c r="CH1640" s="4"/>
      <c r="CI1640" s="5">
        <v>40815</v>
      </c>
      <c r="CJ1640" s="5">
        <v>40820</v>
      </c>
      <c r="CK1640" s="5">
        <v>40823</v>
      </c>
      <c r="CL1640" s="5">
        <v>40786</v>
      </c>
      <c r="CM1640" s="5">
        <v>40848</v>
      </c>
      <c r="CN1640" s="5">
        <v>40938</v>
      </c>
      <c r="CO1640" s="5">
        <v>41093</v>
      </c>
      <c r="CP1640" s="4" t="s">
        <v>4947</v>
      </c>
      <c r="CQ1640" s="4"/>
      <c r="CR1640" s="5">
        <v>40762</v>
      </c>
      <c r="CS1640" s="4"/>
      <c r="CT1640" s="5">
        <v>40604</v>
      </c>
      <c r="CU1640" s="5">
        <v>40700</v>
      </c>
      <c r="CV1640" s="5">
        <v>40742</v>
      </c>
      <c r="CW1640" s="5">
        <v>40466</v>
      </c>
      <c r="CX1640" s="5">
        <v>40672</v>
      </c>
      <c r="CY1640" s="5">
        <v>40730</v>
      </c>
      <c r="CZ1640" s="5">
        <v>40731</v>
      </c>
      <c r="DA1640" s="4"/>
      <c r="DB1640" s="5">
        <v>40848</v>
      </c>
      <c r="DC1640" s="4"/>
      <c r="DD1640" s="4"/>
      <c r="DE1640" s="4"/>
      <c r="DF1640" s="4"/>
      <c r="DG1640" s="4"/>
      <c r="DH1640" s="4"/>
      <c r="DI1640" s="4"/>
      <c r="DJ1640" s="4" t="b">
        <v>0</v>
      </c>
      <c r="DK1640" s="4"/>
      <c r="DL1640" s="4">
        <v>2663462</v>
      </c>
      <c r="DM1640" s="4">
        <v>5985267</v>
      </c>
      <c r="DN1640" s="4" t="s">
        <v>4948</v>
      </c>
      <c r="DO1640" s="4"/>
      <c r="DP1640" s="4" t="s">
        <v>4949</v>
      </c>
      <c r="DQ1640" s="4" t="s">
        <v>148</v>
      </c>
      <c r="DR1640" s="4"/>
      <c r="DS1640" s="4"/>
      <c r="DT1640" s="4"/>
      <c r="DU1640" s="4"/>
      <c r="DV1640" s="4"/>
      <c r="DW1640" s="4"/>
      <c r="DX1640" s="4"/>
      <c r="DY1640" s="4"/>
      <c r="DZ1640" s="4"/>
      <c r="EA1640" s="4"/>
      <c r="EB1640" s="4"/>
      <c r="EC1640" s="4"/>
      <c r="ED1640" s="4"/>
      <c r="EE1640" s="4"/>
      <c r="EF1640" s="4"/>
      <c r="EG1640" s="5">
        <v>40723</v>
      </c>
      <c r="EH1640" s="5">
        <v>40793</v>
      </c>
      <c r="EI1640" s="4"/>
    </row>
    <row r="1641" spans="1:139" hidden="1" x14ac:dyDescent="0.2">
      <c r="A1641">
        <f>VLOOKUP(B1641,Sheet1!$A$1:$B$18,2,FALSE)</f>
        <v>0</v>
      </c>
      <c r="B1641" t="str">
        <f>LEFT(D1641,3)</f>
        <v>WLG</v>
      </c>
      <c r="C1641" s="2">
        <v>1640</v>
      </c>
      <c r="D1641" s="3" t="str">
        <f>HYPERLINK("https://sitebase.nzcomms.co.nz/spm/spmnominalview/WLG-047-032/","WLG-047-032")</f>
        <v>WLG-047-032</v>
      </c>
      <c r="E1641" s="4"/>
      <c r="F1641" s="3" t="str">
        <f>HYPERLINK("https://sitebase.nzcomms.co.nz/spm/spmcandidateview/WLG-047-032-F/","WLG-047-032-F")</f>
        <v>WLG-047-032-F</v>
      </c>
      <c r="G1641" s="4" t="s">
        <v>4950</v>
      </c>
      <c r="H1641" s="4" t="s">
        <v>4871</v>
      </c>
      <c r="I1641" s="4"/>
      <c r="J1641" s="4" t="s">
        <v>139</v>
      </c>
      <c r="K1641" s="4" t="s">
        <v>141</v>
      </c>
      <c r="L1641" s="4" t="s">
        <v>150</v>
      </c>
      <c r="M1641" s="4" t="s">
        <v>143</v>
      </c>
      <c r="N1641" s="4" t="s">
        <v>291</v>
      </c>
      <c r="O1641" s="4" t="s">
        <v>144</v>
      </c>
      <c r="P1641" s="4"/>
      <c r="Q1641" s="4"/>
      <c r="R1641" s="4">
        <v>13.8</v>
      </c>
      <c r="S1641" s="4">
        <v>13.8</v>
      </c>
      <c r="T1641" s="4"/>
      <c r="U1641" s="4">
        <v>-41.310264519999997</v>
      </c>
      <c r="V1641" s="4">
        <v>174.82202298999999</v>
      </c>
      <c r="W1641" s="4"/>
      <c r="X1641" s="4"/>
      <c r="Y1641" s="4"/>
      <c r="Z1641" s="4"/>
      <c r="AA1641" s="4"/>
      <c r="AB1641" s="4"/>
      <c r="AC1641" s="4"/>
      <c r="AD1641" s="4"/>
      <c r="AE1641" s="4"/>
      <c r="AF1641" s="4"/>
      <c r="AG1641" s="4"/>
      <c r="AH1641" s="4"/>
      <c r="AI1641" s="4"/>
      <c r="AJ1641" s="4"/>
      <c r="AK1641" s="4"/>
      <c r="AL1641" s="4"/>
      <c r="AM1641" s="4"/>
      <c r="AN1641" s="5">
        <v>39792</v>
      </c>
      <c r="AO1641" s="4">
        <v>1</v>
      </c>
      <c r="AP1641" s="5">
        <v>39794</v>
      </c>
      <c r="AQ1641" s="5">
        <v>39792</v>
      </c>
      <c r="AR1641" s="4"/>
      <c r="AS1641" s="4"/>
      <c r="AT1641" s="4"/>
      <c r="AU1641" s="5">
        <v>39765</v>
      </c>
      <c r="AV1641" s="4"/>
      <c r="AW1641" s="5">
        <v>39765</v>
      </c>
      <c r="AX1641" s="5">
        <v>39765</v>
      </c>
      <c r="AY1641" s="4"/>
      <c r="AZ1641" s="4"/>
      <c r="BA1641" s="4"/>
      <c r="BB1641" s="5">
        <v>39847</v>
      </c>
      <c r="BC1641" s="4"/>
      <c r="BD1641" s="4"/>
      <c r="BE1641" s="5">
        <v>39847</v>
      </c>
      <c r="BF1641" s="5">
        <v>39847</v>
      </c>
      <c r="BG1641" s="4"/>
      <c r="BH1641" s="5">
        <v>39839</v>
      </c>
      <c r="BI1641" s="4"/>
      <c r="BJ1641" s="5">
        <v>39860</v>
      </c>
      <c r="BK1641" s="4">
        <v>1</v>
      </c>
      <c r="BL1641" s="4">
        <v>1</v>
      </c>
      <c r="BM1641" s="5">
        <v>39860</v>
      </c>
      <c r="BN1641" s="5">
        <v>39860</v>
      </c>
      <c r="BO1641" s="5">
        <v>39846</v>
      </c>
      <c r="BP1641" s="4"/>
      <c r="BQ1641" s="4"/>
      <c r="BR1641" s="4"/>
      <c r="BS1641" s="4"/>
      <c r="BT1641" s="5">
        <v>39877</v>
      </c>
      <c r="BU1641" s="5">
        <v>39878</v>
      </c>
      <c r="BV1641" s="5">
        <v>39909</v>
      </c>
      <c r="BW1641" s="5">
        <v>39906</v>
      </c>
      <c r="BX1641" s="4"/>
      <c r="BY1641" s="5">
        <v>39909</v>
      </c>
      <c r="BZ1641" s="5">
        <v>39906</v>
      </c>
      <c r="CA1641" s="4"/>
      <c r="CB1641" s="4"/>
      <c r="CC1641" s="4"/>
      <c r="CD1641" s="4"/>
      <c r="CE1641" s="4"/>
      <c r="CF1641" s="4"/>
      <c r="CG1641" s="4"/>
      <c r="CH1641" s="4"/>
      <c r="CI1641" s="5">
        <v>39930</v>
      </c>
      <c r="CJ1641" s="5">
        <v>39927</v>
      </c>
      <c r="CK1641" s="5">
        <v>39930</v>
      </c>
      <c r="CL1641" s="4"/>
      <c r="CM1641" s="4"/>
      <c r="CN1641" s="4"/>
      <c r="CO1641" s="4"/>
      <c r="CP1641" s="4" t="s">
        <v>4951</v>
      </c>
      <c r="CQ1641" s="4"/>
      <c r="CR1641" s="5">
        <v>39927</v>
      </c>
      <c r="CS1641" s="4"/>
      <c r="CT1641" s="4"/>
      <c r="CU1641" s="4"/>
      <c r="CV1641" s="4"/>
      <c r="CW1641" s="4"/>
      <c r="CX1641" s="5">
        <v>39846</v>
      </c>
      <c r="CY1641" s="4"/>
      <c r="CZ1641" s="4"/>
      <c r="DA1641" s="4"/>
      <c r="DB1641" s="4"/>
      <c r="DC1641" s="4"/>
      <c r="DD1641" s="4"/>
      <c r="DE1641" s="4"/>
      <c r="DF1641" s="4"/>
      <c r="DG1641" s="4"/>
      <c r="DH1641" s="4"/>
      <c r="DI1641" s="4"/>
      <c r="DJ1641" s="4" t="b">
        <v>0</v>
      </c>
      <c r="DK1641" s="4"/>
      <c r="DL1641" s="4">
        <v>2662540</v>
      </c>
      <c r="DM1641" s="4">
        <v>5986911</v>
      </c>
      <c r="DN1641" s="4" t="s">
        <v>4952</v>
      </c>
      <c r="DO1641" s="4"/>
      <c r="DP1641" s="4"/>
      <c r="DQ1641" s="4" t="s">
        <v>148</v>
      </c>
      <c r="DR1641" s="4"/>
      <c r="DS1641" s="4"/>
      <c r="DT1641" s="4"/>
      <c r="DU1641" s="4"/>
      <c r="DV1641" s="4"/>
      <c r="DW1641" s="4"/>
      <c r="DX1641" s="4"/>
      <c r="DY1641" s="5">
        <v>39860</v>
      </c>
      <c r="DZ1641" s="5">
        <v>39867</v>
      </c>
      <c r="EA1641" s="4"/>
      <c r="EB1641" s="4"/>
      <c r="EC1641" s="4"/>
      <c r="ED1641" s="4"/>
      <c r="EE1641" s="4"/>
      <c r="EF1641" s="4"/>
      <c r="EG1641" s="4"/>
      <c r="EH1641" s="4"/>
      <c r="EI1641" s="5">
        <v>39783</v>
      </c>
    </row>
    <row r="1642" spans="1:139" hidden="1" x14ac:dyDescent="0.2">
      <c r="A1642">
        <f>VLOOKUP(B1642,Sheet1!$A$1:$B$18,2,FALSE)</f>
        <v>0</v>
      </c>
      <c r="B1642" t="str">
        <f>LEFT(D1642,3)</f>
        <v>WLG</v>
      </c>
      <c r="C1642" s="2">
        <v>1641</v>
      </c>
      <c r="D1642" s="3" t="str">
        <f>HYPERLINK("https://sitebase.nzcomms.co.nz/spm/spmnominalview/WLG-047-033/","WLG-047-033")</f>
        <v>WLG-047-033</v>
      </c>
      <c r="E1642" s="4"/>
      <c r="F1642" s="3" t="str">
        <f>HYPERLINK("https://sitebase.nzcomms.co.nz/spm/spmcandidateview/WLG-047-033-A/","WLG-047-033-A")</f>
        <v>WLG-047-033-A</v>
      </c>
      <c r="G1642" s="4" t="s">
        <v>4953</v>
      </c>
      <c r="H1642" s="4" t="s">
        <v>4871</v>
      </c>
      <c r="I1642" s="4"/>
      <c r="J1642" s="4" t="s">
        <v>139</v>
      </c>
      <c r="K1642" s="4" t="s">
        <v>141</v>
      </c>
      <c r="L1642" s="4" t="s">
        <v>150</v>
      </c>
      <c r="M1642" s="4" t="s">
        <v>143</v>
      </c>
      <c r="N1642" s="4" t="s">
        <v>291</v>
      </c>
      <c r="O1642" s="4" t="s">
        <v>356</v>
      </c>
      <c r="P1642" s="4"/>
      <c r="Q1642" s="4"/>
      <c r="R1642" s="4">
        <v>15</v>
      </c>
      <c r="S1642" s="4">
        <v>15</v>
      </c>
      <c r="T1642" s="4"/>
      <c r="U1642" s="4">
        <v>-41.298811499999999</v>
      </c>
      <c r="V1642" s="4">
        <v>174.82009410000001</v>
      </c>
      <c r="W1642" s="4"/>
      <c r="X1642" s="4"/>
      <c r="Y1642" s="4"/>
      <c r="Z1642" s="4"/>
      <c r="AA1642" s="4" t="s">
        <v>217</v>
      </c>
      <c r="AB1642" s="4" t="s">
        <v>4938</v>
      </c>
      <c r="AC1642" s="4"/>
      <c r="AD1642" s="4"/>
      <c r="AE1642" s="4"/>
      <c r="AF1642" s="4"/>
      <c r="AG1642" s="4"/>
      <c r="AH1642" s="4" t="s">
        <v>4954</v>
      </c>
      <c r="AI1642" s="4"/>
      <c r="AJ1642" s="4"/>
      <c r="AK1642" s="4"/>
      <c r="AL1642" s="4"/>
      <c r="AM1642" s="4"/>
      <c r="AN1642" s="5">
        <v>39346</v>
      </c>
      <c r="AO1642" s="4">
        <v>4</v>
      </c>
      <c r="AP1642" s="5">
        <v>39821</v>
      </c>
      <c r="AQ1642" s="5">
        <v>39821</v>
      </c>
      <c r="AR1642" s="4"/>
      <c r="AS1642" s="4"/>
      <c r="AT1642" s="5">
        <v>39706</v>
      </c>
      <c r="AU1642" s="5">
        <v>39688</v>
      </c>
      <c r="AV1642" s="4">
        <v>2</v>
      </c>
      <c r="AW1642" s="5">
        <v>39706</v>
      </c>
      <c r="AX1642" s="5">
        <v>39688</v>
      </c>
      <c r="AY1642" s="4"/>
      <c r="AZ1642" s="4"/>
      <c r="BA1642" s="4"/>
      <c r="BB1642" s="5">
        <v>39702</v>
      </c>
      <c r="BC1642" s="4"/>
      <c r="BD1642" s="4"/>
      <c r="BE1642" s="5">
        <v>39761</v>
      </c>
      <c r="BF1642" s="5">
        <v>39761</v>
      </c>
      <c r="BG1642" s="4"/>
      <c r="BH1642" s="5">
        <v>39576</v>
      </c>
      <c r="BI1642" s="4"/>
      <c r="BJ1642" s="5">
        <v>39769</v>
      </c>
      <c r="BK1642" s="4">
        <v>1</v>
      </c>
      <c r="BL1642" s="4">
        <v>3</v>
      </c>
      <c r="BM1642" s="5">
        <v>39769</v>
      </c>
      <c r="BN1642" s="5">
        <v>39769</v>
      </c>
      <c r="BO1642" s="5">
        <v>39846</v>
      </c>
      <c r="BP1642" s="4"/>
      <c r="BQ1642" s="4"/>
      <c r="BR1642" s="4"/>
      <c r="BS1642" s="4"/>
      <c r="BT1642" s="4"/>
      <c r="BU1642" s="5">
        <v>39790</v>
      </c>
      <c r="BV1642" s="5">
        <v>39871</v>
      </c>
      <c r="BW1642" s="5">
        <v>39867</v>
      </c>
      <c r="BX1642" s="4"/>
      <c r="BY1642" s="5">
        <v>39884</v>
      </c>
      <c r="BZ1642" s="5">
        <v>39876</v>
      </c>
      <c r="CA1642" s="4"/>
      <c r="CB1642" s="4"/>
      <c r="CC1642" s="4"/>
      <c r="CD1642" s="4"/>
      <c r="CE1642" s="4"/>
      <c r="CF1642" s="4"/>
      <c r="CG1642" s="4"/>
      <c r="CH1642" s="4"/>
      <c r="CI1642" s="5">
        <v>39882</v>
      </c>
      <c r="CJ1642" s="5">
        <v>39884</v>
      </c>
      <c r="CK1642" s="5">
        <v>39882</v>
      </c>
      <c r="CL1642" s="4"/>
      <c r="CM1642" s="4"/>
      <c r="CN1642" s="4"/>
      <c r="CO1642" s="4"/>
      <c r="CP1642" s="4" t="s">
        <v>4955</v>
      </c>
      <c r="CQ1642" s="4"/>
      <c r="CR1642" s="5">
        <v>39884</v>
      </c>
      <c r="CS1642" s="4"/>
      <c r="CT1642" s="4"/>
      <c r="CU1642" s="4"/>
      <c r="CV1642" s="4"/>
      <c r="CW1642" s="5">
        <v>39834</v>
      </c>
      <c r="CX1642" s="5">
        <v>39846</v>
      </c>
      <c r="CY1642" s="4"/>
      <c r="CZ1642" s="4"/>
      <c r="DA1642" s="4"/>
      <c r="DB1642" s="4"/>
      <c r="DC1642" s="4"/>
      <c r="DD1642" s="4"/>
      <c r="DE1642" s="4"/>
      <c r="DF1642" s="4"/>
      <c r="DG1642" s="4"/>
      <c r="DH1642" s="4"/>
      <c r="DI1642" s="4"/>
      <c r="DJ1642" s="4" t="b">
        <v>0</v>
      </c>
      <c r="DK1642" s="4"/>
      <c r="DL1642" s="4">
        <v>2662405</v>
      </c>
      <c r="DM1642" s="4">
        <v>5988186</v>
      </c>
      <c r="DN1642" s="4" t="s">
        <v>4956</v>
      </c>
      <c r="DO1642" s="4"/>
      <c r="DP1642" s="4"/>
      <c r="DQ1642" s="4" t="s">
        <v>148</v>
      </c>
      <c r="DR1642" s="4"/>
      <c r="DS1642" s="4"/>
      <c r="DT1642" s="4"/>
      <c r="DU1642" s="4"/>
      <c r="DV1642" s="4"/>
      <c r="DW1642" s="4"/>
      <c r="DX1642" s="4"/>
      <c r="DY1642" s="4"/>
      <c r="DZ1642" s="5">
        <v>39790</v>
      </c>
      <c r="EA1642" s="4"/>
      <c r="EB1642" s="4"/>
      <c r="EC1642" s="4"/>
      <c r="ED1642" s="4"/>
      <c r="EE1642" s="4"/>
      <c r="EF1642" s="4"/>
      <c r="EG1642" s="4"/>
      <c r="EH1642" s="4"/>
      <c r="EI1642" s="5">
        <v>39317</v>
      </c>
    </row>
    <row r="1643" spans="1:139" hidden="1" x14ac:dyDescent="0.2">
      <c r="A1643">
        <f>VLOOKUP(B1643,Sheet1!$A$1:$B$18,2,FALSE)</f>
        <v>0</v>
      </c>
      <c r="B1643" t="str">
        <f>LEFT(D1643,3)</f>
        <v>WLG</v>
      </c>
      <c r="C1643" s="2">
        <v>1642</v>
      </c>
      <c r="D1643" s="3" t="str">
        <f>HYPERLINK("https://sitebase.nzcomms.co.nz/spm/spmnominalview/WLG-047-034/","WLG-047-034")</f>
        <v>WLG-047-034</v>
      </c>
      <c r="E1643" s="4"/>
      <c r="F1643" s="3" t="str">
        <f>HYPERLINK("https://sitebase.nzcomms.co.nz/spm/spmcandidateview/WLG-047-034-F/","WLG-047-034-F")</f>
        <v>WLG-047-034-F</v>
      </c>
      <c r="G1643" s="4" t="s">
        <v>4957</v>
      </c>
      <c r="H1643" s="4" t="s">
        <v>4871</v>
      </c>
      <c r="I1643" s="4"/>
      <c r="J1643" s="4" t="s">
        <v>139</v>
      </c>
      <c r="K1643" s="4" t="s">
        <v>141</v>
      </c>
      <c r="L1643" s="4" t="s">
        <v>181</v>
      </c>
      <c r="M1643" s="4" t="s">
        <v>378</v>
      </c>
      <c r="N1643" s="4" t="s">
        <v>364</v>
      </c>
      <c r="O1643" s="4" t="s">
        <v>144</v>
      </c>
      <c r="P1643" s="4"/>
      <c r="Q1643" s="4"/>
      <c r="R1643" s="4">
        <v>20.2</v>
      </c>
      <c r="S1643" s="4">
        <v>20.2</v>
      </c>
      <c r="T1643" s="4"/>
      <c r="U1643" s="4">
        <v>-41.264835120000001</v>
      </c>
      <c r="V1643" s="4">
        <v>174.78384833000001</v>
      </c>
      <c r="W1643" s="4"/>
      <c r="X1643" s="4"/>
      <c r="Y1643" s="4"/>
      <c r="Z1643" s="4"/>
      <c r="AA1643" s="4"/>
      <c r="AB1643" s="4"/>
      <c r="AC1643" s="4"/>
      <c r="AD1643" s="4"/>
      <c r="AE1643" s="4"/>
      <c r="AF1643" s="4"/>
      <c r="AG1643" s="4"/>
      <c r="AH1643" s="4"/>
      <c r="AI1643" s="4"/>
      <c r="AJ1643" s="4"/>
      <c r="AK1643" s="4"/>
      <c r="AL1643" s="4"/>
      <c r="AM1643" s="4"/>
      <c r="AN1643" s="5">
        <v>39853</v>
      </c>
      <c r="AO1643" s="4">
        <v>1</v>
      </c>
      <c r="AP1643" s="4"/>
      <c r="AQ1643" s="5">
        <v>39853</v>
      </c>
      <c r="AR1643" s="4"/>
      <c r="AS1643" s="4"/>
      <c r="AT1643" s="5">
        <v>39828</v>
      </c>
      <c r="AU1643" s="5">
        <v>39826</v>
      </c>
      <c r="AV1643" s="4"/>
      <c r="AW1643" s="5">
        <v>39828</v>
      </c>
      <c r="AX1643" s="5">
        <v>39826</v>
      </c>
      <c r="AY1643" s="4"/>
      <c r="AZ1643" s="4"/>
      <c r="BA1643" s="4"/>
      <c r="BB1643" s="5">
        <v>39903</v>
      </c>
      <c r="BC1643" s="4"/>
      <c r="BD1643" s="4"/>
      <c r="BE1643" s="5">
        <v>39903</v>
      </c>
      <c r="BF1643" s="5">
        <v>39882</v>
      </c>
      <c r="BG1643" s="4"/>
      <c r="BH1643" s="5">
        <v>39868</v>
      </c>
      <c r="BI1643" s="4"/>
      <c r="BJ1643" s="5">
        <v>39940</v>
      </c>
      <c r="BK1643" s="4">
        <v>1</v>
      </c>
      <c r="BL1643" s="4">
        <v>1</v>
      </c>
      <c r="BM1643" s="5">
        <v>39940</v>
      </c>
      <c r="BN1643" s="5">
        <v>39940</v>
      </c>
      <c r="BO1643" s="4"/>
      <c r="BP1643" s="4"/>
      <c r="BQ1643" s="4"/>
      <c r="BR1643" s="4"/>
      <c r="BS1643" s="4"/>
      <c r="BT1643" s="5">
        <v>39958</v>
      </c>
      <c r="BU1643" s="5">
        <v>39958</v>
      </c>
      <c r="BV1643" s="5">
        <v>39982</v>
      </c>
      <c r="BW1643" s="5">
        <v>39961</v>
      </c>
      <c r="BX1643" s="4"/>
      <c r="BY1643" s="5">
        <v>39989</v>
      </c>
      <c r="BZ1643" s="5">
        <v>39976</v>
      </c>
      <c r="CA1643" s="4"/>
      <c r="CB1643" s="4"/>
      <c r="CC1643" s="4"/>
      <c r="CD1643" s="4"/>
      <c r="CE1643" s="4"/>
      <c r="CF1643" s="4"/>
      <c r="CG1643" s="4"/>
      <c r="CH1643" s="4"/>
      <c r="CI1643" s="5">
        <v>39982</v>
      </c>
      <c r="CJ1643" s="5">
        <v>39994</v>
      </c>
      <c r="CK1643" s="5">
        <v>39982</v>
      </c>
      <c r="CL1643" s="4"/>
      <c r="CM1643" s="4"/>
      <c r="CN1643" s="4"/>
      <c r="CO1643" s="4"/>
      <c r="CP1643" s="4" t="s">
        <v>4958</v>
      </c>
      <c r="CQ1643" s="4"/>
      <c r="CR1643" s="5">
        <v>39994</v>
      </c>
      <c r="CS1643" s="4"/>
      <c r="CT1643" s="4"/>
      <c r="CU1643" s="4"/>
      <c r="CV1643" s="4"/>
      <c r="CW1643" s="4"/>
      <c r="CX1643" s="4"/>
      <c r="CY1643" s="4"/>
      <c r="CZ1643" s="4"/>
      <c r="DA1643" s="4"/>
      <c r="DB1643" s="4"/>
      <c r="DC1643" s="4"/>
      <c r="DD1643" s="4"/>
      <c r="DE1643" s="4"/>
      <c r="DF1643" s="4"/>
      <c r="DG1643" s="4"/>
      <c r="DH1643" s="4"/>
      <c r="DI1643" s="4"/>
      <c r="DJ1643" s="4" t="b">
        <v>0</v>
      </c>
      <c r="DK1643" s="4"/>
      <c r="DL1643" s="4">
        <v>2659447</v>
      </c>
      <c r="DM1643" s="4">
        <v>5992021</v>
      </c>
      <c r="DN1643" s="4" t="s">
        <v>4959</v>
      </c>
      <c r="DO1643" s="4"/>
      <c r="DP1643" s="4"/>
      <c r="DQ1643" s="4" t="s">
        <v>148</v>
      </c>
      <c r="DR1643" s="4"/>
      <c r="DS1643" s="4"/>
      <c r="DT1643" s="5">
        <v>41883</v>
      </c>
      <c r="DU1643" s="4"/>
      <c r="DV1643" s="4"/>
      <c r="DW1643" s="4"/>
      <c r="DX1643" s="4"/>
      <c r="DY1643" s="5">
        <v>39948</v>
      </c>
      <c r="DZ1643" s="5">
        <v>39945</v>
      </c>
      <c r="EA1643" s="4"/>
      <c r="EB1643" s="4"/>
      <c r="EC1643" s="4"/>
      <c r="ED1643" s="4"/>
      <c r="EE1643" s="4"/>
      <c r="EF1643" s="4"/>
      <c r="EG1643" s="4"/>
      <c r="EH1643" s="4"/>
      <c r="EI1643" s="5">
        <v>39779</v>
      </c>
    </row>
    <row r="1644" spans="1:139" hidden="1" x14ac:dyDescent="0.2">
      <c r="A1644">
        <f>VLOOKUP(B1644,Sheet1!$A$1:$B$18,2,FALSE)</f>
        <v>0</v>
      </c>
      <c r="B1644" t="str">
        <f>LEFT(D1644,3)</f>
        <v>WLG</v>
      </c>
      <c r="C1644" s="2">
        <v>1643</v>
      </c>
      <c r="D1644" s="3" t="str">
        <f>HYPERLINK("https://sitebase.nzcomms.co.nz/spm/spmnominalview/WLG-047-035/","WLG-047-035")</f>
        <v>WLG-047-035</v>
      </c>
      <c r="E1644" s="4"/>
      <c r="F1644" s="4"/>
      <c r="G1644" s="4"/>
      <c r="H1644" s="4" t="s">
        <v>4871</v>
      </c>
      <c r="I1644" s="4"/>
      <c r="J1644" s="4" t="s">
        <v>139</v>
      </c>
      <c r="K1644" s="4"/>
      <c r="L1644" s="4"/>
      <c r="M1644" s="4"/>
      <c r="N1644" s="4"/>
      <c r="O1644" s="4"/>
      <c r="P1644" s="4"/>
      <c r="Q1644" s="4"/>
      <c r="R1644" s="4"/>
      <c r="S1644" s="4"/>
      <c r="T1644" s="4"/>
      <c r="U1644" s="4"/>
      <c r="V1644" s="4"/>
      <c r="W1644" s="4"/>
      <c r="X1644" s="4"/>
      <c r="Y1644" s="4"/>
      <c r="Z1644" s="4"/>
      <c r="AA1644" s="4"/>
      <c r="AB1644" s="4"/>
      <c r="AC1644" s="4"/>
      <c r="AD1644" s="4"/>
      <c r="AE1644" s="4"/>
      <c r="AF1644" s="4"/>
      <c r="AG1644" s="4"/>
      <c r="AH1644" s="4"/>
      <c r="AI1644" s="4"/>
      <c r="AJ1644" s="4"/>
      <c r="AK1644" s="4"/>
      <c r="AL1644" s="4"/>
      <c r="AM1644" s="4"/>
      <c r="AN1644" s="4"/>
      <c r="AO1644" s="4"/>
      <c r="AP1644" s="4"/>
      <c r="AQ1644" s="4"/>
      <c r="AR1644" s="4"/>
      <c r="AS1644" s="4"/>
      <c r="AT1644" s="4"/>
      <c r="AU1644" s="4"/>
      <c r="AV1644" s="4"/>
      <c r="AW1644" s="4"/>
      <c r="AX1644" s="4"/>
      <c r="AY1644" s="4"/>
      <c r="AZ1644" s="4"/>
      <c r="BA1644" s="4"/>
      <c r="BB1644" s="4"/>
      <c r="BC1644" s="4"/>
      <c r="BD1644" s="4"/>
      <c r="BE1644" s="4"/>
      <c r="BF1644" s="4"/>
      <c r="BG1644" s="4"/>
      <c r="BH1644" s="4"/>
      <c r="BI1644" s="4"/>
      <c r="BJ1644" s="4"/>
      <c r="BK1644" s="4"/>
      <c r="BL1644" s="4"/>
      <c r="BM1644" s="4"/>
      <c r="BN1644" s="4"/>
      <c r="BO1644" s="4"/>
      <c r="BP1644" s="4"/>
      <c r="BQ1644" s="4"/>
      <c r="BR1644" s="4"/>
      <c r="BS1644" s="4"/>
      <c r="BT1644" s="4"/>
      <c r="BU1644" s="4"/>
      <c r="BV1644" s="4"/>
      <c r="BW1644" s="4"/>
      <c r="BX1644" s="4"/>
      <c r="BY1644" s="4"/>
      <c r="BZ1644" s="4"/>
      <c r="CA1644" s="4"/>
      <c r="CB1644" s="4"/>
      <c r="CC1644" s="4"/>
      <c r="CD1644" s="4"/>
      <c r="CE1644" s="4"/>
      <c r="CF1644" s="4"/>
      <c r="CG1644" s="4"/>
      <c r="CH1644" s="4"/>
      <c r="CI1644" s="4"/>
      <c r="CJ1644" s="4"/>
      <c r="CK1644" s="4"/>
      <c r="CL1644" s="4"/>
      <c r="CM1644" s="4"/>
      <c r="CN1644" s="4"/>
      <c r="CO1644" s="4"/>
      <c r="CP1644" s="4"/>
      <c r="CQ1644" s="4"/>
      <c r="CR1644" s="4"/>
      <c r="CS1644" s="4"/>
      <c r="CT1644" s="4"/>
      <c r="CU1644" s="4"/>
      <c r="CV1644" s="4"/>
      <c r="CW1644" s="4"/>
      <c r="CX1644" s="4"/>
      <c r="CY1644" s="4"/>
      <c r="CZ1644" s="4"/>
      <c r="DA1644" s="4"/>
      <c r="DB1644" s="4"/>
      <c r="DC1644" s="4"/>
      <c r="DD1644" s="4"/>
      <c r="DE1644" s="4"/>
      <c r="DF1644" s="4"/>
      <c r="DG1644" s="4"/>
      <c r="DH1644" s="4"/>
      <c r="DI1644" s="4"/>
      <c r="DJ1644" s="4"/>
      <c r="DK1644" s="4"/>
      <c r="DL1644" s="4"/>
      <c r="DM1644" s="4"/>
      <c r="DN1644" s="4"/>
      <c r="DO1644" s="4"/>
      <c r="DP1644" s="4"/>
      <c r="DQ1644" s="4"/>
      <c r="DR1644" s="4"/>
      <c r="DS1644" s="4"/>
      <c r="DT1644" s="4"/>
      <c r="DU1644" s="4"/>
      <c r="DV1644" s="4"/>
      <c r="DW1644" s="4"/>
      <c r="DX1644" s="4"/>
      <c r="DY1644" s="4"/>
      <c r="DZ1644" s="4"/>
      <c r="EA1644" s="4"/>
      <c r="EB1644" s="4"/>
      <c r="EC1644" s="4"/>
      <c r="ED1644" s="4"/>
      <c r="EE1644" s="4"/>
      <c r="EF1644" s="4"/>
      <c r="EG1644" s="4"/>
      <c r="EH1644" s="4"/>
      <c r="EI1644" s="4"/>
    </row>
    <row r="1645" spans="1:139" hidden="1" x14ac:dyDescent="0.2">
      <c r="A1645">
        <f>VLOOKUP(B1645,Sheet1!$A$1:$B$18,2,FALSE)</f>
        <v>0</v>
      </c>
      <c r="B1645" t="str">
        <f>LEFT(D1645,3)</f>
        <v>WLG</v>
      </c>
      <c r="C1645" s="2">
        <v>1644</v>
      </c>
      <c r="D1645" s="3" t="str">
        <f>HYPERLINK("https://sitebase.nzcomms.co.nz/spm/spmnominalview/WLG-047-036/","WLG-047-036")</f>
        <v>WLG-047-036</v>
      </c>
      <c r="E1645" s="4"/>
      <c r="F1645" s="3" t="str">
        <f>HYPERLINK("https://sitebase.nzcomms.co.nz/spm/spmcandidateview/WLG-047-036-A/","WLG-047-036-A")</f>
        <v>WLG-047-036-A</v>
      </c>
      <c r="G1645" s="4" t="s">
        <v>4960</v>
      </c>
      <c r="H1645" s="4" t="s">
        <v>4871</v>
      </c>
      <c r="I1645" s="4"/>
      <c r="J1645" s="4" t="s">
        <v>139</v>
      </c>
      <c r="K1645" s="4" t="s">
        <v>141</v>
      </c>
      <c r="L1645" s="4" t="s">
        <v>181</v>
      </c>
      <c r="M1645" s="4" t="s">
        <v>378</v>
      </c>
      <c r="N1645" s="4" t="s">
        <v>364</v>
      </c>
      <c r="O1645" s="4" t="s">
        <v>144</v>
      </c>
      <c r="P1645" s="4"/>
      <c r="Q1645" s="4"/>
      <c r="R1645" s="4">
        <v>35.5</v>
      </c>
      <c r="S1645" s="4">
        <v>35.5</v>
      </c>
      <c r="T1645" s="4"/>
      <c r="U1645" s="4">
        <v>-41.272794240000003</v>
      </c>
      <c r="V1645" s="4">
        <v>174.78227289</v>
      </c>
      <c r="W1645" s="4"/>
      <c r="X1645" s="4"/>
      <c r="Y1645" s="4"/>
      <c r="Z1645" s="4"/>
      <c r="AA1645" s="4" t="s">
        <v>217</v>
      </c>
      <c r="AB1645" s="4" t="s">
        <v>4961</v>
      </c>
      <c r="AC1645" s="4"/>
      <c r="AD1645" s="4"/>
      <c r="AE1645" s="4"/>
      <c r="AF1645" s="4"/>
      <c r="AG1645" s="4"/>
      <c r="AH1645" s="4" t="s">
        <v>4962</v>
      </c>
      <c r="AI1645" s="4"/>
      <c r="AJ1645" s="4"/>
      <c r="AK1645" s="4"/>
      <c r="AL1645" s="4"/>
      <c r="AM1645" s="4"/>
      <c r="AN1645" s="5">
        <v>39494</v>
      </c>
      <c r="AO1645" s="4">
        <v>2</v>
      </c>
      <c r="AP1645" s="5">
        <v>39892</v>
      </c>
      <c r="AQ1645" s="5">
        <v>39890</v>
      </c>
      <c r="AR1645" s="4"/>
      <c r="AS1645" s="4"/>
      <c r="AT1645" s="5">
        <v>39534</v>
      </c>
      <c r="AU1645" s="5">
        <v>39534</v>
      </c>
      <c r="AV1645" s="4">
        <v>1</v>
      </c>
      <c r="AW1645" s="5">
        <v>39534</v>
      </c>
      <c r="AX1645" s="5">
        <v>39534</v>
      </c>
      <c r="AY1645" s="4"/>
      <c r="AZ1645" s="4"/>
      <c r="BA1645" s="4"/>
      <c r="BB1645" s="5">
        <v>39555</v>
      </c>
      <c r="BC1645" s="4"/>
      <c r="BD1645" s="4"/>
      <c r="BE1645" s="5">
        <v>39555</v>
      </c>
      <c r="BF1645" s="5">
        <v>39555</v>
      </c>
      <c r="BG1645" s="4"/>
      <c r="BH1645" s="5">
        <v>39547</v>
      </c>
      <c r="BI1645" s="4"/>
      <c r="BJ1645" s="5">
        <v>39609</v>
      </c>
      <c r="BK1645" s="4">
        <v>1</v>
      </c>
      <c r="BL1645" s="4">
        <v>2</v>
      </c>
      <c r="BM1645" s="5">
        <v>39609</v>
      </c>
      <c r="BN1645" s="5">
        <v>39609</v>
      </c>
      <c r="BO1645" s="4"/>
      <c r="BP1645" s="4"/>
      <c r="BQ1645" s="4"/>
      <c r="BR1645" s="4"/>
      <c r="BS1645" s="4"/>
      <c r="BT1645" s="4"/>
      <c r="BU1645" s="5">
        <v>39643</v>
      </c>
      <c r="BV1645" s="5">
        <v>39660</v>
      </c>
      <c r="BW1645" s="5">
        <v>39660</v>
      </c>
      <c r="BX1645" s="4"/>
      <c r="BY1645" s="5">
        <v>39674</v>
      </c>
      <c r="BZ1645" s="5">
        <v>39675</v>
      </c>
      <c r="CA1645" s="4"/>
      <c r="CB1645" s="4"/>
      <c r="CC1645" s="4"/>
      <c r="CD1645" s="4"/>
      <c r="CE1645" s="4"/>
      <c r="CF1645" s="4"/>
      <c r="CG1645" s="4"/>
      <c r="CH1645" s="4"/>
      <c r="CI1645" s="5">
        <v>39800</v>
      </c>
      <c r="CJ1645" s="5">
        <v>39801</v>
      </c>
      <c r="CK1645" s="5">
        <v>39800</v>
      </c>
      <c r="CL1645" s="4"/>
      <c r="CM1645" s="4"/>
      <c r="CN1645" s="4"/>
      <c r="CO1645" s="4"/>
      <c r="CP1645" s="4" t="s">
        <v>405</v>
      </c>
      <c r="CQ1645" s="4"/>
      <c r="CR1645" s="5">
        <v>39787</v>
      </c>
      <c r="CS1645" s="4"/>
      <c r="CT1645" s="4"/>
      <c r="CU1645" s="4"/>
      <c r="CV1645" s="4"/>
      <c r="CW1645" s="4"/>
      <c r="CX1645" s="4"/>
      <c r="CY1645" s="4"/>
      <c r="CZ1645" s="4"/>
      <c r="DA1645" s="4"/>
      <c r="DB1645" s="4"/>
      <c r="DC1645" s="4"/>
      <c r="DD1645" s="4"/>
      <c r="DE1645" s="4"/>
      <c r="DF1645" s="4"/>
      <c r="DG1645" s="4"/>
      <c r="DH1645" s="4"/>
      <c r="DI1645" s="4"/>
      <c r="DJ1645" s="4" t="b">
        <v>0</v>
      </c>
      <c r="DK1645" s="4"/>
      <c r="DL1645" s="4">
        <v>2659297</v>
      </c>
      <c r="DM1645" s="4">
        <v>5991140</v>
      </c>
      <c r="DN1645" s="4" t="s">
        <v>4963</v>
      </c>
      <c r="DO1645" s="4"/>
      <c r="DP1645" s="4"/>
      <c r="DQ1645" s="4" t="s">
        <v>148</v>
      </c>
      <c r="DR1645" s="4"/>
      <c r="DS1645" s="4"/>
      <c r="DT1645" s="5">
        <v>41883</v>
      </c>
      <c r="DU1645" s="4"/>
      <c r="DV1645" s="4"/>
      <c r="DW1645" s="4"/>
      <c r="DX1645" s="4"/>
      <c r="DY1645" s="4"/>
      <c r="DZ1645" s="5">
        <v>39610</v>
      </c>
      <c r="EA1645" s="4"/>
      <c r="EB1645" s="4"/>
      <c r="EC1645" s="4"/>
      <c r="ED1645" s="4"/>
      <c r="EE1645" s="4"/>
      <c r="EF1645" s="4"/>
      <c r="EG1645" s="4"/>
      <c r="EH1645" s="4"/>
      <c r="EI1645" s="5">
        <v>39423</v>
      </c>
    </row>
    <row r="1646" spans="1:139" hidden="1" x14ac:dyDescent="0.2">
      <c r="A1646">
        <f>VLOOKUP(B1646,Sheet1!$A$1:$B$18,2,FALSE)</f>
        <v>0</v>
      </c>
      <c r="B1646" t="str">
        <f>LEFT(D1646,3)</f>
        <v>WLG</v>
      </c>
      <c r="C1646" s="2">
        <v>1645</v>
      </c>
      <c r="D1646" s="3" t="str">
        <f>HYPERLINK("https://sitebase.nzcomms.co.nz/spm/spmnominalview/WLG-047-037/","WLG-047-037")</f>
        <v>WLG-047-037</v>
      </c>
      <c r="E1646" s="4"/>
      <c r="F1646" s="3" t="str">
        <f>HYPERLINK("https://sitebase.nzcomms.co.nz/spm/spmcandidateview/WLG-047-037-A/","WLG-047-037-A")</f>
        <v>WLG-047-037-A</v>
      </c>
      <c r="G1646" s="4" t="s">
        <v>4964</v>
      </c>
      <c r="H1646" s="4" t="s">
        <v>4871</v>
      </c>
      <c r="I1646" s="4">
        <v>7</v>
      </c>
      <c r="J1646" s="4" t="s">
        <v>139</v>
      </c>
      <c r="K1646" s="4" t="s">
        <v>141</v>
      </c>
      <c r="L1646" s="4" t="s">
        <v>181</v>
      </c>
      <c r="M1646" s="4" t="s">
        <v>378</v>
      </c>
      <c r="N1646" s="4" t="s">
        <v>364</v>
      </c>
      <c r="O1646" s="4" t="s">
        <v>144</v>
      </c>
      <c r="P1646" s="4"/>
      <c r="Q1646" s="4"/>
      <c r="R1646" s="4">
        <v>47.5</v>
      </c>
      <c r="S1646" s="4">
        <v>47.5</v>
      </c>
      <c r="T1646" s="4"/>
      <c r="U1646" s="4">
        <v>-41.274778859999998</v>
      </c>
      <c r="V1646" s="4">
        <v>174.77913899000001</v>
      </c>
      <c r="W1646" s="4"/>
      <c r="X1646" s="4"/>
      <c r="Y1646" s="4"/>
      <c r="Z1646" s="4"/>
      <c r="AA1646" s="4" t="s">
        <v>1125</v>
      </c>
      <c r="AB1646" s="4" t="s">
        <v>4965</v>
      </c>
      <c r="AC1646" s="4" t="b">
        <v>0</v>
      </c>
      <c r="AD1646" s="4" t="b">
        <v>0</v>
      </c>
      <c r="AE1646" s="4"/>
      <c r="AF1646" s="4"/>
      <c r="AG1646" s="4" t="b">
        <v>0</v>
      </c>
      <c r="AH1646" s="4" t="s">
        <v>4789</v>
      </c>
      <c r="AI1646" s="4"/>
      <c r="AJ1646" s="4"/>
      <c r="AK1646" s="4"/>
      <c r="AL1646" s="4"/>
      <c r="AM1646" s="4"/>
      <c r="AN1646" s="5">
        <v>39311</v>
      </c>
      <c r="AO1646" s="4">
        <v>3</v>
      </c>
      <c r="AP1646" s="5">
        <v>40724</v>
      </c>
      <c r="AQ1646" s="5">
        <v>40947</v>
      </c>
      <c r="AR1646" s="4"/>
      <c r="AS1646" s="4"/>
      <c r="AT1646" s="5">
        <v>39407</v>
      </c>
      <c r="AU1646" s="5">
        <v>39407</v>
      </c>
      <c r="AV1646" s="4">
        <v>1</v>
      </c>
      <c r="AW1646" s="5">
        <v>40728</v>
      </c>
      <c r="AX1646" s="5">
        <v>40728</v>
      </c>
      <c r="AY1646" s="4"/>
      <c r="AZ1646" s="4"/>
      <c r="BA1646" s="5">
        <v>40728</v>
      </c>
      <c r="BB1646" s="5">
        <v>39506</v>
      </c>
      <c r="BC1646" s="5">
        <v>40728</v>
      </c>
      <c r="BD1646" s="4">
        <v>2</v>
      </c>
      <c r="BE1646" s="5">
        <v>40728</v>
      </c>
      <c r="BF1646" s="5">
        <v>40728</v>
      </c>
      <c r="BG1646" s="4"/>
      <c r="BH1646" s="5">
        <v>39489</v>
      </c>
      <c r="BI1646" s="4"/>
      <c r="BJ1646" s="5">
        <v>39568</v>
      </c>
      <c r="BK1646" s="4">
        <v>3</v>
      </c>
      <c r="BL1646" s="4">
        <v>2</v>
      </c>
      <c r="BM1646" s="5">
        <v>39681</v>
      </c>
      <c r="BN1646" s="5">
        <v>39681</v>
      </c>
      <c r="BO1646" s="4"/>
      <c r="BP1646" s="4"/>
      <c r="BQ1646" s="4"/>
      <c r="BR1646" s="4"/>
      <c r="BS1646" s="4"/>
      <c r="BT1646" s="4"/>
      <c r="BU1646" s="5">
        <v>39583</v>
      </c>
      <c r="BV1646" s="5">
        <v>39598</v>
      </c>
      <c r="BW1646" s="5">
        <v>39598</v>
      </c>
      <c r="BX1646" s="4"/>
      <c r="BY1646" s="5">
        <v>39605</v>
      </c>
      <c r="BZ1646" s="5">
        <v>39605</v>
      </c>
      <c r="CA1646" s="4"/>
      <c r="CB1646" s="4"/>
      <c r="CC1646" s="4"/>
      <c r="CD1646" s="4"/>
      <c r="CE1646" s="4"/>
      <c r="CF1646" s="4"/>
      <c r="CG1646" s="4"/>
      <c r="CH1646" s="4"/>
      <c r="CI1646" s="5">
        <v>39779</v>
      </c>
      <c r="CJ1646" s="5">
        <v>39813</v>
      </c>
      <c r="CK1646" s="5">
        <v>39779</v>
      </c>
      <c r="CL1646" s="4"/>
      <c r="CM1646" s="4"/>
      <c r="CN1646" s="4"/>
      <c r="CO1646" s="4"/>
      <c r="CP1646" s="4" t="s">
        <v>4966</v>
      </c>
      <c r="CQ1646" s="4"/>
      <c r="CR1646" s="4"/>
      <c r="CS1646" s="4"/>
      <c r="CT1646" s="4"/>
      <c r="CU1646" s="4"/>
      <c r="CV1646" s="4"/>
      <c r="CW1646" s="4"/>
      <c r="CX1646" s="4"/>
      <c r="CY1646" s="4"/>
      <c r="CZ1646" s="4"/>
      <c r="DA1646" s="4"/>
      <c r="DB1646" s="4"/>
      <c r="DC1646" s="4"/>
      <c r="DD1646" s="4"/>
      <c r="DE1646" s="4"/>
      <c r="DF1646" s="4"/>
      <c r="DG1646" s="4"/>
      <c r="DH1646" s="4"/>
      <c r="DI1646" s="4"/>
      <c r="DJ1646" s="4" t="b">
        <v>0</v>
      </c>
      <c r="DK1646" s="4"/>
      <c r="DL1646" s="4">
        <v>2659030</v>
      </c>
      <c r="DM1646" s="4">
        <v>5990925</v>
      </c>
      <c r="DN1646" s="4" t="s">
        <v>4967</v>
      </c>
      <c r="DO1646" s="4"/>
      <c r="DP1646" s="4"/>
      <c r="DQ1646" s="4" t="s">
        <v>148</v>
      </c>
      <c r="DR1646" s="4"/>
      <c r="DS1646" s="4"/>
      <c r="DT1646" s="5">
        <v>41883</v>
      </c>
      <c r="DU1646" s="4"/>
      <c r="DV1646" s="4"/>
      <c r="DW1646" s="4"/>
      <c r="DX1646" s="4"/>
      <c r="DY1646" s="4"/>
      <c r="DZ1646" s="5">
        <v>39569</v>
      </c>
      <c r="EA1646" s="4"/>
      <c r="EB1646" s="4"/>
      <c r="EC1646" s="4"/>
      <c r="ED1646" s="4"/>
      <c r="EE1646" s="4"/>
      <c r="EF1646" s="4"/>
      <c r="EG1646" s="4"/>
      <c r="EH1646" s="4"/>
      <c r="EI1646" s="5">
        <v>39286</v>
      </c>
    </row>
    <row r="1647" spans="1:139" hidden="1" x14ac:dyDescent="0.2">
      <c r="A1647">
        <f>VLOOKUP(B1647,Sheet1!$A$1:$B$18,2,FALSE)</f>
        <v>0</v>
      </c>
      <c r="B1647" t="str">
        <f>LEFT(D1647,3)</f>
        <v>WLG</v>
      </c>
      <c r="C1647" s="2">
        <v>1646</v>
      </c>
      <c r="D1647" s="3" t="str">
        <f>HYPERLINK("https://sitebase.nzcomms.co.nz/spm/spmnominalview/WLG-047-038/","WLG-047-038")</f>
        <v>WLG-047-038</v>
      </c>
      <c r="E1647" s="4"/>
      <c r="F1647" s="3" t="str">
        <f>HYPERLINK("https://sitebase.nzcomms.co.nz/spm/spmcandidateview/WLG-047-038-C/","WLG-047-038-C")</f>
        <v>WLG-047-038-C</v>
      </c>
      <c r="G1647" s="4" t="s">
        <v>4968</v>
      </c>
      <c r="H1647" s="4" t="s">
        <v>4871</v>
      </c>
      <c r="I1647" s="4"/>
      <c r="J1647" s="4" t="s">
        <v>139</v>
      </c>
      <c r="K1647" s="4" t="s">
        <v>141</v>
      </c>
      <c r="L1647" s="4" t="s">
        <v>181</v>
      </c>
      <c r="M1647" s="4" t="s">
        <v>378</v>
      </c>
      <c r="N1647" s="4" t="s">
        <v>364</v>
      </c>
      <c r="O1647" s="4" t="s">
        <v>144</v>
      </c>
      <c r="P1647" s="4"/>
      <c r="Q1647" s="4"/>
      <c r="R1647" s="4">
        <v>48.6</v>
      </c>
      <c r="S1647" s="4">
        <v>48.6</v>
      </c>
      <c r="T1647" s="4"/>
      <c r="U1647" s="4">
        <v>-41.280281330000001</v>
      </c>
      <c r="V1647" s="4">
        <v>174.77624291999999</v>
      </c>
      <c r="W1647" s="4"/>
      <c r="X1647" s="4"/>
      <c r="Y1647" s="4"/>
      <c r="Z1647" s="4"/>
      <c r="AA1647" s="4" t="s">
        <v>217</v>
      </c>
      <c r="AB1647" s="4" t="s">
        <v>4969</v>
      </c>
      <c r="AC1647" s="4"/>
      <c r="AD1647" s="4"/>
      <c r="AE1647" s="4"/>
      <c r="AF1647" s="4"/>
      <c r="AG1647" s="4"/>
      <c r="AH1647" s="4" t="s">
        <v>4789</v>
      </c>
      <c r="AI1647" s="4"/>
      <c r="AJ1647" s="4"/>
      <c r="AK1647" s="4"/>
      <c r="AL1647" s="4"/>
      <c r="AM1647" s="4"/>
      <c r="AN1647" s="5">
        <v>39416</v>
      </c>
      <c r="AO1647" s="4">
        <v>1</v>
      </c>
      <c r="AP1647" s="4"/>
      <c r="AQ1647" s="5">
        <v>39416</v>
      </c>
      <c r="AR1647" s="4"/>
      <c r="AS1647" s="4"/>
      <c r="AT1647" s="5">
        <v>39498</v>
      </c>
      <c r="AU1647" s="5">
        <v>39498</v>
      </c>
      <c r="AV1647" s="4">
        <v>1</v>
      </c>
      <c r="AW1647" s="5">
        <v>39498</v>
      </c>
      <c r="AX1647" s="5">
        <v>39498</v>
      </c>
      <c r="AY1647" s="4"/>
      <c r="AZ1647" s="4"/>
      <c r="BA1647" s="4"/>
      <c r="BB1647" s="5">
        <v>39518</v>
      </c>
      <c r="BC1647" s="4"/>
      <c r="BD1647" s="4"/>
      <c r="BE1647" s="5">
        <v>39518</v>
      </c>
      <c r="BF1647" s="5">
        <v>39518</v>
      </c>
      <c r="BG1647" s="4"/>
      <c r="BH1647" s="5">
        <v>39489</v>
      </c>
      <c r="BI1647" s="4"/>
      <c r="BJ1647" s="5">
        <v>39568</v>
      </c>
      <c r="BK1647" s="4">
        <v>2</v>
      </c>
      <c r="BL1647" s="4">
        <v>1</v>
      </c>
      <c r="BM1647" s="5">
        <v>39576</v>
      </c>
      <c r="BN1647" s="5">
        <v>39576</v>
      </c>
      <c r="BO1647" s="4"/>
      <c r="BP1647" s="4"/>
      <c r="BQ1647" s="4"/>
      <c r="BR1647" s="4"/>
      <c r="BS1647" s="4"/>
      <c r="BT1647" s="4"/>
      <c r="BU1647" s="5">
        <v>39602</v>
      </c>
      <c r="BV1647" s="5">
        <v>39629</v>
      </c>
      <c r="BW1647" s="5">
        <v>39626</v>
      </c>
      <c r="BX1647" s="4"/>
      <c r="BY1647" s="5">
        <v>39682</v>
      </c>
      <c r="BZ1647" s="5">
        <v>39687</v>
      </c>
      <c r="CA1647" s="4"/>
      <c r="CB1647" s="4"/>
      <c r="CC1647" s="4"/>
      <c r="CD1647" s="4"/>
      <c r="CE1647" s="4"/>
      <c r="CF1647" s="4"/>
      <c r="CG1647" s="4"/>
      <c r="CH1647" s="4"/>
      <c r="CI1647" s="5">
        <v>39787</v>
      </c>
      <c r="CJ1647" s="5">
        <v>39802</v>
      </c>
      <c r="CK1647" s="5">
        <v>39787</v>
      </c>
      <c r="CL1647" s="4"/>
      <c r="CM1647" s="4"/>
      <c r="CN1647" s="4"/>
      <c r="CO1647" s="4"/>
      <c r="CP1647" s="4" t="s">
        <v>4970</v>
      </c>
      <c r="CQ1647" s="4"/>
      <c r="CR1647" s="5">
        <v>39788</v>
      </c>
      <c r="CS1647" s="4"/>
      <c r="CT1647" s="4"/>
      <c r="CU1647" s="4"/>
      <c r="CV1647" s="4"/>
      <c r="CW1647" s="4"/>
      <c r="CX1647" s="4"/>
      <c r="CY1647" s="4"/>
      <c r="CZ1647" s="4"/>
      <c r="DA1647" s="4"/>
      <c r="DB1647" s="4"/>
      <c r="DC1647" s="4"/>
      <c r="DD1647" s="4"/>
      <c r="DE1647" s="4"/>
      <c r="DF1647" s="4"/>
      <c r="DG1647" s="4"/>
      <c r="DH1647" s="4"/>
      <c r="DI1647" s="4"/>
      <c r="DJ1647" s="4" t="b">
        <v>0</v>
      </c>
      <c r="DK1647" s="4"/>
      <c r="DL1647" s="4">
        <v>2658775</v>
      </c>
      <c r="DM1647" s="4">
        <v>5990319</v>
      </c>
      <c r="DN1647" s="4" t="s">
        <v>4971</v>
      </c>
      <c r="DO1647" s="4"/>
      <c r="DP1647" s="4"/>
      <c r="DQ1647" s="4" t="s">
        <v>148</v>
      </c>
      <c r="DR1647" s="4"/>
      <c r="DS1647" s="4"/>
      <c r="DT1647" s="5">
        <v>41883</v>
      </c>
      <c r="DU1647" s="4"/>
      <c r="DV1647" s="4"/>
      <c r="DW1647" s="4"/>
      <c r="DX1647" s="4"/>
      <c r="DY1647" s="4"/>
      <c r="DZ1647" s="5">
        <v>39569</v>
      </c>
      <c r="EA1647" s="4"/>
      <c r="EB1647" s="4"/>
      <c r="EC1647" s="4"/>
      <c r="ED1647" s="4"/>
      <c r="EE1647" s="4"/>
      <c r="EF1647" s="4"/>
      <c r="EG1647" s="4"/>
      <c r="EH1647" s="4"/>
      <c r="EI1647" s="5">
        <v>39373</v>
      </c>
    </row>
    <row r="1648" spans="1:139" hidden="1" x14ac:dyDescent="0.2">
      <c r="A1648">
        <f>VLOOKUP(B1648,Sheet1!$A$1:$B$18,2,FALSE)</f>
        <v>0</v>
      </c>
      <c r="B1648" t="str">
        <f>LEFT(D1648,3)</f>
        <v>WLG</v>
      </c>
      <c r="C1648" s="2">
        <v>1647</v>
      </c>
      <c r="D1648" s="3" t="str">
        <f>HYPERLINK("https://sitebase.nzcomms.co.nz/spm/spmnominalview/WLG-047-039/","WLG-047-039")</f>
        <v>WLG-047-039</v>
      </c>
      <c r="E1648" s="4" t="s">
        <v>4972</v>
      </c>
      <c r="F1648" s="3" t="str">
        <f>HYPERLINK("https://sitebase.nzcomms.co.nz/spm/spmcandidateview/WLG-047-039-G/","WLG-047-039-G")</f>
        <v>WLG-047-039-G</v>
      </c>
      <c r="G1648" s="4" t="s">
        <v>4973</v>
      </c>
      <c r="H1648" s="4" t="s">
        <v>4871</v>
      </c>
      <c r="I1648" s="4">
        <v>6</v>
      </c>
      <c r="J1648" s="4" t="s">
        <v>194</v>
      </c>
      <c r="K1648" s="4" t="s">
        <v>141</v>
      </c>
      <c r="L1648" s="4" t="s">
        <v>325</v>
      </c>
      <c r="M1648" s="4" t="s">
        <v>463</v>
      </c>
      <c r="N1648" s="4" t="s">
        <v>181</v>
      </c>
      <c r="O1648" s="4" t="s">
        <v>144</v>
      </c>
      <c r="P1648" s="4" t="s">
        <v>169</v>
      </c>
      <c r="Q1648" s="4" t="s">
        <v>170</v>
      </c>
      <c r="R1648" s="4">
        <v>26.8</v>
      </c>
      <c r="S1648" s="4">
        <v>27.3</v>
      </c>
      <c r="T1648" s="4">
        <v>1</v>
      </c>
      <c r="U1648" s="4">
        <v>-41.274056080000001</v>
      </c>
      <c r="V1648" s="4">
        <v>174.78572130000001</v>
      </c>
      <c r="W1648" s="4"/>
      <c r="X1648" s="4"/>
      <c r="Y1648" s="4"/>
      <c r="Z1648" s="4"/>
      <c r="AA1648" s="4" t="s">
        <v>171</v>
      </c>
      <c r="AB1648" s="3" t="str">
        <f>HYPERLINK("https://sitebase.nzcomms.co.nz/spm/spmcandidateview/WLG-047-037-A/","WLG-047-037-A")</f>
        <v>WLG-047-037-A</v>
      </c>
      <c r="AC1648" s="4" t="b">
        <v>0</v>
      </c>
      <c r="AD1648" s="4" t="b">
        <v>0</v>
      </c>
      <c r="AE1648" s="4"/>
      <c r="AF1648" s="4"/>
      <c r="AG1648" s="4" t="b">
        <v>0</v>
      </c>
      <c r="AH1648" s="4"/>
      <c r="AI1648" s="5">
        <v>40627</v>
      </c>
      <c r="AJ1648" s="5">
        <v>40626</v>
      </c>
      <c r="AK1648" s="5">
        <v>40653</v>
      </c>
      <c r="AL1648" s="5">
        <v>40660</v>
      </c>
      <c r="AM1648" s="5">
        <v>40680</v>
      </c>
      <c r="AN1648" s="5">
        <v>40680</v>
      </c>
      <c r="AO1648" s="4">
        <v>1</v>
      </c>
      <c r="AP1648" s="5">
        <v>40680</v>
      </c>
      <c r="AQ1648" s="5">
        <v>40680</v>
      </c>
      <c r="AR1648" s="4"/>
      <c r="AS1648" s="5">
        <v>40697</v>
      </c>
      <c r="AT1648" s="5">
        <v>40722</v>
      </c>
      <c r="AU1648" s="5">
        <v>40717</v>
      </c>
      <c r="AV1648" s="4">
        <v>1</v>
      </c>
      <c r="AW1648" s="4"/>
      <c r="AX1648" s="5">
        <v>40725</v>
      </c>
      <c r="AY1648" s="4" t="s">
        <v>172</v>
      </c>
      <c r="AZ1648" s="5">
        <v>40687</v>
      </c>
      <c r="BA1648" s="5">
        <v>40687</v>
      </c>
      <c r="BB1648" s="5">
        <v>40730</v>
      </c>
      <c r="BC1648" s="5">
        <v>40728</v>
      </c>
      <c r="BD1648" s="4">
        <v>1</v>
      </c>
      <c r="BE1648" s="4"/>
      <c r="BF1648" s="5">
        <v>40728</v>
      </c>
      <c r="BG1648" s="4"/>
      <c r="BH1648" s="4"/>
      <c r="BI1648" s="5">
        <v>40697</v>
      </c>
      <c r="BJ1648" s="5">
        <v>40704</v>
      </c>
      <c r="BK1648" s="4">
        <v>1</v>
      </c>
      <c r="BL1648" s="4"/>
      <c r="BM1648" s="5">
        <v>40731</v>
      </c>
      <c r="BN1648" s="5">
        <v>40704</v>
      </c>
      <c r="BO1648" s="5">
        <v>40742</v>
      </c>
      <c r="BP1648" s="4"/>
      <c r="BQ1648" s="4"/>
      <c r="BR1648" s="4"/>
      <c r="BS1648" s="4"/>
      <c r="BT1648" s="5">
        <v>40715</v>
      </c>
      <c r="BU1648" s="5">
        <v>40725</v>
      </c>
      <c r="BV1648" s="5">
        <v>40745</v>
      </c>
      <c r="BW1648" s="5">
        <v>40738</v>
      </c>
      <c r="BX1648" s="5">
        <v>40738</v>
      </c>
      <c r="BY1648" s="5">
        <v>40744</v>
      </c>
      <c r="BZ1648" s="5">
        <v>40774</v>
      </c>
      <c r="CA1648" s="4"/>
      <c r="CB1648" s="4"/>
      <c r="CC1648" s="4"/>
      <c r="CD1648" s="4"/>
      <c r="CE1648" s="4"/>
      <c r="CF1648" s="4"/>
      <c r="CG1648" s="4"/>
      <c r="CH1648" s="4"/>
      <c r="CI1648" s="5">
        <v>40774</v>
      </c>
      <c r="CJ1648" s="5">
        <v>40785</v>
      </c>
      <c r="CK1648" s="5">
        <v>40785</v>
      </c>
      <c r="CL1648" s="5">
        <v>40807</v>
      </c>
      <c r="CM1648" s="5">
        <v>40847</v>
      </c>
      <c r="CN1648" s="5">
        <v>40938</v>
      </c>
      <c r="CO1648" s="5">
        <v>41089</v>
      </c>
      <c r="CP1648" s="4" t="s">
        <v>4974</v>
      </c>
      <c r="CQ1648" s="4"/>
      <c r="CR1648" s="5">
        <v>40751</v>
      </c>
      <c r="CS1648" s="4"/>
      <c r="CT1648" s="5">
        <v>40730</v>
      </c>
      <c r="CU1648" s="5">
        <v>40760</v>
      </c>
      <c r="CV1648" s="5">
        <v>40742</v>
      </c>
      <c r="CW1648" s="4"/>
      <c r="CX1648" s="5">
        <v>40742</v>
      </c>
      <c r="CY1648" s="5">
        <v>40746</v>
      </c>
      <c r="CZ1648" s="5">
        <v>40774</v>
      </c>
      <c r="DA1648" s="4"/>
      <c r="DB1648" s="4"/>
      <c r="DC1648" s="4"/>
      <c r="DD1648" s="4"/>
      <c r="DE1648" s="4"/>
      <c r="DF1648" s="4"/>
      <c r="DG1648" s="4"/>
      <c r="DH1648" s="4"/>
      <c r="DI1648" s="4"/>
      <c r="DJ1648" s="4" t="b">
        <v>0</v>
      </c>
      <c r="DK1648" s="4"/>
      <c r="DL1648" s="4">
        <v>2659583</v>
      </c>
      <c r="DM1648" s="4">
        <v>5990994</v>
      </c>
      <c r="DN1648" s="4" t="s">
        <v>4975</v>
      </c>
      <c r="DO1648" s="4"/>
      <c r="DP1648" s="4" t="s">
        <v>4976</v>
      </c>
      <c r="DQ1648" s="4" t="s">
        <v>148</v>
      </c>
      <c r="DR1648" s="4"/>
      <c r="DS1648" s="4"/>
      <c r="DT1648" s="5">
        <v>41883</v>
      </c>
      <c r="DU1648" s="4"/>
      <c r="DV1648" s="4"/>
      <c r="DW1648" s="4"/>
      <c r="DX1648" s="4"/>
      <c r="DY1648" s="4"/>
      <c r="DZ1648" s="4"/>
      <c r="EA1648" s="4"/>
      <c r="EB1648" s="4"/>
      <c r="EC1648" s="4"/>
      <c r="ED1648" s="4"/>
      <c r="EE1648" s="4"/>
      <c r="EF1648" s="4"/>
      <c r="EG1648" s="5">
        <v>40766</v>
      </c>
      <c r="EH1648" s="5">
        <v>40793</v>
      </c>
      <c r="EI1648" s="4"/>
    </row>
    <row r="1649" spans="1:139" hidden="1" x14ac:dyDescent="0.2">
      <c r="A1649">
        <f>VLOOKUP(B1649,Sheet1!$A$1:$B$18,2,FALSE)</f>
        <v>0</v>
      </c>
      <c r="B1649" t="str">
        <f>LEFT(D1649,3)</f>
        <v>WLG</v>
      </c>
      <c r="C1649" s="2">
        <v>1648</v>
      </c>
      <c r="D1649" s="3" t="str">
        <f>HYPERLINK("https://sitebase.nzcomms.co.nz/spm/spmnominalview/WLG-047-040/","WLG-047-040")</f>
        <v>WLG-047-040</v>
      </c>
      <c r="E1649" s="4"/>
      <c r="F1649" s="3" t="str">
        <f>HYPERLINK("https://sitebase.nzcomms.co.nz/spm/spmcandidateview/WLG-047-040-A/","WLG-047-040-A")</f>
        <v>WLG-047-040-A</v>
      </c>
      <c r="G1649" s="4" t="s">
        <v>4977</v>
      </c>
      <c r="H1649" s="4" t="s">
        <v>4871</v>
      </c>
      <c r="I1649" s="4">
        <v>7</v>
      </c>
      <c r="J1649" s="4" t="s">
        <v>139</v>
      </c>
      <c r="K1649" s="4" t="s">
        <v>141</v>
      </c>
      <c r="L1649" s="4" t="s">
        <v>181</v>
      </c>
      <c r="M1649" s="4" t="s">
        <v>378</v>
      </c>
      <c r="N1649" s="4" t="s">
        <v>364</v>
      </c>
      <c r="O1649" s="4" t="s">
        <v>144</v>
      </c>
      <c r="P1649" s="4"/>
      <c r="Q1649" s="4"/>
      <c r="R1649" s="4">
        <v>75</v>
      </c>
      <c r="S1649" s="4">
        <v>75</v>
      </c>
      <c r="T1649" s="4"/>
      <c r="U1649" s="4">
        <v>-41.280525619999999</v>
      </c>
      <c r="V1649" s="4">
        <v>174.77499587</v>
      </c>
      <c r="W1649" s="4"/>
      <c r="X1649" s="4"/>
      <c r="Y1649" s="4"/>
      <c r="Z1649" s="4"/>
      <c r="AA1649" s="4" t="s">
        <v>217</v>
      </c>
      <c r="AB1649" s="4" t="s">
        <v>4965</v>
      </c>
      <c r="AC1649" s="4" t="b">
        <v>0</v>
      </c>
      <c r="AD1649" s="4" t="b">
        <v>0</v>
      </c>
      <c r="AE1649" s="4"/>
      <c r="AF1649" s="4"/>
      <c r="AG1649" s="4" t="b">
        <v>0</v>
      </c>
      <c r="AH1649" s="4" t="s">
        <v>4943</v>
      </c>
      <c r="AI1649" s="4"/>
      <c r="AJ1649" s="4"/>
      <c r="AK1649" s="4"/>
      <c r="AL1649" s="4"/>
      <c r="AM1649" s="4"/>
      <c r="AN1649" s="5">
        <v>39476</v>
      </c>
      <c r="AO1649" s="4">
        <v>2</v>
      </c>
      <c r="AP1649" s="5">
        <v>40767</v>
      </c>
      <c r="AQ1649" s="5">
        <v>40879</v>
      </c>
      <c r="AR1649" s="4"/>
      <c r="AS1649" s="4"/>
      <c r="AT1649" s="5">
        <v>39599</v>
      </c>
      <c r="AU1649" s="5">
        <v>39598</v>
      </c>
      <c r="AV1649" s="4">
        <v>1</v>
      </c>
      <c r="AW1649" s="5">
        <v>41033</v>
      </c>
      <c r="AX1649" s="5">
        <v>41036</v>
      </c>
      <c r="AY1649" s="4"/>
      <c r="AZ1649" s="4"/>
      <c r="BA1649" s="5">
        <v>40760</v>
      </c>
      <c r="BB1649" s="5">
        <v>39587</v>
      </c>
      <c r="BC1649" s="5">
        <v>40760</v>
      </c>
      <c r="BD1649" s="4">
        <v>2</v>
      </c>
      <c r="BE1649" s="5">
        <v>40760</v>
      </c>
      <c r="BF1649" s="5">
        <v>40760</v>
      </c>
      <c r="BG1649" s="4"/>
      <c r="BH1649" s="5">
        <v>39548</v>
      </c>
      <c r="BI1649" s="4"/>
      <c r="BJ1649" s="5">
        <v>39610</v>
      </c>
      <c r="BK1649" s="4">
        <v>3</v>
      </c>
      <c r="BL1649" s="4"/>
      <c r="BM1649" s="5">
        <v>39610</v>
      </c>
      <c r="BN1649" s="5">
        <v>40988</v>
      </c>
      <c r="BO1649" s="4"/>
      <c r="BP1649" s="4"/>
      <c r="BQ1649" s="4"/>
      <c r="BR1649" s="4"/>
      <c r="BS1649" s="4"/>
      <c r="BT1649" s="4"/>
      <c r="BU1649" s="5">
        <v>39641</v>
      </c>
      <c r="BV1649" s="5">
        <v>39689</v>
      </c>
      <c r="BW1649" s="5">
        <v>39679</v>
      </c>
      <c r="BX1649" s="4"/>
      <c r="BY1649" s="5">
        <v>39689</v>
      </c>
      <c r="BZ1649" s="5">
        <v>39692</v>
      </c>
      <c r="CA1649" s="4"/>
      <c r="CB1649" s="4"/>
      <c r="CC1649" s="4"/>
      <c r="CD1649" s="4"/>
      <c r="CE1649" s="4"/>
      <c r="CF1649" s="4"/>
      <c r="CG1649" s="4"/>
      <c r="CH1649" s="4"/>
      <c r="CI1649" s="5">
        <v>39784</v>
      </c>
      <c r="CJ1649" s="5">
        <v>39802</v>
      </c>
      <c r="CK1649" s="5">
        <v>39784</v>
      </c>
      <c r="CL1649" s="4"/>
      <c r="CM1649" s="4"/>
      <c r="CN1649" s="4"/>
      <c r="CO1649" s="4"/>
      <c r="CP1649" s="4" t="s">
        <v>405</v>
      </c>
      <c r="CQ1649" s="4"/>
      <c r="CR1649" s="5">
        <v>39788</v>
      </c>
      <c r="CS1649" s="4"/>
      <c r="CT1649" s="4"/>
      <c r="CU1649" s="4"/>
      <c r="CV1649" s="4"/>
      <c r="CW1649" s="4"/>
      <c r="CX1649" s="4"/>
      <c r="CY1649" s="4"/>
      <c r="CZ1649" s="4"/>
      <c r="DA1649" s="4"/>
      <c r="DB1649" s="4"/>
      <c r="DC1649" s="4"/>
      <c r="DD1649" s="4"/>
      <c r="DE1649" s="4"/>
      <c r="DF1649" s="4"/>
      <c r="DG1649" s="4"/>
      <c r="DH1649" s="4"/>
      <c r="DI1649" s="4"/>
      <c r="DJ1649" s="4" t="b">
        <v>0</v>
      </c>
      <c r="DK1649" s="4"/>
      <c r="DL1649" s="4">
        <v>2658670</v>
      </c>
      <c r="DM1649" s="4">
        <v>5990294</v>
      </c>
      <c r="DN1649" s="4" t="s">
        <v>4978</v>
      </c>
      <c r="DO1649" s="4"/>
      <c r="DP1649" s="4"/>
      <c r="DQ1649" s="4" t="s">
        <v>148</v>
      </c>
      <c r="DR1649" s="4"/>
      <c r="DS1649" s="4"/>
      <c r="DT1649" s="5">
        <v>41883</v>
      </c>
      <c r="DU1649" s="4"/>
      <c r="DV1649" s="4"/>
      <c r="DW1649" s="4"/>
      <c r="DX1649" s="4"/>
      <c r="DY1649" s="4"/>
      <c r="DZ1649" s="5">
        <v>39611</v>
      </c>
      <c r="EA1649" s="4"/>
      <c r="EB1649" s="4"/>
      <c r="EC1649" s="4"/>
      <c r="ED1649" s="4"/>
      <c r="EE1649" s="4"/>
      <c r="EF1649" s="4"/>
      <c r="EG1649" s="4"/>
      <c r="EH1649" s="4"/>
      <c r="EI1649" s="5">
        <v>39283</v>
      </c>
    </row>
    <row r="1650" spans="1:139" hidden="1" x14ac:dyDescent="0.2">
      <c r="A1650">
        <f>VLOOKUP(B1650,Sheet1!$A$1:$B$18,2,FALSE)</f>
        <v>0</v>
      </c>
      <c r="B1650" t="str">
        <f>LEFT(D1650,3)</f>
        <v>WLG</v>
      </c>
      <c r="C1650" s="2">
        <v>1649</v>
      </c>
      <c r="D1650" s="3" t="str">
        <f>HYPERLINK("https://sitebase.nzcomms.co.nz/spm/spmnominalview/WLG-047-041/","WLG-047-041")</f>
        <v>WLG-047-041</v>
      </c>
      <c r="E1650" s="4"/>
      <c r="F1650" s="3" t="str">
        <f>HYPERLINK("https://sitebase.nzcomms.co.nz/spm/spmcandidateview/WLG-047-041-C/","WLG-047-041-C")</f>
        <v>WLG-047-041-C</v>
      </c>
      <c r="G1650" s="4" t="s">
        <v>4979</v>
      </c>
      <c r="H1650" s="4" t="s">
        <v>4871</v>
      </c>
      <c r="I1650" s="4"/>
      <c r="J1650" s="4" t="s">
        <v>139</v>
      </c>
      <c r="K1650" s="4" t="s">
        <v>141</v>
      </c>
      <c r="L1650" s="4" t="s">
        <v>181</v>
      </c>
      <c r="M1650" s="4" t="s">
        <v>378</v>
      </c>
      <c r="N1650" s="4" t="s">
        <v>364</v>
      </c>
      <c r="O1650" s="4" t="s">
        <v>144</v>
      </c>
      <c r="P1650" s="4"/>
      <c r="Q1650" s="4"/>
      <c r="R1650" s="4">
        <v>35.799999999999997</v>
      </c>
      <c r="S1650" s="4">
        <v>35.799999999999997</v>
      </c>
      <c r="T1650" s="4"/>
      <c r="U1650" s="4">
        <v>-41.281755490000002</v>
      </c>
      <c r="V1650" s="4">
        <v>174.77760792000001</v>
      </c>
      <c r="W1650" s="4"/>
      <c r="X1650" s="4"/>
      <c r="Y1650" s="4"/>
      <c r="Z1650" s="4"/>
      <c r="AA1650" s="4" t="s">
        <v>217</v>
      </c>
      <c r="AB1650" s="4" t="s">
        <v>4980</v>
      </c>
      <c r="AC1650" s="4"/>
      <c r="AD1650" s="4"/>
      <c r="AE1650" s="4"/>
      <c r="AF1650" s="4"/>
      <c r="AG1650" s="4"/>
      <c r="AH1650" s="4" t="s">
        <v>4789</v>
      </c>
      <c r="AI1650" s="4"/>
      <c r="AJ1650" s="4"/>
      <c r="AK1650" s="4"/>
      <c r="AL1650" s="4"/>
      <c r="AM1650" s="4"/>
      <c r="AN1650" s="5">
        <v>39392</v>
      </c>
      <c r="AO1650" s="4">
        <v>1</v>
      </c>
      <c r="AP1650" s="4"/>
      <c r="AQ1650" s="5">
        <v>39392</v>
      </c>
      <c r="AR1650" s="4"/>
      <c r="AS1650" s="4"/>
      <c r="AT1650" s="5">
        <v>39568</v>
      </c>
      <c r="AU1650" s="5">
        <v>39568</v>
      </c>
      <c r="AV1650" s="4">
        <v>1</v>
      </c>
      <c r="AW1650" s="5">
        <v>39568</v>
      </c>
      <c r="AX1650" s="5">
        <v>39568</v>
      </c>
      <c r="AY1650" s="4"/>
      <c r="AZ1650" s="4"/>
      <c r="BA1650" s="4"/>
      <c r="BB1650" s="5">
        <v>39575</v>
      </c>
      <c r="BC1650" s="4"/>
      <c r="BD1650" s="4"/>
      <c r="BE1650" s="5">
        <v>39575</v>
      </c>
      <c r="BF1650" s="5">
        <v>39575</v>
      </c>
      <c r="BG1650" s="4"/>
      <c r="BH1650" s="5">
        <v>39490</v>
      </c>
      <c r="BI1650" s="4"/>
      <c r="BJ1650" s="5">
        <v>39568</v>
      </c>
      <c r="BK1650" s="4">
        <v>2</v>
      </c>
      <c r="BL1650" s="4">
        <v>1</v>
      </c>
      <c r="BM1650" s="5">
        <v>39609</v>
      </c>
      <c r="BN1650" s="5">
        <v>39609</v>
      </c>
      <c r="BO1650" s="4"/>
      <c r="BP1650" s="4"/>
      <c r="BQ1650" s="4"/>
      <c r="BR1650" s="4"/>
      <c r="BS1650" s="4"/>
      <c r="BT1650" s="4"/>
      <c r="BU1650" s="5">
        <v>39639</v>
      </c>
      <c r="BV1650" s="5">
        <v>39675</v>
      </c>
      <c r="BW1650" s="5">
        <v>39675</v>
      </c>
      <c r="BX1650" s="4"/>
      <c r="BY1650" s="5">
        <v>39689</v>
      </c>
      <c r="BZ1650" s="5">
        <v>39679</v>
      </c>
      <c r="CA1650" s="4"/>
      <c r="CB1650" s="4"/>
      <c r="CC1650" s="4"/>
      <c r="CD1650" s="4"/>
      <c r="CE1650" s="4"/>
      <c r="CF1650" s="4"/>
      <c r="CG1650" s="4"/>
      <c r="CH1650" s="4"/>
      <c r="CI1650" s="5">
        <v>39786</v>
      </c>
      <c r="CJ1650" s="5">
        <v>39802</v>
      </c>
      <c r="CK1650" s="5">
        <v>39786</v>
      </c>
      <c r="CL1650" s="4"/>
      <c r="CM1650" s="4"/>
      <c r="CN1650" s="4"/>
      <c r="CO1650" s="4"/>
      <c r="CP1650" s="4" t="s">
        <v>4981</v>
      </c>
      <c r="CQ1650" s="4"/>
      <c r="CR1650" s="5">
        <v>39788</v>
      </c>
      <c r="CS1650" s="4"/>
      <c r="CT1650" s="4"/>
      <c r="CU1650" s="4"/>
      <c r="CV1650" s="4"/>
      <c r="CW1650" s="4"/>
      <c r="CX1650" s="4"/>
      <c r="CY1650" s="4"/>
      <c r="CZ1650" s="4"/>
      <c r="DA1650" s="4"/>
      <c r="DB1650" s="4"/>
      <c r="DC1650" s="4"/>
      <c r="DD1650" s="4"/>
      <c r="DE1650" s="4"/>
      <c r="DF1650" s="4"/>
      <c r="DG1650" s="4"/>
      <c r="DH1650" s="4"/>
      <c r="DI1650" s="4"/>
      <c r="DJ1650" s="4" t="b">
        <v>0</v>
      </c>
      <c r="DK1650" s="4"/>
      <c r="DL1650" s="4">
        <v>2658886</v>
      </c>
      <c r="DM1650" s="4">
        <v>5990153</v>
      </c>
      <c r="DN1650" s="4" t="s">
        <v>4982</v>
      </c>
      <c r="DO1650" s="4"/>
      <c r="DP1650" s="4"/>
      <c r="DQ1650" s="4" t="s">
        <v>148</v>
      </c>
      <c r="DR1650" s="4"/>
      <c r="DS1650" s="4"/>
      <c r="DT1650" s="5">
        <v>41883</v>
      </c>
      <c r="DU1650" s="4"/>
      <c r="DV1650" s="4"/>
      <c r="DW1650" s="4"/>
      <c r="DX1650" s="4"/>
      <c r="DY1650" s="4"/>
      <c r="DZ1650" s="5">
        <v>39576</v>
      </c>
      <c r="EA1650" s="4"/>
      <c r="EB1650" s="4"/>
      <c r="EC1650" s="4"/>
      <c r="ED1650" s="4"/>
      <c r="EE1650" s="4"/>
      <c r="EF1650" s="4"/>
      <c r="EG1650" s="4"/>
      <c r="EH1650" s="4"/>
      <c r="EI1650" s="5">
        <v>39314</v>
      </c>
    </row>
    <row r="1651" spans="1:139" hidden="1" x14ac:dyDescent="0.2">
      <c r="A1651">
        <f>VLOOKUP(B1651,Sheet1!$A$1:$B$18,2,FALSE)</f>
        <v>0</v>
      </c>
      <c r="B1651" t="str">
        <f>LEFT(D1651,3)</f>
        <v>WLG</v>
      </c>
      <c r="C1651" s="2">
        <v>1650</v>
      </c>
      <c r="D1651" s="3" t="str">
        <f>HYPERLINK("https://sitebase.nzcomms.co.nz/spm/spmnominalview/WLG-047-042/","WLG-047-042")</f>
        <v>WLG-047-042</v>
      </c>
      <c r="E1651" s="4"/>
      <c r="F1651" s="4"/>
      <c r="G1651" s="4"/>
      <c r="H1651" s="4" t="s">
        <v>4871</v>
      </c>
      <c r="I1651" s="4"/>
      <c r="J1651" s="4" t="s">
        <v>139</v>
      </c>
      <c r="K1651" s="4"/>
      <c r="L1651" s="4"/>
      <c r="M1651" s="4"/>
      <c r="N1651" s="4"/>
      <c r="O1651" s="4"/>
      <c r="P1651" s="4"/>
      <c r="Q1651" s="4"/>
      <c r="R1651" s="4"/>
      <c r="S1651" s="4"/>
      <c r="T1651" s="4"/>
      <c r="U1651" s="4"/>
      <c r="V1651" s="4"/>
      <c r="W1651" s="4"/>
      <c r="X1651" s="4"/>
      <c r="Y1651" s="4"/>
      <c r="Z1651" s="4"/>
      <c r="AA1651" s="4"/>
      <c r="AB1651" s="4"/>
      <c r="AC1651" s="4"/>
      <c r="AD1651" s="4"/>
      <c r="AE1651" s="4"/>
      <c r="AF1651" s="4"/>
      <c r="AG1651" s="4"/>
      <c r="AH1651" s="4"/>
      <c r="AI1651" s="4"/>
      <c r="AJ1651" s="4"/>
      <c r="AK1651" s="4"/>
      <c r="AL1651" s="4"/>
      <c r="AM1651" s="4"/>
      <c r="AN1651" s="4"/>
      <c r="AO1651" s="4"/>
      <c r="AP1651" s="4"/>
      <c r="AQ1651" s="4"/>
      <c r="AR1651" s="4"/>
      <c r="AS1651" s="4"/>
      <c r="AT1651" s="4"/>
      <c r="AU1651" s="4"/>
      <c r="AV1651" s="4"/>
      <c r="AW1651" s="4"/>
      <c r="AX1651" s="4"/>
      <c r="AY1651" s="4"/>
      <c r="AZ1651" s="4"/>
      <c r="BA1651" s="4"/>
      <c r="BB1651" s="4"/>
      <c r="BC1651" s="4"/>
      <c r="BD1651" s="4"/>
      <c r="BE1651" s="4"/>
      <c r="BF1651" s="4"/>
      <c r="BG1651" s="4"/>
      <c r="BH1651" s="4"/>
      <c r="BI1651" s="4"/>
      <c r="BJ1651" s="4"/>
      <c r="BK1651" s="4"/>
      <c r="BL1651" s="4"/>
      <c r="BM1651" s="4"/>
      <c r="BN1651" s="4"/>
      <c r="BO1651" s="4"/>
      <c r="BP1651" s="4"/>
      <c r="BQ1651" s="4"/>
      <c r="BR1651" s="4"/>
      <c r="BS1651" s="4"/>
      <c r="BT1651" s="4"/>
      <c r="BU1651" s="4"/>
      <c r="BV1651" s="4"/>
      <c r="BW1651" s="4"/>
      <c r="BX1651" s="4"/>
      <c r="BY1651" s="4"/>
      <c r="BZ1651" s="4"/>
      <c r="CA1651" s="4"/>
      <c r="CB1651" s="4"/>
      <c r="CC1651" s="4"/>
      <c r="CD1651" s="4"/>
      <c r="CE1651" s="4"/>
      <c r="CF1651" s="4"/>
      <c r="CG1651" s="4"/>
      <c r="CH1651" s="4"/>
      <c r="CI1651" s="4"/>
      <c r="CJ1651" s="4"/>
      <c r="CK1651" s="4"/>
      <c r="CL1651" s="4"/>
      <c r="CM1651" s="4"/>
      <c r="CN1651" s="4"/>
      <c r="CO1651" s="4"/>
      <c r="CP1651" s="4"/>
      <c r="CQ1651" s="4"/>
      <c r="CR1651" s="4"/>
      <c r="CS1651" s="4"/>
      <c r="CT1651" s="4"/>
      <c r="CU1651" s="4"/>
      <c r="CV1651" s="4"/>
      <c r="CW1651" s="4"/>
      <c r="CX1651" s="4"/>
      <c r="CY1651" s="4"/>
      <c r="CZ1651" s="4"/>
      <c r="DA1651" s="4"/>
      <c r="DB1651" s="4"/>
      <c r="DC1651" s="4"/>
      <c r="DD1651" s="4"/>
      <c r="DE1651" s="4"/>
      <c r="DF1651" s="4"/>
      <c r="DG1651" s="4"/>
      <c r="DH1651" s="4"/>
      <c r="DI1651" s="4"/>
      <c r="DJ1651" s="4"/>
      <c r="DK1651" s="4"/>
      <c r="DL1651" s="4"/>
      <c r="DM1651" s="4"/>
      <c r="DN1651" s="4"/>
      <c r="DO1651" s="4"/>
      <c r="DP1651" s="4"/>
      <c r="DQ1651" s="4"/>
      <c r="DR1651" s="4"/>
      <c r="DS1651" s="4"/>
      <c r="DT1651" s="4"/>
      <c r="DU1651" s="4"/>
      <c r="DV1651" s="4"/>
      <c r="DW1651" s="4"/>
      <c r="DX1651" s="4"/>
      <c r="DY1651" s="4"/>
      <c r="DZ1651" s="4"/>
      <c r="EA1651" s="4"/>
      <c r="EB1651" s="4"/>
      <c r="EC1651" s="4"/>
      <c r="ED1651" s="4"/>
      <c r="EE1651" s="4"/>
      <c r="EF1651" s="4"/>
      <c r="EG1651" s="4"/>
      <c r="EH1651" s="4"/>
      <c r="EI1651" s="4"/>
    </row>
    <row r="1652" spans="1:139" hidden="1" x14ac:dyDescent="0.2">
      <c r="A1652">
        <f>VLOOKUP(B1652,Sheet1!$A$1:$B$18,2,FALSE)</f>
        <v>0</v>
      </c>
      <c r="B1652" t="str">
        <f>LEFT(D1652,3)</f>
        <v>WLG</v>
      </c>
      <c r="C1652" s="2">
        <v>1651</v>
      </c>
      <c r="D1652" s="3" t="str">
        <f>HYPERLINK("https://sitebase.nzcomms.co.nz/spm/spmnominalview/WLG-047-043/","WLG-047-043")</f>
        <v>WLG-047-043</v>
      </c>
      <c r="E1652" s="4"/>
      <c r="F1652" s="3" t="str">
        <f>HYPERLINK("https://sitebase.nzcomms.co.nz/spm/spmcandidateview/WLG-047-043-G/","WLG-047-043-G")</f>
        <v>WLG-047-043-G</v>
      </c>
      <c r="G1652" s="4" t="s">
        <v>4983</v>
      </c>
      <c r="H1652" s="4" t="s">
        <v>4871</v>
      </c>
      <c r="I1652" s="4"/>
      <c r="J1652" s="4" t="s">
        <v>139</v>
      </c>
      <c r="K1652" s="4" t="s">
        <v>141</v>
      </c>
      <c r="L1652" s="4" t="s">
        <v>181</v>
      </c>
      <c r="M1652" s="4" t="s">
        <v>378</v>
      </c>
      <c r="N1652" s="4" t="s">
        <v>364</v>
      </c>
      <c r="O1652" s="4" t="s">
        <v>144</v>
      </c>
      <c r="P1652" s="4"/>
      <c r="Q1652" s="4"/>
      <c r="R1652" s="4">
        <v>34.799999999999997</v>
      </c>
      <c r="S1652" s="4">
        <v>34.799999999999997</v>
      </c>
      <c r="T1652" s="4"/>
      <c r="U1652" s="4">
        <v>-41.284573989999998</v>
      </c>
      <c r="V1652" s="4">
        <v>174.77529589</v>
      </c>
      <c r="W1652" s="4"/>
      <c r="X1652" s="4"/>
      <c r="Y1652" s="4"/>
      <c r="Z1652" s="4"/>
      <c r="AA1652" s="4"/>
      <c r="AB1652" s="4"/>
      <c r="AC1652" s="4"/>
      <c r="AD1652" s="4"/>
      <c r="AE1652" s="4"/>
      <c r="AF1652" s="4"/>
      <c r="AG1652" s="4"/>
      <c r="AH1652" s="4"/>
      <c r="AI1652" s="4"/>
      <c r="AJ1652" s="4"/>
      <c r="AK1652" s="4"/>
      <c r="AL1652" s="4"/>
      <c r="AM1652" s="5">
        <v>39860</v>
      </c>
      <c r="AN1652" s="5">
        <v>39860</v>
      </c>
      <c r="AO1652" s="4">
        <v>1</v>
      </c>
      <c r="AP1652" s="5">
        <v>39860</v>
      </c>
      <c r="AQ1652" s="5">
        <v>39860</v>
      </c>
      <c r="AR1652" s="4"/>
      <c r="AS1652" s="4"/>
      <c r="AT1652" s="5">
        <v>39872</v>
      </c>
      <c r="AU1652" s="5">
        <v>39800</v>
      </c>
      <c r="AV1652" s="4"/>
      <c r="AW1652" s="5">
        <v>39872</v>
      </c>
      <c r="AX1652" s="5">
        <v>39861</v>
      </c>
      <c r="AY1652" s="4"/>
      <c r="AZ1652" s="4"/>
      <c r="BA1652" s="4"/>
      <c r="BB1652" s="5">
        <v>39902</v>
      </c>
      <c r="BC1652" s="4"/>
      <c r="BD1652" s="4"/>
      <c r="BE1652" s="5">
        <v>39902</v>
      </c>
      <c r="BF1652" s="5">
        <v>39881</v>
      </c>
      <c r="BG1652" s="4"/>
      <c r="BH1652" s="5">
        <v>39868</v>
      </c>
      <c r="BI1652" s="4"/>
      <c r="BJ1652" s="5">
        <v>39931</v>
      </c>
      <c r="BK1652" s="4">
        <v>1</v>
      </c>
      <c r="BL1652" s="4">
        <v>1</v>
      </c>
      <c r="BM1652" s="5">
        <v>39931</v>
      </c>
      <c r="BN1652" s="5">
        <v>39931</v>
      </c>
      <c r="BO1652" s="4"/>
      <c r="BP1652" s="4"/>
      <c r="BQ1652" s="4"/>
      <c r="BR1652" s="4"/>
      <c r="BS1652" s="4"/>
      <c r="BT1652" s="5">
        <v>39966</v>
      </c>
      <c r="BU1652" s="5">
        <v>39970</v>
      </c>
      <c r="BV1652" s="5">
        <v>39983</v>
      </c>
      <c r="BW1652" s="5">
        <v>39975</v>
      </c>
      <c r="BX1652" s="4"/>
      <c r="BY1652" s="5">
        <v>39979</v>
      </c>
      <c r="BZ1652" s="5">
        <v>39979</v>
      </c>
      <c r="CA1652" s="4"/>
      <c r="CB1652" s="4"/>
      <c r="CC1652" s="4"/>
      <c r="CD1652" s="4"/>
      <c r="CE1652" s="4"/>
      <c r="CF1652" s="4"/>
      <c r="CG1652" s="4"/>
      <c r="CH1652" s="4"/>
      <c r="CI1652" s="5">
        <v>39983</v>
      </c>
      <c r="CJ1652" s="5">
        <v>39994</v>
      </c>
      <c r="CK1652" s="5">
        <v>39983</v>
      </c>
      <c r="CL1652" s="4"/>
      <c r="CM1652" s="4"/>
      <c r="CN1652" s="4"/>
      <c r="CO1652" s="4"/>
      <c r="CP1652" s="4" t="s">
        <v>4984</v>
      </c>
      <c r="CQ1652" s="4"/>
      <c r="CR1652" s="5">
        <v>39994</v>
      </c>
      <c r="CS1652" s="4"/>
      <c r="CT1652" s="4"/>
      <c r="CU1652" s="4"/>
      <c r="CV1652" s="4"/>
      <c r="CW1652" s="4"/>
      <c r="CX1652" s="4"/>
      <c r="CY1652" s="4"/>
      <c r="CZ1652" s="4"/>
      <c r="DA1652" s="4"/>
      <c r="DB1652" s="4"/>
      <c r="DC1652" s="4"/>
      <c r="DD1652" s="4"/>
      <c r="DE1652" s="4"/>
      <c r="DF1652" s="4"/>
      <c r="DG1652" s="4"/>
      <c r="DH1652" s="4"/>
      <c r="DI1652" s="4"/>
      <c r="DJ1652" s="4" t="b">
        <v>0</v>
      </c>
      <c r="DK1652" s="4"/>
      <c r="DL1652" s="4">
        <v>2658686</v>
      </c>
      <c r="DM1652" s="4">
        <v>5989844</v>
      </c>
      <c r="DN1652" s="4" t="s">
        <v>4985</v>
      </c>
      <c r="DO1652" s="4"/>
      <c r="DP1652" s="4"/>
      <c r="DQ1652" s="4" t="s">
        <v>148</v>
      </c>
      <c r="DR1652" s="4"/>
      <c r="DS1652" s="4"/>
      <c r="DT1652" s="5">
        <v>41883</v>
      </c>
      <c r="DU1652" s="4"/>
      <c r="DV1652" s="4"/>
      <c r="DW1652" s="4"/>
      <c r="DX1652" s="4"/>
      <c r="DY1652" s="5">
        <v>39951</v>
      </c>
      <c r="DZ1652" s="5">
        <v>39951</v>
      </c>
      <c r="EA1652" s="4"/>
      <c r="EB1652" s="4"/>
      <c r="EC1652" s="4"/>
      <c r="ED1652" s="4"/>
      <c r="EE1652" s="4"/>
      <c r="EF1652" s="4"/>
      <c r="EG1652" s="4"/>
      <c r="EH1652" s="4"/>
      <c r="EI1652" s="5">
        <v>39779</v>
      </c>
    </row>
    <row r="1653" spans="1:139" hidden="1" x14ac:dyDescent="0.2">
      <c r="A1653">
        <f>VLOOKUP(B1653,Sheet1!$A$1:$B$18,2,FALSE)</f>
        <v>0</v>
      </c>
      <c r="B1653" t="str">
        <f>LEFT(D1653,3)</f>
        <v>WLG</v>
      </c>
      <c r="C1653" s="2">
        <v>1652</v>
      </c>
      <c r="D1653" s="3" t="str">
        <f>HYPERLINK("https://sitebase.nzcomms.co.nz/spm/spmnominalview/WLG-047-044/","WLG-047-044")</f>
        <v>WLG-047-044</v>
      </c>
      <c r="E1653" s="4" t="s">
        <v>4986</v>
      </c>
      <c r="F1653" s="3" t="str">
        <f>HYPERLINK("https://sitebase.nzcomms.co.nz/spm/spmcandidateview/WLG-047-044-A/","WLG-047-044-A")</f>
        <v>WLG-047-044-A</v>
      </c>
      <c r="G1653" s="4" t="s">
        <v>4987</v>
      </c>
      <c r="H1653" s="4" t="s">
        <v>4871</v>
      </c>
      <c r="I1653" s="4"/>
      <c r="J1653" s="4" t="s">
        <v>139</v>
      </c>
      <c r="K1653" s="4" t="s">
        <v>141</v>
      </c>
      <c r="L1653" s="4" t="s">
        <v>181</v>
      </c>
      <c r="M1653" s="4" t="s">
        <v>378</v>
      </c>
      <c r="N1653" s="4" t="s">
        <v>364</v>
      </c>
      <c r="O1653" s="4" t="s">
        <v>144</v>
      </c>
      <c r="P1653" s="4"/>
      <c r="Q1653" s="4"/>
      <c r="R1653" s="4">
        <v>35.700000000000003</v>
      </c>
      <c r="S1653" s="4">
        <v>35.700000000000003</v>
      </c>
      <c r="T1653" s="4"/>
      <c r="U1653" s="4">
        <v>-41.286174930000001</v>
      </c>
      <c r="V1653" s="4">
        <v>174.77661660999999</v>
      </c>
      <c r="W1653" s="4"/>
      <c r="X1653" s="4"/>
      <c r="Y1653" s="4"/>
      <c r="Z1653" s="4"/>
      <c r="AA1653" s="4"/>
      <c r="AB1653" s="4"/>
      <c r="AC1653" s="4"/>
      <c r="AD1653" s="4"/>
      <c r="AE1653" s="4"/>
      <c r="AF1653" s="4"/>
      <c r="AG1653" s="4"/>
      <c r="AH1653" s="4"/>
      <c r="AI1653" s="4"/>
      <c r="AJ1653" s="4"/>
      <c r="AK1653" s="4"/>
      <c r="AL1653" s="4"/>
      <c r="AM1653" s="4"/>
      <c r="AN1653" s="5">
        <v>39317</v>
      </c>
      <c r="AO1653" s="4">
        <v>2</v>
      </c>
      <c r="AP1653" s="4"/>
      <c r="AQ1653" s="5">
        <v>41941</v>
      </c>
      <c r="AR1653" s="4"/>
      <c r="AS1653" s="4"/>
      <c r="AT1653" s="5">
        <v>39721</v>
      </c>
      <c r="AU1653" s="5">
        <v>39715</v>
      </c>
      <c r="AV1653" s="4">
        <v>1</v>
      </c>
      <c r="AW1653" s="5">
        <v>39721</v>
      </c>
      <c r="AX1653" s="5">
        <v>39715</v>
      </c>
      <c r="AY1653" s="4"/>
      <c r="AZ1653" s="4"/>
      <c r="BA1653" s="4"/>
      <c r="BB1653" s="5">
        <v>39518</v>
      </c>
      <c r="BC1653" s="4"/>
      <c r="BD1653" s="4"/>
      <c r="BE1653" s="5">
        <v>39518</v>
      </c>
      <c r="BF1653" s="5">
        <v>39518</v>
      </c>
      <c r="BG1653" s="4"/>
      <c r="BH1653" s="5">
        <v>39548</v>
      </c>
      <c r="BI1653" s="4"/>
      <c r="BJ1653" s="5">
        <v>39654</v>
      </c>
      <c r="BK1653" s="4">
        <v>3</v>
      </c>
      <c r="BL1653" s="4"/>
      <c r="BM1653" s="5">
        <v>39654</v>
      </c>
      <c r="BN1653" s="4"/>
      <c r="BO1653" s="4"/>
      <c r="BP1653" s="4"/>
      <c r="BQ1653" s="4"/>
      <c r="BR1653" s="4"/>
      <c r="BS1653" s="4"/>
      <c r="BT1653" s="4"/>
      <c r="BU1653" s="5">
        <v>41988</v>
      </c>
      <c r="BV1653" s="5">
        <v>39782</v>
      </c>
      <c r="BW1653" s="5">
        <v>41988</v>
      </c>
      <c r="BX1653" s="4"/>
      <c r="BY1653" s="5">
        <v>39794</v>
      </c>
      <c r="BZ1653" s="5">
        <v>39794</v>
      </c>
      <c r="CA1653" s="4"/>
      <c r="CB1653" s="4"/>
      <c r="CC1653" s="4"/>
      <c r="CD1653" s="4"/>
      <c r="CE1653" s="4"/>
      <c r="CF1653" s="4"/>
      <c r="CG1653" s="4"/>
      <c r="CH1653" s="4"/>
      <c r="CI1653" s="5">
        <v>39843</v>
      </c>
      <c r="CJ1653" s="5">
        <v>39871</v>
      </c>
      <c r="CK1653" s="5">
        <v>39843</v>
      </c>
      <c r="CL1653" s="4"/>
      <c r="CM1653" s="4"/>
      <c r="CN1653" s="4"/>
      <c r="CO1653" s="4"/>
      <c r="CP1653" s="4" t="s">
        <v>4988</v>
      </c>
      <c r="CQ1653" s="4"/>
      <c r="CR1653" s="5">
        <v>39871</v>
      </c>
      <c r="CS1653" s="4"/>
      <c r="CT1653" s="4"/>
      <c r="CU1653" s="4"/>
      <c r="CV1653" s="4"/>
      <c r="CW1653" s="4"/>
      <c r="CX1653" s="4"/>
      <c r="CY1653" s="4"/>
      <c r="CZ1653" s="4"/>
      <c r="DA1653" s="4"/>
      <c r="DB1653" s="4"/>
      <c r="DC1653" s="4"/>
      <c r="DD1653" s="4"/>
      <c r="DE1653" s="4"/>
      <c r="DF1653" s="4"/>
      <c r="DG1653" s="4"/>
      <c r="DH1653" s="4"/>
      <c r="DI1653" s="4"/>
      <c r="DJ1653" s="4" t="b">
        <v>0</v>
      </c>
      <c r="DK1653" s="4"/>
      <c r="DL1653" s="4">
        <v>2658793</v>
      </c>
      <c r="DM1653" s="4">
        <v>5989664</v>
      </c>
      <c r="DN1653" s="4" t="s">
        <v>4989</v>
      </c>
      <c r="DO1653" s="4"/>
      <c r="DP1653" s="4"/>
      <c r="DQ1653" s="4" t="s">
        <v>148</v>
      </c>
      <c r="DR1653" s="4"/>
      <c r="DS1653" s="4"/>
      <c r="DT1653" s="5">
        <v>41883</v>
      </c>
      <c r="DU1653" s="4"/>
      <c r="DV1653" s="4"/>
      <c r="DW1653" s="4"/>
      <c r="DX1653" s="4"/>
      <c r="DY1653" s="4"/>
      <c r="DZ1653" s="5">
        <v>39737</v>
      </c>
      <c r="EA1653" s="4"/>
      <c r="EB1653" s="4"/>
      <c r="EC1653" s="4"/>
      <c r="ED1653" s="4"/>
      <c r="EE1653" s="4"/>
      <c r="EF1653" s="4"/>
      <c r="EG1653" s="4"/>
      <c r="EH1653" s="4"/>
      <c r="EI1653" s="5">
        <v>39321</v>
      </c>
    </row>
    <row r="1654" spans="1:139" hidden="1" x14ac:dyDescent="0.2">
      <c r="A1654">
        <f>VLOOKUP(B1654,Sheet1!$A$1:$B$18,2,FALSE)</f>
        <v>0</v>
      </c>
      <c r="B1654" t="str">
        <f>LEFT(D1654,3)</f>
        <v>WLG</v>
      </c>
      <c r="C1654" s="2">
        <v>1653</v>
      </c>
      <c r="D1654" s="3" t="str">
        <f>HYPERLINK("https://sitebase.nzcomms.co.nz/spm/spmnominalview/WLG-047-045/","WLG-047-045")</f>
        <v>WLG-047-045</v>
      </c>
      <c r="E1654" s="4"/>
      <c r="F1654" s="3" t="str">
        <f>HYPERLINK("https://sitebase.nzcomms.co.nz/spm/spmcandidateview/WLG-047-045-E/","WLG-047-045-E")</f>
        <v>WLG-047-045-E</v>
      </c>
      <c r="G1654" s="4" t="s">
        <v>4990</v>
      </c>
      <c r="H1654" s="4" t="s">
        <v>4871</v>
      </c>
      <c r="I1654" s="4"/>
      <c r="J1654" s="4" t="s">
        <v>139</v>
      </c>
      <c r="K1654" s="4" t="s">
        <v>141</v>
      </c>
      <c r="L1654" s="4" t="s">
        <v>181</v>
      </c>
      <c r="M1654" s="4" t="s">
        <v>378</v>
      </c>
      <c r="N1654" s="4" t="s">
        <v>364</v>
      </c>
      <c r="O1654" s="4" t="s">
        <v>144</v>
      </c>
      <c r="P1654" s="4"/>
      <c r="Q1654" s="4"/>
      <c r="R1654" s="4">
        <v>42.8</v>
      </c>
      <c r="S1654" s="4">
        <v>42.8</v>
      </c>
      <c r="T1654" s="4"/>
      <c r="U1654" s="4">
        <v>-41.289384050000002</v>
      </c>
      <c r="V1654" s="4">
        <v>174.77467311999999</v>
      </c>
      <c r="W1654" s="4"/>
      <c r="X1654" s="4"/>
      <c r="Y1654" s="4"/>
      <c r="Z1654" s="4"/>
      <c r="AA1654" s="4" t="s">
        <v>217</v>
      </c>
      <c r="AB1654" s="4" t="s">
        <v>4991</v>
      </c>
      <c r="AC1654" s="4"/>
      <c r="AD1654" s="4"/>
      <c r="AE1654" s="4"/>
      <c r="AF1654" s="4"/>
      <c r="AG1654" s="4"/>
      <c r="AH1654" s="4" t="s">
        <v>4789</v>
      </c>
      <c r="AI1654" s="4"/>
      <c r="AJ1654" s="4"/>
      <c r="AK1654" s="4"/>
      <c r="AL1654" s="4"/>
      <c r="AM1654" s="4"/>
      <c r="AN1654" s="5">
        <v>39416</v>
      </c>
      <c r="AO1654" s="4">
        <v>1</v>
      </c>
      <c r="AP1654" s="4"/>
      <c r="AQ1654" s="5">
        <v>39416</v>
      </c>
      <c r="AR1654" s="4"/>
      <c r="AS1654" s="4"/>
      <c r="AT1654" s="5">
        <v>39568</v>
      </c>
      <c r="AU1654" s="5">
        <v>39568</v>
      </c>
      <c r="AV1654" s="4">
        <v>1</v>
      </c>
      <c r="AW1654" s="5">
        <v>39568</v>
      </c>
      <c r="AX1654" s="5">
        <v>39568</v>
      </c>
      <c r="AY1654" s="4"/>
      <c r="AZ1654" s="4"/>
      <c r="BA1654" s="4"/>
      <c r="BB1654" s="5">
        <v>39518</v>
      </c>
      <c r="BC1654" s="4"/>
      <c r="BD1654" s="4"/>
      <c r="BE1654" s="5">
        <v>39518</v>
      </c>
      <c r="BF1654" s="5">
        <v>39518</v>
      </c>
      <c r="BG1654" s="4"/>
      <c r="BH1654" s="5">
        <v>39490</v>
      </c>
      <c r="BI1654" s="4"/>
      <c r="BJ1654" s="5">
        <v>39609</v>
      </c>
      <c r="BK1654" s="4">
        <v>1</v>
      </c>
      <c r="BL1654" s="4">
        <v>1</v>
      </c>
      <c r="BM1654" s="5">
        <v>39609</v>
      </c>
      <c r="BN1654" s="5">
        <v>39609</v>
      </c>
      <c r="BO1654" s="4"/>
      <c r="BP1654" s="4"/>
      <c r="BQ1654" s="4"/>
      <c r="BR1654" s="4"/>
      <c r="BS1654" s="4"/>
      <c r="BT1654" s="4"/>
      <c r="BU1654" s="5">
        <v>39657</v>
      </c>
      <c r="BV1654" s="5">
        <v>39691</v>
      </c>
      <c r="BW1654" s="5">
        <v>39691</v>
      </c>
      <c r="BX1654" s="4"/>
      <c r="BY1654" s="5">
        <v>39691</v>
      </c>
      <c r="BZ1654" s="5">
        <v>39693</v>
      </c>
      <c r="CA1654" s="4"/>
      <c r="CB1654" s="4"/>
      <c r="CC1654" s="4"/>
      <c r="CD1654" s="4"/>
      <c r="CE1654" s="4"/>
      <c r="CF1654" s="4"/>
      <c r="CG1654" s="4"/>
      <c r="CH1654" s="4"/>
      <c r="CI1654" s="5">
        <v>39787</v>
      </c>
      <c r="CJ1654" s="5">
        <v>39812</v>
      </c>
      <c r="CK1654" s="5">
        <v>39787</v>
      </c>
      <c r="CL1654" s="4"/>
      <c r="CM1654" s="4"/>
      <c r="CN1654" s="4"/>
      <c r="CO1654" s="4"/>
      <c r="CP1654" s="4" t="s">
        <v>4992</v>
      </c>
      <c r="CQ1654" s="4"/>
      <c r="CR1654" s="5">
        <v>39798</v>
      </c>
      <c r="CS1654" s="4"/>
      <c r="CT1654" s="4"/>
      <c r="CU1654" s="4"/>
      <c r="CV1654" s="4"/>
      <c r="CW1654" s="4"/>
      <c r="CX1654" s="4"/>
      <c r="CY1654" s="4"/>
      <c r="CZ1654" s="4"/>
      <c r="DA1654" s="4"/>
      <c r="DB1654" s="4"/>
      <c r="DC1654" s="4"/>
      <c r="DD1654" s="4"/>
      <c r="DE1654" s="4"/>
      <c r="DF1654" s="4"/>
      <c r="DG1654" s="4"/>
      <c r="DH1654" s="4"/>
      <c r="DI1654" s="4"/>
      <c r="DJ1654" s="4" t="b">
        <v>0</v>
      </c>
      <c r="DK1654" s="4"/>
      <c r="DL1654" s="4">
        <v>2658623</v>
      </c>
      <c r="DM1654" s="4">
        <v>5989311</v>
      </c>
      <c r="DN1654" s="4" t="s">
        <v>4993</v>
      </c>
      <c r="DO1654" s="4"/>
      <c r="DP1654" s="4"/>
      <c r="DQ1654" s="4" t="s">
        <v>148</v>
      </c>
      <c r="DR1654" s="4"/>
      <c r="DS1654" s="4"/>
      <c r="DT1654" s="5">
        <v>41883</v>
      </c>
      <c r="DU1654" s="4"/>
      <c r="DV1654" s="4"/>
      <c r="DW1654" s="4"/>
      <c r="DX1654" s="4"/>
      <c r="DY1654" s="4"/>
      <c r="DZ1654" s="5">
        <v>39610</v>
      </c>
      <c r="EA1654" s="4"/>
      <c r="EB1654" s="4"/>
      <c r="EC1654" s="4"/>
      <c r="ED1654" s="4"/>
      <c r="EE1654" s="4"/>
      <c r="EF1654" s="4"/>
      <c r="EG1654" s="4"/>
      <c r="EH1654" s="4"/>
      <c r="EI1654" s="5">
        <v>39359</v>
      </c>
    </row>
    <row r="1655" spans="1:139" hidden="1" x14ac:dyDescent="0.2">
      <c r="A1655">
        <f>VLOOKUP(B1655,Sheet1!$A$1:$B$18,2,FALSE)</f>
        <v>0</v>
      </c>
      <c r="B1655" t="str">
        <f>LEFT(D1655,3)</f>
        <v>WLG</v>
      </c>
      <c r="C1655" s="2">
        <v>1654</v>
      </c>
      <c r="D1655" s="3" t="str">
        <f>HYPERLINK("https://sitebase.nzcomms.co.nz/spm/spmnominalview/WLG-047-046/","WLG-047-046")</f>
        <v>WLG-047-046</v>
      </c>
      <c r="E1655" s="4"/>
      <c r="F1655" s="3" t="str">
        <f>HYPERLINK("https://sitebase.nzcomms.co.nz/spm/spmcandidateview/WLG-047-046-G/","WLG-047-046-G")</f>
        <v>WLG-047-046-G</v>
      </c>
      <c r="G1655" s="4" t="s">
        <v>4994</v>
      </c>
      <c r="H1655" s="4" t="s">
        <v>4871</v>
      </c>
      <c r="I1655" s="4"/>
      <c r="J1655" s="4" t="s">
        <v>139</v>
      </c>
      <c r="K1655" s="4" t="s">
        <v>141</v>
      </c>
      <c r="L1655" s="4" t="s">
        <v>181</v>
      </c>
      <c r="M1655" s="4" t="s">
        <v>378</v>
      </c>
      <c r="N1655" s="4" t="s">
        <v>364</v>
      </c>
      <c r="O1655" s="4" t="s">
        <v>144</v>
      </c>
      <c r="P1655" s="4"/>
      <c r="Q1655" s="4"/>
      <c r="R1655" s="4">
        <v>20.3</v>
      </c>
      <c r="S1655" s="4">
        <v>20.3</v>
      </c>
      <c r="T1655" s="4"/>
      <c r="U1655" s="4">
        <v>-41.292648800000002</v>
      </c>
      <c r="V1655" s="4">
        <v>174.77262347999999</v>
      </c>
      <c r="W1655" s="4"/>
      <c r="X1655" s="4"/>
      <c r="Y1655" s="4"/>
      <c r="Z1655" s="4"/>
      <c r="AA1655" s="4" t="s">
        <v>171</v>
      </c>
      <c r="AB1655" s="3" t="str">
        <f>HYPERLINK("https://sitebase.nzcomms.co.nz/spm/spmcandidateview/WLG-047-045-E/","WLG-047-045-E")</f>
        <v>WLG-047-045-E</v>
      </c>
      <c r="AC1655" s="4"/>
      <c r="AD1655" s="4"/>
      <c r="AE1655" s="4"/>
      <c r="AF1655" s="4"/>
      <c r="AG1655" s="4"/>
      <c r="AH1655" s="4"/>
      <c r="AI1655" s="4"/>
      <c r="AJ1655" s="4"/>
      <c r="AK1655" s="4"/>
      <c r="AL1655" s="4"/>
      <c r="AM1655" s="4"/>
      <c r="AN1655" s="5">
        <v>39647</v>
      </c>
      <c r="AO1655" s="4">
        <v>3</v>
      </c>
      <c r="AP1655" s="4"/>
      <c r="AQ1655" s="5">
        <v>39869</v>
      </c>
      <c r="AR1655" s="4"/>
      <c r="AS1655" s="4"/>
      <c r="AT1655" s="5">
        <v>39782</v>
      </c>
      <c r="AU1655" s="5">
        <v>39764</v>
      </c>
      <c r="AV1655" s="4">
        <v>1</v>
      </c>
      <c r="AW1655" s="5">
        <v>39782</v>
      </c>
      <c r="AX1655" s="5">
        <v>39764</v>
      </c>
      <c r="AY1655" s="4"/>
      <c r="AZ1655" s="4"/>
      <c r="BA1655" s="4"/>
      <c r="BB1655" s="5">
        <v>39714</v>
      </c>
      <c r="BC1655" s="4"/>
      <c r="BD1655" s="4"/>
      <c r="BE1655" s="5">
        <v>39714</v>
      </c>
      <c r="BF1655" s="5">
        <v>39714</v>
      </c>
      <c r="BG1655" s="4"/>
      <c r="BH1655" s="5">
        <v>39699</v>
      </c>
      <c r="BI1655" s="4"/>
      <c r="BJ1655" s="5">
        <v>39741</v>
      </c>
      <c r="BK1655" s="4">
        <v>2</v>
      </c>
      <c r="BL1655" s="4">
        <v>2</v>
      </c>
      <c r="BM1655" s="5">
        <v>39787</v>
      </c>
      <c r="BN1655" s="5">
        <v>39787</v>
      </c>
      <c r="BO1655" s="4"/>
      <c r="BP1655" s="4"/>
      <c r="BQ1655" s="4"/>
      <c r="BR1655" s="4"/>
      <c r="BS1655" s="4"/>
      <c r="BT1655" s="4"/>
      <c r="BU1655" s="5">
        <v>39785</v>
      </c>
      <c r="BV1655" s="5">
        <v>39827</v>
      </c>
      <c r="BW1655" s="5">
        <v>39804</v>
      </c>
      <c r="BX1655" s="4"/>
      <c r="BY1655" s="5">
        <v>39834</v>
      </c>
      <c r="BZ1655" s="5">
        <v>39843</v>
      </c>
      <c r="CA1655" s="4"/>
      <c r="CB1655" s="4"/>
      <c r="CC1655" s="4"/>
      <c r="CD1655" s="4"/>
      <c r="CE1655" s="4"/>
      <c r="CF1655" s="4"/>
      <c r="CG1655" s="4"/>
      <c r="CH1655" s="4"/>
      <c r="CI1655" s="5">
        <v>39843</v>
      </c>
      <c r="CJ1655" s="5">
        <v>39871</v>
      </c>
      <c r="CK1655" s="5">
        <v>39843</v>
      </c>
      <c r="CL1655" s="4"/>
      <c r="CM1655" s="4"/>
      <c r="CN1655" s="4"/>
      <c r="CO1655" s="4"/>
      <c r="CP1655" s="4" t="s">
        <v>405</v>
      </c>
      <c r="CQ1655" s="4"/>
      <c r="CR1655" s="5">
        <v>39871</v>
      </c>
      <c r="CS1655" s="4"/>
      <c r="CT1655" s="4"/>
      <c r="CU1655" s="4"/>
      <c r="CV1655" s="4"/>
      <c r="CW1655" s="4"/>
      <c r="CX1655" s="4"/>
      <c r="CY1655" s="4"/>
      <c r="CZ1655" s="4"/>
      <c r="DA1655" s="4"/>
      <c r="DB1655" s="4"/>
      <c r="DC1655" s="4"/>
      <c r="DD1655" s="4"/>
      <c r="DE1655" s="4"/>
      <c r="DF1655" s="4"/>
      <c r="DG1655" s="4"/>
      <c r="DH1655" s="4"/>
      <c r="DI1655" s="4"/>
      <c r="DJ1655" s="4" t="b">
        <v>0</v>
      </c>
      <c r="DK1655" s="4"/>
      <c r="DL1655" s="4">
        <v>2658444</v>
      </c>
      <c r="DM1655" s="4">
        <v>5988952</v>
      </c>
      <c r="DN1655" s="4" t="s">
        <v>4995</v>
      </c>
      <c r="DO1655" s="4"/>
      <c r="DP1655" s="4"/>
      <c r="DQ1655" s="4" t="s">
        <v>148</v>
      </c>
      <c r="DR1655" s="4"/>
      <c r="DS1655" s="4"/>
      <c r="DT1655" s="5">
        <v>41883</v>
      </c>
      <c r="DU1655" s="4"/>
      <c r="DV1655" s="4"/>
      <c r="DW1655" s="4"/>
      <c r="DX1655" s="4"/>
      <c r="DY1655" s="4"/>
      <c r="DZ1655" s="5">
        <v>39780</v>
      </c>
      <c r="EA1655" s="4"/>
      <c r="EB1655" s="4"/>
      <c r="EC1655" s="4"/>
      <c r="ED1655" s="4"/>
      <c r="EE1655" s="4"/>
      <c r="EF1655" s="4"/>
      <c r="EG1655" s="4"/>
      <c r="EH1655" s="4"/>
      <c r="EI1655" s="5">
        <v>39611</v>
      </c>
    </row>
    <row r="1656" spans="1:139" hidden="1" x14ac:dyDescent="0.2">
      <c r="A1656">
        <f>VLOOKUP(B1656,Sheet1!$A$1:$B$18,2,FALSE)</f>
        <v>0</v>
      </c>
      <c r="B1656" t="str">
        <f>LEFT(D1656,3)</f>
        <v>WLG</v>
      </c>
      <c r="C1656" s="2">
        <v>1655</v>
      </c>
      <c r="D1656" s="3" t="str">
        <f>HYPERLINK("https://sitebase.nzcomms.co.nz/spm/spmnominalview/WLG-047-047/","WLG-047-047")</f>
        <v>WLG-047-047</v>
      </c>
      <c r="E1656" s="4"/>
      <c r="F1656" s="3" t="str">
        <f>HYPERLINK("https://sitebase.nzcomms.co.nz/spm/spmcandidateview/WLG-047-047-E/","WLG-047-047-E")</f>
        <v>WLG-047-047-E</v>
      </c>
      <c r="G1656" s="4" t="s">
        <v>4996</v>
      </c>
      <c r="H1656" s="4" t="s">
        <v>4871</v>
      </c>
      <c r="I1656" s="4"/>
      <c r="J1656" s="4" t="s">
        <v>139</v>
      </c>
      <c r="K1656" s="4" t="s">
        <v>141</v>
      </c>
      <c r="L1656" s="4" t="s">
        <v>181</v>
      </c>
      <c r="M1656" s="4" t="s">
        <v>378</v>
      </c>
      <c r="N1656" s="4" t="s">
        <v>364</v>
      </c>
      <c r="O1656" s="4" t="s">
        <v>144</v>
      </c>
      <c r="P1656" s="4"/>
      <c r="Q1656" s="4"/>
      <c r="R1656" s="4">
        <v>36.700000000000003</v>
      </c>
      <c r="S1656" s="4">
        <v>36.700000000000003</v>
      </c>
      <c r="T1656" s="4"/>
      <c r="U1656" s="4">
        <v>-41.29053863</v>
      </c>
      <c r="V1656" s="4">
        <v>174.77808354000001</v>
      </c>
      <c r="W1656" s="4"/>
      <c r="X1656" s="4"/>
      <c r="Y1656" s="4"/>
      <c r="Z1656" s="4"/>
      <c r="AA1656" s="4" t="s">
        <v>171</v>
      </c>
      <c r="AB1656" s="3" t="str">
        <f>HYPERLINK("https://sitebase.nzcomms.co.nz/spm/spmcandidateview/WLG-047-053-A/","WLG-047-053-A")</f>
        <v>WLG-047-053-A</v>
      </c>
      <c r="AC1656" s="4"/>
      <c r="AD1656" s="4"/>
      <c r="AE1656" s="4"/>
      <c r="AF1656" s="4"/>
      <c r="AG1656" s="4"/>
      <c r="AH1656" s="4" t="s">
        <v>4997</v>
      </c>
      <c r="AI1656" s="4"/>
      <c r="AJ1656" s="4"/>
      <c r="AK1656" s="4"/>
      <c r="AL1656" s="4"/>
      <c r="AM1656" s="4"/>
      <c r="AN1656" s="5">
        <v>39532</v>
      </c>
      <c r="AO1656" s="4">
        <v>1</v>
      </c>
      <c r="AP1656" s="4"/>
      <c r="AQ1656" s="5">
        <v>39532</v>
      </c>
      <c r="AR1656" s="4"/>
      <c r="AS1656" s="4"/>
      <c r="AT1656" s="5">
        <v>39660</v>
      </c>
      <c r="AU1656" s="5">
        <v>39680</v>
      </c>
      <c r="AV1656" s="4">
        <v>1</v>
      </c>
      <c r="AW1656" s="5">
        <v>39878</v>
      </c>
      <c r="AX1656" s="5">
        <v>39881</v>
      </c>
      <c r="AY1656" s="4"/>
      <c r="AZ1656" s="4"/>
      <c r="BA1656" s="4"/>
      <c r="BB1656" s="5">
        <v>39649</v>
      </c>
      <c r="BC1656" s="4"/>
      <c r="BD1656" s="4"/>
      <c r="BE1656" s="5">
        <v>39649</v>
      </c>
      <c r="BF1656" s="5">
        <v>39619</v>
      </c>
      <c r="BG1656" s="4"/>
      <c r="BH1656" s="5">
        <v>39602</v>
      </c>
      <c r="BI1656" s="4"/>
      <c r="BJ1656" s="5">
        <v>39653</v>
      </c>
      <c r="BK1656" s="4">
        <v>3</v>
      </c>
      <c r="BL1656" s="4">
        <v>1</v>
      </c>
      <c r="BM1656" s="5">
        <v>39695</v>
      </c>
      <c r="BN1656" s="5">
        <v>39874</v>
      </c>
      <c r="BO1656" s="4"/>
      <c r="BP1656" s="4"/>
      <c r="BQ1656" s="4"/>
      <c r="BR1656" s="4"/>
      <c r="BS1656" s="4"/>
      <c r="BT1656" s="5">
        <v>39917</v>
      </c>
      <c r="BU1656" s="5">
        <v>39917</v>
      </c>
      <c r="BV1656" s="5">
        <v>39933</v>
      </c>
      <c r="BW1656" s="5">
        <v>39931</v>
      </c>
      <c r="BX1656" s="4"/>
      <c r="BY1656" s="5">
        <v>39976</v>
      </c>
      <c r="BZ1656" s="5">
        <v>39973</v>
      </c>
      <c r="CA1656" s="4"/>
      <c r="CB1656" s="4"/>
      <c r="CC1656" s="4"/>
      <c r="CD1656" s="4"/>
      <c r="CE1656" s="4"/>
      <c r="CF1656" s="4"/>
      <c r="CG1656" s="4"/>
      <c r="CH1656" s="4"/>
      <c r="CI1656" s="5">
        <v>39981</v>
      </c>
      <c r="CJ1656" s="5">
        <v>39981</v>
      </c>
      <c r="CK1656" s="5">
        <v>39981</v>
      </c>
      <c r="CL1656" s="4"/>
      <c r="CM1656" s="4"/>
      <c r="CN1656" s="4"/>
      <c r="CO1656" s="4"/>
      <c r="CP1656" s="4" t="s">
        <v>4998</v>
      </c>
      <c r="CQ1656" s="4"/>
      <c r="CR1656" s="5">
        <v>39981</v>
      </c>
      <c r="CS1656" s="4"/>
      <c r="CT1656" s="4"/>
      <c r="CU1656" s="4"/>
      <c r="CV1656" s="4"/>
      <c r="CW1656" s="4"/>
      <c r="CX1656" s="4"/>
      <c r="CY1656" s="4"/>
      <c r="CZ1656" s="4"/>
      <c r="DA1656" s="4"/>
      <c r="DB1656" s="4"/>
      <c r="DC1656" s="4"/>
      <c r="DD1656" s="4"/>
      <c r="DE1656" s="4"/>
      <c r="DF1656" s="4"/>
      <c r="DG1656" s="4"/>
      <c r="DH1656" s="4"/>
      <c r="DI1656" s="4"/>
      <c r="DJ1656" s="4" t="b">
        <v>0</v>
      </c>
      <c r="DK1656" s="4"/>
      <c r="DL1656" s="4">
        <v>2658906</v>
      </c>
      <c r="DM1656" s="4">
        <v>5989177</v>
      </c>
      <c r="DN1656" s="4" t="s">
        <v>4999</v>
      </c>
      <c r="DO1656" s="4"/>
      <c r="DP1656" s="4"/>
      <c r="DQ1656" s="4" t="s">
        <v>148</v>
      </c>
      <c r="DR1656" s="4"/>
      <c r="DS1656" s="4"/>
      <c r="DT1656" s="5">
        <v>41883</v>
      </c>
      <c r="DU1656" s="4"/>
      <c r="DV1656" s="4"/>
      <c r="DW1656" s="4"/>
      <c r="DX1656" s="4"/>
      <c r="DY1656" s="5">
        <v>39882</v>
      </c>
      <c r="DZ1656" s="5">
        <v>39882</v>
      </c>
      <c r="EA1656" s="4"/>
      <c r="EB1656" s="4"/>
      <c r="EC1656" s="4"/>
      <c r="ED1656" s="4"/>
      <c r="EE1656" s="4"/>
      <c r="EF1656" s="4"/>
      <c r="EG1656" s="4"/>
      <c r="EH1656" s="4"/>
      <c r="EI1656" s="5">
        <v>39497</v>
      </c>
    </row>
    <row r="1657" spans="1:139" hidden="1" x14ac:dyDescent="0.2">
      <c r="A1657">
        <f>VLOOKUP(B1657,Sheet1!$A$1:$B$18,2,FALSE)</f>
        <v>0</v>
      </c>
      <c r="B1657" t="str">
        <f>LEFT(D1657,3)</f>
        <v>WLG</v>
      </c>
      <c r="C1657" s="2">
        <v>1656</v>
      </c>
      <c r="D1657" s="3" t="str">
        <f>HYPERLINK("https://sitebase.nzcomms.co.nz/spm/spmnominalview/WLG-047-048/","WLG-047-048")</f>
        <v>WLG-047-048</v>
      </c>
      <c r="E1657" s="4"/>
      <c r="F1657" s="3" t="str">
        <f>HYPERLINK("https://sitebase.nzcomms.co.nz/spm/spmcandidateview/WLG-047-048-E/","WLG-047-048-E")</f>
        <v>WLG-047-048-E</v>
      </c>
      <c r="G1657" s="4" t="s">
        <v>5000</v>
      </c>
      <c r="H1657" s="4" t="s">
        <v>4871</v>
      </c>
      <c r="I1657" s="4"/>
      <c r="J1657" s="4" t="s">
        <v>139</v>
      </c>
      <c r="K1657" s="4" t="s">
        <v>141</v>
      </c>
      <c r="L1657" s="4" t="s">
        <v>181</v>
      </c>
      <c r="M1657" s="4" t="s">
        <v>378</v>
      </c>
      <c r="N1657" s="4" t="s">
        <v>364</v>
      </c>
      <c r="O1657" s="4" t="s">
        <v>144</v>
      </c>
      <c r="P1657" s="4"/>
      <c r="Q1657" s="4"/>
      <c r="R1657" s="4">
        <v>29.25</v>
      </c>
      <c r="S1657" s="4">
        <v>29.25</v>
      </c>
      <c r="T1657" s="4"/>
      <c r="U1657" s="4">
        <v>-41.292369049999998</v>
      </c>
      <c r="V1657" s="4">
        <v>174.78321998000001</v>
      </c>
      <c r="W1657" s="4"/>
      <c r="X1657" s="4"/>
      <c r="Y1657" s="4"/>
      <c r="Z1657" s="4"/>
      <c r="AA1657" s="4" t="s">
        <v>171</v>
      </c>
      <c r="AB1657" s="3" t="str">
        <f>HYPERLINK("https://sitebase.nzcomms.co.nz/spm/spmcandidateview/WLG-047-053-A/","WLG-047-053-A")</f>
        <v>WLG-047-053-A</v>
      </c>
      <c r="AC1657" s="4"/>
      <c r="AD1657" s="4"/>
      <c r="AE1657" s="4"/>
      <c r="AF1657" s="4"/>
      <c r="AG1657" s="4"/>
      <c r="AH1657" s="4"/>
      <c r="AI1657" s="4"/>
      <c r="AJ1657" s="4"/>
      <c r="AK1657" s="4"/>
      <c r="AL1657" s="4"/>
      <c r="AM1657" s="4"/>
      <c r="AN1657" s="5">
        <v>39736</v>
      </c>
      <c r="AO1657" s="4">
        <v>2</v>
      </c>
      <c r="AP1657" s="4"/>
      <c r="AQ1657" s="5">
        <v>39855</v>
      </c>
      <c r="AR1657" s="4"/>
      <c r="AS1657" s="4"/>
      <c r="AT1657" s="5">
        <v>39813</v>
      </c>
      <c r="AU1657" s="5">
        <v>39792</v>
      </c>
      <c r="AV1657" s="4">
        <v>2</v>
      </c>
      <c r="AW1657" s="5">
        <v>39813</v>
      </c>
      <c r="AX1657" s="5">
        <v>39792</v>
      </c>
      <c r="AY1657" s="4"/>
      <c r="AZ1657" s="4"/>
      <c r="BA1657" s="4"/>
      <c r="BB1657" s="5">
        <v>39791</v>
      </c>
      <c r="BC1657" s="4"/>
      <c r="BD1657" s="4"/>
      <c r="BE1657" s="5">
        <v>39791</v>
      </c>
      <c r="BF1657" s="5">
        <v>39791</v>
      </c>
      <c r="BG1657" s="4"/>
      <c r="BH1657" s="5">
        <v>39839</v>
      </c>
      <c r="BI1657" s="4"/>
      <c r="BJ1657" s="5">
        <v>39877</v>
      </c>
      <c r="BK1657" s="4">
        <v>1</v>
      </c>
      <c r="BL1657" s="4">
        <v>2</v>
      </c>
      <c r="BM1657" s="5">
        <v>39876</v>
      </c>
      <c r="BN1657" s="5">
        <v>39877</v>
      </c>
      <c r="BO1657" s="4"/>
      <c r="BP1657" s="4"/>
      <c r="BQ1657" s="4"/>
      <c r="BR1657" s="4"/>
      <c r="BS1657" s="4"/>
      <c r="BT1657" s="5">
        <v>39942</v>
      </c>
      <c r="BU1657" s="5">
        <v>39925</v>
      </c>
      <c r="BV1657" s="5">
        <v>39940</v>
      </c>
      <c r="BW1657" s="5">
        <v>39940</v>
      </c>
      <c r="BX1657" s="4"/>
      <c r="BY1657" s="5">
        <v>39980</v>
      </c>
      <c r="BZ1657" s="5">
        <v>39979</v>
      </c>
      <c r="CA1657" s="4"/>
      <c r="CB1657" s="4"/>
      <c r="CC1657" s="4"/>
      <c r="CD1657" s="4"/>
      <c r="CE1657" s="4"/>
      <c r="CF1657" s="4"/>
      <c r="CG1657" s="4"/>
      <c r="CH1657" s="4"/>
      <c r="CI1657" s="5">
        <v>39981</v>
      </c>
      <c r="CJ1657" s="5">
        <v>39994</v>
      </c>
      <c r="CK1657" s="5">
        <v>39981</v>
      </c>
      <c r="CL1657" s="4"/>
      <c r="CM1657" s="4"/>
      <c r="CN1657" s="4"/>
      <c r="CO1657" s="4"/>
      <c r="CP1657" s="4" t="s">
        <v>5001</v>
      </c>
      <c r="CQ1657" s="4"/>
      <c r="CR1657" s="5">
        <v>39994</v>
      </c>
      <c r="CS1657" s="4"/>
      <c r="CT1657" s="4"/>
      <c r="CU1657" s="4"/>
      <c r="CV1657" s="4"/>
      <c r="CW1657" s="4"/>
      <c r="CX1657" s="4"/>
      <c r="CY1657" s="4"/>
      <c r="CZ1657" s="4"/>
      <c r="DA1657" s="4"/>
      <c r="DB1657" s="4"/>
      <c r="DC1657" s="4"/>
      <c r="DD1657" s="4"/>
      <c r="DE1657" s="4"/>
      <c r="DF1657" s="4"/>
      <c r="DG1657" s="4"/>
      <c r="DH1657" s="4"/>
      <c r="DI1657" s="4"/>
      <c r="DJ1657" s="4" t="b">
        <v>0</v>
      </c>
      <c r="DK1657" s="4"/>
      <c r="DL1657" s="4">
        <v>2659332</v>
      </c>
      <c r="DM1657" s="4">
        <v>5988965</v>
      </c>
      <c r="DN1657" s="4" t="s">
        <v>5002</v>
      </c>
      <c r="DO1657" s="4"/>
      <c r="DP1657" s="4"/>
      <c r="DQ1657" s="4" t="s">
        <v>148</v>
      </c>
      <c r="DR1657" s="4"/>
      <c r="DS1657" s="4"/>
      <c r="DT1657" s="5">
        <v>41883</v>
      </c>
      <c r="DU1657" s="4"/>
      <c r="DV1657" s="4"/>
      <c r="DW1657" s="4"/>
      <c r="DX1657" s="4"/>
      <c r="DY1657" s="4"/>
      <c r="DZ1657" s="5">
        <v>39848</v>
      </c>
      <c r="EA1657" s="4"/>
      <c r="EB1657" s="4"/>
      <c r="EC1657" s="4"/>
      <c r="ED1657" s="4"/>
      <c r="EE1657" s="4"/>
      <c r="EF1657" s="4"/>
      <c r="EG1657" s="4"/>
      <c r="EH1657" s="4"/>
      <c r="EI1657" s="5">
        <v>39685</v>
      </c>
    </row>
    <row r="1658" spans="1:139" hidden="1" x14ac:dyDescent="0.2">
      <c r="A1658">
        <f>VLOOKUP(B1658,Sheet1!$A$1:$B$18,2,FALSE)</f>
        <v>0</v>
      </c>
      <c r="B1658" t="str">
        <f>LEFT(D1658,3)</f>
        <v>WLG</v>
      </c>
      <c r="C1658" s="2">
        <v>1657</v>
      </c>
      <c r="D1658" s="3" t="str">
        <f>HYPERLINK("https://sitebase.nzcomms.co.nz/spm/spmnominalview/WLG-047-049/","WLG-047-049")</f>
        <v>WLG-047-049</v>
      </c>
      <c r="E1658" s="4"/>
      <c r="F1658" s="3" t="str">
        <f>HYPERLINK("https://sitebase.nzcomms.co.nz/spm/spmcandidateview/WLG-047-049-A/","WLG-047-049-A")</f>
        <v>WLG-047-049-A</v>
      </c>
      <c r="G1658" s="4" t="s">
        <v>5003</v>
      </c>
      <c r="H1658" s="4" t="s">
        <v>4871</v>
      </c>
      <c r="I1658" s="4"/>
      <c r="J1658" s="4" t="s">
        <v>139</v>
      </c>
      <c r="K1658" s="4" t="s">
        <v>141</v>
      </c>
      <c r="L1658" s="4" t="s">
        <v>181</v>
      </c>
      <c r="M1658" s="4" t="s">
        <v>378</v>
      </c>
      <c r="N1658" s="4" t="s">
        <v>364</v>
      </c>
      <c r="O1658" s="4" t="s">
        <v>144</v>
      </c>
      <c r="P1658" s="4"/>
      <c r="Q1658" s="4"/>
      <c r="R1658" s="4">
        <v>22</v>
      </c>
      <c r="S1658" s="4">
        <v>22</v>
      </c>
      <c r="T1658" s="4"/>
      <c r="U1658" s="4">
        <v>-41.294021630000003</v>
      </c>
      <c r="V1658" s="4">
        <v>174.77824913000001</v>
      </c>
      <c r="W1658" s="4"/>
      <c r="X1658" s="4"/>
      <c r="Y1658" s="4"/>
      <c r="Z1658" s="4"/>
      <c r="AA1658" s="4"/>
      <c r="AB1658" s="4"/>
      <c r="AC1658" s="4"/>
      <c r="AD1658" s="4"/>
      <c r="AE1658" s="4"/>
      <c r="AF1658" s="4"/>
      <c r="AG1658" s="4"/>
      <c r="AH1658" s="4"/>
      <c r="AI1658" s="4"/>
      <c r="AJ1658" s="4"/>
      <c r="AK1658" s="4"/>
      <c r="AL1658" s="4"/>
      <c r="AM1658" s="4"/>
      <c r="AN1658" s="5">
        <v>39423</v>
      </c>
      <c r="AO1658" s="4">
        <v>4</v>
      </c>
      <c r="AP1658" s="4"/>
      <c r="AQ1658" s="5">
        <v>39869</v>
      </c>
      <c r="AR1658" s="4"/>
      <c r="AS1658" s="4"/>
      <c r="AT1658" s="5">
        <v>39599</v>
      </c>
      <c r="AU1658" s="5">
        <v>39576</v>
      </c>
      <c r="AV1658" s="4">
        <v>2</v>
      </c>
      <c r="AW1658" s="5">
        <v>39599</v>
      </c>
      <c r="AX1658" s="5">
        <v>39576</v>
      </c>
      <c r="AY1658" s="4"/>
      <c r="AZ1658" s="4"/>
      <c r="BA1658" s="4"/>
      <c r="BB1658" s="5">
        <v>39514</v>
      </c>
      <c r="BC1658" s="4"/>
      <c r="BD1658" s="4"/>
      <c r="BE1658" s="5">
        <v>39514</v>
      </c>
      <c r="BF1658" s="5">
        <v>39514</v>
      </c>
      <c r="BG1658" s="4"/>
      <c r="BH1658" s="5">
        <v>39524</v>
      </c>
      <c r="BI1658" s="4"/>
      <c r="BJ1658" s="5">
        <v>39568</v>
      </c>
      <c r="BK1658" s="4">
        <v>3</v>
      </c>
      <c r="BL1658" s="4">
        <v>3</v>
      </c>
      <c r="BM1658" s="5">
        <v>39682</v>
      </c>
      <c r="BN1658" s="5">
        <v>39682</v>
      </c>
      <c r="BO1658" s="4"/>
      <c r="BP1658" s="4"/>
      <c r="BQ1658" s="4"/>
      <c r="BR1658" s="4"/>
      <c r="BS1658" s="4"/>
      <c r="BT1658" s="4"/>
      <c r="BU1658" s="5">
        <v>39583</v>
      </c>
      <c r="BV1658" s="5">
        <v>39598</v>
      </c>
      <c r="BW1658" s="5">
        <v>39598</v>
      </c>
      <c r="BX1658" s="4"/>
      <c r="BY1658" s="5">
        <v>39612</v>
      </c>
      <c r="BZ1658" s="5">
        <v>39623</v>
      </c>
      <c r="CA1658" s="4"/>
      <c r="CB1658" s="4"/>
      <c r="CC1658" s="4"/>
      <c r="CD1658" s="4"/>
      <c r="CE1658" s="4"/>
      <c r="CF1658" s="4"/>
      <c r="CG1658" s="4"/>
      <c r="CH1658" s="4"/>
      <c r="CI1658" s="5">
        <v>39779</v>
      </c>
      <c r="CJ1658" s="5">
        <v>39813</v>
      </c>
      <c r="CK1658" s="5">
        <v>39779</v>
      </c>
      <c r="CL1658" s="4"/>
      <c r="CM1658" s="4"/>
      <c r="CN1658" s="4"/>
      <c r="CO1658" s="4"/>
      <c r="CP1658" s="4" t="s">
        <v>405</v>
      </c>
      <c r="CQ1658" s="4"/>
      <c r="CR1658" s="5">
        <v>39813</v>
      </c>
      <c r="CS1658" s="4"/>
      <c r="CT1658" s="4"/>
      <c r="CU1658" s="4"/>
      <c r="CV1658" s="4"/>
      <c r="CW1658" s="4"/>
      <c r="CX1658" s="4"/>
      <c r="CY1658" s="4"/>
      <c r="CZ1658" s="4"/>
      <c r="DA1658" s="4"/>
      <c r="DB1658" s="4"/>
      <c r="DC1658" s="4"/>
      <c r="DD1658" s="4"/>
      <c r="DE1658" s="4"/>
      <c r="DF1658" s="4"/>
      <c r="DG1658" s="4"/>
      <c r="DH1658" s="4"/>
      <c r="DI1658" s="4"/>
      <c r="DJ1658" s="4" t="b">
        <v>0</v>
      </c>
      <c r="DK1658" s="4"/>
      <c r="DL1658" s="4">
        <v>2658912</v>
      </c>
      <c r="DM1658" s="4">
        <v>5988790</v>
      </c>
      <c r="DN1658" s="4" t="s">
        <v>5004</v>
      </c>
      <c r="DO1658" s="4"/>
      <c r="DP1658" s="4"/>
      <c r="DQ1658" s="4" t="s">
        <v>148</v>
      </c>
      <c r="DR1658" s="4"/>
      <c r="DS1658" s="4"/>
      <c r="DT1658" s="5">
        <v>41883</v>
      </c>
      <c r="DU1658" s="4"/>
      <c r="DV1658" s="4"/>
      <c r="DW1658" s="4"/>
      <c r="DX1658" s="4"/>
      <c r="DY1658" s="4"/>
      <c r="DZ1658" s="5">
        <v>39577</v>
      </c>
      <c r="EA1658" s="4"/>
      <c r="EB1658" s="4"/>
      <c r="EC1658" s="4"/>
      <c r="ED1658" s="4"/>
      <c r="EE1658" s="4"/>
      <c r="EF1658" s="4"/>
      <c r="EG1658" s="4"/>
      <c r="EH1658" s="4"/>
      <c r="EI1658" s="5">
        <v>39384</v>
      </c>
    </row>
    <row r="1659" spans="1:139" hidden="1" x14ac:dyDescent="0.2">
      <c r="A1659">
        <f>VLOOKUP(B1659,Sheet1!$A$1:$B$18,2,FALSE)</f>
        <v>0</v>
      </c>
      <c r="B1659" t="str">
        <f>LEFT(D1659,3)</f>
        <v>WLG</v>
      </c>
      <c r="C1659" s="2">
        <v>1658</v>
      </c>
      <c r="D1659" s="3" t="str">
        <f>HYPERLINK("https://sitebase.nzcomms.co.nz/spm/spmnominalview/WLG-047-050/","WLG-047-050")</f>
        <v>WLG-047-050</v>
      </c>
      <c r="E1659" s="4"/>
      <c r="F1659" s="3" t="str">
        <f>HYPERLINK("https://sitebase.nzcomms.co.nz/spm/spmcandidateview/WLG-047-050-A/","WLG-047-050-A")</f>
        <v>WLG-047-050-A</v>
      </c>
      <c r="G1659" s="4" t="s">
        <v>5005</v>
      </c>
      <c r="H1659" s="4" t="s">
        <v>4871</v>
      </c>
      <c r="I1659" s="4"/>
      <c r="J1659" s="4" t="s">
        <v>139</v>
      </c>
      <c r="K1659" s="4" t="s">
        <v>141</v>
      </c>
      <c r="L1659" s="4" t="s">
        <v>181</v>
      </c>
      <c r="M1659" s="4" t="s">
        <v>378</v>
      </c>
      <c r="N1659" s="4" t="s">
        <v>364</v>
      </c>
      <c r="O1659" s="4" t="s">
        <v>144</v>
      </c>
      <c r="P1659" s="4"/>
      <c r="Q1659" s="4"/>
      <c r="R1659" s="4">
        <v>28.8</v>
      </c>
      <c r="S1659" s="4">
        <v>28.8</v>
      </c>
      <c r="T1659" s="4"/>
      <c r="U1659" s="4">
        <v>-41.296055070000001</v>
      </c>
      <c r="V1659" s="4">
        <v>174.78306889999999</v>
      </c>
      <c r="W1659" s="4"/>
      <c r="X1659" s="4"/>
      <c r="Y1659" s="4"/>
      <c r="Z1659" s="4"/>
      <c r="AA1659" s="4"/>
      <c r="AB1659" s="4"/>
      <c r="AC1659" s="4"/>
      <c r="AD1659" s="4"/>
      <c r="AE1659" s="4"/>
      <c r="AF1659" s="4"/>
      <c r="AG1659" s="4"/>
      <c r="AH1659" s="4"/>
      <c r="AI1659" s="4"/>
      <c r="AJ1659" s="4"/>
      <c r="AK1659" s="4"/>
      <c r="AL1659" s="4"/>
      <c r="AM1659" s="4"/>
      <c r="AN1659" s="5">
        <v>39328</v>
      </c>
      <c r="AO1659" s="4">
        <v>5</v>
      </c>
      <c r="AP1659" s="5">
        <v>39878</v>
      </c>
      <c r="AQ1659" s="5">
        <v>40007</v>
      </c>
      <c r="AR1659" s="4"/>
      <c r="AS1659" s="4"/>
      <c r="AT1659" s="5">
        <v>39407</v>
      </c>
      <c r="AU1659" s="5">
        <v>39407</v>
      </c>
      <c r="AV1659" s="4">
        <v>1</v>
      </c>
      <c r="AW1659" s="5">
        <v>39407</v>
      </c>
      <c r="AX1659" s="5">
        <v>39407</v>
      </c>
      <c r="AY1659" s="4"/>
      <c r="AZ1659" s="4"/>
      <c r="BA1659" s="4"/>
      <c r="BB1659" s="5">
        <v>39510</v>
      </c>
      <c r="BC1659" s="4"/>
      <c r="BD1659" s="4"/>
      <c r="BE1659" s="5">
        <v>39510</v>
      </c>
      <c r="BF1659" s="5">
        <v>39510</v>
      </c>
      <c r="BG1659" s="4"/>
      <c r="BH1659" s="5">
        <v>39489</v>
      </c>
      <c r="BI1659" s="4"/>
      <c r="BJ1659" s="5">
        <v>39568</v>
      </c>
      <c r="BK1659" s="4">
        <v>3</v>
      </c>
      <c r="BL1659" s="4">
        <v>2</v>
      </c>
      <c r="BM1659" s="5">
        <v>39682</v>
      </c>
      <c r="BN1659" s="5">
        <v>39682</v>
      </c>
      <c r="BO1659" s="4"/>
      <c r="BP1659" s="4"/>
      <c r="BQ1659" s="4"/>
      <c r="BR1659" s="4"/>
      <c r="BS1659" s="4"/>
      <c r="BT1659" s="4"/>
      <c r="BU1659" s="5">
        <v>39611</v>
      </c>
      <c r="BV1659" s="5">
        <v>39629</v>
      </c>
      <c r="BW1659" s="5">
        <v>39629</v>
      </c>
      <c r="BX1659" s="4"/>
      <c r="BY1659" s="5">
        <v>39675</v>
      </c>
      <c r="BZ1659" s="5">
        <v>39675</v>
      </c>
      <c r="CA1659" s="4"/>
      <c r="CB1659" s="4"/>
      <c r="CC1659" s="4"/>
      <c r="CD1659" s="4"/>
      <c r="CE1659" s="4"/>
      <c r="CF1659" s="4"/>
      <c r="CG1659" s="4"/>
      <c r="CH1659" s="4"/>
      <c r="CI1659" s="5">
        <v>39779</v>
      </c>
      <c r="CJ1659" s="5">
        <v>39813</v>
      </c>
      <c r="CK1659" s="5">
        <v>39779</v>
      </c>
      <c r="CL1659" s="4"/>
      <c r="CM1659" s="4"/>
      <c r="CN1659" s="4"/>
      <c r="CO1659" s="4"/>
      <c r="CP1659" s="4" t="s">
        <v>405</v>
      </c>
      <c r="CQ1659" s="4"/>
      <c r="CR1659" s="4"/>
      <c r="CS1659" s="4"/>
      <c r="CT1659" s="4"/>
      <c r="CU1659" s="4"/>
      <c r="CV1659" s="4"/>
      <c r="CW1659" s="4"/>
      <c r="CX1659" s="4"/>
      <c r="CY1659" s="4"/>
      <c r="CZ1659" s="4"/>
      <c r="DA1659" s="4"/>
      <c r="DB1659" s="4"/>
      <c r="DC1659" s="4"/>
      <c r="DD1659" s="4"/>
      <c r="DE1659" s="4"/>
      <c r="DF1659" s="4"/>
      <c r="DG1659" s="4"/>
      <c r="DH1659" s="4"/>
      <c r="DI1659" s="4"/>
      <c r="DJ1659" s="4" t="b">
        <v>0</v>
      </c>
      <c r="DK1659" s="4"/>
      <c r="DL1659" s="4">
        <v>2659311</v>
      </c>
      <c r="DM1659" s="4">
        <v>5988556</v>
      </c>
      <c r="DN1659" s="4" t="s">
        <v>5006</v>
      </c>
      <c r="DO1659" s="4"/>
      <c r="DP1659" s="4"/>
      <c r="DQ1659" s="4" t="s">
        <v>148</v>
      </c>
      <c r="DR1659" s="4"/>
      <c r="DS1659" s="4"/>
      <c r="DT1659" s="5">
        <v>41883</v>
      </c>
      <c r="DU1659" s="4"/>
      <c r="DV1659" s="4"/>
      <c r="DW1659" s="4"/>
      <c r="DX1659" s="4"/>
      <c r="DY1659" s="4"/>
      <c r="DZ1659" s="5">
        <v>39569</v>
      </c>
      <c r="EA1659" s="4"/>
      <c r="EB1659" s="4"/>
      <c r="EC1659" s="4"/>
      <c r="ED1659" s="4"/>
      <c r="EE1659" s="4"/>
      <c r="EF1659" s="4"/>
      <c r="EG1659" s="4"/>
      <c r="EH1659" s="4"/>
      <c r="EI1659" s="5">
        <v>39286</v>
      </c>
    </row>
    <row r="1660" spans="1:139" hidden="1" x14ac:dyDescent="0.2">
      <c r="A1660">
        <f>VLOOKUP(B1660,Sheet1!$A$1:$B$18,2,FALSE)</f>
        <v>0</v>
      </c>
      <c r="B1660" t="str">
        <f>LEFT(D1660,3)</f>
        <v>WLG</v>
      </c>
      <c r="C1660" s="2">
        <v>1659</v>
      </c>
      <c r="D1660" s="3" t="str">
        <f>HYPERLINK("https://sitebase.nzcomms.co.nz/spm/spmnominalview/WLG-047-052/","WLG-047-052")</f>
        <v>WLG-047-052</v>
      </c>
      <c r="E1660" s="4"/>
      <c r="F1660" s="3" t="str">
        <f>HYPERLINK("https://sitebase.nzcomms.co.nz/spm/spmcandidateview/WLG-047-052-E/","WLG-047-052-E")</f>
        <v>WLG-047-052-E</v>
      </c>
      <c r="G1660" s="4" t="s">
        <v>5007</v>
      </c>
      <c r="H1660" s="4" t="s">
        <v>4871</v>
      </c>
      <c r="I1660" s="4"/>
      <c r="J1660" s="4" t="s">
        <v>139</v>
      </c>
      <c r="K1660" s="4" t="s">
        <v>141</v>
      </c>
      <c r="L1660" s="4" t="s">
        <v>181</v>
      </c>
      <c r="M1660" s="4" t="s">
        <v>378</v>
      </c>
      <c r="N1660" s="4" t="s">
        <v>364</v>
      </c>
      <c r="O1660" s="4" t="s">
        <v>144</v>
      </c>
      <c r="P1660" s="4"/>
      <c r="Q1660" s="4"/>
      <c r="R1660" s="4">
        <v>18</v>
      </c>
      <c r="S1660" s="4">
        <v>18</v>
      </c>
      <c r="T1660" s="4"/>
      <c r="U1660" s="4">
        <v>-41.295143789999997</v>
      </c>
      <c r="V1660" s="4">
        <v>174.77378923000001</v>
      </c>
      <c r="W1660" s="4"/>
      <c r="X1660" s="4"/>
      <c r="Y1660" s="4"/>
      <c r="Z1660" s="4"/>
      <c r="AA1660" s="4" t="s">
        <v>217</v>
      </c>
      <c r="AB1660" s="4" t="s">
        <v>5008</v>
      </c>
      <c r="AC1660" s="4"/>
      <c r="AD1660" s="4"/>
      <c r="AE1660" s="4"/>
      <c r="AF1660" s="4"/>
      <c r="AG1660" s="4"/>
      <c r="AH1660" s="4" t="s">
        <v>4789</v>
      </c>
      <c r="AI1660" s="4"/>
      <c r="AJ1660" s="4"/>
      <c r="AK1660" s="4"/>
      <c r="AL1660" s="4"/>
      <c r="AM1660" s="4"/>
      <c r="AN1660" s="5">
        <v>39626</v>
      </c>
      <c r="AO1660" s="4">
        <v>3</v>
      </c>
      <c r="AP1660" s="5">
        <v>39892</v>
      </c>
      <c r="AQ1660" s="5">
        <v>39911</v>
      </c>
      <c r="AR1660" s="4"/>
      <c r="AS1660" s="4"/>
      <c r="AT1660" s="5">
        <v>39685</v>
      </c>
      <c r="AU1660" s="5">
        <v>39686</v>
      </c>
      <c r="AV1660" s="4">
        <v>1</v>
      </c>
      <c r="AW1660" s="5">
        <v>39685</v>
      </c>
      <c r="AX1660" s="5">
        <v>39686</v>
      </c>
      <c r="AY1660" s="4"/>
      <c r="AZ1660" s="4"/>
      <c r="BA1660" s="4"/>
      <c r="BB1660" s="5">
        <v>39674</v>
      </c>
      <c r="BC1660" s="4"/>
      <c r="BD1660" s="4"/>
      <c r="BE1660" s="5">
        <v>39674</v>
      </c>
      <c r="BF1660" s="5">
        <v>39674</v>
      </c>
      <c r="BG1660" s="4"/>
      <c r="BH1660" s="5">
        <v>39651</v>
      </c>
      <c r="BI1660" s="4"/>
      <c r="BJ1660" s="5">
        <v>39755</v>
      </c>
      <c r="BK1660" s="4">
        <v>1</v>
      </c>
      <c r="BL1660" s="4">
        <v>1</v>
      </c>
      <c r="BM1660" s="5">
        <v>39755</v>
      </c>
      <c r="BN1660" s="5">
        <v>39755</v>
      </c>
      <c r="BO1660" s="4"/>
      <c r="BP1660" s="4"/>
      <c r="BQ1660" s="4"/>
      <c r="BR1660" s="4"/>
      <c r="BS1660" s="4"/>
      <c r="BT1660" s="4"/>
      <c r="BU1660" s="5">
        <v>39790</v>
      </c>
      <c r="BV1660" s="5">
        <v>39839</v>
      </c>
      <c r="BW1660" s="5">
        <v>39839</v>
      </c>
      <c r="BX1660" s="4"/>
      <c r="BY1660" s="5">
        <v>39871</v>
      </c>
      <c r="BZ1660" s="5">
        <v>39864</v>
      </c>
      <c r="CA1660" s="4"/>
      <c r="CB1660" s="4"/>
      <c r="CC1660" s="4"/>
      <c r="CD1660" s="4"/>
      <c r="CE1660" s="4"/>
      <c r="CF1660" s="4"/>
      <c r="CG1660" s="4"/>
      <c r="CH1660" s="4"/>
      <c r="CI1660" s="5">
        <v>39874</v>
      </c>
      <c r="CJ1660" s="5">
        <v>39887</v>
      </c>
      <c r="CK1660" s="5">
        <v>39874</v>
      </c>
      <c r="CL1660" s="4"/>
      <c r="CM1660" s="4"/>
      <c r="CN1660" s="4"/>
      <c r="CO1660" s="4"/>
      <c r="CP1660" s="4" t="s">
        <v>405</v>
      </c>
      <c r="CQ1660" s="4"/>
      <c r="CR1660" s="5">
        <v>39887</v>
      </c>
      <c r="CS1660" s="4"/>
      <c r="CT1660" s="4"/>
      <c r="CU1660" s="4"/>
      <c r="CV1660" s="4"/>
      <c r="CW1660" s="4"/>
      <c r="CX1660" s="4"/>
      <c r="CY1660" s="4"/>
      <c r="CZ1660" s="4"/>
      <c r="DA1660" s="4"/>
      <c r="DB1660" s="4"/>
      <c r="DC1660" s="4"/>
      <c r="DD1660" s="4"/>
      <c r="DE1660" s="4"/>
      <c r="DF1660" s="4"/>
      <c r="DG1660" s="4"/>
      <c r="DH1660" s="4"/>
      <c r="DI1660" s="4"/>
      <c r="DJ1660" s="4" t="b">
        <v>0</v>
      </c>
      <c r="DK1660" s="4"/>
      <c r="DL1660" s="4">
        <v>2658536</v>
      </c>
      <c r="DM1660" s="4">
        <v>5988673</v>
      </c>
      <c r="DN1660" s="4" t="s">
        <v>5009</v>
      </c>
      <c r="DO1660" s="4"/>
      <c r="DP1660" s="4"/>
      <c r="DQ1660" s="4" t="s">
        <v>148</v>
      </c>
      <c r="DR1660" s="4"/>
      <c r="DS1660" s="4"/>
      <c r="DT1660" s="5">
        <v>41883</v>
      </c>
      <c r="DU1660" s="4"/>
      <c r="DV1660" s="4"/>
      <c r="DW1660" s="4"/>
      <c r="DX1660" s="4"/>
      <c r="DY1660" s="4"/>
      <c r="DZ1660" s="5">
        <v>39763</v>
      </c>
      <c r="EA1660" s="4"/>
      <c r="EB1660" s="4"/>
      <c r="EC1660" s="4"/>
      <c r="ED1660" s="4"/>
      <c r="EE1660" s="4"/>
      <c r="EF1660" s="4"/>
      <c r="EG1660" s="4"/>
      <c r="EH1660" s="4"/>
      <c r="EI1660" s="5">
        <v>39580</v>
      </c>
    </row>
    <row r="1661" spans="1:139" hidden="1" x14ac:dyDescent="0.2">
      <c r="A1661">
        <f>VLOOKUP(B1661,Sheet1!$A$1:$B$18,2,FALSE)</f>
        <v>0</v>
      </c>
      <c r="B1661" t="str">
        <f>LEFT(D1661,3)</f>
        <v>WLG</v>
      </c>
      <c r="C1661" s="2">
        <v>1660</v>
      </c>
      <c r="D1661" s="3" t="str">
        <f>HYPERLINK("https://sitebase.nzcomms.co.nz/spm/spmnominalview/WLG-047-053/","WLG-047-053")</f>
        <v>WLG-047-053</v>
      </c>
      <c r="E1661" s="4"/>
      <c r="F1661" s="3" t="str">
        <f>HYPERLINK("https://sitebase.nzcomms.co.nz/spm/spmcandidateview/WLG-047-053-A/","WLG-047-053-A")</f>
        <v>WLG-047-053-A</v>
      </c>
      <c r="G1661" s="4" t="s">
        <v>5010</v>
      </c>
      <c r="H1661" s="4" t="s">
        <v>4871</v>
      </c>
      <c r="I1661" s="4"/>
      <c r="J1661" s="4" t="s">
        <v>139</v>
      </c>
      <c r="K1661" s="4" t="s">
        <v>141</v>
      </c>
      <c r="L1661" s="4" t="s">
        <v>181</v>
      </c>
      <c r="M1661" s="4" t="s">
        <v>378</v>
      </c>
      <c r="N1661" s="4" t="s">
        <v>364</v>
      </c>
      <c r="O1661" s="4" t="s">
        <v>144</v>
      </c>
      <c r="P1661" s="4"/>
      <c r="Q1661" s="4"/>
      <c r="R1661" s="4">
        <v>27.3</v>
      </c>
      <c r="S1661" s="4">
        <v>27.3</v>
      </c>
      <c r="T1661" s="4"/>
      <c r="U1661" s="4">
        <v>-41.296713680000003</v>
      </c>
      <c r="V1661" s="4">
        <v>174.77066678</v>
      </c>
      <c r="W1661" s="4"/>
      <c r="X1661" s="4"/>
      <c r="Y1661" s="4"/>
      <c r="Z1661" s="4"/>
      <c r="AA1661" s="4"/>
      <c r="AB1661" s="4"/>
      <c r="AC1661" s="4"/>
      <c r="AD1661" s="4"/>
      <c r="AE1661" s="4"/>
      <c r="AF1661" s="4"/>
      <c r="AG1661" s="4"/>
      <c r="AH1661" s="4"/>
      <c r="AI1661" s="4"/>
      <c r="AJ1661" s="4"/>
      <c r="AK1661" s="4"/>
      <c r="AL1661" s="4"/>
      <c r="AM1661" s="4"/>
      <c r="AN1661" s="5">
        <v>39470</v>
      </c>
      <c r="AO1661" s="4">
        <v>3</v>
      </c>
      <c r="AP1661" s="4"/>
      <c r="AQ1661" s="5">
        <v>39869</v>
      </c>
      <c r="AR1661" s="4"/>
      <c r="AS1661" s="4"/>
      <c r="AT1661" s="5">
        <v>39813</v>
      </c>
      <c r="AU1661" s="5">
        <v>39778</v>
      </c>
      <c r="AV1661" s="4">
        <v>2</v>
      </c>
      <c r="AW1661" s="5">
        <v>39813</v>
      </c>
      <c r="AX1661" s="5">
        <v>39778</v>
      </c>
      <c r="AY1661" s="4"/>
      <c r="AZ1661" s="4"/>
      <c r="BA1661" s="4"/>
      <c r="BB1661" s="5">
        <v>39520</v>
      </c>
      <c r="BC1661" s="4"/>
      <c r="BD1661" s="4"/>
      <c r="BE1661" s="5">
        <v>39520</v>
      </c>
      <c r="BF1661" s="5">
        <v>39520</v>
      </c>
      <c r="BG1661" s="4"/>
      <c r="BH1661" s="5">
        <v>39783</v>
      </c>
      <c r="BI1661" s="4"/>
      <c r="BJ1661" s="5">
        <v>39828</v>
      </c>
      <c r="BK1661" s="4">
        <v>1</v>
      </c>
      <c r="BL1661" s="4">
        <v>2</v>
      </c>
      <c r="BM1661" s="5">
        <v>39828</v>
      </c>
      <c r="BN1661" s="5">
        <v>39828</v>
      </c>
      <c r="BO1661" s="4"/>
      <c r="BP1661" s="4"/>
      <c r="BQ1661" s="4"/>
      <c r="BR1661" s="4"/>
      <c r="BS1661" s="4"/>
      <c r="BT1661" s="4"/>
      <c r="BU1661" s="5">
        <v>39840</v>
      </c>
      <c r="BV1661" s="5">
        <v>39854</v>
      </c>
      <c r="BW1661" s="5">
        <v>39853</v>
      </c>
      <c r="BX1661" s="4"/>
      <c r="BY1661" s="5">
        <v>39874</v>
      </c>
      <c r="BZ1661" s="5">
        <v>39874</v>
      </c>
      <c r="CA1661" s="4"/>
      <c r="CB1661" s="4"/>
      <c r="CC1661" s="4"/>
      <c r="CD1661" s="4"/>
      <c r="CE1661" s="4"/>
      <c r="CF1661" s="4"/>
      <c r="CG1661" s="4"/>
      <c r="CH1661" s="4"/>
      <c r="CI1661" s="5">
        <v>39874</v>
      </c>
      <c r="CJ1661" s="5">
        <v>39887</v>
      </c>
      <c r="CK1661" s="5">
        <v>39874</v>
      </c>
      <c r="CL1661" s="4"/>
      <c r="CM1661" s="4"/>
      <c r="CN1661" s="4"/>
      <c r="CO1661" s="4"/>
      <c r="CP1661" s="4" t="s">
        <v>5011</v>
      </c>
      <c r="CQ1661" s="4"/>
      <c r="CR1661" s="5">
        <v>39887</v>
      </c>
      <c r="CS1661" s="4"/>
      <c r="CT1661" s="4"/>
      <c r="CU1661" s="4"/>
      <c r="CV1661" s="4"/>
      <c r="CW1661" s="4"/>
      <c r="CX1661" s="4"/>
      <c r="CY1661" s="4"/>
      <c r="CZ1661" s="4"/>
      <c r="DA1661" s="4"/>
      <c r="DB1661" s="4"/>
      <c r="DC1661" s="4"/>
      <c r="DD1661" s="4"/>
      <c r="DE1661" s="4"/>
      <c r="DF1661" s="4"/>
      <c r="DG1661" s="4"/>
      <c r="DH1661" s="4"/>
      <c r="DI1661" s="4"/>
      <c r="DJ1661" s="4" t="b">
        <v>0</v>
      </c>
      <c r="DK1661" s="4"/>
      <c r="DL1661" s="4">
        <v>2658271</v>
      </c>
      <c r="DM1661" s="4">
        <v>5988504</v>
      </c>
      <c r="DN1661" s="4" t="s">
        <v>5012</v>
      </c>
      <c r="DO1661" s="4"/>
      <c r="DP1661" s="4"/>
      <c r="DQ1661" s="4" t="s">
        <v>148</v>
      </c>
      <c r="DR1661" s="4"/>
      <c r="DS1661" s="4"/>
      <c r="DT1661" s="5">
        <v>41883</v>
      </c>
      <c r="DU1661" s="4"/>
      <c r="DV1661" s="4"/>
      <c r="DW1661" s="4"/>
      <c r="DX1661" s="4"/>
      <c r="DY1661" s="4"/>
      <c r="DZ1661" s="5">
        <v>39829</v>
      </c>
      <c r="EA1661" s="4"/>
      <c r="EB1661" s="4"/>
      <c r="EC1661" s="4"/>
      <c r="ED1661" s="4"/>
      <c r="EE1661" s="4"/>
      <c r="EF1661" s="4"/>
      <c r="EG1661" s="4"/>
      <c r="EH1661" s="4"/>
      <c r="EI1661" s="5">
        <v>39402</v>
      </c>
    </row>
    <row r="1662" spans="1:139" hidden="1" x14ac:dyDescent="0.2">
      <c r="A1662">
        <f>VLOOKUP(B1662,Sheet1!$A$1:$B$18,2,FALSE)</f>
        <v>0</v>
      </c>
      <c r="B1662" t="str">
        <f>LEFT(D1662,3)</f>
        <v>WLG</v>
      </c>
      <c r="C1662" s="2">
        <v>1661</v>
      </c>
      <c r="D1662" s="3" t="str">
        <f>HYPERLINK("https://sitebase.nzcomms.co.nz/spm/spmnominalview/WLG-047-054/","WLG-047-054")</f>
        <v>WLG-047-054</v>
      </c>
      <c r="E1662" s="4"/>
      <c r="F1662" s="3" t="str">
        <f>HYPERLINK("https://sitebase.nzcomms.co.nz/spm/spmcandidateview/WLG-047-054-A/","WLG-047-054-A")</f>
        <v>WLG-047-054-A</v>
      </c>
      <c r="G1662" s="4" t="s">
        <v>5013</v>
      </c>
      <c r="H1662" s="4" t="s">
        <v>4871</v>
      </c>
      <c r="I1662" s="4"/>
      <c r="J1662" s="4" t="s">
        <v>139</v>
      </c>
      <c r="K1662" s="4" t="s">
        <v>141</v>
      </c>
      <c r="L1662" s="4" t="s">
        <v>181</v>
      </c>
      <c r="M1662" s="4" t="s">
        <v>378</v>
      </c>
      <c r="N1662" s="4" t="s">
        <v>364</v>
      </c>
      <c r="O1662" s="4" t="s">
        <v>144</v>
      </c>
      <c r="P1662" s="4"/>
      <c r="Q1662" s="4"/>
      <c r="R1662" s="4">
        <v>15.4</v>
      </c>
      <c r="S1662" s="4">
        <v>15.4</v>
      </c>
      <c r="T1662" s="4"/>
      <c r="U1662" s="4">
        <v>-41.297017949999997</v>
      </c>
      <c r="V1662" s="4">
        <v>174.77902261</v>
      </c>
      <c r="W1662" s="4"/>
      <c r="X1662" s="4"/>
      <c r="Y1662" s="4"/>
      <c r="Z1662" s="4"/>
      <c r="AA1662" s="4" t="s">
        <v>217</v>
      </c>
      <c r="AB1662" s="4" t="s">
        <v>5014</v>
      </c>
      <c r="AC1662" s="4"/>
      <c r="AD1662" s="4"/>
      <c r="AE1662" s="4"/>
      <c r="AF1662" s="4"/>
      <c r="AG1662" s="4"/>
      <c r="AH1662" s="4" t="s">
        <v>4789</v>
      </c>
      <c r="AI1662" s="4"/>
      <c r="AJ1662" s="4"/>
      <c r="AK1662" s="4"/>
      <c r="AL1662" s="4"/>
      <c r="AM1662" s="4"/>
      <c r="AN1662" s="5">
        <v>39519</v>
      </c>
      <c r="AO1662" s="4">
        <v>1</v>
      </c>
      <c r="AP1662" s="4"/>
      <c r="AQ1662" s="5">
        <v>39519</v>
      </c>
      <c r="AR1662" s="4"/>
      <c r="AS1662" s="4"/>
      <c r="AT1662" s="5">
        <v>39629</v>
      </c>
      <c r="AU1662" s="5">
        <v>39629</v>
      </c>
      <c r="AV1662" s="4">
        <v>1</v>
      </c>
      <c r="AW1662" s="5">
        <v>39629</v>
      </c>
      <c r="AX1662" s="5">
        <v>39629</v>
      </c>
      <c r="AY1662" s="4"/>
      <c r="AZ1662" s="4"/>
      <c r="BA1662" s="4"/>
      <c r="BB1662" s="5">
        <v>39674</v>
      </c>
      <c r="BC1662" s="4"/>
      <c r="BD1662" s="4"/>
      <c r="BE1662" s="5">
        <v>39674</v>
      </c>
      <c r="BF1662" s="5">
        <v>39674</v>
      </c>
      <c r="BG1662" s="4"/>
      <c r="BH1662" s="5">
        <v>39630</v>
      </c>
      <c r="BI1662" s="4"/>
      <c r="BJ1662" s="5">
        <v>39703</v>
      </c>
      <c r="BK1662" s="4">
        <v>2</v>
      </c>
      <c r="BL1662" s="4">
        <v>1</v>
      </c>
      <c r="BM1662" s="5">
        <v>39787</v>
      </c>
      <c r="BN1662" s="5">
        <v>39787</v>
      </c>
      <c r="BO1662" s="4"/>
      <c r="BP1662" s="4"/>
      <c r="BQ1662" s="4"/>
      <c r="BR1662" s="4"/>
      <c r="BS1662" s="4"/>
      <c r="BT1662" s="4"/>
      <c r="BU1662" s="5">
        <v>39785</v>
      </c>
      <c r="BV1662" s="5">
        <v>39836</v>
      </c>
      <c r="BW1662" s="5">
        <v>39829</v>
      </c>
      <c r="BX1662" s="4"/>
      <c r="BY1662" s="5">
        <v>39836</v>
      </c>
      <c r="BZ1662" s="5">
        <v>39836</v>
      </c>
      <c r="CA1662" s="4"/>
      <c r="CB1662" s="4"/>
      <c r="CC1662" s="4"/>
      <c r="CD1662" s="4"/>
      <c r="CE1662" s="4"/>
      <c r="CF1662" s="4"/>
      <c r="CG1662" s="4"/>
      <c r="CH1662" s="4"/>
      <c r="CI1662" s="5">
        <v>39840</v>
      </c>
      <c r="CJ1662" s="5">
        <v>39871</v>
      </c>
      <c r="CK1662" s="5">
        <v>39840</v>
      </c>
      <c r="CL1662" s="4"/>
      <c r="CM1662" s="4"/>
      <c r="CN1662" s="4"/>
      <c r="CO1662" s="4"/>
      <c r="CP1662" s="4" t="s">
        <v>405</v>
      </c>
      <c r="CQ1662" s="4"/>
      <c r="CR1662" s="5">
        <v>39871</v>
      </c>
      <c r="CS1662" s="4"/>
      <c r="CT1662" s="4"/>
      <c r="CU1662" s="4"/>
      <c r="CV1662" s="4"/>
      <c r="CW1662" s="4"/>
      <c r="CX1662" s="4"/>
      <c r="CY1662" s="4"/>
      <c r="CZ1662" s="4"/>
      <c r="DA1662" s="4"/>
      <c r="DB1662" s="4"/>
      <c r="DC1662" s="4"/>
      <c r="DD1662" s="4"/>
      <c r="DE1662" s="4"/>
      <c r="DF1662" s="4"/>
      <c r="DG1662" s="4"/>
      <c r="DH1662" s="4"/>
      <c r="DI1662" s="4"/>
      <c r="DJ1662" s="4" t="b">
        <v>0</v>
      </c>
      <c r="DK1662" s="4"/>
      <c r="DL1662" s="4">
        <v>2658970</v>
      </c>
      <c r="DM1662" s="4">
        <v>5988456</v>
      </c>
      <c r="DN1662" s="4" t="s">
        <v>5015</v>
      </c>
      <c r="DO1662" s="4"/>
      <c r="DP1662" s="4"/>
      <c r="DQ1662" s="4" t="s">
        <v>148</v>
      </c>
      <c r="DR1662" s="4"/>
      <c r="DS1662" s="4"/>
      <c r="DT1662" s="5">
        <v>41883</v>
      </c>
      <c r="DU1662" s="4"/>
      <c r="DV1662" s="4"/>
      <c r="DW1662" s="4"/>
      <c r="DX1662" s="4"/>
      <c r="DY1662" s="4"/>
      <c r="DZ1662" s="5">
        <v>39715</v>
      </c>
      <c r="EA1662" s="4"/>
      <c r="EB1662" s="4"/>
      <c r="EC1662" s="4"/>
      <c r="ED1662" s="4"/>
      <c r="EE1662" s="4"/>
      <c r="EF1662" s="4"/>
      <c r="EG1662" s="4"/>
      <c r="EH1662" s="4"/>
      <c r="EI1662" s="5">
        <v>39485</v>
      </c>
    </row>
    <row r="1663" spans="1:139" hidden="1" x14ac:dyDescent="0.2">
      <c r="A1663">
        <f>VLOOKUP(B1663,Sheet1!$A$1:$B$18,2,FALSE)</f>
        <v>0</v>
      </c>
      <c r="B1663" t="str">
        <f>LEFT(D1663,3)</f>
        <v>WLG</v>
      </c>
      <c r="C1663" s="2">
        <v>1662</v>
      </c>
      <c r="D1663" s="3" t="str">
        <f>HYPERLINK("https://sitebase.nzcomms.co.nz/spm/spmnominalview/WLG-047-055/","WLG-047-055")</f>
        <v>WLG-047-055</v>
      </c>
      <c r="E1663" s="4"/>
      <c r="F1663" s="3" t="str">
        <f>HYPERLINK("https://sitebase.nzcomms.co.nz/spm/spmcandidateview/WLG-047-055-A/","WLG-047-055-A")</f>
        <v>WLG-047-055-A</v>
      </c>
      <c r="G1663" s="4" t="s">
        <v>5016</v>
      </c>
      <c r="H1663" s="4" t="s">
        <v>4871</v>
      </c>
      <c r="I1663" s="4"/>
      <c r="J1663" s="4" t="s">
        <v>139</v>
      </c>
      <c r="K1663" s="4" t="s">
        <v>141</v>
      </c>
      <c r="L1663" s="4" t="s">
        <v>181</v>
      </c>
      <c r="M1663" s="4" t="s">
        <v>378</v>
      </c>
      <c r="N1663" s="4" t="s">
        <v>364</v>
      </c>
      <c r="O1663" s="4" t="s">
        <v>144</v>
      </c>
      <c r="P1663" s="4"/>
      <c r="Q1663" s="4"/>
      <c r="R1663" s="4">
        <v>19.899999999999999</v>
      </c>
      <c r="S1663" s="4">
        <v>19.899999999999999</v>
      </c>
      <c r="T1663" s="4"/>
      <c r="U1663" s="4">
        <v>-41.30687227</v>
      </c>
      <c r="V1663" s="4">
        <v>174.77777175</v>
      </c>
      <c r="W1663" s="4"/>
      <c r="X1663" s="4"/>
      <c r="Y1663" s="4"/>
      <c r="Z1663" s="4"/>
      <c r="AA1663" s="4" t="s">
        <v>217</v>
      </c>
      <c r="AB1663" s="4" t="s">
        <v>5014</v>
      </c>
      <c r="AC1663" s="4"/>
      <c r="AD1663" s="4"/>
      <c r="AE1663" s="4"/>
      <c r="AF1663" s="4"/>
      <c r="AG1663" s="4"/>
      <c r="AH1663" s="4" t="s">
        <v>4789</v>
      </c>
      <c r="AI1663" s="4"/>
      <c r="AJ1663" s="4"/>
      <c r="AK1663" s="4"/>
      <c r="AL1663" s="4"/>
      <c r="AM1663" s="4"/>
      <c r="AN1663" s="5">
        <v>39346</v>
      </c>
      <c r="AO1663" s="4">
        <v>2</v>
      </c>
      <c r="AP1663" s="5">
        <v>39885</v>
      </c>
      <c r="AQ1663" s="5">
        <v>39884</v>
      </c>
      <c r="AR1663" s="4"/>
      <c r="AS1663" s="4"/>
      <c r="AT1663" s="5">
        <v>39629</v>
      </c>
      <c r="AU1663" s="5">
        <v>39598</v>
      </c>
      <c r="AV1663" s="4">
        <v>1</v>
      </c>
      <c r="AW1663" s="5">
        <v>39629</v>
      </c>
      <c r="AX1663" s="5">
        <v>39598</v>
      </c>
      <c r="AY1663" s="4"/>
      <c r="AZ1663" s="4"/>
      <c r="BA1663" s="4"/>
      <c r="BB1663" s="5">
        <v>39575</v>
      </c>
      <c r="BC1663" s="4"/>
      <c r="BD1663" s="4"/>
      <c r="BE1663" s="5">
        <v>39575</v>
      </c>
      <c r="BF1663" s="5">
        <v>39575</v>
      </c>
      <c r="BG1663" s="4"/>
      <c r="BH1663" s="5">
        <v>39548</v>
      </c>
      <c r="BI1663" s="4"/>
      <c r="BJ1663" s="5">
        <v>39629</v>
      </c>
      <c r="BK1663" s="4">
        <v>3</v>
      </c>
      <c r="BL1663" s="4">
        <v>1</v>
      </c>
      <c r="BM1663" s="5">
        <v>39647</v>
      </c>
      <c r="BN1663" s="5">
        <v>39647</v>
      </c>
      <c r="BO1663" s="4"/>
      <c r="BP1663" s="4"/>
      <c r="BQ1663" s="4"/>
      <c r="BR1663" s="4"/>
      <c r="BS1663" s="4"/>
      <c r="BT1663" s="4"/>
      <c r="BU1663" s="5">
        <v>39644</v>
      </c>
      <c r="BV1663" s="5">
        <v>39714</v>
      </c>
      <c r="BW1663" s="5">
        <v>39714</v>
      </c>
      <c r="BX1663" s="4"/>
      <c r="BY1663" s="5">
        <v>39724</v>
      </c>
      <c r="BZ1663" s="5">
        <v>39710</v>
      </c>
      <c r="CA1663" s="4"/>
      <c r="CB1663" s="4"/>
      <c r="CC1663" s="4"/>
      <c r="CD1663" s="4"/>
      <c r="CE1663" s="4"/>
      <c r="CF1663" s="4"/>
      <c r="CG1663" s="4"/>
      <c r="CH1663" s="4"/>
      <c r="CI1663" s="5">
        <v>39784</v>
      </c>
      <c r="CJ1663" s="5">
        <v>39813</v>
      </c>
      <c r="CK1663" s="5">
        <v>39784</v>
      </c>
      <c r="CL1663" s="4"/>
      <c r="CM1663" s="4"/>
      <c r="CN1663" s="4"/>
      <c r="CO1663" s="4"/>
      <c r="CP1663" s="4" t="s">
        <v>405</v>
      </c>
      <c r="CQ1663" s="4"/>
      <c r="CR1663" s="4"/>
      <c r="CS1663" s="4"/>
      <c r="CT1663" s="4"/>
      <c r="CU1663" s="4"/>
      <c r="CV1663" s="4"/>
      <c r="CW1663" s="4"/>
      <c r="CX1663" s="4"/>
      <c r="CY1663" s="4"/>
      <c r="CZ1663" s="4"/>
      <c r="DA1663" s="4"/>
      <c r="DB1663" s="4"/>
      <c r="DC1663" s="4"/>
      <c r="DD1663" s="4"/>
      <c r="DE1663" s="4"/>
      <c r="DF1663" s="4"/>
      <c r="DG1663" s="4"/>
      <c r="DH1663" s="4"/>
      <c r="DI1663" s="4"/>
      <c r="DJ1663" s="4" t="b">
        <v>0</v>
      </c>
      <c r="DK1663" s="4"/>
      <c r="DL1663" s="4">
        <v>2658843</v>
      </c>
      <c r="DM1663" s="4">
        <v>5987364</v>
      </c>
      <c r="DN1663" s="4" t="s">
        <v>5017</v>
      </c>
      <c r="DO1663" s="4"/>
      <c r="DP1663" s="4"/>
      <c r="DQ1663" s="4" t="s">
        <v>148</v>
      </c>
      <c r="DR1663" s="4"/>
      <c r="DS1663" s="4"/>
      <c r="DT1663" s="5">
        <v>41883</v>
      </c>
      <c r="DU1663" s="4"/>
      <c r="DV1663" s="4"/>
      <c r="DW1663" s="4"/>
      <c r="DX1663" s="4"/>
      <c r="DY1663" s="4"/>
      <c r="DZ1663" s="5">
        <v>39630</v>
      </c>
      <c r="EA1663" s="4"/>
      <c r="EB1663" s="4"/>
      <c r="EC1663" s="4"/>
      <c r="ED1663" s="4"/>
      <c r="EE1663" s="4"/>
      <c r="EF1663" s="4"/>
      <c r="EG1663" s="4"/>
      <c r="EH1663" s="4"/>
      <c r="EI1663" s="5">
        <v>39310</v>
      </c>
    </row>
    <row r="1664" spans="1:139" hidden="1" x14ac:dyDescent="0.2">
      <c r="A1664">
        <f>VLOOKUP(B1664,Sheet1!$A$1:$B$18,2,FALSE)</f>
        <v>0</v>
      </c>
      <c r="B1664" t="str">
        <f>LEFT(D1664,3)</f>
        <v>WLG</v>
      </c>
      <c r="C1664" s="2">
        <v>1663</v>
      </c>
      <c r="D1664" s="3" t="str">
        <f>HYPERLINK("https://sitebase.nzcomms.co.nz/spm/spmnominalview/WLG-047-056/","WLG-047-056")</f>
        <v>WLG-047-056</v>
      </c>
      <c r="E1664" s="4"/>
      <c r="F1664" s="3" t="str">
        <f>HYPERLINK("https://sitebase.nzcomms.co.nz/spm/spmcandidateview/WLG-047-056-A/","WLG-047-056-A")</f>
        <v>WLG-047-056-A</v>
      </c>
      <c r="G1664" s="4" t="s">
        <v>5018</v>
      </c>
      <c r="H1664" s="4" t="s">
        <v>4871</v>
      </c>
      <c r="I1664" s="4"/>
      <c r="J1664" s="4" t="s">
        <v>139</v>
      </c>
      <c r="K1664" s="4" t="s">
        <v>141</v>
      </c>
      <c r="L1664" s="4" t="s">
        <v>181</v>
      </c>
      <c r="M1664" s="4" t="s">
        <v>378</v>
      </c>
      <c r="N1664" s="4" t="s">
        <v>364</v>
      </c>
      <c r="O1664" s="4" t="s">
        <v>144</v>
      </c>
      <c r="P1664" s="4"/>
      <c r="Q1664" s="4"/>
      <c r="R1664" s="4">
        <v>20</v>
      </c>
      <c r="S1664" s="4">
        <v>20</v>
      </c>
      <c r="T1664" s="4"/>
      <c r="U1664" s="4">
        <v>-41.317493140000003</v>
      </c>
      <c r="V1664" s="4">
        <v>174.77821366000001</v>
      </c>
      <c r="W1664" s="4"/>
      <c r="X1664" s="4"/>
      <c r="Y1664" s="4"/>
      <c r="Z1664" s="4"/>
      <c r="AA1664" s="4" t="s">
        <v>217</v>
      </c>
      <c r="AB1664" s="4" t="s">
        <v>5019</v>
      </c>
      <c r="AC1664" s="4"/>
      <c r="AD1664" s="4"/>
      <c r="AE1664" s="4"/>
      <c r="AF1664" s="4"/>
      <c r="AG1664" s="4"/>
      <c r="AH1664" s="4" t="s">
        <v>4789</v>
      </c>
      <c r="AI1664" s="4"/>
      <c r="AJ1664" s="4"/>
      <c r="AK1664" s="4"/>
      <c r="AL1664" s="4"/>
      <c r="AM1664" s="4"/>
      <c r="AN1664" s="5">
        <v>39561</v>
      </c>
      <c r="AO1664" s="4">
        <v>4</v>
      </c>
      <c r="AP1664" s="4"/>
      <c r="AQ1664" s="5">
        <v>40037</v>
      </c>
      <c r="AR1664" s="4"/>
      <c r="AS1664" s="4"/>
      <c r="AT1664" s="5">
        <v>39660</v>
      </c>
      <c r="AU1664" s="5">
        <v>39629</v>
      </c>
      <c r="AV1664" s="4">
        <v>1</v>
      </c>
      <c r="AW1664" s="5">
        <v>39660</v>
      </c>
      <c r="AX1664" s="5">
        <v>39629</v>
      </c>
      <c r="AY1664" s="4"/>
      <c r="AZ1664" s="4"/>
      <c r="BA1664" s="4"/>
      <c r="BB1664" s="5">
        <v>39643</v>
      </c>
      <c r="BC1664" s="4"/>
      <c r="BD1664" s="4"/>
      <c r="BE1664" s="5">
        <v>39643</v>
      </c>
      <c r="BF1664" s="5">
        <v>39643</v>
      </c>
      <c r="BG1664" s="4"/>
      <c r="BH1664" s="5">
        <v>39630</v>
      </c>
      <c r="BI1664" s="4"/>
      <c r="BJ1664" s="5">
        <v>39696</v>
      </c>
      <c r="BK1664" s="4">
        <v>2</v>
      </c>
      <c r="BL1664" s="4">
        <v>3</v>
      </c>
      <c r="BM1664" s="5">
        <v>40032</v>
      </c>
      <c r="BN1664" s="5">
        <v>40063</v>
      </c>
      <c r="BO1664" s="4"/>
      <c r="BP1664" s="4"/>
      <c r="BQ1664" s="4"/>
      <c r="BR1664" s="4"/>
      <c r="BS1664" s="4"/>
      <c r="BT1664" s="4"/>
      <c r="BU1664" s="5">
        <v>39731</v>
      </c>
      <c r="BV1664" s="5">
        <v>39782</v>
      </c>
      <c r="BW1664" s="5">
        <v>39776</v>
      </c>
      <c r="BX1664" s="4"/>
      <c r="BY1664" s="5">
        <v>39785</v>
      </c>
      <c r="BZ1664" s="5">
        <v>39794</v>
      </c>
      <c r="CA1664" s="4"/>
      <c r="CB1664" s="4"/>
      <c r="CC1664" s="4"/>
      <c r="CD1664" s="4"/>
      <c r="CE1664" s="4"/>
      <c r="CF1664" s="4"/>
      <c r="CG1664" s="4"/>
      <c r="CH1664" s="4"/>
      <c r="CI1664" s="5">
        <v>39797</v>
      </c>
      <c r="CJ1664" s="5">
        <v>39813</v>
      </c>
      <c r="CK1664" s="5">
        <v>39797</v>
      </c>
      <c r="CL1664" s="4"/>
      <c r="CM1664" s="4"/>
      <c r="CN1664" s="4"/>
      <c r="CO1664" s="4"/>
      <c r="CP1664" s="4" t="s">
        <v>5020</v>
      </c>
      <c r="CQ1664" s="4"/>
      <c r="CR1664" s="5">
        <v>39813</v>
      </c>
      <c r="CS1664" s="4"/>
      <c r="CT1664" s="4"/>
      <c r="CU1664" s="4"/>
      <c r="CV1664" s="4"/>
      <c r="CW1664" s="4"/>
      <c r="CX1664" s="4"/>
      <c r="CY1664" s="4"/>
      <c r="CZ1664" s="4"/>
      <c r="DA1664" s="4"/>
      <c r="DB1664" s="4"/>
      <c r="DC1664" s="4"/>
      <c r="DD1664" s="4"/>
      <c r="DE1664" s="4"/>
      <c r="DF1664" s="4"/>
      <c r="DG1664" s="4"/>
      <c r="DH1664" s="4"/>
      <c r="DI1664" s="4"/>
      <c r="DJ1664" s="4" t="b">
        <v>0</v>
      </c>
      <c r="DK1664" s="4"/>
      <c r="DL1664" s="4">
        <v>2658856</v>
      </c>
      <c r="DM1664" s="4">
        <v>5986184</v>
      </c>
      <c r="DN1664" s="4" t="s">
        <v>5021</v>
      </c>
      <c r="DO1664" s="4"/>
      <c r="DP1664" s="4"/>
      <c r="DQ1664" s="4" t="s">
        <v>148</v>
      </c>
      <c r="DR1664" s="4"/>
      <c r="DS1664" s="4"/>
      <c r="DT1664" s="5">
        <v>41883</v>
      </c>
      <c r="DU1664" s="4"/>
      <c r="DV1664" s="4"/>
      <c r="DW1664" s="4"/>
      <c r="DX1664" s="4"/>
      <c r="DY1664" s="4"/>
      <c r="DZ1664" s="5">
        <v>39700</v>
      </c>
      <c r="EA1664" s="4"/>
      <c r="EB1664" s="4"/>
      <c r="EC1664" s="4"/>
      <c r="ED1664" s="4"/>
      <c r="EE1664" s="4"/>
      <c r="EF1664" s="4"/>
      <c r="EG1664" s="4"/>
      <c r="EH1664" s="4"/>
      <c r="EI1664" s="5">
        <v>39524</v>
      </c>
    </row>
    <row r="1665" spans="1:139" hidden="1" x14ac:dyDescent="0.2">
      <c r="A1665">
        <f>VLOOKUP(B1665,Sheet1!$A$1:$B$18,2,FALSE)</f>
        <v>0</v>
      </c>
      <c r="B1665" t="str">
        <f>LEFT(D1665,3)</f>
        <v>WLG</v>
      </c>
      <c r="C1665" s="2">
        <v>1664</v>
      </c>
      <c r="D1665" s="3" t="str">
        <f>HYPERLINK("https://sitebase.nzcomms.co.nz/spm/spmnominalview/WLG-047-057/","WLG-047-057")</f>
        <v>WLG-047-057</v>
      </c>
      <c r="E1665" s="4"/>
      <c r="F1665" s="3" t="str">
        <f>HYPERLINK("https://sitebase.nzcomms.co.nz/spm/spmcandidateview/WLG-047-057-I/","WLG-047-057-I")</f>
        <v>WLG-047-057-I</v>
      </c>
      <c r="G1665" s="4" t="s">
        <v>5022</v>
      </c>
      <c r="H1665" s="4" t="s">
        <v>4871</v>
      </c>
      <c r="I1665" s="4"/>
      <c r="J1665" s="4" t="s">
        <v>139</v>
      </c>
      <c r="K1665" s="4" t="s">
        <v>141</v>
      </c>
      <c r="L1665" s="4" t="s">
        <v>181</v>
      </c>
      <c r="M1665" s="4" t="s">
        <v>378</v>
      </c>
      <c r="N1665" s="4" t="s">
        <v>364</v>
      </c>
      <c r="O1665" s="4" t="s">
        <v>144</v>
      </c>
      <c r="P1665" s="4"/>
      <c r="Q1665" s="4"/>
      <c r="R1665" s="4">
        <v>13.8</v>
      </c>
      <c r="S1665" s="4">
        <v>13.8</v>
      </c>
      <c r="T1665" s="4"/>
      <c r="U1665" s="4">
        <v>-41.301166039999998</v>
      </c>
      <c r="V1665" s="4">
        <v>174.77927790000001</v>
      </c>
      <c r="W1665" s="4"/>
      <c r="X1665" s="4"/>
      <c r="Y1665" s="4"/>
      <c r="Z1665" s="4"/>
      <c r="AA1665" s="4" t="s">
        <v>171</v>
      </c>
      <c r="AB1665" s="3" t="str">
        <f>HYPERLINK("https://sitebase.nzcomms.co.nz/spm/spmcandidateview/WLG-047-050-A/","WLG-047-050-A")</f>
        <v>WLG-047-050-A</v>
      </c>
      <c r="AC1665" s="4"/>
      <c r="AD1665" s="4"/>
      <c r="AE1665" s="4"/>
      <c r="AF1665" s="4"/>
      <c r="AG1665" s="4"/>
      <c r="AH1665" s="4" t="s">
        <v>5023</v>
      </c>
      <c r="AI1665" s="4"/>
      <c r="AJ1665" s="4"/>
      <c r="AK1665" s="4"/>
      <c r="AL1665" s="4"/>
      <c r="AM1665" s="4"/>
      <c r="AN1665" s="5">
        <v>39710</v>
      </c>
      <c r="AO1665" s="4">
        <v>1</v>
      </c>
      <c r="AP1665" s="4"/>
      <c r="AQ1665" s="5">
        <v>39710</v>
      </c>
      <c r="AR1665" s="4"/>
      <c r="AS1665" s="4"/>
      <c r="AT1665" s="5">
        <v>39834</v>
      </c>
      <c r="AU1665" s="5">
        <v>39834</v>
      </c>
      <c r="AV1665" s="4">
        <v>1</v>
      </c>
      <c r="AW1665" s="5">
        <v>39834</v>
      </c>
      <c r="AX1665" s="5">
        <v>39834</v>
      </c>
      <c r="AY1665" s="4"/>
      <c r="AZ1665" s="4"/>
      <c r="BA1665" s="4"/>
      <c r="BB1665" s="5">
        <v>39730</v>
      </c>
      <c r="BC1665" s="4"/>
      <c r="BD1665" s="4"/>
      <c r="BE1665" s="5">
        <v>39730</v>
      </c>
      <c r="BF1665" s="5">
        <v>39730</v>
      </c>
      <c r="BG1665" s="4"/>
      <c r="BH1665" s="5">
        <v>39717</v>
      </c>
      <c r="BI1665" s="4"/>
      <c r="BJ1665" s="5">
        <v>39794</v>
      </c>
      <c r="BK1665" s="4">
        <v>1</v>
      </c>
      <c r="BL1665" s="4">
        <v>1</v>
      </c>
      <c r="BM1665" s="5">
        <v>39794</v>
      </c>
      <c r="BN1665" s="5">
        <v>39794</v>
      </c>
      <c r="BO1665" s="4"/>
      <c r="BP1665" s="4"/>
      <c r="BQ1665" s="4"/>
      <c r="BR1665" s="4"/>
      <c r="BS1665" s="4"/>
      <c r="BT1665" s="5">
        <v>39885</v>
      </c>
      <c r="BU1665" s="5">
        <v>39884</v>
      </c>
      <c r="BV1665" s="5">
        <v>39931</v>
      </c>
      <c r="BW1665" s="5">
        <v>39931</v>
      </c>
      <c r="BX1665" s="4"/>
      <c r="BY1665" s="5">
        <v>39982</v>
      </c>
      <c r="BZ1665" s="5">
        <v>39980</v>
      </c>
      <c r="CA1665" s="4"/>
      <c r="CB1665" s="4"/>
      <c r="CC1665" s="4"/>
      <c r="CD1665" s="4"/>
      <c r="CE1665" s="4"/>
      <c r="CF1665" s="4"/>
      <c r="CG1665" s="4"/>
      <c r="CH1665" s="4"/>
      <c r="CI1665" s="5">
        <v>39981</v>
      </c>
      <c r="CJ1665" s="5">
        <v>39982</v>
      </c>
      <c r="CK1665" s="5">
        <v>39981</v>
      </c>
      <c r="CL1665" s="4"/>
      <c r="CM1665" s="4"/>
      <c r="CN1665" s="4"/>
      <c r="CO1665" s="4"/>
      <c r="CP1665" s="4" t="s">
        <v>5024</v>
      </c>
      <c r="CQ1665" s="4"/>
      <c r="CR1665" s="5">
        <v>39982</v>
      </c>
      <c r="CS1665" s="4"/>
      <c r="CT1665" s="4"/>
      <c r="CU1665" s="4"/>
      <c r="CV1665" s="4"/>
      <c r="CW1665" s="4"/>
      <c r="CX1665" s="4"/>
      <c r="CY1665" s="4"/>
      <c r="CZ1665" s="4"/>
      <c r="DA1665" s="4"/>
      <c r="DB1665" s="4"/>
      <c r="DC1665" s="4"/>
      <c r="DD1665" s="4"/>
      <c r="DE1665" s="4"/>
      <c r="DF1665" s="4"/>
      <c r="DG1665" s="4"/>
      <c r="DH1665" s="4"/>
      <c r="DI1665" s="4"/>
      <c r="DJ1665" s="4" t="b">
        <v>0</v>
      </c>
      <c r="DK1665" s="4"/>
      <c r="DL1665" s="4">
        <v>2658982</v>
      </c>
      <c r="DM1665" s="4">
        <v>5987995</v>
      </c>
      <c r="DN1665" s="4" t="s">
        <v>5025</v>
      </c>
      <c r="DO1665" s="4"/>
      <c r="DP1665" s="4"/>
      <c r="DQ1665" s="4" t="s">
        <v>148</v>
      </c>
      <c r="DR1665" s="4"/>
      <c r="DS1665" s="4"/>
      <c r="DT1665" s="5">
        <v>41883</v>
      </c>
      <c r="DU1665" s="4"/>
      <c r="DV1665" s="4"/>
      <c r="DW1665" s="4"/>
      <c r="DX1665" s="4"/>
      <c r="DY1665" s="4"/>
      <c r="DZ1665" s="5">
        <v>39867</v>
      </c>
      <c r="EA1665" s="4"/>
      <c r="EB1665" s="4"/>
      <c r="EC1665" s="4"/>
      <c r="ED1665" s="4"/>
      <c r="EE1665" s="4"/>
      <c r="EF1665" s="4"/>
      <c r="EG1665" s="4"/>
      <c r="EH1665" s="4"/>
      <c r="EI1665" s="5">
        <v>39672</v>
      </c>
    </row>
    <row r="1666" spans="1:139" hidden="1" x14ac:dyDescent="0.2">
      <c r="A1666">
        <f>VLOOKUP(B1666,Sheet1!$A$1:$B$18,2,FALSE)</f>
        <v>0</v>
      </c>
      <c r="B1666" t="str">
        <f>LEFT(D1666,3)</f>
        <v>WLG</v>
      </c>
      <c r="C1666" s="2">
        <v>1665</v>
      </c>
      <c r="D1666" s="3" t="str">
        <f>HYPERLINK("https://sitebase.nzcomms.co.nz/spm/spmnominalview/WLG-047-059/","WLG-047-059")</f>
        <v>WLG-047-059</v>
      </c>
      <c r="E1666" s="4"/>
      <c r="F1666" s="4"/>
      <c r="G1666" s="4"/>
      <c r="H1666" s="4" t="s">
        <v>4871</v>
      </c>
      <c r="I1666" s="4"/>
      <c r="J1666" s="4" t="s">
        <v>139</v>
      </c>
      <c r="K1666" s="4"/>
      <c r="L1666" s="4"/>
      <c r="M1666" s="4"/>
      <c r="N1666" s="4"/>
      <c r="O1666" s="4"/>
      <c r="P1666" s="4"/>
      <c r="Q1666" s="4"/>
      <c r="R1666" s="4"/>
      <c r="S1666" s="4"/>
      <c r="T1666" s="4"/>
      <c r="U1666" s="4"/>
      <c r="V1666" s="4"/>
      <c r="W1666" s="4"/>
      <c r="X1666" s="4"/>
      <c r="Y1666" s="4"/>
      <c r="Z1666" s="4"/>
      <c r="AA1666" s="4"/>
      <c r="AB1666" s="4"/>
      <c r="AC1666" s="4"/>
      <c r="AD1666" s="4"/>
      <c r="AE1666" s="4"/>
      <c r="AF1666" s="4"/>
      <c r="AG1666" s="4"/>
      <c r="AH1666" s="4"/>
      <c r="AI1666" s="4"/>
      <c r="AJ1666" s="4"/>
      <c r="AK1666" s="4"/>
      <c r="AL1666" s="4"/>
      <c r="AM1666" s="4"/>
      <c r="AN1666" s="4"/>
      <c r="AO1666" s="4"/>
      <c r="AP1666" s="4"/>
      <c r="AQ1666" s="4"/>
      <c r="AR1666" s="4"/>
      <c r="AS1666" s="4"/>
      <c r="AT1666" s="4"/>
      <c r="AU1666" s="4"/>
      <c r="AV1666" s="4"/>
      <c r="AW1666" s="4"/>
      <c r="AX1666" s="4"/>
      <c r="AY1666" s="4"/>
      <c r="AZ1666" s="4"/>
      <c r="BA1666" s="4"/>
      <c r="BB1666" s="4"/>
      <c r="BC1666" s="4"/>
      <c r="BD1666" s="4"/>
      <c r="BE1666" s="4"/>
      <c r="BF1666" s="4"/>
      <c r="BG1666" s="4"/>
      <c r="BH1666" s="4"/>
      <c r="BI1666" s="4"/>
      <c r="BJ1666" s="4"/>
      <c r="BK1666" s="4"/>
      <c r="BL1666" s="4"/>
      <c r="BM1666" s="4"/>
      <c r="BN1666" s="4"/>
      <c r="BO1666" s="4"/>
      <c r="BP1666" s="4"/>
      <c r="BQ1666" s="4"/>
      <c r="BR1666" s="4"/>
      <c r="BS1666" s="4"/>
      <c r="BT1666" s="4"/>
      <c r="BU1666" s="4"/>
      <c r="BV1666" s="4"/>
      <c r="BW1666" s="4"/>
      <c r="BX1666" s="4"/>
      <c r="BY1666" s="4"/>
      <c r="BZ1666" s="4"/>
      <c r="CA1666" s="4"/>
      <c r="CB1666" s="4"/>
      <c r="CC1666" s="4"/>
      <c r="CD1666" s="4"/>
      <c r="CE1666" s="4"/>
      <c r="CF1666" s="4"/>
      <c r="CG1666" s="4"/>
      <c r="CH1666" s="4"/>
      <c r="CI1666" s="4"/>
      <c r="CJ1666" s="4"/>
      <c r="CK1666" s="4"/>
      <c r="CL1666" s="4"/>
      <c r="CM1666" s="4"/>
      <c r="CN1666" s="4"/>
      <c r="CO1666" s="4"/>
      <c r="CP1666" s="4"/>
      <c r="CQ1666" s="4"/>
      <c r="CR1666" s="4"/>
      <c r="CS1666" s="4"/>
      <c r="CT1666" s="4"/>
      <c r="CU1666" s="4"/>
      <c r="CV1666" s="4"/>
      <c r="CW1666" s="4"/>
      <c r="CX1666" s="4"/>
      <c r="CY1666" s="4"/>
      <c r="CZ1666" s="4"/>
      <c r="DA1666" s="4"/>
      <c r="DB1666" s="4"/>
      <c r="DC1666" s="4"/>
      <c r="DD1666" s="4"/>
      <c r="DE1666" s="4"/>
      <c r="DF1666" s="4"/>
      <c r="DG1666" s="4"/>
      <c r="DH1666" s="4"/>
      <c r="DI1666" s="4"/>
      <c r="DJ1666" s="4"/>
      <c r="DK1666" s="4"/>
      <c r="DL1666" s="4"/>
      <c r="DM1666" s="4"/>
      <c r="DN1666" s="4"/>
      <c r="DO1666" s="4"/>
      <c r="DP1666" s="4"/>
      <c r="DQ1666" s="4"/>
      <c r="DR1666" s="4"/>
      <c r="DS1666" s="4"/>
      <c r="DT1666" s="4"/>
      <c r="DU1666" s="4"/>
      <c r="DV1666" s="4"/>
      <c r="DW1666" s="4"/>
      <c r="DX1666" s="4"/>
      <c r="DY1666" s="4"/>
      <c r="DZ1666" s="4"/>
      <c r="EA1666" s="4"/>
      <c r="EB1666" s="4"/>
      <c r="EC1666" s="4"/>
      <c r="ED1666" s="4"/>
      <c r="EE1666" s="4"/>
      <c r="EF1666" s="4"/>
      <c r="EG1666" s="4"/>
      <c r="EH1666" s="4"/>
      <c r="EI1666" s="4"/>
    </row>
    <row r="1667" spans="1:139" hidden="1" x14ac:dyDescent="0.2">
      <c r="A1667">
        <f>VLOOKUP(B1667,Sheet1!$A$1:$B$18,2,FALSE)</f>
        <v>0</v>
      </c>
      <c r="B1667" t="str">
        <f>LEFT(D1667,3)</f>
        <v>WLG</v>
      </c>
      <c r="C1667" s="2">
        <v>1666</v>
      </c>
      <c r="D1667" s="3" t="str">
        <f>HYPERLINK("https://sitebase.nzcomms.co.nz/spm/spmnominalview/WLG-047-060/","WLG-047-060")</f>
        <v>WLG-047-060</v>
      </c>
      <c r="E1667" s="4"/>
      <c r="F1667" s="3" t="str">
        <f>HYPERLINK("https://sitebase.nzcomms.co.nz/spm/spmcandidateview/WLG-047-060-A/","WLG-047-060-A")</f>
        <v>WLG-047-060-A</v>
      </c>
      <c r="G1667" s="4" t="s">
        <v>5026</v>
      </c>
      <c r="H1667" s="4" t="s">
        <v>4871</v>
      </c>
      <c r="I1667" s="4"/>
      <c r="J1667" s="4" t="s">
        <v>139</v>
      </c>
      <c r="K1667" s="4" t="s">
        <v>141</v>
      </c>
      <c r="L1667" s="4" t="s">
        <v>150</v>
      </c>
      <c r="M1667" s="4" t="s">
        <v>143</v>
      </c>
      <c r="N1667" s="4" t="s">
        <v>291</v>
      </c>
      <c r="O1667" s="4" t="s">
        <v>356</v>
      </c>
      <c r="P1667" s="4"/>
      <c r="Q1667" s="4"/>
      <c r="R1667" s="4">
        <v>18.8</v>
      </c>
      <c r="S1667" s="4">
        <v>18.8</v>
      </c>
      <c r="T1667" s="4"/>
      <c r="U1667" s="4">
        <v>-41.2547383</v>
      </c>
      <c r="V1667" s="4">
        <v>174.76624619</v>
      </c>
      <c r="W1667" s="4"/>
      <c r="X1667" s="4"/>
      <c r="Y1667" s="4"/>
      <c r="Z1667" s="4"/>
      <c r="AA1667" s="4" t="s">
        <v>152</v>
      </c>
      <c r="AB1667" s="3" t="str">
        <f>HYPERLINK("https://sitebase.nzcomms.co.nz/spm/spmcandidateview/WLG-047-071-A/","WLG-047-071-A")</f>
        <v>WLG-047-071-A</v>
      </c>
      <c r="AC1667" s="4"/>
      <c r="AD1667" s="4"/>
      <c r="AE1667" s="4"/>
      <c r="AF1667" s="4"/>
      <c r="AG1667" s="4"/>
      <c r="AH1667" s="4"/>
      <c r="AI1667" s="4"/>
      <c r="AJ1667" s="4"/>
      <c r="AK1667" s="4"/>
      <c r="AL1667" s="4"/>
      <c r="AM1667" s="4"/>
      <c r="AN1667" s="5">
        <v>39337</v>
      </c>
      <c r="AO1667" s="4">
        <v>2</v>
      </c>
      <c r="AP1667" s="4"/>
      <c r="AQ1667" s="5">
        <v>39566</v>
      </c>
      <c r="AR1667" s="4"/>
      <c r="AS1667" s="4"/>
      <c r="AT1667" s="5">
        <v>39782</v>
      </c>
      <c r="AU1667" s="5">
        <v>39745</v>
      </c>
      <c r="AV1667" s="4">
        <v>2</v>
      </c>
      <c r="AW1667" s="5">
        <v>39782</v>
      </c>
      <c r="AX1667" s="5">
        <v>39745</v>
      </c>
      <c r="AY1667" s="4"/>
      <c r="AZ1667" s="4"/>
      <c r="BA1667" s="4"/>
      <c r="BB1667" s="5">
        <v>39619</v>
      </c>
      <c r="BC1667" s="4"/>
      <c r="BD1667" s="4"/>
      <c r="BE1667" s="5">
        <v>39619</v>
      </c>
      <c r="BF1667" s="5">
        <v>39619</v>
      </c>
      <c r="BG1667" s="4"/>
      <c r="BH1667" s="5">
        <v>39602</v>
      </c>
      <c r="BI1667" s="4"/>
      <c r="BJ1667" s="5">
        <v>39703</v>
      </c>
      <c r="BK1667" s="4">
        <v>1</v>
      </c>
      <c r="BL1667" s="4">
        <v>2</v>
      </c>
      <c r="BM1667" s="5">
        <v>39703</v>
      </c>
      <c r="BN1667" s="5">
        <v>39703</v>
      </c>
      <c r="BO1667" s="5">
        <v>39885</v>
      </c>
      <c r="BP1667" s="4"/>
      <c r="BQ1667" s="4"/>
      <c r="BR1667" s="4"/>
      <c r="BS1667" s="4"/>
      <c r="BT1667" s="4"/>
      <c r="BU1667" s="5">
        <v>39789</v>
      </c>
      <c r="BV1667" s="5">
        <v>39902</v>
      </c>
      <c r="BW1667" s="5">
        <v>39900</v>
      </c>
      <c r="BX1667" s="4"/>
      <c r="BY1667" s="5">
        <v>39933</v>
      </c>
      <c r="BZ1667" s="5">
        <v>39920</v>
      </c>
      <c r="CA1667" s="4"/>
      <c r="CB1667" s="4"/>
      <c r="CC1667" s="4"/>
      <c r="CD1667" s="4"/>
      <c r="CE1667" s="4"/>
      <c r="CF1667" s="4"/>
      <c r="CG1667" s="4"/>
      <c r="CH1667" s="4"/>
      <c r="CI1667" s="5">
        <v>39924</v>
      </c>
      <c r="CJ1667" s="5">
        <v>39933</v>
      </c>
      <c r="CK1667" s="5">
        <v>39924</v>
      </c>
      <c r="CL1667" s="4"/>
      <c r="CM1667" s="4"/>
      <c r="CN1667" s="4"/>
      <c r="CO1667" s="4"/>
      <c r="CP1667" s="4" t="s">
        <v>5027</v>
      </c>
      <c r="CQ1667" s="4"/>
      <c r="CR1667" s="5">
        <v>39933</v>
      </c>
      <c r="CS1667" s="4"/>
      <c r="CT1667" s="4"/>
      <c r="CU1667" s="4"/>
      <c r="CV1667" s="4"/>
      <c r="CW1667" s="5">
        <v>39888</v>
      </c>
      <c r="CX1667" s="5">
        <v>39885</v>
      </c>
      <c r="CY1667" s="4"/>
      <c r="CZ1667" s="4"/>
      <c r="DA1667" s="4"/>
      <c r="DB1667" s="4"/>
      <c r="DC1667" s="4"/>
      <c r="DD1667" s="4"/>
      <c r="DE1667" s="4"/>
      <c r="DF1667" s="4"/>
      <c r="DG1667" s="4"/>
      <c r="DH1667" s="4"/>
      <c r="DI1667" s="4"/>
      <c r="DJ1667" s="4" t="b">
        <v>0</v>
      </c>
      <c r="DK1667" s="4"/>
      <c r="DL1667" s="4">
        <v>2657995</v>
      </c>
      <c r="DM1667" s="4">
        <v>5993172</v>
      </c>
      <c r="DN1667" s="4" t="s">
        <v>5028</v>
      </c>
      <c r="DO1667" s="4"/>
      <c r="DP1667" s="4"/>
      <c r="DQ1667" s="4" t="s">
        <v>148</v>
      </c>
      <c r="DR1667" s="4"/>
      <c r="DS1667" s="4"/>
      <c r="DT1667" s="4"/>
      <c r="DU1667" s="4"/>
      <c r="DV1667" s="4"/>
      <c r="DW1667" s="4"/>
      <c r="DX1667" s="4"/>
      <c r="DY1667" s="4"/>
      <c r="DZ1667" s="5">
        <v>39790</v>
      </c>
      <c r="EA1667" s="4"/>
      <c r="EB1667" s="4"/>
      <c r="EC1667" s="4"/>
      <c r="ED1667" s="4"/>
      <c r="EE1667" s="4"/>
      <c r="EF1667" s="4"/>
      <c r="EG1667" s="4"/>
      <c r="EH1667" s="4"/>
      <c r="EI1667" s="5">
        <v>39316</v>
      </c>
    </row>
    <row r="1668" spans="1:139" hidden="1" x14ac:dyDescent="0.2">
      <c r="A1668">
        <f>VLOOKUP(B1668,Sheet1!$A$1:$B$18,2,FALSE)</f>
        <v>0</v>
      </c>
      <c r="B1668" t="str">
        <f>LEFT(D1668,3)</f>
        <v>WLG</v>
      </c>
      <c r="C1668" s="2">
        <v>1667</v>
      </c>
      <c r="D1668" s="3" t="str">
        <f>HYPERLINK("https://sitebase.nzcomms.co.nz/spm/spmnominalview/WLG-047-061/","WLG-047-061")</f>
        <v>WLG-047-061</v>
      </c>
      <c r="E1668" s="4"/>
      <c r="F1668" s="3" t="str">
        <f>HYPERLINK("https://sitebase.nzcomms.co.nz/spm/spmcandidateview/WLG-047-061-B/","WLG-047-061-B")</f>
        <v>WLG-047-061-B</v>
      </c>
      <c r="G1668" s="4" t="s">
        <v>5029</v>
      </c>
      <c r="H1668" s="4" t="s">
        <v>4871</v>
      </c>
      <c r="I1668" s="4"/>
      <c r="J1668" s="4" t="s">
        <v>139</v>
      </c>
      <c r="K1668" s="4" t="s">
        <v>141</v>
      </c>
      <c r="L1668" s="4" t="s">
        <v>189</v>
      </c>
      <c r="M1668" s="4" t="s">
        <v>143</v>
      </c>
      <c r="N1668" s="4" t="s">
        <v>291</v>
      </c>
      <c r="O1668" s="4" t="s">
        <v>356</v>
      </c>
      <c r="P1668" s="4"/>
      <c r="Q1668" s="4"/>
      <c r="R1668" s="4">
        <v>13.8</v>
      </c>
      <c r="S1668" s="4">
        <v>13.8</v>
      </c>
      <c r="T1668" s="4"/>
      <c r="U1668" s="4">
        <v>-41.250704259999999</v>
      </c>
      <c r="V1668" s="4">
        <v>174.77266609</v>
      </c>
      <c r="W1668" s="4"/>
      <c r="X1668" s="4"/>
      <c r="Y1668" s="4"/>
      <c r="Z1668" s="4"/>
      <c r="AA1668" s="4" t="s">
        <v>217</v>
      </c>
      <c r="AB1668" s="4" t="s">
        <v>5030</v>
      </c>
      <c r="AC1668" s="4"/>
      <c r="AD1668" s="4"/>
      <c r="AE1668" s="4"/>
      <c r="AF1668" s="4"/>
      <c r="AG1668" s="4"/>
      <c r="AH1668" s="4" t="s">
        <v>2539</v>
      </c>
      <c r="AI1668" s="4"/>
      <c r="AJ1668" s="4"/>
      <c r="AK1668" s="4"/>
      <c r="AL1668" s="4"/>
      <c r="AM1668" s="4"/>
      <c r="AN1668" s="5">
        <v>39736</v>
      </c>
      <c r="AO1668" s="4">
        <v>3</v>
      </c>
      <c r="AP1668" s="4"/>
      <c r="AQ1668" s="5">
        <v>39938</v>
      </c>
      <c r="AR1668" s="4"/>
      <c r="AS1668" s="4"/>
      <c r="AT1668" s="5">
        <v>39813</v>
      </c>
      <c r="AU1668" s="5">
        <v>39786</v>
      </c>
      <c r="AV1668" s="4">
        <v>1</v>
      </c>
      <c r="AW1668" s="5">
        <v>39902</v>
      </c>
      <c r="AX1668" s="5">
        <v>39892</v>
      </c>
      <c r="AY1668" s="4"/>
      <c r="AZ1668" s="4"/>
      <c r="BA1668" s="4"/>
      <c r="BB1668" s="5">
        <v>39884</v>
      </c>
      <c r="BC1668" s="4"/>
      <c r="BD1668" s="4"/>
      <c r="BE1668" s="5">
        <v>39856</v>
      </c>
      <c r="BF1668" s="5">
        <v>39856</v>
      </c>
      <c r="BG1668" s="4"/>
      <c r="BH1668" s="5">
        <v>39839</v>
      </c>
      <c r="BI1668" s="4"/>
      <c r="BJ1668" s="5">
        <v>39853</v>
      </c>
      <c r="BK1668" s="4">
        <v>1</v>
      </c>
      <c r="BL1668" s="4">
        <v>1</v>
      </c>
      <c r="BM1668" s="5">
        <v>39853</v>
      </c>
      <c r="BN1668" s="5">
        <v>39853</v>
      </c>
      <c r="BO1668" s="5">
        <v>39923</v>
      </c>
      <c r="BP1668" s="4"/>
      <c r="BQ1668" s="4"/>
      <c r="BR1668" s="4"/>
      <c r="BS1668" s="4"/>
      <c r="BT1668" s="5">
        <v>39923</v>
      </c>
      <c r="BU1668" s="5">
        <v>39919</v>
      </c>
      <c r="BV1668" s="5">
        <v>39933</v>
      </c>
      <c r="BW1668" s="5">
        <v>39931</v>
      </c>
      <c r="BX1668" s="4"/>
      <c r="BY1668" s="5">
        <v>39963</v>
      </c>
      <c r="BZ1668" s="5">
        <v>39941</v>
      </c>
      <c r="CA1668" s="4"/>
      <c r="CB1668" s="4"/>
      <c r="CC1668" s="4"/>
      <c r="CD1668" s="4"/>
      <c r="CE1668" s="4"/>
      <c r="CF1668" s="4"/>
      <c r="CG1668" s="4"/>
      <c r="CH1668" s="4"/>
      <c r="CI1668" s="5">
        <v>39968</v>
      </c>
      <c r="CJ1668" s="5">
        <v>39976</v>
      </c>
      <c r="CK1668" s="5">
        <v>39968</v>
      </c>
      <c r="CL1668" s="4"/>
      <c r="CM1668" s="4"/>
      <c r="CN1668" s="4"/>
      <c r="CO1668" s="4"/>
      <c r="CP1668" s="4" t="s">
        <v>5031</v>
      </c>
      <c r="CQ1668" s="4"/>
      <c r="CR1668" s="5">
        <v>39976</v>
      </c>
      <c r="CS1668" s="4"/>
      <c r="CT1668" s="4"/>
      <c r="CU1668" s="4"/>
      <c r="CV1668" s="4"/>
      <c r="CW1668" s="5">
        <v>39925</v>
      </c>
      <c r="CX1668" s="5">
        <v>39923</v>
      </c>
      <c r="CY1668" s="4"/>
      <c r="CZ1668" s="4"/>
      <c r="DA1668" s="4"/>
      <c r="DB1668" s="4"/>
      <c r="DC1668" s="4"/>
      <c r="DD1668" s="4"/>
      <c r="DE1668" s="4"/>
      <c r="DF1668" s="4"/>
      <c r="DG1668" s="4"/>
      <c r="DH1668" s="4"/>
      <c r="DI1668" s="4"/>
      <c r="DJ1668" s="4" t="b">
        <v>0</v>
      </c>
      <c r="DK1668" s="4"/>
      <c r="DL1668" s="4">
        <v>2658542</v>
      </c>
      <c r="DM1668" s="4">
        <v>5993609</v>
      </c>
      <c r="DN1668" s="4" t="s">
        <v>5032</v>
      </c>
      <c r="DO1668" s="4"/>
      <c r="DP1668" s="4"/>
      <c r="DQ1668" s="4" t="s">
        <v>148</v>
      </c>
      <c r="DR1668" s="4"/>
      <c r="DS1668" s="4"/>
      <c r="DT1668" s="4"/>
      <c r="DU1668" s="4"/>
      <c r="DV1668" s="4"/>
      <c r="DW1668" s="4"/>
      <c r="DX1668" s="4"/>
      <c r="DY1668" s="5">
        <v>39921</v>
      </c>
      <c r="DZ1668" s="5">
        <v>39917</v>
      </c>
      <c r="EA1668" s="4"/>
      <c r="EB1668" s="4"/>
      <c r="EC1668" s="4"/>
      <c r="ED1668" s="4"/>
      <c r="EE1668" s="4"/>
      <c r="EF1668" s="4"/>
      <c r="EG1668" s="4"/>
      <c r="EH1668" s="4"/>
      <c r="EI1668" s="5">
        <v>39702</v>
      </c>
    </row>
    <row r="1669" spans="1:139" hidden="1" x14ac:dyDescent="0.2">
      <c r="A1669">
        <f>VLOOKUP(B1669,Sheet1!$A$1:$B$18,2,FALSE)</f>
        <v>0</v>
      </c>
      <c r="B1669" t="str">
        <f>LEFT(D1669,3)</f>
        <v>WLG</v>
      </c>
      <c r="C1669" s="2">
        <v>1668</v>
      </c>
      <c r="D1669" s="3" t="str">
        <f>HYPERLINK("https://sitebase.nzcomms.co.nz/spm/spmnominalview/WLG-047-062/","WLG-047-062")</f>
        <v>WLG-047-062</v>
      </c>
      <c r="E1669" s="4"/>
      <c r="F1669" s="4"/>
      <c r="G1669" s="4"/>
      <c r="H1669" s="4" t="s">
        <v>4871</v>
      </c>
      <c r="I1669" s="4"/>
      <c r="J1669" s="4" t="s">
        <v>139</v>
      </c>
      <c r="K1669" s="4"/>
      <c r="L1669" s="4"/>
      <c r="M1669" s="4"/>
      <c r="N1669" s="4"/>
      <c r="O1669" s="4"/>
      <c r="P1669" s="4"/>
      <c r="Q1669" s="4"/>
      <c r="R1669" s="4"/>
      <c r="S1669" s="4"/>
      <c r="T1669" s="4"/>
      <c r="U1669" s="4"/>
      <c r="V1669" s="4"/>
      <c r="W1669" s="4"/>
      <c r="X1669" s="4"/>
      <c r="Y1669" s="4"/>
      <c r="Z1669" s="4"/>
      <c r="AA1669" s="4"/>
      <c r="AB1669" s="4"/>
      <c r="AC1669" s="4"/>
      <c r="AD1669" s="4"/>
      <c r="AE1669" s="4"/>
      <c r="AF1669" s="4"/>
      <c r="AG1669" s="4"/>
      <c r="AH1669" s="4"/>
      <c r="AI1669" s="4"/>
      <c r="AJ1669" s="4"/>
      <c r="AK1669" s="4"/>
      <c r="AL1669" s="4"/>
      <c r="AM1669" s="4"/>
      <c r="AN1669" s="4"/>
      <c r="AO1669" s="4"/>
      <c r="AP1669" s="4"/>
      <c r="AQ1669" s="4"/>
      <c r="AR1669" s="4"/>
      <c r="AS1669" s="4"/>
      <c r="AT1669" s="4"/>
      <c r="AU1669" s="4"/>
      <c r="AV1669" s="4"/>
      <c r="AW1669" s="4"/>
      <c r="AX1669" s="4"/>
      <c r="AY1669" s="4"/>
      <c r="AZ1669" s="4"/>
      <c r="BA1669" s="4"/>
      <c r="BB1669" s="4"/>
      <c r="BC1669" s="4"/>
      <c r="BD1669" s="4"/>
      <c r="BE1669" s="4"/>
      <c r="BF1669" s="4"/>
      <c r="BG1669" s="4"/>
      <c r="BH1669" s="4"/>
      <c r="BI1669" s="4"/>
      <c r="BJ1669" s="4"/>
      <c r="BK1669" s="4"/>
      <c r="BL1669" s="4"/>
      <c r="BM1669" s="4"/>
      <c r="BN1669" s="4"/>
      <c r="BO1669" s="4"/>
      <c r="BP1669" s="4"/>
      <c r="BQ1669" s="4"/>
      <c r="BR1669" s="4"/>
      <c r="BS1669" s="4"/>
      <c r="BT1669" s="4"/>
      <c r="BU1669" s="4"/>
      <c r="BV1669" s="4"/>
      <c r="BW1669" s="4"/>
      <c r="BX1669" s="4"/>
      <c r="BY1669" s="4"/>
      <c r="BZ1669" s="4"/>
      <c r="CA1669" s="4"/>
      <c r="CB1669" s="4"/>
      <c r="CC1669" s="4"/>
      <c r="CD1669" s="4"/>
      <c r="CE1669" s="4"/>
      <c r="CF1669" s="4"/>
      <c r="CG1669" s="4"/>
      <c r="CH1669" s="4"/>
      <c r="CI1669" s="4"/>
      <c r="CJ1669" s="4"/>
      <c r="CK1669" s="4"/>
      <c r="CL1669" s="4"/>
      <c r="CM1669" s="4"/>
      <c r="CN1669" s="4"/>
      <c r="CO1669" s="4"/>
      <c r="CP1669" s="4"/>
      <c r="CQ1669" s="4"/>
      <c r="CR1669" s="4"/>
      <c r="CS1669" s="4"/>
      <c r="CT1669" s="4"/>
      <c r="CU1669" s="4"/>
      <c r="CV1669" s="4"/>
      <c r="CW1669" s="4"/>
      <c r="CX1669" s="4"/>
      <c r="CY1669" s="4"/>
      <c r="CZ1669" s="4"/>
      <c r="DA1669" s="4"/>
      <c r="DB1669" s="4"/>
      <c r="DC1669" s="4"/>
      <c r="DD1669" s="4"/>
      <c r="DE1669" s="4"/>
      <c r="DF1669" s="4"/>
      <c r="DG1669" s="4"/>
      <c r="DH1669" s="4"/>
      <c r="DI1669" s="4"/>
      <c r="DJ1669" s="4"/>
      <c r="DK1669" s="4"/>
      <c r="DL1669" s="4"/>
      <c r="DM1669" s="4"/>
      <c r="DN1669" s="4"/>
      <c r="DO1669" s="4"/>
      <c r="DP1669" s="4"/>
      <c r="DQ1669" s="4"/>
      <c r="DR1669" s="4"/>
      <c r="DS1669" s="4"/>
      <c r="DT1669" s="4"/>
      <c r="DU1669" s="4"/>
      <c r="DV1669" s="4"/>
      <c r="DW1669" s="4"/>
      <c r="DX1669" s="4"/>
      <c r="DY1669" s="4"/>
      <c r="DZ1669" s="4"/>
      <c r="EA1669" s="4"/>
      <c r="EB1669" s="4"/>
      <c r="EC1669" s="4"/>
      <c r="ED1669" s="4"/>
      <c r="EE1669" s="4"/>
      <c r="EF1669" s="4"/>
      <c r="EG1669" s="4"/>
      <c r="EH1669" s="4"/>
      <c r="EI1669" s="4"/>
    </row>
    <row r="1670" spans="1:139" hidden="1" x14ac:dyDescent="0.2">
      <c r="A1670">
        <f>VLOOKUP(B1670,Sheet1!$A$1:$B$18,2,FALSE)</f>
        <v>0</v>
      </c>
      <c r="B1670" t="str">
        <f>LEFT(D1670,3)</f>
        <v>WLG</v>
      </c>
      <c r="C1670" s="2">
        <v>1669</v>
      </c>
      <c r="D1670" s="3" t="str">
        <f>HYPERLINK("https://sitebase.nzcomms.co.nz/spm/spmnominalview/WLG-047-063/","WLG-047-063")</f>
        <v>WLG-047-063</v>
      </c>
      <c r="E1670" s="4"/>
      <c r="F1670" s="3" t="str">
        <f>HYPERLINK("https://sitebase.nzcomms.co.nz/spm/spmcandidateview/WLG-047-063-B/","WLG-047-063-B")</f>
        <v>WLG-047-063-B</v>
      </c>
      <c r="G1670" s="4" t="s">
        <v>5033</v>
      </c>
      <c r="H1670" s="4" t="s">
        <v>4871</v>
      </c>
      <c r="I1670" s="4"/>
      <c r="J1670" s="4" t="s">
        <v>139</v>
      </c>
      <c r="K1670" s="4" t="s">
        <v>141</v>
      </c>
      <c r="L1670" s="4" t="s">
        <v>150</v>
      </c>
      <c r="M1670" s="4" t="s">
        <v>143</v>
      </c>
      <c r="N1670" s="4" t="s">
        <v>291</v>
      </c>
      <c r="O1670" s="4" t="s">
        <v>144</v>
      </c>
      <c r="P1670" s="4"/>
      <c r="Q1670" s="4"/>
      <c r="R1670" s="4">
        <v>18.8</v>
      </c>
      <c r="S1670" s="4">
        <v>18.8</v>
      </c>
      <c r="T1670" s="4"/>
      <c r="U1670" s="4">
        <v>-41.246978839999997</v>
      </c>
      <c r="V1670" s="4">
        <v>174.79175477000001</v>
      </c>
      <c r="W1670" s="4"/>
      <c r="X1670" s="4"/>
      <c r="Y1670" s="4"/>
      <c r="Z1670" s="4"/>
      <c r="AA1670" s="4" t="s">
        <v>152</v>
      </c>
      <c r="AB1670" s="3" t="str">
        <f>HYPERLINK("https://sitebase.nzcomms.co.nz/spm/spmcandidateview/WLG-047-071-A/","WLG-047-071-A")</f>
        <v>WLG-047-071-A</v>
      </c>
      <c r="AC1670" s="4"/>
      <c r="AD1670" s="4"/>
      <c r="AE1670" s="4"/>
      <c r="AF1670" s="4"/>
      <c r="AG1670" s="4"/>
      <c r="AH1670" s="4"/>
      <c r="AI1670" s="4"/>
      <c r="AJ1670" s="4"/>
      <c r="AK1670" s="4"/>
      <c r="AL1670" s="4"/>
      <c r="AM1670" s="4"/>
      <c r="AN1670" s="5">
        <v>39645</v>
      </c>
      <c r="AO1670" s="4">
        <v>2</v>
      </c>
      <c r="AP1670" s="4"/>
      <c r="AQ1670" s="5">
        <v>39665</v>
      </c>
      <c r="AR1670" s="4"/>
      <c r="AS1670" s="4"/>
      <c r="AT1670" s="5">
        <v>39689</v>
      </c>
      <c r="AU1670" s="5">
        <v>39689</v>
      </c>
      <c r="AV1670" s="4">
        <v>2</v>
      </c>
      <c r="AW1670" s="5">
        <v>39689</v>
      </c>
      <c r="AX1670" s="5">
        <v>39689</v>
      </c>
      <c r="AY1670" s="4"/>
      <c r="AZ1670" s="4"/>
      <c r="BA1670" s="4"/>
      <c r="BB1670" s="5">
        <v>39819</v>
      </c>
      <c r="BC1670" s="4"/>
      <c r="BD1670" s="4"/>
      <c r="BE1670" s="5">
        <v>39819</v>
      </c>
      <c r="BF1670" s="5">
        <v>39819</v>
      </c>
      <c r="BG1670" s="4"/>
      <c r="BH1670" s="5">
        <v>39687</v>
      </c>
      <c r="BI1670" s="4"/>
      <c r="BJ1670" s="5">
        <v>39780</v>
      </c>
      <c r="BK1670" s="4">
        <v>1</v>
      </c>
      <c r="BL1670" s="4">
        <v>2</v>
      </c>
      <c r="BM1670" s="5">
        <v>39780</v>
      </c>
      <c r="BN1670" s="5">
        <v>39780</v>
      </c>
      <c r="BO1670" s="5">
        <v>39884</v>
      </c>
      <c r="BP1670" s="4"/>
      <c r="BQ1670" s="4"/>
      <c r="BR1670" s="4"/>
      <c r="BS1670" s="4"/>
      <c r="BT1670" s="4"/>
      <c r="BU1670" s="5">
        <v>39846</v>
      </c>
      <c r="BV1670" s="5">
        <v>39907</v>
      </c>
      <c r="BW1670" s="5">
        <v>39898</v>
      </c>
      <c r="BX1670" s="4"/>
      <c r="BY1670" s="5">
        <v>39918</v>
      </c>
      <c r="BZ1670" s="5">
        <v>39899</v>
      </c>
      <c r="CA1670" s="4"/>
      <c r="CB1670" s="4"/>
      <c r="CC1670" s="4"/>
      <c r="CD1670" s="4"/>
      <c r="CE1670" s="4"/>
      <c r="CF1670" s="4"/>
      <c r="CG1670" s="4"/>
      <c r="CH1670" s="4"/>
      <c r="CI1670" s="5">
        <v>39955</v>
      </c>
      <c r="CJ1670" s="5">
        <v>39962</v>
      </c>
      <c r="CK1670" s="5">
        <v>39955</v>
      </c>
      <c r="CL1670" s="4"/>
      <c r="CM1670" s="4"/>
      <c r="CN1670" s="4"/>
      <c r="CO1670" s="4"/>
      <c r="CP1670" s="4" t="s">
        <v>5034</v>
      </c>
      <c r="CQ1670" s="4"/>
      <c r="CR1670" s="5">
        <v>39970</v>
      </c>
      <c r="CS1670" s="4"/>
      <c r="CT1670" s="4"/>
      <c r="CU1670" s="4"/>
      <c r="CV1670" s="4"/>
      <c r="CW1670" s="5">
        <v>39888</v>
      </c>
      <c r="CX1670" s="5">
        <v>39884</v>
      </c>
      <c r="CY1670" s="4"/>
      <c r="CZ1670" s="4"/>
      <c r="DA1670" s="4"/>
      <c r="DB1670" s="4"/>
      <c r="DC1670" s="4"/>
      <c r="DD1670" s="4"/>
      <c r="DE1670" s="4"/>
      <c r="DF1670" s="4"/>
      <c r="DG1670" s="4"/>
      <c r="DH1670" s="4"/>
      <c r="DI1670" s="4"/>
      <c r="DJ1670" s="4" t="b">
        <v>0</v>
      </c>
      <c r="DK1670" s="4"/>
      <c r="DL1670" s="4">
        <v>2660150</v>
      </c>
      <c r="DM1670" s="4">
        <v>5993990</v>
      </c>
      <c r="DN1670" s="4" t="s">
        <v>5035</v>
      </c>
      <c r="DO1670" s="4"/>
      <c r="DP1670" s="4"/>
      <c r="DQ1670" s="4" t="s">
        <v>148</v>
      </c>
      <c r="DR1670" s="4"/>
      <c r="DS1670" s="4"/>
      <c r="DT1670" s="4"/>
      <c r="DU1670" s="4"/>
      <c r="DV1670" s="4"/>
      <c r="DW1670" s="4"/>
      <c r="DX1670" s="4"/>
      <c r="DY1670" s="4"/>
      <c r="DZ1670" s="5">
        <v>39821</v>
      </c>
      <c r="EA1670" s="4"/>
      <c r="EB1670" s="4"/>
      <c r="EC1670" s="4"/>
      <c r="ED1670" s="4"/>
      <c r="EE1670" s="4"/>
      <c r="EF1670" s="4"/>
      <c r="EG1670" s="4"/>
      <c r="EH1670" s="4"/>
      <c r="EI1670" s="5">
        <v>39611</v>
      </c>
    </row>
    <row r="1671" spans="1:139" hidden="1" x14ac:dyDescent="0.2">
      <c r="A1671">
        <f>VLOOKUP(B1671,Sheet1!$A$1:$B$18,2,FALSE)</f>
        <v>0</v>
      </c>
      <c r="B1671" t="str">
        <f>LEFT(D1671,3)</f>
        <v>WLG</v>
      </c>
      <c r="C1671" s="2">
        <v>1670</v>
      </c>
      <c r="D1671" s="3" t="str">
        <f>HYPERLINK("https://sitebase.nzcomms.co.nz/spm/spmnominalview/WLG-047-065/","WLG-047-065")</f>
        <v>WLG-047-065</v>
      </c>
      <c r="E1671" s="4"/>
      <c r="F1671" s="3" t="str">
        <f>HYPERLINK("https://sitebase.nzcomms.co.nz/spm/spmcandidateview/WLG-047-065-C/","WLG-047-065-C")</f>
        <v>WLG-047-065-C</v>
      </c>
      <c r="G1671" s="4" t="s">
        <v>5036</v>
      </c>
      <c r="H1671" s="4" t="s">
        <v>4871</v>
      </c>
      <c r="I1671" s="4"/>
      <c r="J1671" s="4" t="s">
        <v>139</v>
      </c>
      <c r="K1671" s="4" t="s">
        <v>141</v>
      </c>
      <c r="L1671" s="4" t="s">
        <v>181</v>
      </c>
      <c r="M1671" s="4" t="s">
        <v>378</v>
      </c>
      <c r="N1671" s="4" t="s">
        <v>364</v>
      </c>
      <c r="O1671" s="4" t="s">
        <v>144</v>
      </c>
      <c r="P1671" s="4"/>
      <c r="Q1671" s="4"/>
      <c r="R1671" s="4">
        <v>14</v>
      </c>
      <c r="S1671" s="4">
        <v>14</v>
      </c>
      <c r="T1671" s="4"/>
      <c r="U1671" s="4">
        <v>-41.32706941</v>
      </c>
      <c r="V1671" s="4">
        <v>174.80253496</v>
      </c>
      <c r="W1671" s="4"/>
      <c r="X1671" s="4"/>
      <c r="Y1671" s="4"/>
      <c r="Z1671" s="4"/>
      <c r="AA1671" s="4" t="s">
        <v>217</v>
      </c>
      <c r="AB1671" s="4" t="s">
        <v>4938</v>
      </c>
      <c r="AC1671" s="4"/>
      <c r="AD1671" s="4"/>
      <c r="AE1671" s="4"/>
      <c r="AF1671" s="4"/>
      <c r="AG1671" s="4"/>
      <c r="AH1671" s="4" t="s">
        <v>4707</v>
      </c>
      <c r="AI1671" s="4"/>
      <c r="AJ1671" s="4"/>
      <c r="AK1671" s="4"/>
      <c r="AL1671" s="4"/>
      <c r="AM1671" s="4"/>
      <c r="AN1671" s="5">
        <v>39773</v>
      </c>
      <c r="AO1671" s="4">
        <v>1</v>
      </c>
      <c r="AP1671" s="4"/>
      <c r="AQ1671" s="5">
        <v>39773</v>
      </c>
      <c r="AR1671" s="4"/>
      <c r="AS1671" s="4"/>
      <c r="AT1671" s="5">
        <v>39828</v>
      </c>
      <c r="AU1671" s="5">
        <v>39826</v>
      </c>
      <c r="AV1671" s="4">
        <v>1</v>
      </c>
      <c r="AW1671" s="5">
        <v>39828</v>
      </c>
      <c r="AX1671" s="5">
        <v>39828</v>
      </c>
      <c r="AY1671" s="4"/>
      <c r="AZ1671" s="4"/>
      <c r="BA1671" s="4"/>
      <c r="BB1671" s="5">
        <v>39820</v>
      </c>
      <c r="BC1671" s="4"/>
      <c r="BD1671" s="4"/>
      <c r="BE1671" s="5">
        <v>39820</v>
      </c>
      <c r="BF1671" s="5">
        <v>39820</v>
      </c>
      <c r="BG1671" s="4"/>
      <c r="BH1671" s="5">
        <v>39790</v>
      </c>
      <c r="BI1671" s="4"/>
      <c r="BJ1671" s="5">
        <v>39877</v>
      </c>
      <c r="BK1671" s="4">
        <v>1</v>
      </c>
      <c r="BL1671" s="4">
        <v>1</v>
      </c>
      <c r="BM1671" s="5">
        <v>39876</v>
      </c>
      <c r="BN1671" s="5">
        <v>39877</v>
      </c>
      <c r="BO1671" s="4"/>
      <c r="BP1671" s="4"/>
      <c r="BQ1671" s="4"/>
      <c r="BR1671" s="4"/>
      <c r="BS1671" s="4"/>
      <c r="BT1671" s="5">
        <v>39896</v>
      </c>
      <c r="BU1671" s="5">
        <v>39896</v>
      </c>
      <c r="BV1671" s="5">
        <v>39943</v>
      </c>
      <c r="BW1671" s="5">
        <v>39938</v>
      </c>
      <c r="BX1671" s="4"/>
      <c r="BY1671" s="5">
        <v>39966</v>
      </c>
      <c r="BZ1671" s="5">
        <v>39966</v>
      </c>
      <c r="CA1671" s="4"/>
      <c r="CB1671" s="4"/>
      <c r="CC1671" s="4"/>
      <c r="CD1671" s="4"/>
      <c r="CE1671" s="4"/>
      <c r="CF1671" s="4"/>
      <c r="CG1671" s="4"/>
      <c r="CH1671" s="4"/>
      <c r="CI1671" s="5">
        <v>39960</v>
      </c>
      <c r="CJ1671" s="5">
        <v>39960</v>
      </c>
      <c r="CK1671" s="5">
        <v>39960</v>
      </c>
      <c r="CL1671" s="4"/>
      <c r="CM1671" s="4"/>
      <c r="CN1671" s="4"/>
      <c r="CO1671" s="4"/>
      <c r="CP1671" s="4" t="s">
        <v>5037</v>
      </c>
      <c r="CQ1671" s="4"/>
      <c r="CR1671" s="5">
        <v>39960</v>
      </c>
      <c r="CS1671" s="4"/>
      <c r="CT1671" s="4"/>
      <c r="CU1671" s="4"/>
      <c r="CV1671" s="4"/>
      <c r="CW1671" s="4"/>
      <c r="CX1671" s="4"/>
      <c r="CY1671" s="4"/>
      <c r="CZ1671" s="4"/>
      <c r="DA1671" s="4"/>
      <c r="DB1671" s="4"/>
      <c r="DC1671" s="4"/>
      <c r="DD1671" s="4"/>
      <c r="DE1671" s="4"/>
      <c r="DF1671" s="4"/>
      <c r="DG1671" s="4"/>
      <c r="DH1671" s="4"/>
      <c r="DI1671" s="4"/>
      <c r="DJ1671" s="4" t="b">
        <v>0</v>
      </c>
      <c r="DK1671" s="4"/>
      <c r="DL1671" s="4">
        <v>2660870</v>
      </c>
      <c r="DM1671" s="4">
        <v>5985079</v>
      </c>
      <c r="DN1671" s="4" t="s">
        <v>5038</v>
      </c>
      <c r="DO1671" s="4"/>
      <c r="DP1671" s="4"/>
      <c r="DQ1671" s="4" t="s">
        <v>148</v>
      </c>
      <c r="DR1671" s="4"/>
      <c r="DS1671" s="4"/>
      <c r="DT1671" s="5">
        <v>41883</v>
      </c>
      <c r="DU1671" s="4"/>
      <c r="DV1671" s="4"/>
      <c r="DW1671" s="4"/>
      <c r="DX1671" s="4"/>
      <c r="DY1671" s="5">
        <v>39882</v>
      </c>
      <c r="DZ1671" s="5">
        <v>39882</v>
      </c>
      <c r="EA1671" s="4"/>
      <c r="EB1671" s="4"/>
      <c r="EC1671" s="4"/>
      <c r="ED1671" s="4"/>
      <c r="EE1671" s="4"/>
      <c r="EF1671" s="4"/>
      <c r="EG1671" s="4"/>
      <c r="EH1671" s="4"/>
      <c r="EI1671" s="5">
        <v>39675</v>
      </c>
    </row>
    <row r="1672" spans="1:139" hidden="1" x14ac:dyDescent="0.2">
      <c r="A1672">
        <f>VLOOKUP(B1672,Sheet1!$A$1:$B$18,2,FALSE)</f>
        <v>0</v>
      </c>
      <c r="B1672" t="str">
        <f>LEFT(D1672,3)</f>
        <v>WLG</v>
      </c>
      <c r="C1672" s="2">
        <v>1671</v>
      </c>
      <c r="D1672" s="3" t="str">
        <f>HYPERLINK("https://sitebase.nzcomms.co.nz/spm/spmnominalview/WLG-047-066/","WLG-047-066")</f>
        <v>WLG-047-066</v>
      </c>
      <c r="E1672" s="4"/>
      <c r="F1672" s="3" t="str">
        <f>HYPERLINK("https://sitebase.nzcomms.co.nz/spm/spmcandidateview/WLG-047-066-B/","WLG-047-066-B")</f>
        <v>WLG-047-066-B</v>
      </c>
      <c r="G1672" s="4" t="s">
        <v>5039</v>
      </c>
      <c r="H1672" s="4" t="s">
        <v>4871</v>
      </c>
      <c r="I1672" s="4"/>
      <c r="J1672" s="4" t="s">
        <v>139</v>
      </c>
      <c r="K1672" s="4" t="s">
        <v>141</v>
      </c>
      <c r="L1672" s="4" t="s">
        <v>181</v>
      </c>
      <c r="M1672" s="4" t="s">
        <v>378</v>
      </c>
      <c r="N1672" s="4" t="s">
        <v>364</v>
      </c>
      <c r="O1672" s="4" t="s">
        <v>144</v>
      </c>
      <c r="P1672" s="4"/>
      <c r="Q1672" s="4"/>
      <c r="R1672" s="4">
        <v>9.75</v>
      </c>
      <c r="S1672" s="4">
        <v>9.75</v>
      </c>
      <c r="T1672" s="4"/>
      <c r="U1672" s="4">
        <v>-41.313311990000003</v>
      </c>
      <c r="V1672" s="4">
        <v>174.81320799</v>
      </c>
      <c r="W1672" s="4"/>
      <c r="X1672" s="4"/>
      <c r="Y1672" s="4"/>
      <c r="Z1672" s="4"/>
      <c r="AA1672" s="4" t="s">
        <v>171</v>
      </c>
      <c r="AB1672" s="3" t="str">
        <f>HYPERLINK("https://sitebase.nzcomms.co.nz/spm/spmcandidateview/WLG-047-030-D/","WLG-047-030-D")</f>
        <v>WLG-047-030-D</v>
      </c>
      <c r="AC1672" s="4"/>
      <c r="AD1672" s="4"/>
      <c r="AE1672" s="4"/>
      <c r="AF1672" s="4"/>
      <c r="AG1672" s="4"/>
      <c r="AH1672" s="4" t="s">
        <v>5040</v>
      </c>
      <c r="AI1672" s="4"/>
      <c r="AJ1672" s="4"/>
      <c r="AK1672" s="4"/>
      <c r="AL1672" s="4"/>
      <c r="AM1672" s="4"/>
      <c r="AN1672" s="5">
        <v>39701</v>
      </c>
      <c r="AO1672" s="4">
        <v>1</v>
      </c>
      <c r="AP1672" s="4"/>
      <c r="AQ1672" s="5">
        <v>39701</v>
      </c>
      <c r="AR1672" s="4"/>
      <c r="AS1672" s="4"/>
      <c r="AT1672" s="5">
        <v>39782</v>
      </c>
      <c r="AU1672" s="5">
        <v>39741</v>
      </c>
      <c r="AV1672" s="4">
        <v>1</v>
      </c>
      <c r="AW1672" s="5">
        <v>39782</v>
      </c>
      <c r="AX1672" s="5">
        <v>39741</v>
      </c>
      <c r="AY1672" s="4"/>
      <c r="AZ1672" s="4"/>
      <c r="BA1672" s="4"/>
      <c r="BB1672" s="5">
        <v>39728</v>
      </c>
      <c r="BC1672" s="4"/>
      <c r="BD1672" s="4"/>
      <c r="BE1672" s="5">
        <v>39728</v>
      </c>
      <c r="BF1672" s="5">
        <v>39728</v>
      </c>
      <c r="BG1672" s="4"/>
      <c r="BH1672" s="5">
        <v>39717</v>
      </c>
      <c r="BI1672" s="4"/>
      <c r="BJ1672" s="5">
        <v>39772</v>
      </c>
      <c r="BK1672" s="4">
        <v>1</v>
      </c>
      <c r="BL1672" s="4">
        <v>1</v>
      </c>
      <c r="BM1672" s="5">
        <v>39772</v>
      </c>
      <c r="BN1672" s="5">
        <v>39772</v>
      </c>
      <c r="BO1672" s="4"/>
      <c r="BP1672" s="4"/>
      <c r="BQ1672" s="4"/>
      <c r="BR1672" s="4"/>
      <c r="BS1672" s="4"/>
      <c r="BT1672" s="4"/>
      <c r="BU1672" s="5">
        <v>39790</v>
      </c>
      <c r="BV1672" s="5">
        <v>39828</v>
      </c>
      <c r="BW1672" s="5">
        <v>39804</v>
      </c>
      <c r="BX1672" s="4"/>
      <c r="BY1672" s="5">
        <v>39840</v>
      </c>
      <c r="BZ1672" s="5">
        <v>39840</v>
      </c>
      <c r="CA1672" s="4"/>
      <c r="CB1672" s="4"/>
      <c r="CC1672" s="4"/>
      <c r="CD1672" s="4"/>
      <c r="CE1672" s="4"/>
      <c r="CF1672" s="4"/>
      <c r="CG1672" s="4"/>
      <c r="CH1672" s="4"/>
      <c r="CI1672" s="5">
        <v>39843</v>
      </c>
      <c r="CJ1672" s="5">
        <v>39933</v>
      </c>
      <c r="CK1672" s="5">
        <v>39843</v>
      </c>
      <c r="CL1672" s="4"/>
      <c r="CM1672" s="4"/>
      <c r="CN1672" s="4"/>
      <c r="CO1672" s="4"/>
      <c r="CP1672" s="4" t="s">
        <v>405</v>
      </c>
      <c r="CQ1672" s="4"/>
      <c r="CR1672" s="5">
        <v>39933</v>
      </c>
      <c r="CS1672" s="4"/>
      <c r="CT1672" s="4"/>
      <c r="CU1672" s="4"/>
      <c r="CV1672" s="4"/>
      <c r="CW1672" s="4"/>
      <c r="CX1672" s="4"/>
      <c r="CY1672" s="4"/>
      <c r="CZ1672" s="4"/>
      <c r="DA1672" s="4"/>
      <c r="DB1672" s="4"/>
      <c r="DC1672" s="4"/>
      <c r="DD1672" s="4"/>
      <c r="DE1672" s="4"/>
      <c r="DF1672" s="4"/>
      <c r="DG1672" s="4"/>
      <c r="DH1672" s="4"/>
      <c r="DI1672" s="4"/>
      <c r="DJ1672" s="4" t="b">
        <v>0</v>
      </c>
      <c r="DK1672" s="4"/>
      <c r="DL1672" s="4">
        <v>2661795</v>
      </c>
      <c r="DM1672" s="4">
        <v>5986588</v>
      </c>
      <c r="DN1672" s="4" t="s">
        <v>5041</v>
      </c>
      <c r="DO1672" s="4"/>
      <c r="DP1672" s="4"/>
      <c r="DQ1672" s="4" t="s">
        <v>148</v>
      </c>
      <c r="DR1672" s="4"/>
      <c r="DS1672" s="4"/>
      <c r="DT1672" s="5">
        <v>41883</v>
      </c>
      <c r="DU1672" s="4"/>
      <c r="DV1672" s="4"/>
      <c r="DW1672" s="4"/>
      <c r="DX1672" s="4"/>
      <c r="DY1672" s="4"/>
      <c r="DZ1672" s="5">
        <v>39790</v>
      </c>
      <c r="EA1672" s="4"/>
      <c r="EB1672" s="4"/>
      <c r="EC1672" s="4"/>
      <c r="ED1672" s="4"/>
      <c r="EE1672" s="4"/>
      <c r="EF1672" s="4"/>
      <c r="EG1672" s="4"/>
      <c r="EH1672" s="4"/>
      <c r="EI1672" s="5">
        <v>39651</v>
      </c>
    </row>
    <row r="1673" spans="1:139" hidden="1" x14ac:dyDescent="0.2">
      <c r="A1673">
        <f>VLOOKUP(B1673,Sheet1!$A$1:$B$18,2,FALSE)</f>
        <v>0</v>
      </c>
      <c r="B1673" t="str">
        <f>LEFT(D1673,3)</f>
        <v>WLG</v>
      </c>
      <c r="C1673" s="2">
        <v>1672</v>
      </c>
      <c r="D1673" s="3" t="str">
        <f>HYPERLINK("https://sitebase.nzcomms.co.nz/spm/spmnominalview/WLG-047-067/","WLG-047-067")</f>
        <v>WLG-047-067</v>
      </c>
      <c r="E1673" s="4"/>
      <c r="F1673" s="3" t="str">
        <f>HYPERLINK("https://sitebase.nzcomms.co.nz/spm/spmcandidateview/WLG-047-067-A/","WLG-047-067-A")</f>
        <v>WLG-047-067-A</v>
      </c>
      <c r="G1673" s="4" t="s">
        <v>5042</v>
      </c>
      <c r="H1673" s="4" t="s">
        <v>4871</v>
      </c>
      <c r="I1673" s="4"/>
      <c r="J1673" s="4" t="s">
        <v>139</v>
      </c>
      <c r="K1673" s="4" t="s">
        <v>141</v>
      </c>
      <c r="L1673" s="4" t="s">
        <v>189</v>
      </c>
      <c r="M1673" s="4" t="s">
        <v>143</v>
      </c>
      <c r="N1673" s="4" t="s">
        <v>612</v>
      </c>
      <c r="O1673" s="4" t="s">
        <v>356</v>
      </c>
      <c r="P1673" s="4"/>
      <c r="Q1673" s="4"/>
      <c r="R1673" s="4">
        <v>11.2</v>
      </c>
      <c r="S1673" s="4">
        <v>11.2</v>
      </c>
      <c r="T1673" s="4"/>
      <c r="U1673" s="4">
        <v>-41.21730651</v>
      </c>
      <c r="V1673" s="4">
        <v>174.81857489000001</v>
      </c>
      <c r="W1673" s="4"/>
      <c r="X1673" s="4"/>
      <c r="Y1673" s="4"/>
      <c r="Z1673" s="4"/>
      <c r="AA1673" s="4" t="s">
        <v>217</v>
      </c>
      <c r="AB1673" s="4" t="s">
        <v>4886</v>
      </c>
      <c r="AC1673" s="4"/>
      <c r="AD1673" s="4"/>
      <c r="AE1673" s="4"/>
      <c r="AF1673" s="4"/>
      <c r="AG1673" s="4"/>
      <c r="AH1673" s="4" t="s">
        <v>4943</v>
      </c>
      <c r="AI1673" s="4"/>
      <c r="AJ1673" s="4"/>
      <c r="AK1673" s="4"/>
      <c r="AL1673" s="4"/>
      <c r="AM1673" s="4"/>
      <c r="AN1673" s="5">
        <v>39500</v>
      </c>
      <c r="AO1673" s="4">
        <v>4</v>
      </c>
      <c r="AP1673" s="4"/>
      <c r="AQ1673" s="5">
        <v>39650</v>
      </c>
      <c r="AR1673" s="4"/>
      <c r="AS1673" s="4"/>
      <c r="AT1673" s="5">
        <v>39567</v>
      </c>
      <c r="AU1673" s="5">
        <v>39567</v>
      </c>
      <c r="AV1673" s="4">
        <v>4</v>
      </c>
      <c r="AW1673" s="5">
        <v>39567</v>
      </c>
      <c r="AX1673" s="5">
        <v>39567</v>
      </c>
      <c r="AY1673" s="4"/>
      <c r="AZ1673" s="4"/>
      <c r="BA1673" s="4"/>
      <c r="BB1673" s="5">
        <v>39583</v>
      </c>
      <c r="BC1673" s="4"/>
      <c r="BD1673" s="4"/>
      <c r="BE1673" s="5">
        <v>39660</v>
      </c>
      <c r="BF1673" s="5">
        <v>39660</v>
      </c>
      <c r="BG1673" s="4"/>
      <c r="BH1673" s="5">
        <v>39548</v>
      </c>
      <c r="BI1673" s="4"/>
      <c r="BJ1673" s="5">
        <v>39623</v>
      </c>
      <c r="BK1673" s="4">
        <v>2</v>
      </c>
      <c r="BL1673" s="4">
        <v>4</v>
      </c>
      <c r="BM1673" s="5">
        <v>39653</v>
      </c>
      <c r="BN1673" s="5">
        <v>39653</v>
      </c>
      <c r="BO1673" s="4"/>
      <c r="BP1673" s="4"/>
      <c r="BQ1673" s="4"/>
      <c r="BR1673" s="4"/>
      <c r="BS1673" s="4"/>
      <c r="BT1673" s="4"/>
      <c r="BU1673" s="5">
        <v>39644</v>
      </c>
      <c r="BV1673" s="5">
        <v>39685</v>
      </c>
      <c r="BW1673" s="5">
        <v>39686</v>
      </c>
      <c r="BX1673" s="4"/>
      <c r="BY1673" s="5">
        <v>39706</v>
      </c>
      <c r="BZ1673" s="5">
        <v>39682</v>
      </c>
      <c r="CA1673" s="4"/>
      <c r="CB1673" s="4"/>
      <c r="CC1673" s="4"/>
      <c r="CD1673" s="4"/>
      <c r="CE1673" s="4"/>
      <c r="CF1673" s="4"/>
      <c r="CG1673" s="4"/>
      <c r="CH1673" s="4"/>
      <c r="CI1673" s="5">
        <v>39792</v>
      </c>
      <c r="CJ1673" s="5">
        <v>39813</v>
      </c>
      <c r="CK1673" s="5">
        <v>39792</v>
      </c>
      <c r="CL1673" s="4"/>
      <c r="CM1673" s="4"/>
      <c r="CN1673" s="4"/>
      <c r="CO1673" s="4"/>
      <c r="CP1673" s="4" t="s">
        <v>405</v>
      </c>
      <c r="CQ1673" s="4"/>
      <c r="CR1673" s="5">
        <v>39805</v>
      </c>
      <c r="CS1673" s="4"/>
      <c r="CT1673" s="4"/>
      <c r="CU1673" s="4"/>
      <c r="CV1673" s="4"/>
      <c r="CW1673" s="4"/>
      <c r="CX1673" s="4"/>
      <c r="CY1673" s="4"/>
      <c r="CZ1673" s="4"/>
      <c r="DA1673" s="4"/>
      <c r="DB1673" s="4"/>
      <c r="DC1673" s="4"/>
      <c r="DD1673" s="4"/>
      <c r="DE1673" s="4"/>
      <c r="DF1673" s="4"/>
      <c r="DG1673" s="4"/>
      <c r="DH1673" s="4"/>
      <c r="DI1673" s="4"/>
      <c r="DJ1673" s="4" t="b">
        <v>0</v>
      </c>
      <c r="DK1673" s="4"/>
      <c r="DL1673" s="4">
        <v>2662466</v>
      </c>
      <c r="DM1673" s="4">
        <v>5997238</v>
      </c>
      <c r="DN1673" s="4" t="s">
        <v>5043</v>
      </c>
      <c r="DO1673" s="4"/>
      <c r="DP1673" s="4"/>
      <c r="DQ1673" s="4" t="s">
        <v>148</v>
      </c>
      <c r="DR1673" s="4"/>
      <c r="DS1673" s="4"/>
      <c r="DT1673" s="5">
        <v>42340</v>
      </c>
      <c r="DU1673" s="4"/>
      <c r="DV1673" s="4"/>
      <c r="DW1673" s="4"/>
      <c r="DX1673" s="4"/>
      <c r="DY1673" s="4"/>
      <c r="DZ1673" s="5">
        <v>39624</v>
      </c>
      <c r="EA1673" s="4"/>
      <c r="EB1673" s="4"/>
      <c r="EC1673" s="4"/>
      <c r="ED1673" s="4"/>
      <c r="EE1673" s="4"/>
      <c r="EF1673" s="4"/>
      <c r="EG1673" s="4"/>
      <c r="EH1673" s="4"/>
      <c r="EI1673" s="5">
        <v>39423</v>
      </c>
    </row>
    <row r="1674" spans="1:139" hidden="1" x14ac:dyDescent="0.2">
      <c r="A1674">
        <f>VLOOKUP(B1674,Sheet1!$A$1:$B$18,2,FALSE)</f>
        <v>0</v>
      </c>
      <c r="B1674" t="str">
        <f>LEFT(D1674,3)</f>
        <v>WLG</v>
      </c>
      <c r="C1674" s="2">
        <v>1673</v>
      </c>
      <c r="D1674" s="3" t="str">
        <f>HYPERLINK("https://sitebase.nzcomms.co.nz/spm/spmnominalview/WLG-047-069/","WLG-047-069")</f>
        <v>WLG-047-069</v>
      </c>
      <c r="E1674" s="4"/>
      <c r="F1674" s="3" t="str">
        <f>HYPERLINK("https://sitebase.nzcomms.co.nz/spm/spmcandidateview/WLG-047-069-A/","WLG-047-069-A")</f>
        <v>WLG-047-069-A</v>
      </c>
      <c r="G1674" s="4" t="s">
        <v>5044</v>
      </c>
      <c r="H1674" s="4" t="s">
        <v>4871</v>
      </c>
      <c r="I1674" s="4"/>
      <c r="J1674" s="4" t="s">
        <v>139</v>
      </c>
      <c r="K1674" s="4" t="s">
        <v>141</v>
      </c>
      <c r="L1674" s="4" t="s">
        <v>181</v>
      </c>
      <c r="M1674" s="4" t="s">
        <v>324</v>
      </c>
      <c r="N1674" s="4" t="s">
        <v>364</v>
      </c>
      <c r="O1674" s="4"/>
      <c r="P1674" s="4"/>
      <c r="Q1674" s="4"/>
      <c r="R1674" s="4"/>
      <c r="S1674" s="4"/>
      <c r="T1674" s="4"/>
      <c r="U1674" s="4">
        <v>-41.295850260000002</v>
      </c>
      <c r="V1674" s="4">
        <v>174.79690425999999</v>
      </c>
      <c r="W1674" s="4"/>
      <c r="X1674" s="4"/>
      <c r="Y1674" s="4"/>
      <c r="Z1674" s="4"/>
      <c r="AA1674" s="4" t="s">
        <v>217</v>
      </c>
      <c r="AB1674" s="4" t="s">
        <v>4965</v>
      </c>
      <c r="AC1674" s="4"/>
      <c r="AD1674" s="4"/>
      <c r="AE1674" s="4"/>
      <c r="AF1674" s="4"/>
      <c r="AG1674" s="4"/>
      <c r="AH1674" s="4" t="s">
        <v>5045</v>
      </c>
      <c r="AI1674" s="4"/>
      <c r="AJ1674" s="4"/>
      <c r="AK1674" s="4"/>
      <c r="AL1674" s="4"/>
      <c r="AM1674" s="4"/>
      <c r="AN1674" s="5">
        <v>39547</v>
      </c>
      <c r="AO1674" s="4">
        <v>6</v>
      </c>
      <c r="AP1674" s="4"/>
      <c r="AQ1674" s="5">
        <v>40947</v>
      </c>
      <c r="AR1674" s="4"/>
      <c r="AS1674" s="4"/>
      <c r="AT1674" s="5">
        <v>39782</v>
      </c>
      <c r="AU1674" s="5">
        <v>39777</v>
      </c>
      <c r="AV1674" s="4">
        <v>3</v>
      </c>
      <c r="AW1674" s="5">
        <v>39782</v>
      </c>
      <c r="AX1674" s="5">
        <v>39777</v>
      </c>
      <c r="AY1674" s="4"/>
      <c r="AZ1674" s="5">
        <v>39730</v>
      </c>
      <c r="BA1674" s="4"/>
      <c r="BB1674" s="5">
        <v>39744</v>
      </c>
      <c r="BC1674" s="4"/>
      <c r="BD1674" s="4"/>
      <c r="BE1674" s="5">
        <v>39744</v>
      </c>
      <c r="BF1674" s="5">
        <v>39744</v>
      </c>
      <c r="BG1674" s="4"/>
      <c r="BH1674" s="5">
        <v>39602</v>
      </c>
      <c r="BI1674" s="4"/>
      <c r="BJ1674" s="5">
        <v>39752</v>
      </c>
      <c r="BK1674" s="4">
        <v>1</v>
      </c>
      <c r="BL1674" s="4">
        <v>3</v>
      </c>
      <c r="BM1674" s="5">
        <v>39752</v>
      </c>
      <c r="BN1674" s="5">
        <v>39752</v>
      </c>
      <c r="BO1674" s="4"/>
      <c r="BP1674" s="4"/>
      <c r="BQ1674" s="4"/>
      <c r="BR1674" s="4"/>
      <c r="BS1674" s="4"/>
      <c r="BT1674" s="4"/>
      <c r="BU1674" s="5">
        <v>39790</v>
      </c>
      <c r="BV1674" s="5">
        <v>39843</v>
      </c>
      <c r="BW1674" s="5">
        <v>39804</v>
      </c>
      <c r="BX1674" s="4"/>
      <c r="BY1674" s="5">
        <v>39857</v>
      </c>
      <c r="BZ1674" s="5">
        <v>39828</v>
      </c>
      <c r="CA1674" s="4"/>
      <c r="CB1674" s="4"/>
      <c r="CC1674" s="4"/>
      <c r="CD1674" s="4"/>
      <c r="CE1674" s="4"/>
      <c r="CF1674" s="4"/>
      <c r="CG1674" s="4"/>
      <c r="CH1674" s="4"/>
      <c r="CI1674" s="5">
        <v>39843</v>
      </c>
      <c r="CJ1674" s="5">
        <v>39872</v>
      </c>
      <c r="CK1674" s="5">
        <v>39843</v>
      </c>
      <c r="CL1674" s="4"/>
      <c r="CM1674" s="4"/>
      <c r="CN1674" s="4"/>
      <c r="CO1674" s="4"/>
      <c r="CP1674" s="4" t="s">
        <v>405</v>
      </c>
      <c r="CQ1674" s="4"/>
      <c r="CR1674" s="5">
        <v>39872</v>
      </c>
      <c r="CS1674" s="4"/>
      <c r="CT1674" s="4"/>
      <c r="CU1674" s="4"/>
      <c r="CV1674" s="4"/>
      <c r="CW1674" s="4"/>
      <c r="CX1674" s="4"/>
      <c r="CY1674" s="4"/>
      <c r="CZ1674" s="4"/>
      <c r="DA1674" s="4"/>
      <c r="DB1674" s="4"/>
      <c r="DC1674" s="4"/>
      <c r="DD1674" s="4"/>
      <c r="DE1674" s="4"/>
      <c r="DF1674" s="4"/>
      <c r="DG1674" s="4"/>
      <c r="DH1674" s="4"/>
      <c r="DI1674" s="4"/>
      <c r="DJ1674" s="4" t="b">
        <v>0</v>
      </c>
      <c r="DK1674" s="4"/>
      <c r="DL1674" s="4">
        <v>2660470</v>
      </c>
      <c r="DM1674" s="4">
        <v>5988555</v>
      </c>
      <c r="DN1674" s="4" t="s">
        <v>5046</v>
      </c>
      <c r="DO1674" s="4"/>
      <c r="DP1674" s="4"/>
      <c r="DQ1674" s="4" t="s">
        <v>328</v>
      </c>
      <c r="DR1674" s="4"/>
      <c r="DS1674" s="4"/>
      <c r="DT1674" s="4"/>
      <c r="DU1674" s="4"/>
      <c r="DV1674" s="4"/>
      <c r="DW1674" s="4"/>
      <c r="DX1674" s="4"/>
      <c r="DY1674" s="4"/>
      <c r="DZ1674" s="5">
        <v>39790</v>
      </c>
      <c r="EA1674" s="4"/>
      <c r="EB1674" s="4"/>
      <c r="EC1674" s="4"/>
      <c r="ED1674" s="4"/>
      <c r="EE1674" s="4"/>
      <c r="EF1674" s="4"/>
      <c r="EG1674" s="4"/>
      <c r="EH1674" s="4"/>
      <c r="EI1674" s="5">
        <v>39512</v>
      </c>
    </row>
    <row r="1675" spans="1:139" hidden="1" x14ac:dyDescent="0.2">
      <c r="A1675">
        <f>VLOOKUP(B1675,Sheet1!$A$1:$B$18,2,FALSE)</f>
        <v>0</v>
      </c>
      <c r="B1675" t="str">
        <f>LEFT(D1675,3)</f>
        <v>WLG</v>
      </c>
      <c r="C1675" s="2">
        <v>1674</v>
      </c>
      <c r="D1675" s="3" t="str">
        <f>HYPERLINK("https://sitebase.nzcomms.co.nz/spm/spmnominalview/WLG-047-070/","WLG-047-070")</f>
        <v>WLG-047-070</v>
      </c>
      <c r="E1675" s="4" t="s">
        <v>5047</v>
      </c>
      <c r="F1675" s="3" t="str">
        <f>HYPERLINK("https://sitebase.nzcomms.co.nz/spm/spmcandidateview/WLG-047-070-B/","WLG-047-070-B")</f>
        <v>WLG-047-070-B</v>
      </c>
      <c r="G1675" s="4" t="s">
        <v>5048</v>
      </c>
      <c r="H1675" s="4" t="s">
        <v>4871</v>
      </c>
      <c r="I1675" s="4">
        <v>6</v>
      </c>
      <c r="J1675" s="4" t="s">
        <v>584</v>
      </c>
      <c r="K1675" s="4" t="s">
        <v>141</v>
      </c>
      <c r="L1675" s="4" t="s">
        <v>189</v>
      </c>
      <c r="M1675" s="4" t="s">
        <v>592</v>
      </c>
      <c r="N1675" s="4" t="s">
        <v>346</v>
      </c>
      <c r="O1675" s="4" t="s">
        <v>168</v>
      </c>
      <c r="P1675" s="4"/>
      <c r="Q1675" s="4"/>
      <c r="R1675" s="4"/>
      <c r="S1675" s="4"/>
      <c r="T1675" s="4"/>
      <c r="U1675" s="4">
        <v>-41.331366330000002</v>
      </c>
      <c r="V1675" s="4">
        <v>174.78561396000001</v>
      </c>
      <c r="W1675" s="4"/>
      <c r="X1675" s="4"/>
      <c r="Y1675" s="4"/>
      <c r="Z1675" s="4"/>
      <c r="AA1675" s="4" t="s">
        <v>145</v>
      </c>
      <c r="AB1675" s="3" t="str">
        <f>HYPERLINK("https://sitebase.nzcomms.co.nz/spm/spmcandidateview/WLG-047-071-A/","WLG-047-071-A")</f>
        <v>WLG-047-071-A</v>
      </c>
      <c r="AC1675" s="4" t="b">
        <v>0</v>
      </c>
      <c r="AD1675" s="4" t="b">
        <v>0</v>
      </c>
      <c r="AE1675" s="4"/>
      <c r="AF1675" s="4"/>
      <c r="AG1675" s="4" t="b">
        <v>0</v>
      </c>
      <c r="AH1675" s="4"/>
      <c r="AI1675" s="5">
        <v>41709</v>
      </c>
      <c r="AJ1675" s="5">
        <v>41709</v>
      </c>
      <c r="AK1675" s="4"/>
      <c r="AL1675" s="5">
        <v>41683</v>
      </c>
      <c r="AM1675" s="5">
        <v>41726</v>
      </c>
      <c r="AN1675" s="5">
        <v>41715</v>
      </c>
      <c r="AO1675" s="4">
        <v>3</v>
      </c>
      <c r="AP1675" s="4"/>
      <c r="AQ1675" s="5">
        <v>41787</v>
      </c>
      <c r="AR1675" s="5">
        <v>41806</v>
      </c>
      <c r="AS1675" s="5">
        <v>41768</v>
      </c>
      <c r="AT1675" s="5">
        <v>41806</v>
      </c>
      <c r="AU1675" s="5">
        <v>41817</v>
      </c>
      <c r="AV1675" s="4"/>
      <c r="AW1675" s="5">
        <v>41806</v>
      </c>
      <c r="AX1675" s="5">
        <v>41817</v>
      </c>
      <c r="AY1675" s="4" t="s">
        <v>183</v>
      </c>
      <c r="AZ1675" s="5">
        <v>41739</v>
      </c>
      <c r="BA1675" s="5">
        <v>41733</v>
      </c>
      <c r="BB1675" s="5">
        <v>41769</v>
      </c>
      <c r="BC1675" s="5">
        <v>41788</v>
      </c>
      <c r="BD1675" s="4">
        <v>2</v>
      </c>
      <c r="BE1675" s="5">
        <v>41774</v>
      </c>
      <c r="BF1675" s="5">
        <v>41789</v>
      </c>
      <c r="BG1675" s="4"/>
      <c r="BH1675" s="4"/>
      <c r="BI1675" s="5">
        <v>41768</v>
      </c>
      <c r="BJ1675" s="5">
        <v>41764</v>
      </c>
      <c r="BK1675" s="4">
        <v>2</v>
      </c>
      <c r="BL1675" s="4"/>
      <c r="BM1675" s="5">
        <v>41749</v>
      </c>
      <c r="BN1675" s="5">
        <v>41856</v>
      </c>
      <c r="BO1675" s="4"/>
      <c r="BP1675" s="4"/>
      <c r="BQ1675" s="4"/>
      <c r="BR1675" s="4"/>
      <c r="BS1675" s="4"/>
      <c r="BT1675" s="5">
        <v>41839</v>
      </c>
      <c r="BU1675" s="5">
        <v>41848</v>
      </c>
      <c r="BV1675" s="5">
        <v>41866</v>
      </c>
      <c r="BW1675" s="5">
        <v>41873</v>
      </c>
      <c r="BX1675" s="5">
        <v>41873</v>
      </c>
      <c r="BY1675" s="5">
        <v>41866</v>
      </c>
      <c r="BZ1675" s="5">
        <v>41873</v>
      </c>
      <c r="CA1675" s="5">
        <v>41862</v>
      </c>
      <c r="CB1675" s="5">
        <v>41872</v>
      </c>
      <c r="CC1675" s="4"/>
      <c r="CD1675" s="4"/>
      <c r="CE1675" s="4"/>
      <c r="CF1675" s="4"/>
      <c r="CG1675" s="4"/>
      <c r="CH1675" s="4"/>
      <c r="CI1675" s="4"/>
      <c r="CJ1675" s="5">
        <v>41892</v>
      </c>
      <c r="CK1675" s="5">
        <v>41879</v>
      </c>
      <c r="CL1675" s="4"/>
      <c r="CM1675" s="4"/>
      <c r="CN1675" s="4"/>
      <c r="CO1675" s="4"/>
      <c r="CP1675" s="4" t="s">
        <v>5049</v>
      </c>
      <c r="CQ1675" s="4"/>
      <c r="CR1675" s="4"/>
      <c r="CS1675" s="4"/>
      <c r="CT1675" s="4"/>
      <c r="CU1675" s="4"/>
      <c r="CV1675" s="4"/>
      <c r="CW1675" s="4"/>
      <c r="CX1675" s="4"/>
      <c r="CY1675" s="4"/>
      <c r="CZ1675" s="4"/>
      <c r="DA1675" s="5">
        <v>41880</v>
      </c>
      <c r="DB1675" s="5">
        <v>41878</v>
      </c>
      <c r="DC1675" s="5">
        <v>41733</v>
      </c>
      <c r="DD1675" s="4" t="s">
        <v>206</v>
      </c>
      <c r="DE1675" s="4"/>
      <c r="DF1675" s="5">
        <v>41859</v>
      </c>
      <c r="DG1675" s="5">
        <v>41871</v>
      </c>
      <c r="DH1675" s="4" t="s">
        <v>174</v>
      </c>
      <c r="DI1675" s="5">
        <v>41859</v>
      </c>
      <c r="DJ1675" s="4" t="b">
        <v>0</v>
      </c>
      <c r="DK1675" s="4"/>
      <c r="DL1675" s="4">
        <v>2659444</v>
      </c>
      <c r="DM1675" s="4">
        <v>5984631</v>
      </c>
      <c r="DN1675" s="4" t="s">
        <v>5048</v>
      </c>
      <c r="DO1675" s="4"/>
      <c r="DP1675" s="4"/>
      <c r="DQ1675" s="4" t="s">
        <v>148</v>
      </c>
      <c r="DR1675" s="4"/>
      <c r="DS1675" s="4"/>
      <c r="DT1675" s="4"/>
      <c r="DU1675" s="4"/>
      <c r="DV1675" s="4"/>
      <c r="DW1675" s="4"/>
      <c r="DX1675" s="4"/>
      <c r="DY1675" s="4"/>
      <c r="DZ1675" s="4"/>
      <c r="EA1675" s="4"/>
      <c r="EB1675" s="4"/>
      <c r="EC1675" s="4"/>
      <c r="ED1675" s="4"/>
      <c r="EE1675" s="4"/>
      <c r="EF1675" s="4"/>
      <c r="EG1675" s="4"/>
      <c r="EH1675" s="4"/>
      <c r="EI1675" s="5">
        <v>41683</v>
      </c>
    </row>
    <row r="1676" spans="1:139" hidden="1" x14ac:dyDescent="0.2">
      <c r="A1676">
        <f>VLOOKUP(B1676,Sheet1!$A$1:$B$18,2,FALSE)</f>
        <v>0</v>
      </c>
      <c r="B1676" t="str">
        <f>LEFT(D1676,3)</f>
        <v>WLG</v>
      </c>
      <c r="C1676" s="2">
        <v>1675</v>
      </c>
      <c r="D1676" s="3" t="str">
        <f>HYPERLINK("https://sitebase.nzcomms.co.nz/spm/spmnominalview/WLG-047-071/","WLG-047-071")</f>
        <v>WLG-047-071</v>
      </c>
      <c r="E1676" s="4" t="s">
        <v>5050</v>
      </c>
      <c r="F1676" s="3" t="str">
        <f>HYPERLINK("https://sitebase.nzcomms.co.nz/spm/spmcandidateview/WLG-047-071-A/","WLG-047-071-A")</f>
        <v>WLG-047-071-A</v>
      </c>
      <c r="G1676" s="4" t="s">
        <v>5051</v>
      </c>
      <c r="H1676" s="4" t="s">
        <v>4871</v>
      </c>
      <c r="I1676" s="4"/>
      <c r="J1676" s="4" t="s">
        <v>139</v>
      </c>
      <c r="K1676" s="4" t="s">
        <v>141</v>
      </c>
      <c r="L1676" s="4" t="s">
        <v>181</v>
      </c>
      <c r="M1676" s="4" t="s">
        <v>324</v>
      </c>
      <c r="N1676" s="4" t="s">
        <v>364</v>
      </c>
      <c r="O1676" s="4"/>
      <c r="P1676" s="4"/>
      <c r="Q1676" s="4"/>
      <c r="R1676" s="4"/>
      <c r="S1676" s="4"/>
      <c r="T1676" s="4"/>
      <c r="U1676" s="4">
        <v>-41.283191530000003</v>
      </c>
      <c r="V1676" s="4">
        <v>174.77441094</v>
      </c>
      <c r="W1676" s="4"/>
      <c r="X1676" s="4"/>
      <c r="Y1676" s="4"/>
      <c r="Z1676" s="4"/>
      <c r="AA1676" s="4"/>
      <c r="AB1676" s="4"/>
      <c r="AC1676" s="4" t="b">
        <v>0</v>
      </c>
      <c r="AD1676" s="4" t="b">
        <v>0</v>
      </c>
      <c r="AE1676" s="4"/>
      <c r="AF1676" s="4"/>
      <c r="AG1676" s="4" t="b">
        <v>0</v>
      </c>
      <c r="AH1676" s="4"/>
      <c r="AI1676" s="4"/>
      <c r="AJ1676" s="4"/>
      <c r="AK1676" s="4"/>
      <c r="AL1676" s="4"/>
      <c r="AM1676" s="4"/>
      <c r="AN1676" s="5">
        <v>39533</v>
      </c>
      <c r="AO1676" s="4">
        <v>1</v>
      </c>
      <c r="AP1676" s="4"/>
      <c r="AQ1676" s="5">
        <v>39533</v>
      </c>
      <c r="AR1676" s="4"/>
      <c r="AS1676" s="4"/>
      <c r="AT1676" s="5">
        <v>39505</v>
      </c>
      <c r="AU1676" s="5">
        <v>39505</v>
      </c>
      <c r="AV1676" s="4">
        <v>1</v>
      </c>
      <c r="AW1676" s="5">
        <v>39505</v>
      </c>
      <c r="AX1676" s="5">
        <v>39505</v>
      </c>
      <c r="AY1676" s="4"/>
      <c r="AZ1676" s="4"/>
      <c r="BA1676" s="4"/>
      <c r="BB1676" s="5">
        <v>39597</v>
      </c>
      <c r="BC1676" s="4"/>
      <c r="BD1676" s="4"/>
      <c r="BE1676" s="5">
        <v>39597</v>
      </c>
      <c r="BF1676" s="5">
        <v>39597</v>
      </c>
      <c r="BG1676" s="4"/>
      <c r="BH1676" s="5">
        <v>39560</v>
      </c>
      <c r="BI1676" s="4"/>
      <c r="BJ1676" s="5">
        <v>39617</v>
      </c>
      <c r="BK1676" s="4">
        <v>2</v>
      </c>
      <c r="BL1676" s="4">
        <v>1</v>
      </c>
      <c r="BM1676" s="5">
        <v>39658</v>
      </c>
      <c r="BN1676" s="5">
        <v>39658</v>
      </c>
      <c r="BO1676" s="4"/>
      <c r="BP1676" s="4"/>
      <c r="BQ1676" s="4"/>
      <c r="BR1676" s="4"/>
      <c r="BS1676" s="4"/>
      <c r="BT1676" s="4"/>
      <c r="BU1676" s="5">
        <v>39657</v>
      </c>
      <c r="BV1676" s="5">
        <v>39691</v>
      </c>
      <c r="BW1676" s="5">
        <v>39691</v>
      </c>
      <c r="BX1676" s="4"/>
      <c r="BY1676" s="4"/>
      <c r="BZ1676" s="5">
        <v>39721</v>
      </c>
      <c r="CA1676" s="4"/>
      <c r="CB1676" s="4"/>
      <c r="CC1676" s="4"/>
      <c r="CD1676" s="4"/>
      <c r="CE1676" s="4"/>
      <c r="CF1676" s="4"/>
      <c r="CG1676" s="4"/>
      <c r="CH1676" s="4"/>
      <c r="CI1676" s="5">
        <v>39806</v>
      </c>
      <c r="CJ1676" s="5">
        <v>39872</v>
      </c>
      <c r="CK1676" s="5">
        <v>39806</v>
      </c>
      <c r="CL1676" s="4"/>
      <c r="CM1676" s="4"/>
      <c r="CN1676" s="4"/>
      <c r="CO1676" s="4"/>
      <c r="CP1676" s="4" t="s">
        <v>405</v>
      </c>
      <c r="CQ1676" s="4"/>
      <c r="CR1676" s="5">
        <v>39872</v>
      </c>
      <c r="CS1676" s="4"/>
      <c r="CT1676" s="4"/>
      <c r="CU1676" s="4"/>
      <c r="CV1676" s="4"/>
      <c r="CW1676" s="4"/>
      <c r="CX1676" s="4"/>
      <c r="CY1676" s="4"/>
      <c r="CZ1676" s="4"/>
      <c r="DA1676" s="4"/>
      <c r="DB1676" s="4"/>
      <c r="DC1676" s="4"/>
      <c r="DD1676" s="4"/>
      <c r="DE1676" s="4"/>
      <c r="DF1676" s="4"/>
      <c r="DG1676" s="4"/>
      <c r="DH1676" s="4"/>
      <c r="DI1676" s="4"/>
      <c r="DJ1676" s="4" t="b">
        <v>0</v>
      </c>
      <c r="DK1676" s="4"/>
      <c r="DL1676" s="4">
        <v>2658615</v>
      </c>
      <c r="DM1676" s="4">
        <v>5989999</v>
      </c>
      <c r="DN1676" s="4" t="s">
        <v>5052</v>
      </c>
      <c r="DO1676" s="4"/>
      <c r="DP1676" s="4"/>
      <c r="DQ1676" s="4" t="s">
        <v>328</v>
      </c>
      <c r="DR1676" s="4"/>
      <c r="DS1676" s="4"/>
      <c r="DT1676" s="4"/>
      <c r="DU1676" s="4"/>
      <c r="DV1676" s="4"/>
      <c r="DW1676" s="4"/>
      <c r="DX1676" s="4"/>
      <c r="DY1676" s="4"/>
      <c r="DZ1676" s="5">
        <v>39618</v>
      </c>
      <c r="EA1676" s="4"/>
      <c r="EB1676" s="4"/>
      <c r="EC1676" s="4"/>
      <c r="ED1676" s="4"/>
      <c r="EE1676" s="4"/>
      <c r="EF1676" s="4"/>
      <c r="EG1676" s="4"/>
      <c r="EH1676" s="4"/>
      <c r="EI1676" s="5">
        <v>39492</v>
      </c>
    </row>
    <row r="1677" spans="1:139" hidden="1" x14ac:dyDescent="0.2">
      <c r="A1677">
        <f>VLOOKUP(B1677,Sheet1!$A$1:$B$18,2,FALSE)</f>
        <v>0</v>
      </c>
      <c r="B1677" t="str">
        <f>LEFT(D1677,3)</f>
        <v>WLG</v>
      </c>
      <c r="C1677" s="2">
        <v>1676</v>
      </c>
      <c r="D1677" s="3" t="str">
        <f>HYPERLINK("https://sitebase.nzcomms.co.nz/spm/spmnominalview/WLG-047-074/","WLG-047-074")</f>
        <v>WLG-047-074</v>
      </c>
      <c r="E1677" s="4"/>
      <c r="F1677" s="3" t="str">
        <f>HYPERLINK("https://sitebase.nzcomms.co.nz/spm/spmcandidateview/WLG-047-074-B/","WLG-047-074-B")</f>
        <v>WLG-047-074-B</v>
      </c>
      <c r="G1677" s="4" t="s">
        <v>5053</v>
      </c>
      <c r="H1677" s="4" t="s">
        <v>4871</v>
      </c>
      <c r="I1677" s="4">
        <v>7</v>
      </c>
      <c r="J1677" s="4" t="s">
        <v>139</v>
      </c>
      <c r="K1677" s="4" t="s">
        <v>141</v>
      </c>
      <c r="L1677" s="4" t="s">
        <v>142</v>
      </c>
      <c r="M1677" s="4" t="s">
        <v>324</v>
      </c>
      <c r="N1677" s="4" t="s">
        <v>364</v>
      </c>
      <c r="O1677" s="4"/>
      <c r="P1677" s="4"/>
      <c r="Q1677" s="4" t="s">
        <v>142</v>
      </c>
      <c r="R1677" s="4"/>
      <c r="S1677" s="4"/>
      <c r="T1677" s="4"/>
      <c r="U1677" s="4">
        <v>-41.234001190000001</v>
      </c>
      <c r="V1677" s="4">
        <v>174.77942383000001</v>
      </c>
      <c r="W1677" s="4"/>
      <c r="X1677" s="4"/>
      <c r="Y1677" s="4"/>
      <c r="Z1677" s="4"/>
      <c r="AA1677" s="4" t="s">
        <v>217</v>
      </c>
      <c r="AB1677" s="4" t="s">
        <v>4965</v>
      </c>
      <c r="AC1677" s="4" t="b">
        <v>0</v>
      </c>
      <c r="AD1677" s="4" t="b">
        <v>0</v>
      </c>
      <c r="AE1677" s="4"/>
      <c r="AF1677" s="4"/>
      <c r="AG1677" s="4" t="b">
        <v>0</v>
      </c>
      <c r="AH1677" s="4" t="s">
        <v>4943</v>
      </c>
      <c r="AI1677" s="4"/>
      <c r="AJ1677" s="4"/>
      <c r="AK1677" s="4"/>
      <c r="AL1677" s="4"/>
      <c r="AM1677" s="4"/>
      <c r="AN1677" s="5">
        <v>39203</v>
      </c>
      <c r="AO1677" s="4">
        <v>1</v>
      </c>
      <c r="AP1677" s="4"/>
      <c r="AQ1677" s="5">
        <v>39203</v>
      </c>
      <c r="AR1677" s="4"/>
      <c r="AS1677" s="4"/>
      <c r="AT1677" s="4"/>
      <c r="AU1677" s="5">
        <v>39703</v>
      </c>
      <c r="AV1677" s="4">
        <v>1</v>
      </c>
      <c r="AW1677" s="5">
        <v>41411</v>
      </c>
      <c r="AX1677" s="4"/>
      <c r="AY1677" s="4"/>
      <c r="AZ1677" s="4"/>
      <c r="BA1677" s="4"/>
      <c r="BB1677" s="4"/>
      <c r="BC1677" s="4"/>
      <c r="BD1677" s="4"/>
      <c r="BE1677" s="5">
        <v>39720</v>
      </c>
      <c r="BF1677" s="5">
        <v>39720</v>
      </c>
      <c r="BG1677" s="4"/>
      <c r="BH1677" s="5">
        <v>39203</v>
      </c>
      <c r="BI1677" s="4"/>
      <c r="BJ1677" s="5">
        <v>39203</v>
      </c>
      <c r="BK1677" s="4"/>
      <c r="BL1677" s="4"/>
      <c r="BM1677" s="4"/>
      <c r="BN1677" s="4"/>
      <c r="BO1677" s="4"/>
      <c r="BP1677" s="4"/>
      <c r="BQ1677" s="4"/>
      <c r="BR1677" s="4"/>
      <c r="BS1677" s="4"/>
      <c r="BT1677" s="4"/>
      <c r="BU1677" s="5">
        <v>39766</v>
      </c>
      <c r="BV1677" s="5">
        <v>39780</v>
      </c>
      <c r="BW1677" s="5">
        <v>39780</v>
      </c>
      <c r="BX1677" s="4"/>
      <c r="BY1677" s="4"/>
      <c r="BZ1677" s="5">
        <v>39787</v>
      </c>
      <c r="CA1677" s="4"/>
      <c r="CB1677" s="4"/>
      <c r="CC1677" s="4"/>
      <c r="CD1677" s="4"/>
      <c r="CE1677" s="4"/>
      <c r="CF1677" s="4"/>
      <c r="CG1677" s="4"/>
      <c r="CH1677" s="4"/>
      <c r="CI1677" s="5">
        <v>39804</v>
      </c>
      <c r="CJ1677" s="5">
        <v>39872</v>
      </c>
      <c r="CK1677" s="5">
        <v>39804</v>
      </c>
      <c r="CL1677" s="4"/>
      <c r="CM1677" s="4"/>
      <c r="CN1677" s="4"/>
      <c r="CO1677" s="4"/>
      <c r="CP1677" s="4" t="s">
        <v>405</v>
      </c>
      <c r="CQ1677" s="4" t="s">
        <v>1657</v>
      </c>
      <c r="CR1677" s="5">
        <v>39872</v>
      </c>
      <c r="CS1677" s="4"/>
      <c r="CT1677" s="4"/>
      <c r="CU1677" s="4"/>
      <c r="CV1677" s="4"/>
      <c r="CW1677" s="4"/>
      <c r="CX1677" s="4"/>
      <c r="CY1677" s="4"/>
      <c r="CZ1677" s="4"/>
      <c r="DA1677" s="4"/>
      <c r="DB1677" s="4"/>
      <c r="DC1677" s="4"/>
      <c r="DD1677" s="4"/>
      <c r="DE1677" s="4"/>
      <c r="DF1677" s="4"/>
      <c r="DG1677" s="4"/>
      <c r="DH1677" s="4"/>
      <c r="DI1677" s="4"/>
      <c r="DJ1677" s="4" t="b">
        <v>0</v>
      </c>
      <c r="DK1677" s="4"/>
      <c r="DL1677" s="4">
        <v>2659146</v>
      </c>
      <c r="DM1677" s="4">
        <v>5995452</v>
      </c>
      <c r="DN1677" s="4" t="s">
        <v>5054</v>
      </c>
      <c r="DO1677" s="4"/>
      <c r="DP1677" s="4"/>
      <c r="DQ1677" s="4" t="s">
        <v>328</v>
      </c>
      <c r="DR1677" s="4"/>
      <c r="DS1677" s="4"/>
      <c r="DT1677" s="4"/>
      <c r="DU1677" s="4"/>
      <c r="DV1677" s="4"/>
      <c r="DW1677" s="4"/>
      <c r="DX1677" s="4"/>
      <c r="DY1677" s="4"/>
      <c r="DZ1677" s="5">
        <v>39734</v>
      </c>
      <c r="EA1677" s="4"/>
      <c r="EB1677" s="4"/>
      <c r="EC1677" s="4"/>
      <c r="ED1677" s="4"/>
      <c r="EE1677" s="4"/>
      <c r="EF1677" s="4"/>
      <c r="EG1677" s="4"/>
      <c r="EH1677" s="4"/>
      <c r="EI1677" s="5">
        <v>39674</v>
      </c>
    </row>
    <row r="1678" spans="1:139" hidden="1" x14ac:dyDescent="0.2">
      <c r="A1678">
        <f>VLOOKUP(B1678,Sheet1!$A$1:$B$18,2,FALSE)</f>
        <v>0</v>
      </c>
      <c r="B1678" t="str">
        <f>LEFT(D1678,3)</f>
        <v>WLG</v>
      </c>
      <c r="C1678" s="2">
        <v>1677</v>
      </c>
      <c r="D1678" s="3" t="str">
        <f>HYPERLINK("https://sitebase.nzcomms.co.nz/spm/spmnominalview/WLG-047-075/","WLG-047-075")</f>
        <v>WLG-047-075</v>
      </c>
      <c r="E1678" s="4" t="s">
        <v>5055</v>
      </c>
      <c r="F1678" s="3" t="str">
        <f>HYPERLINK("https://sitebase.nzcomms.co.nz/spm/spmcandidateview/WLG-047-075-A/","WLG-047-075-A")</f>
        <v>WLG-047-075-A</v>
      </c>
      <c r="G1678" s="4" t="s">
        <v>5056</v>
      </c>
      <c r="H1678" s="4" t="s">
        <v>4871</v>
      </c>
      <c r="I1678" s="4"/>
      <c r="J1678" s="4" t="s">
        <v>317</v>
      </c>
      <c r="K1678" s="4" t="s">
        <v>141</v>
      </c>
      <c r="L1678" s="4"/>
      <c r="M1678" s="4"/>
      <c r="N1678" s="4"/>
      <c r="O1678" s="4"/>
      <c r="P1678" s="4"/>
      <c r="Q1678" s="4" t="s">
        <v>170</v>
      </c>
      <c r="R1678" s="4"/>
      <c r="S1678" s="4"/>
      <c r="T1678" s="4"/>
      <c r="U1678" s="4">
        <v>-41.271106170000003</v>
      </c>
      <c r="V1678" s="4">
        <v>174.76488190000001</v>
      </c>
      <c r="W1678" s="4"/>
      <c r="X1678" s="4"/>
      <c r="Y1678" s="4"/>
      <c r="Z1678" s="4"/>
      <c r="AA1678" s="4" t="s">
        <v>217</v>
      </c>
      <c r="AB1678" s="4" t="s">
        <v>4965</v>
      </c>
      <c r="AC1678" s="4"/>
      <c r="AD1678" s="4"/>
      <c r="AE1678" s="4"/>
      <c r="AF1678" s="4"/>
      <c r="AG1678" s="4"/>
      <c r="AH1678" s="4" t="s">
        <v>4943</v>
      </c>
      <c r="AI1678" s="4"/>
      <c r="AJ1678" s="4"/>
      <c r="AK1678" s="4"/>
      <c r="AL1678" s="4"/>
      <c r="AM1678" s="4"/>
      <c r="AN1678" s="5">
        <v>39689</v>
      </c>
      <c r="AO1678" s="4">
        <v>2</v>
      </c>
      <c r="AP1678" s="4"/>
      <c r="AQ1678" s="4"/>
      <c r="AR1678" s="4"/>
      <c r="AS1678" s="4"/>
      <c r="AT1678" s="5">
        <v>39994</v>
      </c>
      <c r="AU1678" s="4"/>
      <c r="AV1678" s="4"/>
      <c r="AW1678" s="5">
        <v>39994</v>
      </c>
      <c r="AX1678" s="4"/>
      <c r="AY1678" s="4"/>
      <c r="AZ1678" s="4"/>
      <c r="BA1678" s="4"/>
      <c r="BB1678" s="5">
        <v>39728</v>
      </c>
      <c r="BC1678" s="4"/>
      <c r="BD1678" s="4"/>
      <c r="BE1678" s="5">
        <v>39728</v>
      </c>
      <c r="BF1678" s="5">
        <v>39728</v>
      </c>
      <c r="BG1678" s="4"/>
      <c r="BH1678" s="4"/>
      <c r="BI1678" s="4"/>
      <c r="BJ1678" s="4"/>
      <c r="BK1678" s="4"/>
      <c r="BL1678" s="4"/>
      <c r="BM1678" s="5">
        <v>39994</v>
      </c>
      <c r="BN1678" s="4"/>
      <c r="BO1678" s="4"/>
      <c r="BP1678" s="4"/>
      <c r="BQ1678" s="4"/>
      <c r="BR1678" s="4"/>
      <c r="BS1678" s="4"/>
      <c r="BT1678" s="4"/>
      <c r="BU1678" s="4"/>
      <c r="BV1678" s="4"/>
      <c r="BW1678" s="4"/>
      <c r="BX1678" s="4"/>
      <c r="BY1678" s="4"/>
      <c r="BZ1678" s="4"/>
      <c r="CA1678" s="4"/>
      <c r="CB1678" s="4"/>
      <c r="CC1678" s="4"/>
      <c r="CD1678" s="4"/>
      <c r="CE1678" s="4"/>
      <c r="CF1678" s="4"/>
      <c r="CG1678" s="4"/>
      <c r="CH1678" s="4"/>
      <c r="CI1678" s="4"/>
      <c r="CJ1678" s="4"/>
      <c r="CK1678" s="4"/>
      <c r="CL1678" s="4"/>
      <c r="CM1678" s="4"/>
      <c r="CN1678" s="4"/>
      <c r="CO1678" s="4"/>
      <c r="CP1678" s="4" t="s">
        <v>5057</v>
      </c>
      <c r="CQ1678" s="4"/>
      <c r="CR1678" s="5">
        <v>40025</v>
      </c>
      <c r="CS1678" s="4"/>
      <c r="CT1678" s="4"/>
      <c r="CU1678" s="4"/>
      <c r="CV1678" s="4"/>
      <c r="CW1678" s="4"/>
      <c r="CX1678" s="4"/>
      <c r="CY1678" s="4"/>
      <c r="CZ1678" s="4"/>
      <c r="DA1678" s="4"/>
      <c r="DB1678" s="4"/>
      <c r="DC1678" s="4"/>
      <c r="DD1678" s="4"/>
      <c r="DE1678" s="4"/>
      <c r="DF1678" s="4"/>
      <c r="DG1678" s="4"/>
      <c r="DH1678" s="4" t="s">
        <v>240</v>
      </c>
      <c r="DI1678" s="4"/>
      <c r="DJ1678" s="4" t="b">
        <v>0</v>
      </c>
      <c r="DK1678" s="4"/>
      <c r="DL1678" s="4">
        <v>2657844</v>
      </c>
      <c r="DM1678" s="4">
        <v>5991357</v>
      </c>
      <c r="DN1678" s="4" t="s">
        <v>5058</v>
      </c>
      <c r="DO1678" s="4"/>
      <c r="DP1678" s="4"/>
      <c r="DQ1678" s="4"/>
      <c r="DR1678" s="4"/>
      <c r="DS1678" s="4"/>
      <c r="DT1678" s="4"/>
      <c r="DU1678" s="4"/>
      <c r="DV1678" s="4"/>
      <c r="DW1678" s="4"/>
      <c r="DX1678" s="4"/>
      <c r="DY1678" s="4"/>
      <c r="DZ1678" s="4"/>
      <c r="EA1678" s="4"/>
      <c r="EB1678" s="4"/>
      <c r="EC1678" s="4"/>
      <c r="ED1678" s="4"/>
      <c r="EE1678" s="4"/>
      <c r="EF1678" s="4"/>
      <c r="EG1678" s="4"/>
      <c r="EH1678" s="4"/>
      <c r="EI1678" s="5">
        <v>39661</v>
      </c>
    </row>
    <row r="1679" spans="1:139" hidden="1" x14ac:dyDescent="0.2">
      <c r="A1679">
        <f>VLOOKUP(B1679,Sheet1!$A$1:$B$18,2,FALSE)</f>
        <v>0</v>
      </c>
      <c r="B1679" t="str">
        <f>LEFT(D1679,3)</f>
        <v>WLG</v>
      </c>
      <c r="C1679" s="2">
        <v>1678</v>
      </c>
      <c r="D1679" s="3" t="str">
        <f>HYPERLINK("https://sitebase.nzcomms.co.nz/spm/spmnominalview/WLG-047-076/","WLG-047-076")</f>
        <v>WLG-047-076</v>
      </c>
      <c r="E1679" s="4"/>
      <c r="F1679" s="3" t="str">
        <f>HYPERLINK("https://sitebase.nzcomms.co.nz/spm/spmcandidateview/WLG-047-076-A/","WLG-047-076-A")</f>
        <v>WLG-047-076-A</v>
      </c>
      <c r="G1679" s="4" t="s">
        <v>5059</v>
      </c>
      <c r="H1679" s="4" t="s">
        <v>4871</v>
      </c>
      <c r="I1679" s="4"/>
      <c r="J1679" s="4" t="s">
        <v>139</v>
      </c>
      <c r="K1679" s="4" t="s">
        <v>141</v>
      </c>
      <c r="L1679" s="4" t="s">
        <v>181</v>
      </c>
      <c r="M1679" s="4" t="s">
        <v>378</v>
      </c>
      <c r="N1679" s="4" t="s">
        <v>364</v>
      </c>
      <c r="O1679" s="4" t="s">
        <v>144</v>
      </c>
      <c r="P1679" s="4"/>
      <c r="Q1679" s="4"/>
      <c r="R1679" s="4">
        <v>28.5</v>
      </c>
      <c r="S1679" s="4">
        <v>28.5</v>
      </c>
      <c r="T1679" s="4"/>
      <c r="U1679" s="4">
        <v>-41.281883049999998</v>
      </c>
      <c r="V1679" s="4">
        <v>174.77516374000001</v>
      </c>
      <c r="W1679" s="4"/>
      <c r="X1679" s="4"/>
      <c r="Y1679" s="4"/>
      <c r="Z1679" s="4"/>
      <c r="AA1679" s="4"/>
      <c r="AB1679" s="4"/>
      <c r="AC1679" s="4"/>
      <c r="AD1679" s="4"/>
      <c r="AE1679" s="4"/>
      <c r="AF1679" s="4"/>
      <c r="AG1679" s="4"/>
      <c r="AH1679" s="4"/>
      <c r="AI1679" s="4"/>
      <c r="AJ1679" s="4"/>
      <c r="AK1679" s="4"/>
      <c r="AL1679" s="4"/>
      <c r="AM1679" s="5">
        <v>39822</v>
      </c>
      <c r="AN1679" s="5">
        <v>39822</v>
      </c>
      <c r="AO1679" s="4">
        <v>1</v>
      </c>
      <c r="AP1679" s="5">
        <v>39822</v>
      </c>
      <c r="AQ1679" s="5">
        <v>39822</v>
      </c>
      <c r="AR1679" s="4"/>
      <c r="AS1679" s="4"/>
      <c r="AT1679" s="4"/>
      <c r="AU1679" s="5">
        <v>39773</v>
      </c>
      <c r="AV1679" s="4"/>
      <c r="AW1679" s="5">
        <v>39773</v>
      </c>
      <c r="AX1679" s="5">
        <v>39773</v>
      </c>
      <c r="AY1679" s="4"/>
      <c r="AZ1679" s="4"/>
      <c r="BA1679" s="4"/>
      <c r="BB1679" s="5">
        <v>39860</v>
      </c>
      <c r="BC1679" s="4"/>
      <c r="BD1679" s="4"/>
      <c r="BE1679" s="5">
        <v>39860</v>
      </c>
      <c r="BF1679" s="5">
        <v>39860</v>
      </c>
      <c r="BG1679" s="4"/>
      <c r="BH1679" s="5">
        <v>39868</v>
      </c>
      <c r="BI1679" s="4"/>
      <c r="BJ1679" s="5">
        <v>39898</v>
      </c>
      <c r="BK1679" s="4">
        <v>1</v>
      </c>
      <c r="BL1679" s="4">
        <v>1</v>
      </c>
      <c r="BM1679" s="5">
        <v>39903</v>
      </c>
      <c r="BN1679" s="5">
        <v>39898</v>
      </c>
      <c r="BO1679" s="4"/>
      <c r="BP1679" s="4"/>
      <c r="BQ1679" s="4"/>
      <c r="BR1679" s="4"/>
      <c r="BS1679" s="4"/>
      <c r="BT1679" s="5">
        <v>39918</v>
      </c>
      <c r="BU1679" s="5">
        <v>39917</v>
      </c>
      <c r="BV1679" s="5">
        <v>39933</v>
      </c>
      <c r="BW1679" s="5">
        <v>39931</v>
      </c>
      <c r="BX1679" s="4"/>
      <c r="BY1679" s="5">
        <v>39980</v>
      </c>
      <c r="BZ1679" s="5">
        <v>39976</v>
      </c>
      <c r="CA1679" s="4"/>
      <c r="CB1679" s="4"/>
      <c r="CC1679" s="4"/>
      <c r="CD1679" s="4"/>
      <c r="CE1679" s="4"/>
      <c r="CF1679" s="4"/>
      <c r="CG1679" s="4"/>
      <c r="CH1679" s="4"/>
      <c r="CI1679" s="5">
        <v>39986</v>
      </c>
      <c r="CJ1679" s="5">
        <v>39987</v>
      </c>
      <c r="CK1679" s="5">
        <v>39986</v>
      </c>
      <c r="CL1679" s="4"/>
      <c r="CM1679" s="4"/>
      <c r="CN1679" s="4"/>
      <c r="CO1679" s="4"/>
      <c r="CP1679" s="4" t="s">
        <v>5060</v>
      </c>
      <c r="CQ1679" s="4"/>
      <c r="CR1679" s="5">
        <v>39987</v>
      </c>
      <c r="CS1679" s="4"/>
      <c r="CT1679" s="4"/>
      <c r="CU1679" s="4"/>
      <c r="CV1679" s="4"/>
      <c r="CW1679" s="4"/>
      <c r="CX1679" s="4"/>
      <c r="CY1679" s="4"/>
      <c r="CZ1679" s="4"/>
      <c r="DA1679" s="4"/>
      <c r="DB1679" s="4"/>
      <c r="DC1679" s="4"/>
      <c r="DD1679" s="4"/>
      <c r="DE1679" s="4"/>
      <c r="DF1679" s="4"/>
      <c r="DG1679" s="4"/>
      <c r="DH1679" s="4"/>
      <c r="DI1679" s="4"/>
      <c r="DJ1679" s="4" t="b">
        <v>0</v>
      </c>
      <c r="DK1679" s="4"/>
      <c r="DL1679" s="4">
        <v>2658681</v>
      </c>
      <c r="DM1679" s="4">
        <v>5990143</v>
      </c>
      <c r="DN1679" s="4" t="s">
        <v>5061</v>
      </c>
      <c r="DO1679" s="4"/>
      <c r="DP1679" s="4"/>
      <c r="DQ1679" s="4" t="s">
        <v>148</v>
      </c>
      <c r="DR1679" s="4"/>
      <c r="DS1679" s="4"/>
      <c r="DT1679" s="5">
        <v>41883</v>
      </c>
      <c r="DU1679" s="4"/>
      <c r="DV1679" s="4"/>
      <c r="DW1679" s="4"/>
      <c r="DX1679" s="4"/>
      <c r="DY1679" s="5">
        <v>39897</v>
      </c>
      <c r="DZ1679" s="5">
        <v>39867</v>
      </c>
      <c r="EA1679" s="4"/>
      <c r="EB1679" s="4"/>
      <c r="EC1679" s="4"/>
      <c r="ED1679" s="4"/>
      <c r="EE1679" s="4"/>
      <c r="EF1679" s="4"/>
      <c r="EG1679" s="4"/>
      <c r="EH1679" s="4"/>
      <c r="EI1679" s="5">
        <v>39763</v>
      </c>
    </row>
    <row r="1680" spans="1:139" hidden="1" x14ac:dyDescent="0.2">
      <c r="A1680">
        <f>VLOOKUP(B1680,Sheet1!$A$1:$B$18,2,FALSE)</f>
        <v>0</v>
      </c>
      <c r="B1680" t="str">
        <f>LEFT(D1680,3)</f>
        <v>WLG</v>
      </c>
      <c r="C1680" s="2">
        <v>1679</v>
      </c>
      <c r="D1680" s="3" t="str">
        <f>HYPERLINK("https://sitebase.nzcomms.co.nz/spm/spmnominalview/WLG-047-078/","WLG-047-078")</f>
        <v>WLG-047-078</v>
      </c>
      <c r="E1680" s="4"/>
      <c r="F1680" s="3" t="str">
        <f>HYPERLINK("https://sitebase.nzcomms.co.nz/spm/spmcandidateview/WLG-047-078-A/","WLG-047-078-A")</f>
        <v>WLG-047-078-A</v>
      </c>
      <c r="G1680" s="4" t="s">
        <v>5062</v>
      </c>
      <c r="H1680" s="4" t="s">
        <v>4871</v>
      </c>
      <c r="I1680" s="4"/>
      <c r="J1680" s="4" t="s">
        <v>317</v>
      </c>
      <c r="K1680" s="4" t="s">
        <v>141</v>
      </c>
      <c r="L1680" s="4"/>
      <c r="M1680" s="4" t="s">
        <v>324</v>
      </c>
      <c r="N1680" s="4"/>
      <c r="O1680" s="4"/>
      <c r="P1680" s="4"/>
      <c r="Q1680" s="4"/>
      <c r="R1680" s="4"/>
      <c r="S1680" s="4"/>
      <c r="T1680" s="4"/>
      <c r="U1680" s="4">
        <v>-41.303173819999998</v>
      </c>
      <c r="V1680" s="4">
        <v>174.77873493999999</v>
      </c>
      <c r="W1680" s="4"/>
      <c r="X1680" s="4"/>
      <c r="Y1680" s="4"/>
      <c r="Z1680" s="4"/>
      <c r="AA1680" s="4"/>
      <c r="AB1680" s="4"/>
      <c r="AC1680" s="4"/>
      <c r="AD1680" s="4"/>
      <c r="AE1680" s="4"/>
      <c r="AF1680" s="4"/>
      <c r="AG1680" s="4"/>
      <c r="AH1680" s="4"/>
      <c r="AI1680" s="4"/>
      <c r="AJ1680" s="4"/>
      <c r="AK1680" s="4"/>
      <c r="AL1680" s="4"/>
      <c r="AM1680" s="4"/>
      <c r="AN1680" s="4"/>
      <c r="AO1680" s="4"/>
      <c r="AP1680" s="4"/>
      <c r="AQ1680" s="4"/>
      <c r="AR1680" s="4"/>
      <c r="AS1680" s="4"/>
      <c r="AT1680" s="4"/>
      <c r="AU1680" s="4"/>
      <c r="AV1680" s="4"/>
      <c r="AW1680" s="4"/>
      <c r="AX1680" s="4"/>
      <c r="AY1680" s="4"/>
      <c r="AZ1680" s="4"/>
      <c r="BA1680" s="4"/>
      <c r="BB1680" s="4"/>
      <c r="BC1680" s="4"/>
      <c r="BD1680" s="4"/>
      <c r="BE1680" s="4"/>
      <c r="BF1680" s="4"/>
      <c r="BG1680" s="4"/>
      <c r="BH1680" s="4"/>
      <c r="BI1680" s="4"/>
      <c r="BJ1680" s="4"/>
      <c r="BK1680" s="4"/>
      <c r="BL1680" s="4"/>
      <c r="BM1680" s="4"/>
      <c r="BN1680" s="4"/>
      <c r="BO1680" s="4"/>
      <c r="BP1680" s="4"/>
      <c r="BQ1680" s="4"/>
      <c r="BR1680" s="4"/>
      <c r="BS1680" s="4"/>
      <c r="BT1680" s="4"/>
      <c r="BU1680" s="4"/>
      <c r="BV1680" s="4"/>
      <c r="BW1680" s="4"/>
      <c r="BX1680" s="4"/>
      <c r="BY1680" s="4"/>
      <c r="BZ1680" s="4"/>
      <c r="CA1680" s="4"/>
      <c r="CB1680" s="4"/>
      <c r="CC1680" s="4"/>
      <c r="CD1680" s="4"/>
      <c r="CE1680" s="4"/>
      <c r="CF1680" s="4"/>
      <c r="CG1680" s="4"/>
      <c r="CH1680" s="4"/>
      <c r="CI1680" s="4"/>
      <c r="CJ1680" s="4"/>
      <c r="CK1680" s="5">
        <v>39814</v>
      </c>
      <c r="CL1680" s="4"/>
      <c r="CM1680" s="4"/>
      <c r="CN1680" s="4"/>
      <c r="CO1680" s="4"/>
      <c r="CP1680" s="4"/>
      <c r="CQ1680" s="4"/>
      <c r="CR1680" s="4"/>
      <c r="CS1680" s="4"/>
      <c r="CT1680" s="4"/>
      <c r="CU1680" s="4"/>
      <c r="CV1680" s="4"/>
      <c r="CW1680" s="4"/>
      <c r="CX1680" s="4"/>
      <c r="CY1680" s="4"/>
      <c r="CZ1680" s="4"/>
      <c r="DA1680" s="4"/>
      <c r="DB1680" s="4"/>
      <c r="DC1680" s="4"/>
      <c r="DD1680" s="4"/>
      <c r="DE1680" s="4"/>
      <c r="DF1680" s="4"/>
      <c r="DG1680" s="4"/>
      <c r="DH1680" s="4"/>
      <c r="DI1680" s="4"/>
      <c r="DJ1680" s="4"/>
      <c r="DK1680" s="4"/>
      <c r="DL1680" s="4">
        <v>2658932</v>
      </c>
      <c r="DM1680" s="4">
        <v>5987773</v>
      </c>
      <c r="DN1680" s="4" t="s">
        <v>5063</v>
      </c>
      <c r="DO1680" s="4"/>
      <c r="DP1680" s="4"/>
      <c r="DQ1680" s="4" t="s">
        <v>328</v>
      </c>
      <c r="DR1680" s="4"/>
      <c r="DS1680" s="4"/>
      <c r="DT1680" s="4"/>
      <c r="DU1680" s="4"/>
      <c r="DV1680" s="4"/>
      <c r="DW1680" s="4"/>
      <c r="DX1680" s="4"/>
      <c r="DY1680" s="4"/>
      <c r="DZ1680" s="4"/>
      <c r="EA1680" s="4"/>
      <c r="EB1680" s="4"/>
      <c r="EC1680" s="4"/>
      <c r="ED1680" s="4"/>
      <c r="EE1680" s="4"/>
      <c r="EF1680" s="4"/>
      <c r="EG1680" s="4"/>
      <c r="EH1680" s="4"/>
      <c r="EI1680" s="4"/>
    </row>
    <row r="1681" spans="1:139" hidden="1" x14ac:dyDescent="0.2">
      <c r="A1681">
        <f>VLOOKUP(B1681,Sheet1!$A$1:$B$18,2,FALSE)</f>
        <v>0</v>
      </c>
      <c r="B1681" t="str">
        <f>LEFT(D1681,3)</f>
        <v>WLG</v>
      </c>
      <c r="C1681" s="2">
        <v>1680</v>
      </c>
      <c r="D1681" s="3" t="str">
        <f>HYPERLINK("https://sitebase.nzcomms.co.nz/spm/spmnominalview/WLG-047-079/","WLG-047-079")</f>
        <v>WLG-047-079</v>
      </c>
      <c r="E1681" s="4" t="s">
        <v>5064</v>
      </c>
      <c r="F1681" s="3" t="str">
        <f>HYPERLINK("https://sitebase.nzcomms.co.nz/spm/spmcandidateview/WLG-047-079-A/","WLG-047-079-A")</f>
        <v>WLG-047-079-A</v>
      </c>
      <c r="G1681" s="4" t="s">
        <v>5064</v>
      </c>
      <c r="H1681" s="4" t="s">
        <v>4871</v>
      </c>
      <c r="I1681" s="4"/>
      <c r="J1681" s="4" t="s">
        <v>317</v>
      </c>
      <c r="K1681" s="4" t="s">
        <v>141</v>
      </c>
      <c r="L1681" s="4"/>
      <c r="M1681" s="4" t="s">
        <v>324</v>
      </c>
      <c r="N1681" s="4"/>
      <c r="O1681" s="4"/>
      <c r="P1681" s="4"/>
      <c r="Q1681" s="4"/>
      <c r="R1681" s="4"/>
      <c r="S1681" s="4"/>
      <c r="T1681" s="4"/>
      <c r="U1681" s="4">
        <v>-41.287237660000002</v>
      </c>
      <c r="V1681" s="4">
        <v>174.77720644999999</v>
      </c>
      <c r="W1681" s="4"/>
      <c r="X1681" s="4"/>
      <c r="Y1681" s="4"/>
      <c r="Z1681" s="4"/>
      <c r="AA1681" s="4"/>
      <c r="AB1681" s="4"/>
      <c r="AC1681" s="4" t="b">
        <v>0</v>
      </c>
      <c r="AD1681" s="4" t="b">
        <v>0</v>
      </c>
      <c r="AE1681" s="4"/>
      <c r="AF1681" s="4"/>
      <c r="AG1681" s="4" t="b">
        <v>0</v>
      </c>
      <c r="AH1681" s="4"/>
      <c r="AI1681" s="4"/>
      <c r="AJ1681" s="4"/>
      <c r="AK1681" s="4"/>
      <c r="AL1681" s="4"/>
      <c r="AM1681" s="4"/>
      <c r="AN1681" s="4"/>
      <c r="AO1681" s="4"/>
      <c r="AP1681" s="4"/>
      <c r="AQ1681" s="4"/>
      <c r="AR1681" s="4"/>
      <c r="AS1681" s="4"/>
      <c r="AT1681" s="4"/>
      <c r="AU1681" s="4"/>
      <c r="AV1681" s="4"/>
      <c r="AW1681" s="4"/>
      <c r="AX1681" s="4"/>
      <c r="AY1681" s="4" t="s">
        <v>172</v>
      </c>
      <c r="AZ1681" s="4"/>
      <c r="BA1681" s="4"/>
      <c r="BB1681" s="4"/>
      <c r="BC1681" s="4"/>
      <c r="BD1681" s="4"/>
      <c r="BE1681" s="4"/>
      <c r="BF1681" s="4"/>
      <c r="BG1681" s="4"/>
      <c r="BH1681" s="4"/>
      <c r="BI1681" s="4"/>
      <c r="BJ1681" s="4"/>
      <c r="BK1681" s="4"/>
      <c r="BL1681" s="4"/>
      <c r="BM1681" s="4"/>
      <c r="BN1681" s="4"/>
      <c r="BO1681" s="4"/>
      <c r="BP1681" s="4"/>
      <c r="BQ1681" s="4"/>
      <c r="BR1681" s="4"/>
      <c r="BS1681" s="4"/>
      <c r="BT1681" s="4"/>
      <c r="BU1681" s="4"/>
      <c r="BV1681" s="4"/>
      <c r="BW1681" s="4"/>
      <c r="BX1681" s="4"/>
      <c r="BY1681" s="4"/>
      <c r="BZ1681" s="4"/>
      <c r="CA1681" s="4"/>
      <c r="CB1681" s="4"/>
      <c r="CC1681" s="4"/>
      <c r="CD1681" s="4"/>
      <c r="CE1681" s="4"/>
      <c r="CF1681" s="4"/>
      <c r="CG1681" s="4"/>
      <c r="CH1681" s="4"/>
      <c r="CI1681" s="4"/>
      <c r="CJ1681" s="4"/>
      <c r="CK1681" s="4"/>
      <c r="CL1681" s="4"/>
      <c r="CM1681" s="4"/>
      <c r="CN1681" s="4"/>
      <c r="CO1681" s="4"/>
      <c r="CP1681" s="4"/>
      <c r="CQ1681" s="4"/>
      <c r="CR1681" s="4"/>
      <c r="CS1681" s="4"/>
      <c r="CT1681" s="4"/>
      <c r="CU1681" s="4"/>
      <c r="CV1681" s="4"/>
      <c r="CW1681" s="4"/>
      <c r="CX1681" s="4"/>
      <c r="CY1681" s="4"/>
      <c r="CZ1681" s="4"/>
      <c r="DA1681" s="4"/>
      <c r="DB1681" s="4"/>
      <c r="DC1681" s="4"/>
      <c r="DD1681" s="4"/>
      <c r="DE1681" s="4"/>
      <c r="DF1681" s="4"/>
      <c r="DG1681" s="4"/>
      <c r="DH1681" s="4"/>
      <c r="DI1681" s="4"/>
      <c r="DJ1681" s="4"/>
      <c r="DK1681" s="4"/>
      <c r="DL1681" s="4">
        <v>2658840</v>
      </c>
      <c r="DM1681" s="4">
        <v>5989545</v>
      </c>
      <c r="DN1681" s="4" t="s">
        <v>5065</v>
      </c>
      <c r="DO1681" s="4"/>
      <c r="DP1681" s="4"/>
      <c r="DQ1681" s="4"/>
      <c r="DR1681" s="4"/>
      <c r="DS1681" s="4"/>
      <c r="DT1681" s="4"/>
      <c r="DU1681" s="4"/>
      <c r="DV1681" s="4"/>
      <c r="DW1681" s="4"/>
      <c r="DX1681" s="4"/>
      <c r="DY1681" s="4"/>
      <c r="DZ1681" s="4"/>
      <c r="EA1681" s="4"/>
      <c r="EB1681" s="4"/>
      <c r="EC1681" s="4"/>
      <c r="ED1681" s="4"/>
      <c r="EE1681" s="4"/>
      <c r="EF1681" s="4"/>
      <c r="EG1681" s="4"/>
      <c r="EH1681" s="4"/>
      <c r="EI1681" s="4"/>
    </row>
    <row r="1682" spans="1:139" hidden="1" x14ac:dyDescent="0.2">
      <c r="A1682">
        <f>VLOOKUP(B1682,Sheet1!$A$1:$B$18,2,FALSE)</f>
        <v>0</v>
      </c>
      <c r="B1682" t="str">
        <f>LEFT(D1682,3)</f>
        <v>WLG</v>
      </c>
      <c r="C1682" s="2">
        <v>1681</v>
      </c>
      <c r="D1682" s="3" t="str">
        <f>HYPERLINK("https://sitebase.nzcomms.co.nz/spm/spmnominalview/WLG-047-080/","WLG-047-080")</f>
        <v>WLG-047-080</v>
      </c>
      <c r="E1682" s="4" t="s">
        <v>5066</v>
      </c>
      <c r="F1682" s="3" t="str">
        <f>HYPERLINK("https://sitebase.nzcomms.co.nz/spm/spmcandidateview/WLG-047-080-G/","WLG-047-080-G")</f>
        <v>WLG-047-080-G</v>
      </c>
      <c r="G1682" s="4" t="s">
        <v>5067</v>
      </c>
      <c r="H1682" s="4" t="s">
        <v>4871</v>
      </c>
      <c r="I1682" s="4">
        <v>7</v>
      </c>
      <c r="J1682" s="4" t="s">
        <v>194</v>
      </c>
      <c r="K1682" s="4" t="s">
        <v>141</v>
      </c>
      <c r="L1682" s="4" t="s">
        <v>189</v>
      </c>
      <c r="M1682" s="4" t="s">
        <v>571</v>
      </c>
      <c r="N1682" s="4" t="s">
        <v>274</v>
      </c>
      <c r="O1682" s="4"/>
      <c r="P1682" s="4" t="s">
        <v>182</v>
      </c>
      <c r="Q1682" s="4" t="s">
        <v>170</v>
      </c>
      <c r="R1682" s="4">
        <v>14.5</v>
      </c>
      <c r="S1682" s="4">
        <v>15</v>
      </c>
      <c r="T1682" s="4">
        <v>2</v>
      </c>
      <c r="U1682" s="4">
        <v>-41.289215939999998</v>
      </c>
      <c r="V1682" s="4">
        <v>174.76740853999999</v>
      </c>
      <c r="W1682" s="4"/>
      <c r="X1682" s="4"/>
      <c r="Y1682" s="4"/>
      <c r="Z1682" s="4"/>
      <c r="AA1682" s="4" t="s">
        <v>171</v>
      </c>
      <c r="AB1682" s="3" t="str">
        <f>HYPERLINK("https://sitebase.nzcomms.co.nz/spm/spmcandidateview/WLG-047-040-A/","WLG-047-040-A")</f>
        <v>WLG-047-040-A</v>
      </c>
      <c r="AC1682" s="4" t="b">
        <v>0</v>
      </c>
      <c r="AD1682" s="4" t="b">
        <v>0</v>
      </c>
      <c r="AE1682" s="4"/>
      <c r="AF1682" s="4"/>
      <c r="AG1682" s="4" t="b">
        <v>0</v>
      </c>
      <c r="AH1682" s="4"/>
      <c r="AI1682" s="5">
        <v>40769</v>
      </c>
      <c r="AJ1682" s="5">
        <v>40769</v>
      </c>
      <c r="AK1682" s="5">
        <v>40776</v>
      </c>
      <c r="AL1682" s="5">
        <v>40776</v>
      </c>
      <c r="AM1682" s="5">
        <v>40793</v>
      </c>
      <c r="AN1682" s="5">
        <v>40798</v>
      </c>
      <c r="AO1682" s="4">
        <v>1</v>
      </c>
      <c r="AP1682" s="5">
        <v>40793</v>
      </c>
      <c r="AQ1682" s="5">
        <v>40798</v>
      </c>
      <c r="AR1682" s="5">
        <v>40829</v>
      </c>
      <c r="AS1682" s="5">
        <v>40829</v>
      </c>
      <c r="AT1682" s="5">
        <v>40872</v>
      </c>
      <c r="AU1682" s="5">
        <v>40863</v>
      </c>
      <c r="AV1682" s="4"/>
      <c r="AW1682" s="5">
        <v>40863</v>
      </c>
      <c r="AX1682" s="5">
        <v>40863</v>
      </c>
      <c r="AY1682" s="4" t="s">
        <v>172</v>
      </c>
      <c r="AZ1682" s="5">
        <v>40800</v>
      </c>
      <c r="BA1682" s="5">
        <v>40802</v>
      </c>
      <c r="BB1682" s="5">
        <v>40843</v>
      </c>
      <c r="BC1682" s="5">
        <v>40833</v>
      </c>
      <c r="BD1682" s="4">
        <v>1</v>
      </c>
      <c r="BE1682" s="5">
        <v>40843</v>
      </c>
      <c r="BF1682" s="5">
        <v>40833</v>
      </c>
      <c r="BG1682" s="4"/>
      <c r="BH1682" s="4"/>
      <c r="BI1682" s="5">
        <v>40968</v>
      </c>
      <c r="BJ1682" s="5">
        <v>40967</v>
      </c>
      <c r="BK1682" s="4">
        <v>1</v>
      </c>
      <c r="BL1682" s="4"/>
      <c r="BM1682" s="5">
        <v>40968</v>
      </c>
      <c r="BN1682" s="5">
        <v>40967</v>
      </c>
      <c r="BO1682" s="5">
        <v>40995</v>
      </c>
      <c r="BP1682" s="4"/>
      <c r="BQ1682" s="4"/>
      <c r="BR1682" s="4"/>
      <c r="BS1682" s="4"/>
      <c r="BT1682" s="5">
        <v>40966</v>
      </c>
      <c r="BU1682" s="5">
        <v>40966</v>
      </c>
      <c r="BV1682" s="5">
        <v>41005</v>
      </c>
      <c r="BW1682" s="5">
        <v>41009</v>
      </c>
      <c r="BX1682" s="5">
        <v>40995</v>
      </c>
      <c r="BY1682" s="5">
        <v>40997</v>
      </c>
      <c r="BZ1682" s="5">
        <v>40998</v>
      </c>
      <c r="CA1682" s="4"/>
      <c r="CB1682" s="4"/>
      <c r="CC1682" s="4"/>
      <c r="CD1682" s="4"/>
      <c r="CE1682" s="4"/>
      <c r="CF1682" s="4"/>
      <c r="CG1682" s="4"/>
      <c r="CH1682" s="4"/>
      <c r="CI1682" s="5">
        <v>40998</v>
      </c>
      <c r="CJ1682" s="5">
        <v>41011</v>
      </c>
      <c r="CK1682" s="5">
        <v>41009</v>
      </c>
      <c r="CL1682" s="5">
        <v>41052</v>
      </c>
      <c r="CM1682" s="5">
        <v>41030</v>
      </c>
      <c r="CN1682" s="5">
        <v>41120</v>
      </c>
      <c r="CO1682" s="5">
        <v>41151</v>
      </c>
      <c r="CP1682" s="4" t="s">
        <v>712</v>
      </c>
      <c r="CQ1682" s="4"/>
      <c r="CR1682" s="5">
        <v>40997</v>
      </c>
      <c r="CS1682" s="5">
        <v>40995</v>
      </c>
      <c r="CT1682" s="5">
        <v>40995</v>
      </c>
      <c r="CU1682" s="4"/>
      <c r="CV1682" s="5">
        <v>40995</v>
      </c>
      <c r="CW1682" s="4"/>
      <c r="CX1682" s="5">
        <v>40995</v>
      </c>
      <c r="CY1682" s="5">
        <v>40995</v>
      </c>
      <c r="CZ1682" s="5">
        <v>40995</v>
      </c>
      <c r="DA1682" s="5">
        <v>41004</v>
      </c>
      <c r="DB1682" s="5">
        <v>41016</v>
      </c>
      <c r="DC1682" s="4"/>
      <c r="DD1682" s="4"/>
      <c r="DE1682" s="4"/>
      <c r="DF1682" s="4"/>
      <c r="DG1682" s="4"/>
      <c r="DH1682" s="4"/>
      <c r="DI1682" s="5">
        <v>40994</v>
      </c>
      <c r="DJ1682" s="4" t="b">
        <v>0</v>
      </c>
      <c r="DK1682" s="4"/>
      <c r="DL1682" s="4">
        <v>2658015</v>
      </c>
      <c r="DM1682" s="4">
        <v>5989342</v>
      </c>
      <c r="DN1682" s="4" t="s">
        <v>5068</v>
      </c>
      <c r="DO1682" s="4"/>
      <c r="DP1682" s="4" t="s">
        <v>5069</v>
      </c>
      <c r="DQ1682" s="4" t="s">
        <v>148</v>
      </c>
      <c r="DR1682" s="4"/>
      <c r="DS1682" s="4"/>
      <c r="DT1682" s="5">
        <v>41883</v>
      </c>
      <c r="DU1682" s="4"/>
      <c r="DV1682" s="4"/>
      <c r="DW1682" s="4"/>
      <c r="DX1682" s="4"/>
      <c r="DY1682" s="4"/>
      <c r="DZ1682" s="4"/>
      <c r="EA1682" s="4"/>
      <c r="EB1682" s="4"/>
      <c r="EC1682" s="4"/>
      <c r="ED1682" s="4"/>
      <c r="EE1682" s="4"/>
      <c r="EF1682" s="4"/>
      <c r="EG1682" s="4"/>
      <c r="EH1682" s="5">
        <v>41016</v>
      </c>
      <c r="EI1682" s="4"/>
    </row>
    <row r="1683" spans="1:139" hidden="1" x14ac:dyDescent="0.2">
      <c r="A1683">
        <f>VLOOKUP(B1683,Sheet1!$A$1:$B$18,2,FALSE)</f>
        <v>0</v>
      </c>
      <c r="B1683" t="str">
        <f>LEFT(D1683,3)</f>
        <v>WLG</v>
      </c>
      <c r="C1683" s="2">
        <v>1682</v>
      </c>
      <c r="D1683" s="3" t="str">
        <f>HYPERLINK("https://sitebase.nzcomms.co.nz/spm/spmnominalview/WLG-047-082/","WLG-047-082")</f>
        <v>WLG-047-082</v>
      </c>
      <c r="E1683" s="4" t="s">
        <v>5070</v>
      </c>
      <c r="F1683" s="3" t="str">
        <f>HYPERLINK("https://sitebase.nzcomms.co.nz/spm/spmcandidateview/WLG-047-082-B/","WLG-047-082-B")</f>
        <v>WLG-047-082-B</v>
      </c>
      <c r="G1683" s="4" t="s">
        <v>5071</v>
      </c>
      <c r="H1683" s="4" t="s">
        <v>4871</v>
      </c>
      <c r="I1683" s="4">
        <v>7</v>
      </c>
      <c r="J1683" s="4" t="s">
        <v>180</v>
      </c>
      <c r="K1683" s="4" t="s">
        <v>141</v>
      </c>
      <c r="L1683" s="4" t="s">
        <v>150</v>
      </c>
      <c r="M1683" s="4" t="s">
        <v>190</v>
      </c>
      <c r="N1683" s="4" t="s">
        <v>346</v>
      </c>
      <c r="O1683" s="4"/>
      <c r="P1683" s="4" t="s">
        <v>169</v>
      </c>
      <c r="Q1683" s="4" t="s">
        <v>170</v>
      </c>
      <c r="R1683" s="4">
        <v>9.6999999999999993</v>
      </c>
      <c r="S1683" s="4">
        <v>12.4</v>
      </c>
      <c r="T1683" s="4">
        <v>1</v>
      </c>
      <c r="U1683" s="4">
        <v>-41.342295610000001</v>
      </c>
      <c r="V1683" s="4">
        <v>174.70764697999999</v>
      </c>
      <c r="W1683" s="4"/>
      <c r="X1683" s="5">
        <v>40934</v>
      </c>
      <c r="Y1683" s="4"/>
      <c r="Z1683" s="4"/>
      <c r="AA1683" s="4"/>
      <c r="AB1683" s="4"/>
      <c r="AC1683" s="4" t="b">
        <v>0</v>
      </c>
      <c r="AD1683" s="4" t="b">
        <v>0</v>
      </c>
      <c r="AE1683" s="4"/>
      <c r="AF1683" s="4"/>
      <c r="AG1683" s="4" t="b">
        <v>0</v>
      </c>
      <c r="AH1683" s="4"/>
      <c r="AI1683" s="5">
        <v>40976</v>
      </c>
      <c r="AJ1683" s="5">
        <v>40976</v>
      </c>
      <c r="AK1683" s="5">
        <v>40998</v>
      </c>
      <c r="AL1683" s="5">
        <v>40998</v>
      </c>
      <c r="AM1683" s="5">
        <v>41038</v>
      </c>
      <c r="AN1683" s="5">
        <v>41040</v>
      </c>
      <c r="AO1683" s="4">
        <v>1</v>
      </c>
      <c r="AP1683" s="5">
        <v>41038</v>
      </c>
      <c r="AQ1683" s="5">
        <v>41040</v>
      </c>
      <c r="AR1683" s="5">
        <v>41348</v>
      </c>
      <c r="AS1683" s="5">
        <v>41319</v>
      </c>
      <c r="AT1683" s="5">
        <v>41404</v>
      </c>
      <c r="AU1683" s="5">
        <v>41395</v>
      </c>
      <c r="AV1683" s="4">
        <v>1</v>
      </c>
      <c r="AW1683" s="5">
        <v>41404</v>
      </c>
      <c r="AX1683" s="5">
        <v>41395</v>
      </c>
      <c r="AY1683" s="4" t="s">
        <v>183</v>
      </c>
      <c r="AZ1683" s="5">
        <v>41149</v>
      </c>
      <c r="BA1683" s="5">
        <v>41159</v>
      </c>
      <c r="BB1683" s="5">
        <v>41191</v>
      </c>
      <c r="BC1683" s="5">
        <v>41187</v>
      </c>
      <c r="BD1683" s="4">
        <v>1</v>
      </c>
      <c r="BE1683" s="5">
        <v>41191</v>
      </c>
      <c r="BF1683" s="5">
        <v>41187</v>
      </c>
      <c r="BG1683" s="4"/>
      <c r="BH1683" s="4"/>
      <c r="BI1683" s="5">
        <v>41431</v>
      </c>
      <c r="BJ1683" s="4"/>
      <c r="BK1683" s="4"/>
      <c r="BL1683" s="4"/>
      <c r="BM1683" s="5">
        <v>41431</v>
      </c>
      <c r="BN1683" s="4"/>
      <c r="BO1683" s="4"/>
      <c r="BP1683" s="4"/>
      <c r="BQ1683" s="4"/>
      <c r="BR1683" s="4"/>
      <c r="BS1683" s="4"/>
      <c r="BT1683" s="5">
        <v>41435</v>
      </c>
      <c r="BU1683" s="4"/>
      <c r="BV1683" s="5">
        <v>41450</v>
      </c>
      <c r="BW1683" s="4"/>
      <c r="BX1683" s="4"/>
      <c r="BY1683" s="5">
        <v>41460</v>
      </c>
      <c r="BZ1683" s="4"/>
      <c r="CA1683" s="4"/>
      <c r="CB1683" s="4"/>
      <c r="CC1683" s="4"/>
      <c r="CD1683" s="4"/>
      <c r="CE1683" s="4"/>
      <c r="CF1683" s="4"/>
      <c r="CG1683" s="4"/>
      <c r="CH1683" s="4"/>
      <c r="CI1683" s="4"/>
      <c r="CJ1683" s="5">
        <v>41484</v>
      </c>
      <c r="CK1683" s="4"/>
      <c r="CL1683" s="5">
        <v>41501</v>
      </c>
      <c r="CM1683" s="4"/>
      <c r="CN1683" s="5">
        <v>41608</v>
      </c>
      <c r="CO1683" s="4"/>
      <c r="CP1683" s="4" t="s">
        <v>5072</v>
      </c>
      <c r="CQ1683" s="4"/>
      <c r="CR1683" s="4"/>
      <c r="CS1683" s="4"/>
      <c r="CT1683" s="4"/>
      <c r="CU1683" s="4"/>
      <c r="CV1683" s="4"/>
      <c r="CW1683" s="4"/>
      <c r="CX1683" s="4"/>
      <c r="CY1683" s="4"/>
      <c r="CZ1683" s="4"/>
      <c r="DA1683" s="5">
        <v>41470</v>
      </c>
      <c r="DB1683" s="4"/>
      <c r="DC1683" s="4"/>
      <c r="DD1683" s="4"/>
      <c r="DE1683" s="4" t="s">
        <v>5073</v>
      </c>
      <c r="DF1683" s="4"/>
      <c r="DG1683" s="4"/>
      <c r="DH1683" s="4" t="s">
        <v>240</v>
      </c>
      <c r="DI1683" s="4"/>
      <c r="DJ1683" s="4" t="b">
        <v>0</v>
      </c>
      <c r="DK1683" s="4"/>
      <c r="DL1683" s="4">
        <v>2652895</v>
      </c>
      <c r="DM1683" s="4">
        <v>5983548</v>
      </c>
      <c r="DN1683" s="4" t="s">
        <v>5074</v>
      </c>
      <c r="DO1683" s="4"/>
      <c r="DP1683" s="4"/>
      <c r="DQ1683" s="4" t="s">
        <v>148</v>
      </c>
      <c r="DR1683" s="4" t="s">
        <v>244</v>
      </c>
      <c r="DS1683" s="4"/>
      <c r="DT1683" s="4"/>
      <c r="DU1683" s="4"/>
      <c r="DV1683" s="4"/>
      <c r="DW1683" s="4"/>
      <c r="DX1683" s="4"/>
      <c r="DY1683" s="4"/>
      <c r="DZ1683" s="4"/>
      <c r="EA1683" s="4"/>
      <c r="EB1683" s="4"/>
      <c r="EC1683" s="4"/>
      <c r="ED1683" s="4"/>
      <c r="EE1683" s="4"/>
      <c r="EF1683" s="4"/>
      <c r="EG1683" s="4"/>
      <c r="EH1683" s="4"/>
      <c r="EI1683" s="5">
        <v>40998</v>
      </c>
    </row>
    <row r="1684" spans="1:139" hidden="1" x14ac:dyDescent="0.2">
      <c r="A1684">
        <f>VLOOKUP(B1684,Sheet1!$A$1:$B$18,2,FALSE)</f>
        <v>0</v>
      </c>
      <c r="B1684" t="str">
        <f>LEFT(D1684,3)</f>
        <v>WLG</v>
      </c>
      <c r="C1684" s="2">
        <v>1683</v>
      </c>
      <c r="D1684" s="3" t="str">
        <f>HYPERLINK("https://sitebase.nzcomms.co.nz/spm/spmnominalview/WLG-047-086/","WLG-047-086")</f>
        <v>WLG-047-086</v>
      </c>
      <c r="E1684" s="4" t="s">
        <v>5075</v>
      </c>
      <c r="F1684" s="3" t="str">
        <f>HYPERLINK("https://sitebase.nzcomms.co.nz/spm/spmcandidateview/WLG-047-086-A/","WLG-047-086-A")</f>
        <v>WLG-047-086-A</v>
      </c>
      <c r="G1684" s="4" t="s">
        <v>5076</v>
      </c>
      <c r="H1684" s="4" t="s">
        <v>4871</v>
      </c>
      <c r="I1684" s="4">
        <v>7</v>
      </c>
      <c r="J1684" s="4" t="s">
        <v>194</v>
      </c>
      <c r="K1684" s="4" t="s">
        <v>141</v>
      </c>
      <c r="L1684" s="4" t="s">
        <v>181</v>
      </c>
      <c r="M1684" s="4" t="s">
        <v>463</v>
      </c>
      <c r="N1684" s="4" t="s">
        <v>181</v>
      </c>
      <c r="O1684" s="4"/>
      <c r="P1684" s="4" t="s">
        <v>169</v>
      </c>
      <c r="Q1684" s="4" t="s">
        <v>170</v>
      </c>
      <c r="R1684" s="4"/>
      <c r="S1684" s="4"/>
      <c r="T1684" s="4">
        <v>1</v>
      </c>
      <c r="U1684" s="4">
        <v>-41.274056080000001</v>
      </c>
      <c r="V1684" s="4">
        <v>174.78572130000001</v>
      </c>
      <c r="W1684" s="4"/>
      <c r="X1684" s="4"/>
      <c r="Y1684" s="4"/>
      <c r="Z1684" s="4"/>
      <c r="AA1684" s="4"/>
      <c r="AB1684" s="4"/>
      <c r="AC1684" s="4" t="b">
        <v>0</v>
      </c>
      <c r="AD1684" s="4" t="b">
        <v>0</v>
      </c>
      <c r="AE1684" s="4"/>
      <c r="AF1684" s="4"/>
      <c r="AG1684" s="4" t="b">
        <v>0</v>
      </c>
      <c r="AH1684" s="4"/>
      <c r="AI1684" s="5">
        <v>40627</v>
      </c>
      <c r="AJ1684" s="5">
        <v>40626</v>
      </c>
      <c r="AK1684" s="5">
        <v>40653</v>
      </c>
      <c r="AL1684" s="5">
        <v>40660</v>
      </c>
      <c r="AM1684" s="4"/>
      <c r="AN1684" s="5">
        <v>40680</v>
      </c>
      <c r="AO1684" s="4">
        <v>1</v>
      </c>
      <c r="AP1684" s="4"/>
      <c r="AQ1684" s="5">
        <v>40680</v>
      </c>
      <c r="AR1684" s="4"/>
      <c r="AS1684" s="5">
        <v>40697</v>
      </c>
      <c r="AT1684" s="5">
        <v>40722</v>
      </c>
      <c r="AU1684" s="5">
        <v>40717</v>
      </c>
      <c r="AV1684" s="4"/>
      <c r="AW1684" s="4"/>
      <c r="AX1684" s="5">
        <v>40725</v>
      </c>
      <c r="AY1684" s="4" t="s">
        <v>172</v>
      </c>
      <c r="AZ1684" s="5">
        <v>40687</v>
      </c>
      <c r="BA1684" s="5">
        <v>40667</v>
      </c>
      <c r="BB1684" s="5">
        <v>40730</v>
      </c>
      <c r="BC1684" s="5">
        <v>41033</v>
      </c>
      <c r="BD1684" s="4">
        <v>1</v>
      </c>
      <c r="BE1684" s="5">
        <v>40777</v>
      </c>
      <c r="BF1684" s="5">
        <v>40777</v>
      </c>
      <c r="BG1684" s="4"/>
      <c r="BH1684" s="4"/>
      <c r="BI1684" s="5">
        <v>40697</v>
      </c>
      <c r="BJ1684" s="4"/>
      <c r="BK1684" s="4"/>
      <c r="BL1684" s="4"/>
      <c r="BM1684" s="5">
        <v>40731</v>
      </c>
      <c r="BN1684" s="4"/>
      <c r="BO1684" s="4"/>
      <c r="BP1684" s="4"/>
      <c r="BQ1684" s="4"/>
      <c r="BR1684" s="4"/>
      <c r="BS1684" s="4"/>
      <c r="BT1684" s="5">
        <v>40715</v>
      </c>
      <c r="BU1684" s="5">
        <v>40725</v>
      </c>
      <c r="BV1684" s="5">
        <v>40745</v>
      </c>
      <c r="BW1684" s="5">
        <v>40756</v>
      </c>
      <c r="BX1684" s="5">
        <v>40738</v>
      </c>
      <c r="BY1684" s="5">
        <v>40744</v>
      </c>
      <c r="BZ1684" s="5">
        <v>40785</v>
      </c>
      <c r="CA1684" s="4"/>
      <c r="CB1684" s="4"/>
      <c r="CC1684" s="4"/>
      <c r="CD1684" s="4"/>
      <c r="CE1684" s="4"/>
      <c r="CF1684" s="4"/>
      <c r="CG1684" s="4"/>
      <c r="CH1684" s="4"/>
      <c r="CI1684" s="4"/>
      <c r="CJ1684" s="5">
        <v>40785</v>
      </c>
      <c r="CK1684" s="5">
        <v>40785</v>
      </c>
      <c r="CL1684" s="5">
        <v>40802</v>
      </c>
      <c r="CM1684" s="5">
        <v>40847</v>
      </c>
      <c r="CN1684" s="5">
        <v>40892</v>
      </c>
      <c r="CO1684" s="5">
        <v>41089</v>
      </c>
      <c r="CP1684" s="4" t="s">
        <v>5077</v>
      </c>
      <c r="CQ1684" s="4"/>
      <c r="CR1684" s="4"/>
      <c r="CS1684" s="4"/>
      <c r="CT1684" s="4"/>
      <c r="CU1684" s="4"/>
      <c r="CV1684" s="4"/>
      <c r="CW1684" s="4"/>
      <c r="CX1684" s="4"/>
      <c r="CY1684" s="4"/>
      <c r="CZ1684" s="4"/>
      <c r="DA1684" s="4"/>
      <c r="DB1684" s="4"/>
      <c r="DC1684" s="4"/>
      <c r="DD1684" s="4"/>
      <c r="DE1684" s="4"/>
      <c r="DF1684" s="4"/>
      <c r="DG1684" s="4"/>
      <c r="DH1684" s="4"/>
      <c r="DI1684" s="4"/>
      <c r="DJ1684" s="4" t="b">
        <v>0</v>
      </c>
      <c r="DK1684" s="4"/>
      <c r="DL1684" s="4">
        <v>2659583</v>
      </c>
      <c r="DM1684" s="4">
        <v>5990994</v>
      </c>
      <c r="DN1684" s="4" t="s">
        <v>4975</v>
      </c>
      <c r="DO1684" s="4"/>
      <c r="DP1684" s="4"/>
      <c r="DQ1684" s="4" t="s">
        <v>148</v>
      </c>
      <c r="DR1684" s="4"/>
      <c r="DS1684" s="4"/>
      <c r="DT1684" s="5">
        <v>41883</v>
      </c>
      <c r="DU1684" s="4"/>
      <c r="DV1684" s="4"/>
      <c r="DW1684" s="4"/>
      <c r="DX1684" s="4"/>
      <c r="DY1684" s="4"/>
      <c r="DZ1684" s="4"/>
      <c r="EA1684" s="4"/>
      <c r="EB1684" s="4"/>
      <c r="EC1684" s="4"/>
      <c r="ED1684" s="4"/>
      <c r="EE1684" s="4"/>
      <c r="EF1684" s="4"/>
      <c r="EG1684" s="4"/>
      <c r="EH1684" s="4"/>
      <c r="EI1684" s="4"/>
    </row>
    <row r="1685" spans="1:139" hidden="1" x14ac:dyDescent="0.2">
      <c r="A1685">
        <f>VLOOKUP(B1685,Sheet1!$A$1:$B$18,2,FALSE)</f>
        <v>0</v>
      </c>
      <c r="B1685" t="str">
        <f>LEFT(D1685,3)</f>
        <v>WLG</v>
      </c>
      <c r="C1685" s="2">
        <v>1684</v>
      </c>
      <c r="D1685" s="3" t="str">
        <f>HYPERLINK("https://sitebase.nzcomms.co.nz/spm/spmnominalview/WLG-047-087/","WLG-047-087")</f>
        <v>WLG-047-087</v>
      </c>
      <c r="E1685" s="4" t="s">
        <v>5078</v>
      </c>
      <c r="F1685" s="3" t="str">
        <f>HYPERLINK("https://sitebase.nzcomms.co.nz/spm/spmcandidateview/WLG-047-087-A/","WLG-047-087-A")</f>
        <v>WLG-047-087-A</v>
      </c>
      <c r="G1685" s="4" t="s">
        <v>3061</v>
      </c>
      <c r="H1685" s="4" t="s">
        <v>4871</v>
      </c>
      <c r="I1685" s="4">
        <v>7</v>
      </c>
      <c r="J1685" s="4" t="s">
        <v>317</v>
      </c>
      <c r="K1685" s="4" t="s">
        <v>141</v>
      </c>
      <c r="L1685" s="4" t="s">
        <v>142</v>
      </c>
      <c r="M1685" s="4" t="s">
        <v>296</v>
      </c>
      <c r="N1685" s="4" t="s">
        <v>142</v>
      </c>
      <c r="O1685" s="4"/>
      <c r="P1685" s="4" t="s">
        <v>182</v>
      </c>
      <c r="Q1685" s="4" t="s">
        <v>142</v>
      </c>
      <c r="R1685" s="4"/>
      <c r="S1685" s="4"/>
      <c r="T1685" s="4">
        <v>2</v>
      </c>
      <c r="U1685" s="4">
        <v>-41.206777279999997</v>
      </c>
      <c r="V1685" s="4">
        <v>174.78678819999999</v>
      </c>
      <c r="W1685" s="4"/>
      <c r="X1685" s="4"/>
      <c r="Y1685" s="4"/>
      <c r="Z1685" s="4"/>
      <c r="AA1685" s="4"/>
      <c r="AB1685" s="4"/>
      <c r="AC1685" s="4" t="b">
        <v>0</v>
      </c>
      <c r="AD1685" s="4" t="b">
        <v>0</v>
      </c>
      <c r="AE1685" s="4"/>
      <c r="AF1685" s="4"/>
      <c r="AG1685" s="4" t="b">
        <v>0</v>
      </c>
      <c r="AH1685" s="4"/>
      <c r="AI1685" s="5">
        <v>41109</v>
      </c>
      <c r="AJ1685" s="5">
        <v>41151</v>
      </c>
      <c r="AK1685" s="5">
        <v>41158</v>
      </c>
      <c r="AL1685" s="5">
        <v>41157</v>
      </c>
      <c r="AM1685" s="5">
        <v>41201</v>
      </c>
      <c r="AN1685" s="5">
        <v>41190</v>
      </c>
      <c r="AO1685" s="4">
        <v>1</v>
      </c>
      <c r="AP1685" s="5">
        <v>41201</v>
      </c>
      <c r="AQ1685" s="5">
        <v>41190</v>
      </c>
      <c r="AR1685" s="5">
        <v>41229</v>
      </c>
      <c r="AS1685" s="4"/>
      <c r="AT1685" s="5">
        <v>41236</v>
      </c>
      <c r="AU1685" s="4"/>
      <c r="AV1685" s="4"/>
      <c r="AW1685" s="5">
        <v>41236</v>
      </c>
      <c r="AX1685" s="4"/>
      <c r="AY1685" s="4" t="s">
        <v>172</v>
      </c>
      <c r="AZ1685" s="5">
        <v>41208</v>
      </c>
      <c r="BA1685" s="4"/>
      <c r="BB1685" s="5">
        <v>41249</v>
      </c>
      <c r="BC1685" s="4"/>
      <c r="BD1685" s="4"/>
      <c r="BE1685" s="5">
        <v>41249</v>
      </c>
      <c r="BF1685" s="4"/>
      <c r="BG1685" s="4"/>
      <c r="BH1685" s="4"/>
      <c r="BI1685" s="4"/>
      <c r="BJ1685" s="4"/>
      <c r="BK1685" s="4"/>
      <c r="BL1685" s="4"/>
      <c r="BM1685" s="4"/>
      <c r="BN1685" s="4"/>
      <c r="BO1685" s="4"/>
      <c r="BP1685" s="4"/>
      <c r="BQ1685" s="4"/>
      <c r="BR1685" s="4"/>
      <c r="BS1685" s="4"/>
      <c r="BT1685" s="4"/>
      <c r="BU1685" s="4"/>
      <c r="BV1685" s="4"/>
      <c r="BW1685" s="4"/>
      <c r="BX1685" s="4"/>
      <c r="BY1685" s="4"/>
      <c r="BZ1685" s="4"/>
      <c r="CA1685" s="4"/>
      <c r="CB1685" s="4"/>
      <c r="CC1685" s="4"/>
      <c r="CD1685" s="4"/>
      <c r="CE1685" s="4"/>
      <c r="CF1685" s="4"/>
      <c r="CG1685" s="4"/>
      <c r="CH1685" s="4"/>
      <c r="CI1685" s="4"/>
      <c r="CJ1685" s="4"/>
      <c r="CK1685" s="4"/>
      <c r="CL1685" s="4"/>
      <c r="CM1685" s="4"/>
      <c r="CN1685" s="4"/>
      <c r="CO1685" s="4"/>
      <c r="CP1685" s="4" t="s">
        <v>5079</v>
      </c>
      <c r="CQ1685" s="4" t="s">
        <v>205</v>
      </c>
      <c r="CR1685" s="4"/>
      <c r="CS1685" s="4"/>
      <c r="CT1685" s="4"/>
      <c r="CU1685" s="4"/>
      <c r="CV1685" s="4"/>
      <c r="CW1685" s="4"/>
      <c r="CX1685" s="4"/>
      <c r="CY1685" s="4"/>
      <c r="CZ1685" s="4"/>
      <c r="DA1685" s="4"/>
      <c r="DB1685" s="4"/>
      <c r="DC1685" s="4"/>
      <c r="DD1685" s="4"/>
      <c r="DE1685" s="4"/>
      <c r="DF1685" s="4"/>
      <c r="DG1685" s="4"/>
      <c r="DH1685" s="4" t="s">
        <v>240</v>
      </c>
      <c r="DI1685" s="4"/>
      <c r="DJ1685" s="4" t="b">
        <v>0</v>
      </c>
      <c r="DK1685" s="4"/>
      <c r="DL1685" s="4">
        <v>2659825</v>
      </c>
      <c r="DM1685" s="4">
        <v>5998462</v>
      </c>
      <c r="DN1685" s="4" t="s">
        <v>5080</v>
      </c>
      <c r="DO1685" s="4"/>
      <c r="DP1685" s="4"/>
      <c r="DQ1685" s="4"/>
      <c r="DR1685" s="4"/>
      <c r="DS1685" s="4"/>
      <c r="DT1685" s="4"/>
      <c r="DU1685" s="4"/>
      <c r="DV1685" s="4"/>
      <c r="DW1685" s="4"/>
      <c r="DX1685" s="4"/>
      <c r="DY1685" s="4"/>
      <c r="DZ1685" s="4"/>
      <c r="EA1685" s="4"/>
      <c r="EB1685" s="4"/>
      <c r="EC1685" s="4"/>
      <c r="ED1685" s="4"/>
      <c r="EE1685" s="4"/>
      <c r="EF1685" s="4"/>
      <c r="EG1685" s="4"/>
      <c r="EH1685" s="4"/>
      <c r="EI1685" s="5">
        <v>41157</v>
      </c>
    </row>
    <row r="1686" spans="1:139" hidden="1" x14ac:dyDescent="0.2">
      <c r="A1686">
        <f>VLOOKUP(B1686,Sheet1!$A$1:$B$18,2,FALSE)</f>
        <v>0</v>
      </c>
      <c r="B1686" t="str">
        <f>LEFT(D1686,3)</f>
        <v>WLG</v>
      </c>
      <c r="C1686" s="2">
        <v>1685</v>
      </c>
      <c r="D1686" s="3" t="str">
        <f>HYPERLINK("https://sitebase.nzcomms.co.nz/spm/spmnominalview/WLG-047-088/","WLG-047-088")</f>
        <v>WLG-047-088</v>
      </c>
      <c r="E1686" s="4" t="s">
        <v>5081</v>
      </c>
      <c r="F1686" s="4"/>
      <c r="G1686" s="4"/>
      <c r="H1686" s="4" t="s">
        <v>4871</v>
      </c>
      <c r="I1686" s="4"/>
      <c r="J1686" s="4" t="s">
        <v>317</v>
      </c>
      <c r="K1686" s="4"/>
      <c r="L1686" s="4"/>
      <c r="M1686" s="4"/>
      <c r="N1686" s="4"/>
      <c r="O1686" s="4"/>
      <c r="P1686" s="4"/>
      <c r="Q1686" s="4"/>
      <c r="R1686" s="4"/>
      <c r="S1686" s="4"/>
      <c r="T1686" s="4"/>
      <c r="U1686" s="4"/>
      <c r="V1686" s="4"/>
      <c r="W1686" s="4"/>
      <c r="X1686" s="4"/>
      <c r="Y1686" s="4"/>
      <c r="Z1686" s="4"/>
      <c r="AA1686" s="4"/>
      <c r="AB1686" s="4"/>
      <c r="AC1686" s="4"/>
      <c r="AD1686" s="4"/>
      <c r="AE1686" s="4"/>
      <c r="AF1686" s="4"/>
      <c r="AG1686" s="4"/>
      <c r="AH1686" s="4"/>
      <c r="AI1686" s="4"/>
      <c r="AJ1686" s="4"/>
      <c r="AK1686" s="4"/>
      <c r="AL1686" s="4"/>
      <c r="AM1686" s="4"/>
      <c r="AN1686" s="4"/>
      <c r="AO1686" s="4"/>
      <c r="AP1686" s="4"/>
      <c r="AQ1686" s="4"/>
      <c r="AR1686" s="4"/>
      <c r="AS1686" s="4"/>
      <c r="AT1686" s="4"/>
      <c r="AU1686" s="4"/>
      <c r="AV1686" s="4"/>
      <c r="AW1686" s="4"/>
      <c r="AX1686" s="4"/>
      <c r="AY1686" s="4"/>
      <c r="AZ1686" s="4"/>
      <c r="BA1686" s="4"/>
      <c r="BB1686" s="4"/>
      <c r="BC1686" s="4"/>
      <c r="BD1686" s="4"/>
      <c r="BE1686" s="4"/>
      <c r="BF1686" s="4"/>
      <c r="BG1686" s="4"/>
      <c r="BH1686" s="4"/>
      <c r="BI1686" s="4"/>
      <c r="BJ1686" s="4"/>
      <c r="BK1686" s="4"/>
      <c r="BL1686" s="4"/>
      <c r="BM1686" s="4"/>
      <c r="BN1686" s="4"/>
      <c r="BO1686" s="4"/>
      <c r="BP1686" s="4"/>
      <c r="BQ1686" s="4"/>
      <c r="BR1686" s="4"/>
      <c r="BS1686" s="4"/>
      <c r="BT1686" s="4"/>
      <c r="BU1686" s="4"/>
      <c r="BV1686" s="4"/>
      <c r="BW1686" s="4"/>
      <c r="BX1686" s="4"/>
      <c r="BY1686" s="4"/>
      <c r="BZ1686" s="4"/>
      <c r="CA1686" s="4"/>
      <c r="CB1686" s="4"/>
      <c r="CC1686" s="4"/>
      <c r="CD1686" s="4"/>
      <c r="CE1686" s="4"/>
      <c r="CF1686" s="4"/>
      <c r="CG1686" s="4"/>
      <c r="CH1686" s="4"/>
      <c r="CI1686" s="4"/>
      <c r="CJ1686" s="4"/>
      <c r="CK1686" s="4"/>
      <c r="CL1686" s="4"/>
      <c r="CM1686" s="4"/>
      <c r="CN1686" s="4"/>
      <c r="CO1686" s="4"/>
      <c r="CP1686" s="4" t="s">
        <v>5082</v>
      </c>
      <c r="CQ1686" s="4"/>
      <c r="CR1686" s="4"/>
      <c r="CS1686" s="4"/>
      <c r="CT1686" s="4"/>
      <c r="CU1686" s="4"/>
      <c r="CV1686" s="4"/>
      <c r="CW1686" s="4"/>
      <c r="CX1686" s="4"/>
      <c r="CY1686" s="4"/>
      <c r="CZ1686" s="4"/>
      <c r="DA1686" s="4"/>
      <c r="DB1686" s="4"/>
      <c r="DC1686" s="4"/>
      <c r="DD1686" s="4"/>
      <c r="DE1686" s="4"/>
      <c r="DF1686" s="4"/>
      <c r="DG1686" s="4"/>
      <c r="DH1686" s="4"/>
      <c r="DI1686" s="4"/>
      <c r="DJ1686" s="4"/>
      <c r="DK1686" s="4"/>
      <c r="DL1686" s="4"/>
      <c r="DM1686" s="4"/>
      <c r="DN1686" s="4"/>
      <c r="DO1686" s="4"/>
      <c r="DP1686" s="4"/>
      <c r="DQ1686" s="4"/>
      <c r="DR1686" s="4"/>
      <c r="DS1686" s="4"/>
      <c r="DT1686" s="4"/>
      <c r="DU1686" s="4"/>
      <c r="DV1686" s="4"/>
      <c r="DW1686" s="4"/>
      <c r="DX1686" s="4"/>
      <c r="DY1686" s="4"/>
      <c r="DZ1686" s="4"/>
      <c r="EA1686" s="4"/>
      <c r="EB1686" s="4"/>
      <c r="EC1686" s="4"/>
      <c r="ED1686" s="4"/>
      <c r="EE1686" s="4"/>
      <c r="EF1686" s="4"/>
      <c r="EG1686" s="4"/>
      <c r="EH1686" s="4"/>
      <c r="EI1686" s="4"/>
    </row>
    <row r="1687" spans="1:139" hidden="1" x14ac:dyDescent="0.2">
      <c r="A1687">
        <f>VLOOKUP(B1687,Sheet1!$A$1:$B$18,2,FALSE)</f>
        <v>0</v>
      </c>
      <c r="B1687" t="str">
        <f>LEFT(D1687,3)</f>
        <v>WLG</v>
      </c>
      <c r="C1687" s="2">
        <v>1686</v>
      </c>
      <c r="D1687" s="3" t="str">
        <f>HYPERLINK("https://sitebase.nzcomms.co.nz/spm/spmnominalview/WLG-047-089/","WLG-047-089")</f>
        <v>WLG-047-089</v>
      </c>
      <c r="E1687" s="4" t="s">
        <v>5083</v>
      </c>
      <c r="F1687" s="3" t="str">
        <f>HYPERLINK("https://sitebase.nzcomms.co.nz/spm/spmcandidateview/WLG-047-089-A/","WLG-047-089-A")</f>
        <v>WLG-047-089-A</v>
      </c>
      <c r="G1687" s="4" t="s">
        <v>5084</v>
      </c>
      <c r="H1687" s="4" t="s">
        <v>4871</v>
      </c>
      <c r="I1687" s="4"/>
      <c r="J1687" s="4" t="s">
        <v>317</v>
      </c>
      <c r="K1687" s="4" t="s">
        <v>141</v>
      </c>
      <c r="L1687" s="4"/>
      <c r="M1687" s="4"/>
      <c r="N1687" s="4"/>
      <c r="O1687" s="4"/>
      <c r="P1687" s="4"/>
      <c r="Q1687" s="4"/>
      <c r="R1687" s="4"/>
      <c r="S1687" s="4"/>
      <c r="T1687" s="4"/>
      <c r="U1687" s="4"/>
      <c r="V1687" s="4"/>
      <c r="W1687" s="4"/>
      <c r="X1687" s="4"/>
      <c r="Y1687" s="4"/>
      <c r="Z1687" s="4"/>
      <c r="AA1687" s="4" t="s">
        <v>145</v>
      </c>
      <c r="AB1687" s="3" t="str">
        <f>HYPERLINK("https://sitebase.nzcomms.co.nz/spm/spmcandidateview/WLG-047-071-A/","WLG-047-071-A")</f>
        <v>WLG-047-071-A</v>
      </c>
      <c r="AC1687" s="4"/>
      <c r="AD1687" s="4"/>
      <c r="AE1687" s="4"/>
      <c r="AF1687" s="4"/>
      <c r="AG1687" s="4"/>
      <c r="AH1687" s="4"/>
      <c r="AI1687" s="4"/>
      <c r="AJ1687" s="4"/>
      <c r="AK1687" s="4"/>
      <c r="AL1687" s="4"/>
      <c r="AM1687" s="4"/>
      <c r="AN1687" s="4"/>
      <c r="AO1687" s="4"/>
      <c r="AP1687" s="4"/>
      <c r="AQ1687" s="4"/>
      <c r="AR1687" s="4"/>
      <c r="AS1687" s="4"/>
      <c r="AT1687" s="4"/>
      <c r="AU1687" s="4"/>
      <c r="AV1687" s="4"/>
      <c r="AW1687" s="4"/>
      <c r="AX1687" s="4"/>
      <c r="AY1687" s="4"/>
      <c r="AZ1687" s="4"/>
      <c r="BA1687" s="4"/>
      <c r="BB1687" s="4"/>
      <c r="BC1687" s="4"/>
      <c r="BD1687" s="4"/>
      <c r="BE1687" s="4"/>
      <c r="BF1687" s="4"/>
      <c r="BG1687" s="4"/>
      <c r="BH1687" s="4"/>
      <c r="BI1687" s="4"/>
      <c r="BJ1687" s="4"/>
      <c r="BK1687" s="4"/>
      <c r="BL1687" s="4"/>
      <c r="BM1687" s="4"/>
      <c r="BN1687" s="4"/>
      <c r="BO1687" s="4"/>
      <c r="BP1687" s="4"/>
      <c r="BQ1687" s="4"/>
      <c r="BR1687" s="4"/>
      <c r="BS1687" s="4"/>
      <c r="BT1687" s="4"/>
      <c r="BU1687" s="4"/>
      <c r="BV1687" s="4"/>
      <c r="BW1687" s="4"/>
      <c r="BX1687" s="4"/>
      <c r="BY1687" s="4"/>
      <c r="BZ1687" s="4"/>
      <c r="CA1687" s="4"/>
      <c r="CB1687" s="4"/>
      <c r="CC1687" s="4"/>
      <c r="CD1687" s="4"/>
      <c r="CE1687" s="4"/>
      <c r="CF1687" s="4"/>
      <c r="CG1687" s="4"/>
      <c r="CH1687" s="4"/>
      <c r="CI1687" s="4"/>
      <c r="CJ1687" s="4"/>
      <c r="CK1687" s="4"/>
      <c r="CL1687" s="4"/>
      <c r="CM1687" s="4"/>
      <c r="CN1687" s="4"/>
      <c r="CO1687" s="4"/>
      <c r="CP1687" s="4"/>
      <c r="CQ1687" s="4"/>
      <c r="CR1687" s="4"/>
      <c r="CS1687" s="4"/>
      <c r="CT1687" s="4"/>
      <c r="CU1687" s="4"/>
      <c r="CV1687" s="4"/>
      <c r="CW1687" s="4"/>
      <c r="CX1687" s="4"/>
      <c r="CY1687" s="4"/>
      <c r="CZ1687" s="4"/>
      <c r="DA1687" s="4"/>
      <c r="DB1687" s="4"/>
      <c r="DC1687" s="4"/>
      <c r="DD1687" s="4"/>
      <c r="DE1687" s="4"/>
      <c r="DF1687" s="4"/>
      <c r="DG1687" s="4"/>
      <c r="DH1687" s="4"/>
      <c r="DI1687" s="4"/>
      <c r="DJ1687" s="4"/>
      <c r="DK1687" s="4"/>
      <c r="DL1687" s="4"/>
      <c r="DM1687" s="4"/>
      <c r="DN1687" s="4" t="s">
        <v>5085</v>
      </c>
      <c r="DO1687" s="4"/>
      <c r="DP1687" s="4"/>
      <c r="DQ1687" s="4"/>
      <c r="DR1687" s="4"/>
      <c r="DS1687" s="4"/>
      <c r="DT1687" s="4"/>
      <c r="DU1687" s="4"/>
      <c r="DV1687" s="4"/>
      <c r="DW1687" s="4"/>
      <c r="DX1687" s="4"/>
      <c r="DY1687" s="4"/>
      <c r="DZ1687" s="4"/>
      <c r="EA1687" s="4"/>
      <c r="EB1687" s="4"/>
      <c r="EC1687" s="4"/>
      <c r="ED1687" s="4"/>
      <c r="EE1687" s="4"/>
      <c r="EF1687" s="4"/>
      <c r="EG1687" s="4"/>
      <c r="EH1687" s="4"/>
      <c r="EI1687" s="4"/>
    </row>
    <row r="1688" spans="1:139" hidden="1" x14ac:dyDescent="0.2">
      <c r="A1688">
        <f>VLOOKUP(B1688,Sheet1!$A$1:$B$18,2,FALSE)</f>
        <v>0</v>
      </c>
      <c r="B1688" t="str">
        <f>LEFT(D1688,3)</f>
        <v>WLG</v>
      </c>
      <c r="C1688" s="2">
        <v>1687</v>
      </c>
      <c r="D1688" s="3" t="str">
        <f>HYPERLINK("https://sitebase.nzcomms.co.nz/spm/spmnominalview/WLG-047-090/","WLG-047-090")</f>
        <v>WLG-047-090</v>
      </c>
      <c r="E1688" s="4" t="s">
        <v>5086</v>
      </c>
      <c r="F1688" s="3" t="str">
        <f>HYPERLINK("https://sitebase.nzcomms.co.nz/spm/spmcandidateview/WLG-047-090-A/","WLG-047-090-A")</f>
        <v>WLG-047-090-A</v>
      </c>
      <c r="G1688" s="4" t="s">
        <v>5087</v>
      </c>
      <c r="H1688" s="4" t="s">
        <v>4871</v>
      </c>
      <c r="I1688" s="4">
        <v>21</v>
      </c>
      <c r="J1688" s="4" t="s">
        <v>584</v>
      </c>
      <c r="K1688" s="4" t="s">
        <v>141</v>
      </c>
      <c r="L1688" s="4" t="s">
        <v>181</v>
      </c>
      <c r="M1688" s="4" t="s">
        <v>1193</v>
      </c>
      <c r="N1688" s="4" t="s">
        <v>181</v>
      </c>
      <c r="O1688" s="4" t="s">
        <v>168</v>
      </c>
      <c r="P1688" s="4" t="s">
        <v>169</v>
      </c>
      <c r="Q1688" s="4" t="s">
        <v>192</v>
      </c>
      <c r="R1688" s="4"/>
      <c r="S1688" s="4"/>
      <c r="T1688" s="4"/>
      <c r="U1688" s="4">
        <v>-41.277045219999998</v>
      </c>
      <c r="V1688" s="4">
        <v>174.77994032999999</v>
      </c>
      <c r="W1688" s="4"/>
      <c r="X1688" s="5">
        <v>41883</v>
      </c>
      <c r="Y1688" s="4"/>
      <c r="Z1688" s="4"/>
      <c r="AA1688" s="4" t="s">
        <v>145</v>
      </c>
      <c r="AB1688" s="3" t="str">
        <f>HYPERLINK("https://sitebase.nzcomms.co.nz/spm/spmcandidateview/WLG-047-037-A/","WLG-047-037-A")</f>
        <v>WLG-047-037-A</v>
      </c>
      <c r="AC1688" s="4" t="b">
        <v>0</v>
      </c>
      <c r="AD1688" s="4" t="b">
        <v>0</v>
      </c>
      <c r="AE1688" s="4"/>
      <c r="AF1688" s="4"/>
      <c r="AG1688" s="4" t="b">
        <v>0</v>
      </c>
      <c r="AH1688" s="4"/>
      <c r="AI1688" s="5">
        <v>41709</v>
      </c>
      <c r="AJ1688" s="5">
        <v>41709</v>
      </c>
      <c r="AK1688" s="5">
        <v>41710</v>
      </c>
      <c r="AL1688" s="5">
        <v>41710</v>
      </c>
      <c r="AM1688" s="5">
        <v>41740</v>
      </c>
      <c r="AN1688" s="5">
        <v>41764</v>
      </c>
      <c r="AO1688" s="4">
        <v>1</v>
      </c>
      <c r="AP1688" s="4"/>
      <c r="AQ1688" s="5">
        <v>41764</v>
      </c>
      <c r="AR1688" s="5">
        <v>41880</v>
      </c>
      <c r="AS1688" s="5">
        <v>41883</v>
      </c>
      <c r="AT1688" s="5">
        <v>41908</v>
      </c>
      <c r="AU1688" s="5">
        <v>41890</v>
      </c>
      <c r="AV1688" s="4"/>
      <c r="AW1688" s="5">
        <v>41927</v>
      </c>
      <c r="AX1688" s="5">
        <v>41890</v>
      </c>
      <c r="AY1688" s="4" t="s">
        <v>172</v>
      </c>
      <c r="AZ1688" s="5">
        <v>41760</v>
      </c>
      <c r="BA1688" s="5">
        <v>41768</v>
      </c>
      <c r="BB1688" s="5">
        <v>41791</v>
      </c>
      <c r="BC1688" s="5">
        <v>41785</v>
      </c>
      <c r="BD1688" s="4">
        <v>1</v>
      </c>
      <c r="BE1688" s="5">
        <v>41800</v>
      </c>
      <c r="BF1688" s="5">
        <v>41785</v>
      </c>
      <c r="BG1688" s="5">
        <v>41774</v>
      </c>
      <c r="BH1688" s="5">
        <v>41765</v>
      </c>
      <c r="BI1688" s="5">
        <v>41871</v>
      </c>
      <c r="BJ1688" s="5">
        <v>41906</v>
      </c>
      <c r="BK1688" s="4">
        <v>1</v>
      </c>
      <c r="BL1688" s="4"/>
      <c r="BM1688" s="5">
        <v>41873</v>
      </c>
      <c r="BN1688" s="5">
        <v>41906</v>
      </c>
      <c r="BO1688" s="4"/>
      <c r="BP1688" s="4"/>
      <c r="BQ1688" s="4"/>
      <c r="BR1688" s="4"/>
      <c r="BS1688" s="4"/>
      <c r="BT1688" s="5">
        <v>41953</v>
      </c>
      <c r="BU1688" s="5">
        <v>41949</v>
      </c>
      <c r="BV1688" s="5">
        <v>41956</v>
      </c>
      <c r="BW1688" s="5">
        <v>41956</v>
      </c>
      <c r="BX1688" s="5">
        <v>41946</v>
      </c>
      <c r="BY1688" s="5">
        <v>41956</v>
      </c>
      <c r="BZ1688" s="5">
        <v>41954</v>
      </c>
      <c r="CA1688" s="5">
        <v>41955</v>
      </c>
      <c r="CB1688" s="5">
        <v>41954</v>
      </c>
      <c r="CC1688" s="4"/>
      <c r="CD1688" s="4"/>
      <c r="CE1688" s="4"/>
      <c r="CF1688" s="4"/>
      <c r="CG1688" s="4"/>
      <c r="CH1688" s="4"/>
      <c r="CI1688" s="4"/>
      <c r="CJ1688" s="5">
        <v>41976</v>
      </c>
      <c r="CK1688" s="5">
        <v>41971</v>
      </c>
      <c r="CL1688" s="4"/>
      <c r="CM1688" s="4"/>
      <c r="CN1688" s="4"/>
      <c r="CO1688" s="4"/>
      <c r="CP1688" s="4" t="s">
        <v>5088</v>
      </c>
      <c r="CQ1688" s="4"/>
      <c r="CR1688" s="4"/>
      <c r="CS1688" s="4"/>
      <c r="CT1688" s="4"/>
      <c r="CU1688" s="4"/>
      <c r="CV1688" s="4"/>
      <c r="CW1688" s="4"/>
      <c r="CX1688" s="4"/>
      <c r="CY1688" s="4"/>
      <c r="CZ1688" s="4"/>
      <c r="DA1688" s="5">
        <v>41961</v>
      </c>
      <c r="DB1688" s="5">
        <v>41960</v>
      </c>
      <c r="DC1688" s="5">
        <v>41768</v>
      </c>
      <c r="DD1688" s="4" t="s">
        <v>586</v>
      </c>
      <c r="DE1688" s="4"/>
      <c r="DF1688" s="5">
        <v>41948</v>
      </c>
      <c r="DG1688" s="5">
        <v>41949</v>
      </c>
      <c r="DH1688" s="4" t="s">
        <v>174</v>
      </c>
      <c r="DI1688" s="5">
        <v>41943</v>
      </c>
      <c r="DJ1688" s="4" t="b">
        <v>0</v>
      </c>
      <c r="DK1688" s="4"/>
      <c r="DL1688" s="4">
        <v>2659092</v>
      </c>
      <c r="DM1688" s="4">
        <v>5990672</v>
      </c>
      <c r="DN1688" s="4" t="s">
        <v>5089</v>
      </c>
      <c r="DO1688" s="4" t="s">
        <v>5090</v>
      </c>
      <c r="DP1688" s="4"/>
      <c r="DQ1688" s="4" t="s">
        <v>148</v>
      </c>
      <c r="DR1688" s="4"/>
      <c r="DS1688" s="4"/>
      <c r="DT1688" s="5">
        <v>41971</v>
      </c>
      <c r="DU1688" s="4" t="s">
        <v>577</v>
      </c>
      <c r="DV1688" s="4"/>
      <c r="DW1688" s="4"/>
      <c r="DX1688" s="4"/>
      <c r="DY1688" s="4"/>
      <c r="DZ1688" s="4"/>
      <c r="EA1688" s="4"/>
      <c r="EB1688" s="4"/>
      <c r="EC1688" s="4"/>
      <c r="ED1688" s="4"/>
      <c r="EE1688" s="4"/>
      <c r="EF1688" s="4"/>
      <c r="EG1688" s="4"/>
      <c r="EH1688" s="4"/>
      <c r="EI1688" s="5">
        <v>41710</v>
      </c>
    </row>
    <row r="1689" spans="1:139" hidden="1" x14ac:dyDescent="0.2">
      <c r="A1689">
        <f>VLOOKUP(B1689,Sheet1!$A$1:$B$18,2,FALSE)</f>
        <v>0</v>
      </c>
      <c r="B1689" t="str">
        <f>LEFT(D1689,3)</f>
        <v>WLG</v>
      </c>
      <c r="C1689" s="2">
        <v>1688</v>
      </c>
      <c r="D1689" s="3" t="str">
        <f>HYPERLINK("https://sitebase.nzcomms.co.nz/spm/spmnominalview/WLG-047-091/","WLG-047-091")</f>
        <v>WLG-047-091</v>
      </c>
      <c r="E1689" s="4" t="s">
        <v>5091</v>
      </c>
      <c r="F1689" s="3" t="str">
        <f>HYPERLINK("https://sitebase.nzcomms.co.nz/spm/spmcandidateview/WLG-047-091-A/","WLG-047-091-A")</f>
        <v>WLG-047-091-A</v>
      </c>
      <c r="G1689" s="4" t="s">
        <v>5092</v>
      </c>
      <c r="H1689" s="4" t="s">
        <v>4871</v>
      </c>
      <c r="I1689" s="4"/>
      <c r="J1689" s="4" t="s">
        <v>317</v>
      </c>
      <c r="K1689" s="4" t="s">
        <v>141</v>
      </c>
      <c r="L1689" s="4"/>
      <c r="M1689" s="4"/>
      <c r="N1689" s="4"/>
      <c r="O1689" s="4"/>
      <c r="P1689" s="4"/>
      <c r="Q1689" s="4"/>
      <c r="R1689" s="4"/>
      <c r="S1689" s="4"/>
      <c r="T1689" s="4"/>
      <c r="U1689" s="4"/>
      <c r="V1689" s="4"/>
      <c r="W1689" s="4"/>
      <c r="X1689" s="4"/>
      <c r="Y1689" s="4"/>
      <c r="Z1689" s="4"/>
      <c r="AA1689" s="4"/>
      <c r="AB1689" s="4"/>
      <c r="AC1689" s="4"/>
      <c r="AD1689" s="4"/>
      <c r="AE1689" s="4"/>
      <c r="AF1689" s="4"/>
      <c r="AG1689" s="4"/>
      <c r="AH1689" s="4"/>
      <c r="AI1689" s="4"/>
      <c r="AJ1689" s="4"/>
      <c r="AK1689" s="4"/>
      <c r="AL1689" s="4"/>
      <c r="AM1689" s="4"/>
      <c r="AN1689" s="4"/>
      <c r="AO1689" s="4"/>
      <c r="AP1689" s="4"/>
      <c r="AQ1689" s="4"/>
      <c r="AR1689" s="4"/>
      <c r="AS1689" s="4"/>
      <c r="AT1689" s="4"/>
      <c r="AU1689" s="4"/>
      <c r="AV1689" s="4"/>
      <c r="AW1689" s="4"/>
      <c r="AX1689" s="4"/>
      <c r="AY1689" s="4"/>
      <c r="AZ1689" s="4"/>
      <c r="BA1689" s="4"/>
      <c r="BB1689" s="4"/>
      <c r="BC1689" s="4"/>
      <c r="BD1689" s="4"/>
      <c r="BE1689" s="4"/>
      <c r="BF1689" s="4"/>
      <c r="BG1689" s="4"/>
      <c r="BH1689" s="4"/>
      <c r="BI1689" s="4"/>
      <c r="BJ1689" s="4"/>
      <c r="BK1689" s="4"/>
      <c r="BL1689" s="4"/>
      <c r="BM1689" s="4"/>
      <c r="BN1689" s="4"/>
      <c r="BO1689" s="4"/>
      <c r="BP1689" s="4"/>
      <c r="BQ1689" s="4"/>
      <c r="BR1689" s="4"/>
      <c r="BS1689" s="4"/>
      <c r="BT1689" s="4"/>
      <c r="BU1689" s="4"/>
      <c r="BV1689" s="4"/>
      <c r="BW1689" s="4"/>
      <c r="BX1689" s="4"/>
      <c r="BY1689" s="4"/>
      <c r="BZ1689" s="4"/>
      <c r="CA1689" s="4"/>
      <c r="CB1689" s="4"/>
      <c r="CC1689" s="4"/>
      <c r="CD1689" s="4"/>
      <c r="CE1689" s="4"/>
      <c r="CF1689" s="4"/>
      <c r="CG1689" s="4"/>
      <c r="CH1689" s="4"/>
      <c r="CI1689" s="4"/>
      <c r="CJ1689" s="4"/>
      <c r="CK1689" s="4"/>
      <c r="CL1689" s="4"/>
      <c r="CM1689" s="4"/>
      <c r="CN1689" s="4"/>
      <c r="CO1689" s="4"/>
      <c r="CP1689" s="4"/>
      <c r="CQ1689" s="4"/>
      <c r="CR1689" s="4"/>
      <c r="CS1689" s="4"/>
      <c r="CT1689" s="4"/>
      <c r="CU1689" s="4"/>
      <c r="CV1689" s="4"/>
      <c r="CW1689" s="4"/>
      <c r="CX1689" s="4"/>
      <c r="CY1689" s="4"/>
      <c r="CZ1689" s="4"/>
      <c r="DA1689" s="4"/>
      <c r="DB1689" s="4"/>
      <c r="DC1689" s="4"/>
      <c r="DD1689" s="4"/>
      <c r="DE1689" s="4"/>
      <c r="DF1689" s="4"/>
      <c r="DG1689" s="4"/>
      <c r="DH1689" s="4" t="s">
        <v>240</v>
      </c>
      <c r="DI1689" s="4"/>
      <c r="DJ1689" s="4"/>
      <c r="DK1689" s="4"/>
      <c r="DL1689" s="4"/>
      <c r="DM1689" s="4"/>
      <c r="DN1689" s="4"/>
      <c r="DO1689" s="4"/>
      <c r="DP1689" s="4"/>
      <c r="DQ1689" s="4"/>
      <c r="DR1689" s="4"/>
      <c r="DS1689" s="4"/>
      <c r="DT1689" s="4"/>
      <c r="DU1689" s="4"/>
      <c r="DV1689" s="4"/>
      <c r="DW1689" s="4"/>
      <c r="DX1689" s="4"/>
      <c r="DY1689" s="4"/>
      <c r="DZ1689" s="4"/>
      <c r="EA1689" s="4"/>
      <c r="EB1689" s="4"/>
      <c r="EC1689" s="4"/>
      <c r="ED1689" s="4"/>
      <c r="EE1689" s="4"/>
      <c r="EF1689" s="4"/>
      <c r="EG1689" s="4"/>
      <c r="EH1689" s="4"/>
      <c r="EI1689" s="4"/>
    </row>
    <row r="1690" spans="1:139" hidden="1" x14ac:dyDescent="0.2">
      <c r="A1690">
        <f>VLOOKUP(B1690,Sheet1!$A$1:$B$18,2,FALSE)</f>
        <v>0</v>
      </c>
      <c r="B1690" t="str">
        <f>LEFT(D1690,3)</f>
        <v>WLG</v>
      </c>
      <c r="C1690" s="2">
        <v>1689</v>
      </c>
      <c r="D1690" s="3" t="str">
        <f>HYPERLINK("https://sitebase.nzcomms.co.nz/spm/spmnominalview/WLG-047-092/","WLG-047-092")</f>
        <v>WLG-047-092</v>
      </c>
      <c r="E1690" s="4" t="s">
        <v>5093</v>
      </c>
      <c r="F1690" s="3" t="str">
        <f>HYPERLINK("https://sitebase.nzcomms.co.nz/spm/spmcandidateview/WLG-047-092-A/","WLG-047-092-A")</f>
        <v>WLG-047-092-A</v>
      </c>
      <c r="G1690" s="4" t="s">
        <v>5094</v>
      </c>
      <c r="H1690" s="4" t="s">
        <v>4871</v>
      </c>
      <c r="I1690" s="4">
        <v>24</v>
      </c>
      <c r="J1690" s="4" t="s">
        <v>570</v>
      </c>
      <c r="K1690" s="4" t="s">
        <v>141</v>
      </c>
      <c r="L1690" s="4" t="s">
        <v>142</v>
      </c>
      <c r="M1690" s="4" t="s">
        <v>571</v>
      </c>
      <c r="N1690" s="4" t="s">
        <v>142</v>
      </c>
      <c r="O1690" s="4"/>
      <c r="P1690" s="4" t="s">
        <v>169</v>
      </c>
      <c r="Q1690" s="4" t="s">
        <v>142</v>
      </c>
      <c r="R1690" s="4"/>
      <c r="S1690" s="4"/>
      <c r="T1690" s="4"/>
      <c r="U1690" s="4">
        <v>-41.313908099999999</v>
      </c>
      <c r="V1690" s="4">
        <v>174.78176023</v>
      </c>
      <c r="W1690" s="4"/>
      <c r="X1690" s="5">
        <v>42066</v>
      </c>
      <c r="Y1690" s="4"/>
      <c r="Z1690" s="5">
        <v>42005</v>
      </c>
      <c r="AA1690" s="4" t="s">
        <v>145</v>
      </c>
      <c r="AB1690" s="3" t="str">
        <f>HYPERLINK("https://sitebase.nzcomms.co.nz/spm/spmcandidateview/WLG-047-049-A/","WLG-047-049-A")</f>
        <v>WLG-047-049-A</v>
      </c>
      <c r="AC1690" s="4" t="b">
        <v>0</v>
      </c>
      <c r="AD1690" s="4" t="b">
        <v>0</v>
      </c>
      <c r="AE1690" s="4"/>
      <c r="AF1690" s="4"/>
      <c r="AG1690" s="4" t="b">
        <v>0</v>
      </c>
      <c r="AH1690" s="4"/>
      <c r="AI1690" s="5">
        <v>42186</v>
      </c>
      <c r="AJ1690" s="5">
        <v>42156</v>
      </c>
      <c r="AK1690" s="5">
        <v>41744</v>
      </c>
      <c r="AL1690" s="5">
        <v>41744</v>
      </c>
      <c r="AM1690" s="5">
        <v>41768</v>
      </c>
      <c r="AN1690" s="5">
        <v>41775</v>
      </c>
      <c r="AO1690" s="4">
        <v>6</v>
      </c>
      <c r="AP1690" s="5">
        <v>42005</v>
      </c>
      <c r="AQ1690" s="5">
        <v>42010</v>
      </c>
      <c r="AR1690" s="5">
        <v>41957</v>
      </c>
      <c r="AS1690" s="5">
        <v>41940</v>
      </c>
      <c r="AT1690" s="5">
        <v>42040</v>
      </c>
      <c r="AU1690" s="5">
        <v>41989</v>
      </c>
      <c r="AV1690" s="4"/>
      <c r="AW1690" s="5">
        <v>42055</v>
      </c>
      <c r="AX1690" s="5">
        <v>41989</v>
      </c>
      <c r="AY1690" s="4" t="s">
        <v>247</v>
      </c>
      <c r="AZ1690" s="5">
        <v>41925</v>
      </c>
      <c r="BA1690" s="5">
        <v>41908</v>
      </c>
      <c r="BB1690" s="5">
        <v>41957</v>
      </c>
      <c r="BC1690" s="5">
        <v>41946</v>
      </c>
      <c r="BD1690" s="4">
        <v>2</v>
      </c>
      <c r="BE1690" s="5">
        <v>41964</v>
      </c>
      <c r="BF1690" s="5">
        <v>41946</v>
      </c>
      <c r="BG1690" s="5">
        <v>41862</v>
      </c>
      <c r="BH1690" s="5">
        <v>41890</v>
      </c>
      <c r="BI1690" s="5">
        <v>42025</v>
      </c>
      <c r="BJ1690" s="5">
        <v>42020</v>
      </c>
      <c r="BK1690" s="4">
        <v>2</v>
      </c>
      <c r="BL1690" s="4"/>
      <c r="BM1690" s="5">
        <v>42025</v>
      </c>
      <c r="BN1690" s="5">
        <v>42157</v>
      </c>
      <c r="BO1690" s="4"/>
      <c r="BP1690" s="4"/>
      <c r="BQ1690" s="4"/>
      <c r="BR1690" s="5">
        <v>42111</v>
      </c>
      <c r="BS1690" s="4"/>
      <c r="BT1690" s="5">
        <v>42146</v>
      </c>
      <c r="BU1690" s="5">
        <v>42143</v>
      </c>
      <c r="BV1690" s="5">
        <v>42202</v>
      </c>
      <c r="BW1690" s="5">
        <v>42187</v>
      </c>
      <c r="BX1690" s="5">
        <v>42213</v>
      </c>
      <c r="BY1690" s="5">
        <v>42260</v>
      </c>
      <c r="BZ1690" s="5">
        <v>42260</v>
      </c>
      <c r="CA1690" s="5">
        <v>42216</v>
      </c>
      <c r="CB1690" s="5">
        <v>42213</v>
      </c>
      <c r="CC1690" s="5">
        <v>42213</v>
      </c>
      <c r="CD1690" s="5">
        <v>42213</v>
      </c>
      <c r="CE1690" s="5">
        <v>42213</v>
      </c>
      <c r="CF1690" s="5">
        <v>42213</v>
      </c>
      <c r="CG1690" s="5">
        <v>42213</v>
      </c>
      <c r="CH1690" s="5">
        <v>42213</v>
      </c>
      <c r="CI1690" s="4"/>
      <c r="CJ1690" s="5">
        <v>42324</v>
      </c>
      <c r="CK1690" s="5">
        <v>42327</v>
      </c>
      <c r="CL1690" s="4"/>
      <c r="CM1690" s="4"/>
      <c r="CN1690" s="4"/>
      <c r="CO1690" s="4"/>
      <c r="CP1690" s="4" t="s">
        <v>5095</v>
      </c>
      <c r="CQ1690" s="4" t="s">
        <v>230</v>
      </c>
      <c r="CR1690" s="4"/>
      <c r="CS1690" s="4"/>
      <c r="CT1690" s="4"/>
      <c r="CU1690" s="4"/>
      <c r="CV1690" s="4"/>
      <c r="CW1690" s="4"/>
      <c r="CX1690" s="4"/>
      <c r="CY1690" s="4"/>
      <c r="CZ1690" s="4"/>
      <c r="DA1690" s="5">
        <v>42303</v>
      </c>
      <c r="DB1690" s="4"/>
      <c r="DC1690" s="5">
        <v>41912</v>
      </c>
      <c r="DD1690" s="4" t="s">
        <v>586</v>
      </c>
      <c r="DE1690" s="4"/>
      <c r="DF1690" s="5">
        <v>42213</v>
      </c>
      <c r="DG1690" s="5">
        <v>42213</v>
      </c>
      <c r="DH1690" s="4" t="s">
        <v>174</v>
      </c>
      <c r="DI1690" s="5">
        <v>42213</v>
      </c>
      <c r="DJ1690" s="4" t="b">
        <v>1</v>
      </c>
      <c r="DK1690" s="5">
        <v>42048</v>
      </c>
      <c r="DL1690" s="4">
        <v>2659161</v>
      </c>
      <c r="DM1690" s="4">
        <v>5986576</v>
      </c>
      <c r="DN1690" s="4" t="s">
        <v>5096</v>
      </c>
      <c r="DO1690" s="4"/>
      <c r="DP1690" s="4"/>
      <c r="DQ1690" s="4" t="s">
        <v>148</v>
      </c>
      <c r="DR1690" s="4"/>
      <c r="DS1690" s="4"/>
      <c r="DT1690" s="5">
        <v>42327</v>
      </c>
      <c r="DU1690" s="4" t="s">
        <v>577</v>
      </c>
      <c r="DV1690" s="4"/>
      <c r="DW1690" s="5">
        <v>42082</v>
      </c>
      <c r="DX1690" s="5">
        <v>42136</v>
      </c>
      <c r="DY1690" s="5">
        <v>42110</v>
      </c>
      <c r="DZ1690" s="5">
        <v>42110</v>
      </c>
      <c r="EA1690" s="4"/>
      <c r="EB1690" s="4"/>
      <c r="EC1690" s="4"/>
      <c r="ED1690" s="4"/>
      <c r="EE1690" s="5">
        <v>42143</v>
      </c>
      <c r="EF1690" s="5">
        <v>42143</v>
      </c>
      <c r="EG1690" s="4"/>
      <c r="EH1690" s="4"/>
      <c r="EI1690" s="5">
        <v>41738</v>
      </c>
    </row>
    <row r="1691" spans="1:139" hidden="1" x14ac:dyDescent="0.2">
      <c r="A1691">
        <f>VLOOKUP(B1691,Sheet1!$A$1:$B$18,2,FALSE)</f>
        <v>0</v>
      </c>
      <c r="B1691" t="str">
        <f>LEFT(D1691,3)</f>
        <v>WLG</v>
      </c>
      <c r="C1691" s="2">
        <v>1690</v>
      </c>
      <c r="D1691" s="3" t="str">
        <f>HYPERLINK("https://sitebase.nzcomms.co.nz/spm/spmnominalview/WLG-047-093/","WLG-047-093")</f>
        <v>WLG-047-093</v>
      </c>
      <c r="E1691" s="4" t="s">
        <v>5097</v>
      </c>
      <c r="F1691" s="3" t="str">
        <f>HYPERLINK("https://sitebase.nzcomms.co.nz/spm/spmcandidateview/WLG-047-093-A/","WLG-047-093-A")</f>
        <v>WLG-047-093-A</v>
      </c>
      <c r="G1691" s="4" t="s">
        <v>5098</v>
      </c>
      <c r="H1691" s="4" t="s">
        <v>4871</v>
      </c>
      <c r="I1691" s="4">
        <v>24</v>
      </c>
      <c r="J1691" s="4" t="s">
        <v>570</v>
      </c>
      <c r="K1691" s="4" t="s">
        <v>141</v>
      </c>
      <c r="L1691" s="4" t="s">
        <v>181</v>
      </c>
      <c r="M1691" s="4" t="s">
        <v>1193</v>
      </c>
      <c r="N1691" s="4" t="s">
        <v>181</v>
      </c>
      <c r="O1691" s="4"/>
      <c r="P1691" s="4" t="s">
        <v>169</v>
      </c>
      <c r="Q1691" s="4" t="s">
        <v>192</v>
      </c>
      <c r="R1691" s="4">
        <v>20</v>
      </c>
      <c r="S1691" s="4"/>
      <c r="T1691" s="4"/>
      <c r="U1691" s="4">
        <v>-41.286248860000001</v>
      </c>
      <c r="V1691" s="4">
        <v>174.77473201999999</v>
      </c>
      <c r="W1691" s="4"/>
      <c r="X1691" s="5">
        <v>41963</v>
      </c>
      <c r="Y1691" s="4"/>
      <c r="Z1691" s="5">
        <v>42173</v>
      </c>
      <c r="AA1691" s="4" t="s">
        <v>145</v>
      </c>
      <c r="AB1691" s="3" t="str">
        <f>HYPERLINK("https://sitebase.nzcomms.co.nz/spm/spmcandidateview/WLG-047-071-A/","WLG-047-071-A")</f>
        <v>WLG-047-071-A</v>
      </c>
      <c r="AC1691" s="4" t="b">
        <v>0</v>
      </c>
      <c r="AD1691" s="4" t="b">
        <v>0</v>
      </c>
      <c r="AE1691" s="4"/>
      <c r="AF1691" s="4"/>
      <c r="AG1691" s="4" t="b">
        <v>0</v>
      </c>
      <c r="AH1691" s="4"/>
      <c r="AI1691" s="5">
        <v>42046</v>
      </c>
      <c r="AJ1691" s="5">
        <v>42048</v>
      </c>
      <c r="AK1691" s="5">
        <v>42124</v>
      </c>
      <c r="AL1691" s="5">
        <v>42153</v>
      </c>
      <c r="AM1691" s="5">
        <v>42155</v>
      </c>
      <c r="AN1691" s="5">
        <v>42158</v>
      </c>
      <c r="AO1691" s="4">
        <v>1</v>
      </c>
      <c r="AP1691" s="5">
        <v>42158</v>
      </c>
      <c r="AQ1691" s="5">
        <v>42158</v>
      </c>
      <c r="AR1691" s="5">
        <v>42213</v>
      </c>
      <c r="AS1691" s="5">
        <v>42213</v>
      </c>
      <c r="AT1691" s="5">
        <v>42244</v>
      </c>
      <c r="AU1691" s="5">
        <v>42241</v>
      </c>
      <c r="AV1691" s="4"/>
      <c r="AW1691" s="4"/>
      <c r="AX1691" s="5">
        <v>42220</v>
      </c>
      <c r="AY1691" s="4" t="s">
        <v>172</v>
      </c>
      <c r="AZ1691" s="5">
        <v>42167</v>
      </c>
      <c r="BA1691" s="5">
        <v>42170</v>
      </c>
      <c r="BB1691" s="5">
        <v>42195</v>
      </c>
      <c r="BC1691" s="5">
        <v>42195</v>
      </c>
      <c r="BD1691" s="4">
        <v>1</v>
      </c>
      <c r="BE1691" s="4"/>
      <c r="BF1691" s="5">
        <v>42222</v>
      </c>
      <c r="BG1691" s="5">
        <v>42186</v>
      </c>
      <c r="BH1691" s="5">
        <v>42184</v>
      </c>
      <c r="BI1691" s="5">
        <v>42247</v>
      </c>
      <c r="BJ1691" s="4"/>
      <c r="BK1691" s="4">
        <v>1</v>
      </c>
      <c r="BL1691" s="4"/>
      <c r="BM1691" s="4"/>
      <c r="BN1691" s="4"/>
      <c r="BO1691" s="4"/>
      <c r="BP1691" s="4"/>
      <c r="BQ1691" s="4"/>
      <c r="BR1691" s="4"/>
      <c r="BS1691" s="4"/>
      <c r="BT1691" s="5">
        <v>42387</v>
      </c>
      <c r="BU1691" s="4"/>
      <c r="BV1691" s="5">
        <v>42429</v>
      </c>
      <c r="BW1691" s="4"/>
      <c r="BX1691" s="4"/>
      <c r="BY1691" s="5">
        <v>42440</v>
      </c>
      <c r="BZ1691" s="4"/>
      <c r="CA1691" s="4"/>
      <c r="CB1691" s="4"/>
      <c r="CC1691" s="4"/>
      <c r="CD1691" s="4"/>
      <c r="CE1691" s="4"/>
      <c r="CF1691" s="4"/>
      <c r="CG1691" s="4"/>
      <c r="CH1691" s="4"/>
      <c r="CI1691" s="4"/>
      <c r="CJ1691" s="5">
        <v>42475</v>
      </c>
      <c r="CK1691" s="4"/>
      <c r="CL1691" s="4"/>
      <c r="CM1691" s="4"/>
      <c r="CN1691" s="4"/>
      <c r="CO1691" s="4"/>
      <c r="CP1691" s="4" t="s">
        <v>5099</v>
      </c>
      <c r="CQ1691" s="4"/>
      <c r="CR1691" s="4"/>
      <c r="CS1691" s="4"/>
      <c r="CT1691" s="4"/>
      <c r="CU1691" s="4"/>
      <c r="CV1691" s="4"/>
      <c r="CW1691" s="4"/>
      <c r="CX1691" s="4"/>
      <c r="CY1691" s="4"/>
      <c r="CZ1691" s="4"/>
      <c r="DA1691" s="5">
        <v>42460</v>
      </c>
      <c r="DB1691" s="4"/>
      <c r="DC1691" s="4"/>
      <c r="DD1691" s="4"/>
      <c r="DE1691" s="4"/>
      <c r="DF1691" s="4"/>
      <c r="DG1691" s="4"/>
      <c r="DH1691" s="4" t="s">
        <v>1521</v>
      </c>
      <c r="DI1691" s="4"/>
      <c r="DJ1691" s="4" t="b">
        <v>0</v>
      </c>
      <c r="DK1691" s="4"/>
      <c r="DL1691" s="4">
        <v>2658635</v>
      </c>
      <c r="DM1691" s="4">
        <v>5989662</v>
      </c>
      <c r="DN1691" s="4" t="s">
        <v>5100</v>
      </c>
      <c r="DO1691" s="4" t="s">
        <v>5101</v>
      </c>
      <c r="DP1691" s="4" t="s">
        <v>5102</v>
      </c>
      <c r="DQ1691" s="4" t="s">
        <v>148</v>
      </c>
      <c r="DR1691" s="4" t="s">
        <v>255</v>
      </c>
      <c r="DS1691" s="4"/>
      <c r="DT1691" s="4"/>
      <c r="DU1691" s="4" t="s">
        <v>577</v>
      </c>
      <c r="DV1691" s="4"/>
      <c r="DW1691" s="4"/>
      <c r="DX1691" s="4"/>
      <c r="DY1691" s="5">
        <v>42310</v>
      </c>
      <c r="DZ1691" s="4"/>
      <c r="EA1691" s="4"/>
      <c r="EB1691" s="4"/>
      <c r="EC1691" s="4"/>
      <c r="ED1691" s="4"/>
      <c r="EE1691" s="5">
        <v>42342</v>
      </c>
      <c r="EF1691" s="4"/>
      <c r="EG1691" s="4"/>
      <c r="EH1691" s="4"/>
      <c r="EI1691" s="5">
        <v>42131</v>
      </c>
    </row>
    <row r="1692" spans="1:139" hidden="1" x14ac:dyDescent="0.2">
      <c r="A1692">
        <f>VLOOKUP(B1692,Sheet1!$A$1:$B$18,2,FALSE)</f>
        <v>0</v>
      </c>
      <c r="B1692" t="str">
        <f>LEFT(D1692,3)</f>
        <v>WLG</v>
      </c>
      <c r="C1692" s="2">
        <v>1691</v>
      </c>
      <c r="D1692" s="3" t="str">
        <f>HYPERLINK("https://sitebase.nzcomms.co.nz/spm/spmnominalview/WLG-047-094/","WLG-047-094")</f>
        <v>WLG-047-094</v>
      </c>
      <c r="E1692" s="4" t="s">
        <v>5103</v>
      </c>
      <c r="F1692" s="3" t="str">
        <f>HYPERLINK("https://sitebase.nzcomms.co.nz/spm/spmcandidateview/WLG-047-094-A/","WLG-047-094-A")</f>
        <v>WLG-047-094-A</v>
      </c>
      <c r="G1692" s="4" t="s">
        <v>5104</v>
      </c>
      <c r="H1692" s="4" t="s">
        <v>4871</v>
      </c>
      <c r="I1692" s="4">
        <v>21</v>
      </c>
      <c r="J1692" s="4" t="s">
        <v>584</v>
      </c>
      <c r="K1692" s="4" t="s">
        <v>141</v>
      </c>
      <c r="L1692" s="4" t="s">
        <v>181</v>
      </c>
      <c r="M1692" s="4" t="s">
        <v>1193</v>
      </c>
      <c r="N1692" s="4" t="s">
        <v>181</v>
      </c>
      <c r="O1692" s="4"/>
      <c r="P1692" s="4" t="s">
        <v>169</v>
      </c>
      <c r="Q1692" s="4" t="s">
        <v>192</v>
      </c>
      <c r="R1692" s="4"/>
      <c r="S1692" s="4"/>
      <c r="T1692" s="4"/>
      <c r="U1692" s="4">
        <v>-41.28321047</v>
      </c>
      <c r="V1692" s="4">
        <v>174.777874</v>
      </c>
      <c r="W1692" s="4"/>
      <c r="X1692" s="5">
        <v>41953</v>
      </c>
      <c r="Y1692" s="4"/>
      <c r="Z1692" s="4"/>
      <c r="AA1692" s="4"/>
      <c r="AB1692" s="4"/>
      <c r="AC1692" s="4" t="b">
        <v>0</v>
      </c>
      <c r="AD1692" s="4" t="b">
        <v>0</v>
      </c>
      <c r="AE1692" s="4"/>
      <c r="AF1692" s="4"/>
      <c r="AG1692" s="4" t="b">
        <v>0</v>
      </c>
      <c r="AH1692" s="4"/>
      <c r="AI1692" s="5">
        <v>41709</v>
      </c>
      <c r="AJ1692" s="5">
        <v>41709</v>
      </c>
      <c r="AK1692" s="4"/>
      <c r="AL1692" s="5">
        <v>41736</v>
      </c>
      <c r="AM1692" s="5">
        <v>41841</v>
      </c>
      <c r="AN1692" s="5">
        <v>41821</v>
      </c>
      <c r="AO1692" s="4">
        <v>1</v>
      </c>
      <c r="AP1692" s="5">
        <v>41841</v>
      </c>
      <c r="AQ1692" s="5">
        <v>41821</v>
      </c>
      <c r="AR1692" s="5">
        <v>41810</v>
      </c>
      <c r="AS1692" s="5">
        <v>41796</v>
      </c>
      <c r="AT1692" s="5">
        <v>41847</v>
      </c>
      <c r="AU1692" s="5">
        <v>41824</v>
      </c>
      <c r="AV1692" s="4"/>
      <c r="AW1692" s="5">
        <v>41850</v>
      </c>
      <c r="AX1692" s="5">
        <v>41920</v>
      </c>
      <c r="AY1692" s="4" t="s">
        <v>172</v>
      </c>
      <c r="AZ1692" s="5">
        <v>41847</v>
      </c>
      <c r="BA1692" s="5">
        <v>41828</v>
      </c>
      <c r="BB1692" s="5">
        <v>41876</v>
      </c>
      <c r="BC1692" s="5">
        <v>41852</v>
      </c>
      <c r="BD1692" s="4">
        <v>1</v>
      </c>
      <c r="BE1692" s="5">
        <v>41876</v>
      </c>
      <c r="BF1692" s="5">
        <v>41852</v>
      </c>
      <c r="BG1692" s="5">
        <v>41856</v>
      </c>
      <c r="BH1692" s="4"/>
      <c r="BI1692" s="5">
        <v>41877</v>
      </c>
      <c r="BJ1692" s="5">
        <v>41897</v>
      </c>
      <c r="BK1692" s="4">
        <v>2</v>
      </c>
      <c r="BL1692" s="4"/>
      <c r="BM1692" s="5">
        <v>41887</v>
      </c>
      <c r="BN1692" s="5">
        <v>41911</v>
      </c>
      <c r="BO1692" s="4"/>
      <c r="BP1692" s="4"/>
      <c r="BQ1692" s="4"/>
      <c r="BR1692" s="4"/>
      <c r="BS1692" s="4"/>
      <c r="BT1692" s="5">
        <v>41970</v>
      </c>
      <c r="BU1692" s="5">
        <v>41974</v>
      </c>
      <c r="BV1692" s="5">
        <v>41989</v>
      </c>
      <c r="BW1692" s="5">
        <v>41991</v>
      </c>
      <c r="BX1692" s="5">
        <v>41947</v>
      </c>
      <c r="BY1692" s="5">
        <v>42013</v>
      </c>
      <c r="BZ1692" s="5">
        <v>42013</v>
      </c>
      <c r="CA1692" s="5">
        <v>41988</v>
      </c>
      <c r="CB1692" s="5">
        <v>41991</v>
      </c>
      <c r="CC1692" s="4"/>
      <c r="CD1692" s="4"/>
      <c r="CE1692" s="4"/>
      <c r="CF1692" s="4"/>
      <c r="CG1692" s="4"/>
      <c r="CH1692" s="4"/>
      <c r="CI1692" s="4"/>
      <c r="CJ1692" s="5">
        <v>42076</v>
      </c>
      <c r="CK1692" s="5">
        <v>42075</v>
      </c>
      <c r="CL1692" s="4"/>
      <c r="CM1692" s="4"/>
      <c r="CN1692" s="4"/>
      <c r="CO1692" s="4"/>
      <c r="CP1692" s="4" t="s">
        <v>5105</v>
      </c>
      <c r="CQ1692" s="4"/>
      <c r="CR1692" s="4"/>
      <c r="CS1692" s="4"/>
      <c r="CT1692" s="4"/>
      <c r="CU1692" s="4"/>
      <c r="CV1692" s="4"/>
      <c r="CW1692" s="4"/>
      <c r="CX1692" s="4"/>
      <c r="CY1692" s="4"/>
      <c r="CZ1692" s="4"/>
      <c r="DA1692" s="5">
        <v>42030</v>
      </c>
      <c r="DB1692" s="5">
        <v>42030</v>
      </c>
      <c r="DC1692" s="5">
        <v>41828</v>
      </c>
      <c r="DD1692" s="4" t="s">
        <v>586</v>
      </c>
      <c r="DE1692" s="4"/>
      <c r="DF1692" s="5">
        <v>41985</v>
      </c>
      <c r="DG1692" s="5">
        <v>41985</v>
      </c>
      <c r="DH1692" s="4" t="s">
        <v>174</v>
      </c>
      <c r="DI1692" s="5">
        <v>41947</v>
      </c>
      <c r="DJ1692" s="4" t="b">
        <v>0</v>
      </c>
      <c r="DK1692" s="4"/>
      <c r="DL1692" s="4">
        <v>2658905</v>
      </c>
      <c r="DM1692" s="4">
        <v>5989991</v>
      </c>
      <c r="DN1692" s="4" t="s">
        <v>5104</v>
      </c>
      <c r="DO1692" s="4"/>
      <c r="DP1692" s="4"/>
      <c r="DQ1692" s="4" t="s">
        <v>148</v>
      </c>
      <c r="DR1692" s="4"/>
      <c r="DS1692" s="4"/>
      <c r="DT1692" s="4"/>
      <c r="DU1692" s="4" t="s">
        <v>1230</v>
      </c>
      <c r="DV1692" s="4"/>
      <c r="DW1692" s="4"/>
      <c r="DX1692" s="4"/>
      <c r="DY1692" s="4"/>
      <c r="DZ1692" s="4"/>
      <c r="EA1692" s="4"/>
      <c r="EB1692" s="4"/>
      <c r="EC1692" s="4"/>
      <c r="ED1692" s="4"/>
      <c r="EE1692" s="4"/>
      <c r="EF1692" s="4"/>
      <c r="EG1692" s="4"/>
      <c r="EH1692" s="4"/>
      <c r="EI1692" s="5">
        <v>41736</v>
      </c>
    </row>
    <row r="1693" spans="1:139" hidden="1" x14ac:dyDescent="0.2">
      <c r="A1693">
        <f>VLOOKUP(B1693,Sheet1!$A$1:$B$18,2,FALSE)</f>
        <v>0</v>
      </c>
      <c r="B1693" t="str">
        <f>LEFT(D1693,3)</f>
        <v>WLG</v>
      </c>
      <c r="C1693" s="2">
        <v>1692</v>
      </c>
      <c r="D1693" s="3" t="str">
        <f>HYPERLINK("https://sitebase.nzcomms.co.nz/spm/spmnominalview/WLG-047-095/","WLG-047-095")</f>
        <v>WLG-047-095</v>
      </c>
      <c r="E1693" s="4" t="s">
        <v>5106</v>
      </c>
      <c r="F1693" s="3" t="str">
        <f>HYPERLINK("https://sitebase.nzcomms.co.nz/spm/spmcandidateview/WLG-047-095-A/","WLG-047-095-A")</f>
        <v>WLG-047-095-A</v>
      </c>
      <c r="G1693" s="4" t="s">
        <v>5107</v>
      </c>
      <c r="H1693" s="4" t="s">
        <v>4871</v>
      </c>
      <c r="I1693" s="4">
        <v>24</v>
      </c>
      <c r="J1693" s="4" t="s">
        <v>570</v>
      </c>
      <c r="K1693" s="4" t="s">
        <v>141</v>
      </c>
      <c r="L1693" s="4" t="s">
        <v>181</v>
      </c>
      <c r="M1693" s="4" t="s">
        <v>1193</v>
      </c>
      <c r="N1693" s="4" t="s">
        <v>364</v>
      </c>
      <c r="O1693" s="4"/>
      <c r="P1693" s="4" t="s">
        <v>169</v>
      </c>
      <c r="Q1693" s="4" t="s">
        <v>192</v>
      </c>
      <c r="R1693" s="4"/>
      <c r="S1693" s="4"/>
      <c r="T1693" s="4"/>
      <c r="U1693" s="4">
        <v>-41.290026349999998</v>
      </c>
      <c r="V1693" s="4">
        <v>174.77742491000001</v>
      </c>
      <c r="W1693" s="4"/>
      <c r="X1693" s="5">
        <v>41912</v>
      </c>
      <c r="Y1693" s="4"/>
      <c r="Z1693" s="5">
        <v>42005</v>
      </c>
      <c r="AA1693" s="4" t="s">
        <v>145</v>
      </c>
      <c r="AB1693" s="3" t="str">
        <f>HYPERLINK("https://sitebase.nzcomms.co.nz/spm/spmcandidateview/WLG-047-049-A/","WLG-047-049-A")</f>
        <v>WLG-047-049-A</v>
      </c>
      <c r="AC1693" s="4" t="b">
        <v>0</v>
      </c>
      <c r="AD1693" s="4" t="b">
        <v>0</v>
      </c>
      <c r="AE1693" s="4"/>
      <c r="AF1693" s="4"/>
      <c r="AG1693" s="4" t="b">
        <v>0</v>
      </c>
      <c r="AH1693" s="4"/>
      <c r="AI1693" s="5">
        <v>41900</v>
      </c>
      <c r="AJ1693" s="5">
        <v>41900</v>
      </c>
      <c r="AK1693" s="5">
        <v>41904</v>
      </c>
      <c r="AL1693" s="5">
        <v>41904</v>
      </c>
      <c r="AM1693" s="5">
        <v>41971</v>
      </c>
      <c r="AN1693" s="5">
        <v>41962</v>
      </c>
      <c r="AO1693" s="4">
        <v>1</v>
      </c>
      <c r="AP1693" s="5">
        <v>41971</v>
      </c>
      <c r="AQ1693" s="5">
        <v>41962</v>
      </c>
      <c r="AR1693" s="5">
        <v>41957</v>
      </c>
      <c r="AS1693" s="5">
        <v>41968</v>
      </c>
      <c r="AT1693" s="5">
        <v>42202</v>
      </c>
      <c r="AU1693" s="5">
        <v>42171</v>
      </c>
      <c r="AV1693" s="4"/>
      <c r="AW1693" s="5">
        <v>42216</v>
      </c>
      <c r="AX1693" s="5">
        <v>42199</v>
      </c>
      <c r="AY1693" s="4" t="s">
        <v>247</v>
      </c>
      <c r="AZ1693" s="5">
        <v>41978</v>
      </c>
      <c r="BA1693" s="5">
        <v>41978</v>
      </c>
      <c r="BB1693" s="5">
        <v>42155</v>
      </c>
      <c r="BC1693" s="5">
        <v>42151</v>
      </c>
      <c r="BD1693" s="4">
        <v>1</v>
      </c>
      <c r="BE1693" s="4"/>
      <c r="BF1693" s="5">
        <v>42222</v>
      </c>
      <c r="BG1693" s="5">
        <v>42186</v>
      </c>
      <c r="BH1693" s="5">
        <v>42171</v>
      </c>
      <c r="BI1693" s="5">
        <v>42223</v>
      </c>
      <c r="BJ1693" s="4"/>
      <c r="BK1693" s="4"/>
      <c r="BL1693" s="4"/>
      <c r="BM1693" s="4"/>
      <c r="BN1693" s="4"/>
      <c r="BO1693" s="4"/>
      <c r="BP1693" s="4"/>
      <c r="BQ1693" s="4"/>
      <c r="BR1693" s="4"/>
      <c r="BS1693" s="4"/>
      <c r="BT1693" s="5">
        <v>42433</v>
      </c>
      <c r="BU1693" s="4"/>
      <c r="BV1693" s="5">
        <v>42461</v>
      </c>
      <c r="BW1693" s="4"/>
      <c r="BX1693" s="4"/>
      <c r="BY1693" s="5">
        <v>42475</v>
      </c>
      <c r="BZ1693" s="4"/>
      <c r="CA1693" s="4"/>
      <c r="CB1693" s="4"/>
      <c r="CC1693" s="4"/>
      <c r="CD1693" s="4"/>
      <c r="CE1693" s="4"/>
      <c r="CF1693" s="4"/>
      <c r="CG1693" s="4"/>
      <c r="CH1693" s="4"/>
      <c r="CI1693" s="4"/>
      <c r="CJ1693" s="5">
        <v>42503</v>
      </c>
      <c r="CK1693" s="4"/>
      <c r="CL1693" s="4"/>
      <c r="CM1693" s="4"/>
      <c r="CN1693" s="4"/>
      <c r="CO1693" s="4"/>
      <c r="CP1693" s="4" t="s">
        <v>5108</v>
      </c>
      <c r="CQ1693" s="4"/>
      <c r="CR1693" s="4"/>
      <c r="CS1693" s="4"/>
      <c r="CT1693" s="4"/>
      <c r="CU1693" s="4"/>
      <c r="CV1693" s="4"/>
      <c r="CW1693" s="4"/>
      <c r="CX1693" s="4"/>
      <c r="CY1693" s="4"/>
      <c r="CZ1693" s="4"/>
      <c r="DA1693" s="5">
        <v>42489</v>
      </c>
      <c r="DB1693" s="4"/>
      <c r="DC1693" s="5">
        <v>41978</v>
      </c>
      <c r="DD1693" s="4" t="s">
        <v>586</v>
      </c>
      <c r="DE1693" s="4"/>
      <c r="DF1693" s="4"/>
      <c r="DG1693" s="4"/>
      <c r="DH1693" s="4" t="s">
        <v>174</v>
      </c>
      <c r="DI1693" s="4"/>
      <c r="DJ1693" s="4" t="b">
        <v>0</v>
      </c>
      <c r="DK1693" s="4"/>
      <c r="DL1693" s="4">
        <v>2658852</v>
      </c>
      <c r="DM1693" s="4">
        <v>5989235</v>
      </c>
      <c r="DN1693" s="4" t="s">
        <v>5109</v>
      </c>
      <c r="DO1693" s="4"/>
      <c r="DP1693" s="4"/>
      <c r="DQ1693" s="4" t="s">
        <v>148</v>
      </c>
      <c r="DR1693" s="4" t="s">
        <v>255</v>
      </c>
      <c r="DS1693" s="4"/>
      <c r="DT1693" s="4"/>
      <c r="DU1693" s="4" t="s">
        <v>1230</v>
      </c>
      <c r="DV1693" s="4"/>
      <c r="DW1693" s="4"/>
      <c r="DX1693" s="4"/>
      <c r="DY1693" s="5">
        <v>42387</v>
      </c>
      <c r="DZ1693" s="4"/>
      <c r="EA1693" s="4"/>
      <c r="EB1693" s="4"/>
      <c r="EC1693" s="4"/>
      <c r="ED1693" s="4"/>
      <c r="EE1693" s="5">
        <v>42426</v>
      </c>
      <c r="EF1693" s="4"/>
      <c r="EG1693" s="4"/>
      <c r="EH1693" s="4"/>
      <c r="EI1693" s="5">
        <v>41904</v>
      </c>
    </row>
    <row r="1694" spans="1:139" hidden="1" x14ac:dyDescent="0.2">
      <c r="A1694">
        <f>VLOOKUP(B1694,Sheet1!$A$1:$B$18,2,FALSE)</f>
        <v>0</v>
      </c>
      <c r="B1694" t="str">
        <f>LEFT(D1694,3)</f>
        <v>WLG</v>
      </c>
      <c r="C1694" s="2">
        <v>1693</v>
      </c>
      <c r="D1694" s="3" t="str">
        <f>HYPERLINK("https://sitebase.nzcomms.co.nz/spm/spmnominalview/WLG-047-096/","WLG-047-096")</f>
        <v>WLG-047-096</v>
      </c>
      <c r="E1694" s="4" t="s">
        <v>5110</v>
      </c>
      <c r="F1694" s="4"/>
      <c r="G1694" s="4"/>
      <c r="H1694" s="4" t="s">
        <v>4871</v>
      </c>
      <c r="I1694" s="4"/>
      <c r="J1694" s="4" t="s">
        <v>196</v>
      </c>
      <c r="K1694" s="4"/>
      <c r="L1694" s="4"/>
      <c r="M1694" s="4"/>
      <c r="N1694" s="4"/>
      <c r="O1694" s="4"/>
      <c r="P1694" s="4"/>
      <c r="Q1694" s="4"/>
      <c r="R1694" s="4"/>
      <c r="S1694" s="4"/>
      <c r="T1694" s="4"/>
      <c r="U1694" s="4"/>
      <c r="V1694" s="4"/>
      <c r="W1694" s="4"/>
      <c r="X1694" s="4"/>
      <c r="Y1694" s="4"/>
      <c r="Z1694" s="4"/>
      <c r="AA1694" s="4"/>
      <c r="AB1694" s="4"/>
      <c r="AC1694" s="4"/>
      <c r="AD1694" s="4"/>
      <c r="AE1694" s="4"/>
      <c r="AF1694" s="4"/>
      <c r="AG1694" s="4"/>
      <c r="AH1694" s="4"/>
      <c r="AI1694" s="4"/>
      <c r="AJ1694" s="4"/>
      <c r="AK1694" s="4"/>
      <c r="AL1694" s="4"/>
      <c r="AM1694" s="4"/>
      <c r="AN1694" s="4"/>
      <c r="AO1694" s="4"/>
      <c r="AP1694" s="4"/>
      <c r="AQ1694" s="4"/>
      <c r="AR1694" s="4"/>
      <c r="AS1694" s="4"/>
      <c r="AT1694" s="4"/>
      <c r="AU1694" s="4"/>
      <c r="AV1694" s="4"/>
      <c r="AW1694" s="4"/>
      <c r="AX1694" s="4"/>
      <c r="AY1694" s="4"/>
      <c r="AZ1694" s="4"/>
      <c r="BA1694" s="4"/>
      <c r="BB1694" s="4"/>
      <c r="BC1694" s="4"/>
      <c r="BD1694" s="4"/>
      <c r="BE1694" s="4"/>
      <c r="BF1694" s="4"/>
      <c r="BG1694" s="4"/>
      <c r="BH1694" s="4"/>
      <c r="BI1694" s="4"/>
      <c r="BJ1694" s="4"/>
      <c r="BK1694" s="4"/>
      <c r="BL1694" s="4"/>
      <c r="BM1694" s="4"/>
      <c r="BN1694" s="4"/>
      <c r="BO1694" s="4"/>
      <c r="BP1694" s="4"/>
      <c r="BQ1694" s="4"/>
      <c r="BR1694" s="4"/>
      <c r="BS1694" s="4"/>
      <c r="BT1694" s="4"/>
      <c r="BU1694" s="4"/>
      <c r="BV1694" s="4"/>
      <c r="BW1694" s="4"/>
      <c r="BX1694" s="4"/>
      <c r="BY1694" s="4"/>
      <c r="BZ1694" s="4"/>
      <c r="CA1694" s="4"/>
      <c r="CB1694" s="4"/>
      <c r="CC1694" s="4"/>
      <c r="CD1694" s="4"/>
      <c r="CE1694" s="4"/>
      <c r="CF1694" s="4"/>
      <c r="CG1694" s="4"/>
      <c r="CH1694" s="4"/>
      <c r="CI1694" s="4"/>
      <c r="CJ1694" s="4"/>
      <c r="CK1694" s="4"/>
      <c r="CL1694" s="4"/>
      <c r="CM1694" s="4"/>
      <c r="CN1694" s="4"/>
      <c r="CO1694" s="4"/>
      <c r="CP1694" s="4"/>
      <c r="CQ1694" s="4"/>
      <c r="CR1694" s="4"/>
      <c r="CS1694" s="4"/>
      <c r="CT1694" s="4"/>
      <c r="CU1694" s="4"/>
      <c r="CV1694" s="4"/>
      <c r="CW1694" s="4"/>
      <c r="CX1694" s="4"/>
      <c r="CY1694" s="4"/>
      <c r="CZ1694" s="4"/>
      <c r="DA1694" s="4"/>
      <c r="DB1694" s="4"/>
      <c r="DC1694" s="4"/>
      <c r="DD1694" s="4"/>
      <c r="DE1694" s="4"/>
      <c r="DF1694" s="4"/>
      <c r="DG1694" s="4"/>
      <c r="DH1694" s="4"/>
      <c r="DI1694" s="4"/>
      <c r="DJ1694" s="4"/>
      <c r="DK1694" s="4"/>
      <c r="DL1694" s="4"/>
      <c r="DM1694" s="4"/>
      <c r="DN1694" s="4"/>
      <c r="DO1694" s="4"/>
      <c r="DP1694" s="4"/>
      <c r="DQ1694" s="4"/>
      <c r="DR1694" s="4"/>
      <c r="DS1694" s="4"/>
      <c r="DT1694" s="4"/>
      <c r="DU1694" s="4"/>
      <c r="DV1694" s="4"/>
      <c r="DW1694" s="4"/>
      <c r="DX1694" s="4"/>
      <c r="DY1694" s="4"/>
      <c r="DZ1694" s="4"/>
      <c r="EA1694" s="4"/>
      <c r="EB1694" s="4"/>
      <c r="EC1694" s="4"/>
      <c r="ED1694" s="4"/>
      <c r="EE1694" s="4"/>
      <c r="EF1694" s="4"/>
      <c r="EG1694" s="4"/>
      <c r="EH1694" s="4"/>
      <c r="EI1694" s="4"/>
    </row>
    <row r="1695" spans="1:139" hidden="1" x14ac:dyDescent="0.2">
      <c r="A1695">
        <f>VLOOKUP(B1695,Sheet1!$A$1:$B$18,2,FALSE)</f>
        <v>0</v>
      </c>
      <c r="B1695" t="str">
        <f>LEFT(D1695,3)</f>
        <v>WLG</v>
      </c>
      <c r="C1695" s="2">
        <v>1694</v>
      </c>
      <c r="D1695" s="3" t="str">
        <f>HYPERLINK("https://sitebase.nzcomms.co.nz/spm/spmnominalview/WLG-047-097/","WLG-047-097")</f>
        <v>WLG-047-097</v>
      </c>
      <c r="E1695" s="4" t="s">
        <v>5111</v>
      </c>
      <c r="F1695" s="3" t="str">
        <f>HYPERLINK("https://sitebase.nzcomms.co.nz/spm/spmcandidateview/WLG-047-097-A/","WLG-047-097-A")</f>
        <v>WLG-047-097-A</v>
      </c>
      <c r="G1695" s="4" t="s">
        <v>5112</v>
      </c>
      <c r="H1695" s="4" t="s">
        <v>4871</v>
      </c>
      <c r="I1695" s="4">
        <v>24</v>
      </c>
      <c r="J1695" s="4" t="s">
        <v>1027</v>
      </c>
      <c r="K1695" s="4" t="s">
        <v>141</v>
      </c>
      <c r="L1695" s="4" t="s">
        <v>142</v>
      </c>
      <c r="M1695" s="4" t="s">
        <v>592</v>
      </c>
      <c r="N1695" s="4" t="s">
        <v>364</v>
      </c>
      <c r="O1695" s="4"/>
      <c r="P1695" s="4"/>
      <c r="Q1695" s="4" t="s">
        <v>142</v>
      </c>
      <c r="R1695" s="4"/>
      <c r="S1695" s="4"/>
      <c r="T1695" s="4"/>
      <c r="U1695" s="4">
        <v>-41.295556589999997</v>
      </c>
      <c r="V1695" s="4">
        <v>174.72136302999999</v>
      </c>
      <c r="W1695" s="4"/>
      <c r="X1695" s="5">
        <v>42003</v>
      </c>
      <c r="Y1695" s="4"/>
      <c r="Z1695" s="4"/>
      <c r="AA1695" s="4" t="s">
        <v>171</v>
      </c>
      <c r="AB1695" s="3" t="str">
        <f>HYPERLINK("https://sitebase.nzcomms.co.nz/spm/spmcandidateview/WLG-047-022-A/","WLG-047-022-A")</f>
        <v>WLG-047-022-A</v>
      </c>
      <c r="AC1695" s="4" t="b">
        <v>0</v>
      </c>
      <c r="AD1695" s="4" t="b">
        <v>0</v>
      </c>
      <c r="AE1695" s="4"/>
      <c r="AF1695" s="4"/>
      <c r="AG1695" s="4" t="b">
        <v>0</v>
      </c>
      <c r="AH1695" s="4"/>
      <c r="AI1695" s="5">
        <v>41878</v>
      </c>
      <c r="AJ1695" s="5">
        <v>41878</v>
      </c>
      <c r="AK1695" s="5">
        <v>41892</v>
      </c>
      <c r="AL1695" s="5">
        <v>41892</v>
      </c>
      <c r="AM1695" s="5">
        <v>41907</v>
      </c>
      <c r="AN1695" s="5">
        <v>41913</v>
      </c>
      <c r="AO1695" s="4">
        <v>1</v>
      </c>
      <c r="AP1695" s="5">
        <v>41912</v>
      </c>
      <c r="AQ1695" s="5">
        <v>41913</v>
      </c>
      <c r="AR1695" s="5">
        <v>41943</v>
      </c>
      <c r="AS1695" s="5">
        <v>41943</v>
      </c>
      <c r="AT1695" s="4"/>
      <c r="AU1695" s="5">
        <v>41961</v>
      </c>
      <c r="AV1695" s="4"/>
      <c r="AW1695" s="4"/>
      <c r="AX1695" s="4"/>
      <c r="AY1695" s="4" t="s">
        <v>172</v>
      </c>
      <c r="AZ1695" s="5">
        <v>41968</v>
      </c>
      <c r="BA1695" s="5">
        <v>41961</v>
      </c>
      <c r="BB1695" s="5">
        <v>41968</v>
      </c>
      <c r="BC1695" s="5">
        <v>41961</v>
      </c>
      <c r="BD1695" s="4">
        <v>1</v>
      </c>
      <c r="BE1695" s="4"/>
      <c r="BF1695" s="5">
        <v>41947</v>
      </c>
      <c r="BG1695" s="5">
        <v>41971</v>
      </c>
      <c r="BH1695" s="5">
        <v>41971</v>
      </c>
      <c r="BI1695" s="5">
        <v>41978</v>
      </c>
      <c r="BJ1695" s="5">
        <v>41983</v>
      </c>
      <c r="BK1695" s="4">
        <v>1</v>
      </c>
      <c r="BL1695" s="4"/>
      <c r="BM1695" s="5">
        <v>41947</v>
      </c>
      <c r="BN1695" s="5">
        <v>41983</v>
      </c>
      <c r="BO1695" s="4"/>
      <c r="BP1695" s="4"/>
      <c r="BQ1695" s="4"/>
      <c r="BR1695" s="4"/>
      <c r="BS1695" s="4"/>
      <c r="BT1695" s="5">
        <v>41974</v>
      </c>
      <c r="BU1695" s="5">
        <v>41981</v>
      </c>
      <c r="BV1695" s="5">
        <v>42020</v>
      </c>
      <c r="BW1695" s="5">
        <v>42020</v>
      </c>
      <c r="BX1695" s="5">
        <v>41981</v>
      </c>
      <c r="BY1695" s="5">
        <v>42045</v>
      </c>
      <c r="BZ1695" s="5">
        <v>42047</v>
      </c>
      <c r="CA1695" s="5">
        <v>42046</v>
      </c>
      <c r="CB1695" s="5">
        <v>42047</v>
      </c>
      <c r="CC1695" s="4"/>
      <c r="CD1695" s="4"/>
      <c r="CE1695" s="4"/>
      <c r="CF1695" s="4"/>
      <c r="CG1695" s="4"/>
      <c r="CH1695" s="4"/>
      <c r="CI1695" s="4"/>
      <c r="CJ1695" s="5">
        <v>42125</v>
      </c>
      <c r="CK1695" s="5">
        <v>42129</v>
      </c>
      <c r="CL1695" s="4"/>
      <c r="CM1695" s="4"/>
      <c r="CN1695" s="4"/>
      <c r="CO1695" s="4"/>
      <c r="CP1695" s="4" t="s">
        <v>5113</v>
      </c>
      <c r="CQ1695" s="4" t="s">
        <v>1657</v>
      </c>
      <c r="CR1695" s="4"/>
      <c r="CS1695" s="4"/>
      <c r="CT1695" s="4"/>
      <c r="CU1695" s="4"/>
      <c r="CV1695" s="4"/>
      <c r="CW1695" s="4"/>
      <c r="CX1695" s="4"/>
      <c r="CY1695" s="4"/>
      <c r="CZ1695" s="4"/>
      <c r="DA1695" s="5">
        <v>42125</v>
      </c>
      <c r="DB1695" s="4"/>
      <c r="DC1695" s="4"/>
      <c r="DD1695" s="4"/>
      <c r="DE1695" s="4"/>
      <c r="DF1695" s="4"/>
      <c r="DG1695" s="4"/>
      <c r="DH1695" s="4" t="s">
        <v>174</v>
      </c>
      <c r="DI1695" s="5">
        <v>41974</v>
      </c>
      <c r="DJ1695" s="4" t="b">
        <v>0</v>
      </c>
      <c r="DK1695" s="4"/>
      <c r="DL1695" s="4">
        <v>2654145</v>
      </c>
      <c r="DM1695" s="4">
        <v>5988715</v>
      </c>
      <c r="DN1695" s="4" t="s">
        <v>5114</v>
      </c>
      <c r="DO1695" s="4"/>
      <c r="DP1695" s="4"/>
      <c r="DQ1695" s="4" t="s">
        <v>148</v>
      </c>
      <c r="DR1695" s="4"/>
      <c r="DS1695" s="4"/>
      <c r="DT1695" s="4"/>
      <c r="DU1695" s="4" t="s">
        <v>1030</v>
      </c>
      <c r="DV1695" s="4"/>
      <c r="DW1695" s="4"/>
      <c r="DX1695" s="4"/>
      <c r="DY1695" s="4"/>
      <c r="DZ1695" s="4"/>
      <c r="EA1695" s="4"/>
      <c r="EB1695" s="4"/>
      <c r="EC1695" s="4"/>
      <c r="ED1695" s="4"/>
      <c r="EE1695" s="4"/>
      <c r="EF1695" s="4"/>
      <c r="EG1695" s="4"/>
      <c r="EH1695" s="4"/>
      <c r="EI1695" s="5">
        <v>41892</v>
      </c>
    </row>
    <row r="1696" spans="1:139" hidden="1" x14ac:dyDescent="0.2">
      <c r="A1696">
        <f>VLOOKUP(B1696,Sheet1!$A$1:$B$18,2,FALSE)</f>
        <v>0</v>
      </c>
      <c r="B1696" t="str">
        <f>LEFT(D1696,3)</f>
        <v>WLG</v>
      </c>
      <c r="C1696" s="2">
        <v>1695</v>
      </c>
      <c r="D1696" s="3" t="str">
        <f>HYPERLINK("https://sitebase.nzcomms.co.nz/spm/spmnominalview/WLG-047-098/","WLG-047-098")</f>
        <v>WLG-047-098</v>
      </c>
      <c r="E1696" s="4" t="s">
        <v>5115</v>
      </c>
      <c r="F1696" s="3" t="str">
        <f>HYPERLINK("https://sitebase.nzcomms.co.nz/spm/spmcandidateview/WLG-047-098-A/","WLG-047-098-A")</f>
        <v>WLG-047-098-A</v>
      </c>
      <c r="G1696" s="4" t="s">
        <v>5116</v>
      </c>
      <c r="H1696" s="4" t="s">
        <v>4871</v>
      </c>
      <c r="I1696" s="4">
        <v>24</v>
      </c>
      <c r="J1696" s="4" t="s">
        <v>196</v>
      </c>
      <c r="K1696" s="4" t="s">
        <v>141</v>
      </c>
      <c r="L1696" s="4" t="s">
        <v>189</v>
      </c>
      <c r="M1696" s="4" t="s">
        <v>592</v>
      </c>
      <c r="N1696" s="4" t="s">
        <v>364</v>
      </c>
      <c r="O1696" s="4"/>
      <c r="P1696" s="4"/>
      <c r="Q1696" s="4" t="s">
        <v>192</v>
      </c>
      <c r="R1696" s="4"/>
      <c r="S1696" s="4"/>
      <c r="T1696" s="4"/>
      <c r="U1696" s="4">
        <v>-41.286964259999998</v>
      </c>
      <c r="V1696" s="4">
        <v>174.75853610999999</v>
      </c>
      <c r="W1696" s="4"/>
      <c r="X1696" s="4"/>
      <c r="Y1696" s="4"/>
      <c r="Z1696" s="4"/>
      <c r="AA1696" s="4" t="s">
        <v>152</v>
      </c>
      <c r="AB1696" s="3" t="str">
        <f>HYPERLINK("https://sitebase.nzcomms.co.nz/spm/spmcandidateview/WLG-047-071-A/","WLG-047-071-A")</f>
        <v>WLG-047-071-A</v>
      </c>
      <c r="AC1696" s="4" t="b">
        <v>0</v>
      </c>
      <c r="AD1696" s="4" t="b">
        <v>0</v>
      </c>
      <c r="AE1696" s="4"/>
      <c r="AF1696" s="4"/>
      <c r="AG1696" s="4" t="b">
        <v>0</v>
      </c>
      <c r="AH1696" s="4"/>
      <c r="AI1696" s="5">
        <v>41878</v>
      </c>
      <c r="AJ1696" s="5">
        <v>41878</v>
      </c>
      <c r="AK1696" s="5">
        <v>41941</v>
      </c>
      <c r="AL1696" s="5">
        <v>41941</v>
      </c>
      <c r="AM1696" s="5">
        <v>41957</v>
      </c>
      <c r="AN1696" s="5">
        <v>41955</v>
      </c>
      <c r="AO1696" s="4">
        <v>2</v>
      </c>
      <c r="AP1696" s="5">
        <v>41957</v>
      </c>
      <c r="AQ1696" s="5">
        <v>41963</v>
      </c>
      <c r="AR1696" s="4"/>
      <c r="AS1696" s="5">
        <v>41989</v>
      </c>
      <c r="AT1696" s="5">
        <v>42153</v>
      </c>
      <c r="AU1696" s="5">
        <v>41985</v>
      </c>
      <c r="AV1696" s="4"/>
      <c r="AW1696" s="4"/>
      <c r="AX1696" s="4"/>
      <c r="AY1696" s="4" t="s">
        <v>172</v>
      </c>
      <c r="AZ1696" s="5">
        <v>42048</v>
      </c>
      <c r="BA1696" s="5">
        <v>42044</v>
      </c>
      <c r="BB1696" s="5">
        <v>42076</v>
      </c>
      <c r="BC1696" s="5">
        <v>42055</v>
      </c>
      <c r="BD1696" s="4">
        <v>2</v>
      </c>
      <c r="BE1696" s="4"/>
      <c r="BF1696" s="5">
        <v>42055</v>
      </c>
      <c r="BG1696" s="5">
        <v>42167</v>
      </c>
      <c r="BH1696" s="5">
        <v>42171</v>
      </c>
      <c r="BI1696" s="5">
        <v>42195</v>
      </c>
      <c r="BJ1696" s="4"/>
      <c r="BK1696" s="4"/>
      <c r="BL1696" s="4"/>
      <c r="BM1696" s="4"/>
      <c r="BN1696" s="4"/>
      <c r="BO1696" s="4"/>
      <c r="BP1696" s="4"/>
      <c r="BQ1696" s="4"/>
      <c r="BR1696" s="4"/>
      <c r="BS1696" s="4"/>
      <c r="BT1696" s="5">
        <v>42223</v>
      </c>
      <c r="BU1696" s="4"/>
      <c r="BV1696" s="5">
        <v>42247</v>
      </c>
      <c r="BW1696" s="4"/>
      <c r="BX1696" s="4"/>
      <c r="BY1696" s="5">
        <v>42247</v>
      </c>
      <c r="BZ1696" s="4"/>
      <c r="CA1696" s="4"/>
      <c r="CB1696" s="4"/>
      <c r="CC1696" s="4"/>
      <c r="CD1696" s="4"/>
      <c r="CE1696" s="4"/>
      <c r="CF1696" s="4"/>
      <c r="CG1696" s="4"/>
      <c r="CH1696" s="4"/>
      <c r="CI1696" s="4"/>
      <c r="CJ1696" s="5">
        <v>42265</v>
      </c>
      <c r="CK1696" s="4"/>
      <c r="CL1696" s="4"/>
      <c r="CM1696" s="4"/>
      <c r="CN1696" s="4"/>
      <c r="CO1696" s="4"/>
      <c r="CP1696" s="4" t="s">
        <v>5117</v>
      </c>
      <c r="CQ1696" s="4"/>
      <c r="CR1696" s="4"/>
      <c r="CS1696" s="4"/>
      <c r="CT1696" s="4"/>
      <c r="CU1696" s="4"/>
      <c r="CV1696" s="4"/>
      <c r="CW1696" s="4"/>
      <c r="CX1696" s="4"/>
      <c r="CY1696" s="4"/>
      <c r="CZ1696" s="4"/>
      <c r="DA1696" s="5">
        <v>42251</v>
      </c>
      <c r="DB1696" s="4"/>
      <c r="DC1696" s="5">
        <v>42051</v>
      </c>
      <c r="DD1696" s="4" t="s">
        <v>586</v>
      </c>
      <c r="DE1696" s="4"/>
      <c r="DF1696" s="4"/>
      <c r="DG1696" s="4"/>
      <c r="DH1696" s="4" t="s">
        <v>174</v>
      </c>
      <c r="DI1696" s="4"/>
      <c r="DJ1696" s="4" t="b">
        <v>1</v>
      </c>
      <c r="DK1696" s="4"/>
      <c r="DL1696" s="4">
        <v>2657277</v>
      </c>
      <c r="DM1696" s="4">
        <v>5989607</v>
      </c>
      <c r="DN1696" s="4" t="s">
        <v>5118</v>
      </c>
      <c r="DO1696" s="4"/>
      <c r="DP1696" s="4"/>
      <c r="DQ1696" s="4" t="s">
        <v>148</v>
      </c>
      <c r="DR1696" s="4" t="s">
        <v>255</v>
      </c>
      <c r="DS1696" s="4"/>
      <c r="DT1696" s="4"/>
      <c r="DU1696" s="4" t="s">
        <v>1030</v>
      </c>
      <c r="DV1696" s="4"/>
      <c r="DW1696" s="4"/>
      <c r="DX1696" s="4"/>
      <c r="DY1696" s="4"/>
      <c r="DZ1696" s="4"/>
      <c r="EA1696" s="4"/>
      <c r="EB1696" s="4"/>
      <c r="EC1696" s="4"/>
      <c r="ED1696" s="4"/>
      <c r="EE1696" s="4"/>
      <c r="EF1696" s="4"/>
      <c r="EG1696" s="4"/>
      <c r="EH1696" s="4"/>
      <c r="EI1696" s="5">
        <v>41941</v>
      </c>
    </row>
    <row r="1697" spans="1:139" hidden="1" x14ac:dyDescent="0.2">
      <c r="A1697">
        <f>VLOOKUP(B1697,Sheet1!$A$1:$B$18,2,FALSE)</f>
        <v>0</v>
      </c>
      <c r="B1697" t="str">
        <f>LEFT(D1697,3)</f>
        <v>WLG</v>
      </c>
      <c r="C1697" s="2">
        <v>1696</v>
      </c>
      <c r="D1697" s="3" t="str">
        <f>HYPERLINK("https://sitebase.nzcomms.co.nz/spm/spmnominalview/WLG-048-001/","WLG-048-001")</f>
        <v>WLG-048-001</v>
      </c>
      <c r="E1697" s="4"/>
      <c r="F1697" s="4"/>
      <c r="G1697" s="4"/>
      <c r="H1697" s="4" t="s">
        <v>5119</v>
      </c>
      <c r="I1697" s="4"/>
      <c r="J1697" s="4" t="s">
        <v>196</v>
      </c>
      <c r="K1697" s="4"/>
      <c r="L1697" s="4"/>
      <c r="M1697" s="4"/>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4"/>
      <c r="BB1697" s="4"/>
      <c r="BC1697" s="4"/>
      <c r="BD1697" s="4"/>
      <c r="BE1697" s="4"/>
      <c r="BF1697" s="4"/>
      <c r="BG1697" s="4"/>
      <c r="BH1697" s="4"/>
      <c r="BI1697" s="4"/>
      <c r="BJ1697" s="4"/>
      <c r="BK1697" s="4"/>
      <c r="BL1697" s="4"/>
      <c r="BM1697" s="4"/>
      <c r="BN1697" s="4"/>
      <c r="BO1697" s="4"/>
      <c r="BP1697" s="4"/>
      <c r="BQ1697" s="4"/>
      <c r="BR1697" s="4"/>
      <c r="BS1697" s="4"/>
      <c r="BT1697" s="4"/>
      <c r="BU1697" s="4"/>
      <c r="BV1697" s="4"/>
      <c r="BW1697" s="4"/>
      <c r="BX1697" s="4"/>
      <c r="BY1697" s="4"/>
      <c r="BZ1697" s="4"/>
      <c r="CA1697" s="4"/>
      <c r="CB1697" s="4"/>
      <c r="CC1697" s="4"/>
      <c r="CD1697" s="4"/>
      <c r="CE1697" s="4"/>
      <c r="CF1697" s="4"/>
      <c r="CG1697" s="4"/>
      <c r="CH1697" s="4"/>
      <c r="CI1697" s="4"/>
      <c r="CJ1697" s="4"/>
      <c r="CK1697" s="4"/>
      <c r="CL1697" s="4"/>
      <c r="CM1697" s="4"/>
      <c r="CN1697" s="4"/>
      <c r="CO1697" s="4"/>
      <c r="CP1697" s="4"/>
      <c r="CQ1697" s="4"/>
      <c r="CR1697" s="4"/>
      <c r="CS1697" s="4"/>
      <c r="CT1697" s="4"/>
      <c r="CU1697" s="4"/>
      <c r="CV1697" s="4"/>
      <c r="CW1697" s="4"/>
      <c r="CX1697" s="4"/>
      <c r="CY1697" s="4"/>
      <c r="CZ1697" s="4"/>
      <c r="DA1697" s="4"/>
      <c r="DB1697" s="4"/>
      <c r="DC1697" s="4"/>
      <c r="DD1697" s="4"/>
      <c r="DE1697" s="4"/>
      <c r="DF1697" s="4"/>
      <c r="DG1697" s="4"/>
      <c r="DH1697" s="4"/>
      <c r="DI1697" s="4"/>
      <c r="DJ1697" s="4"/>
      <c r="DK1697" s="4"/>
      <c r="DL1697" s="4"/>
      <c r="DM1697" s="4"/>
      <c r="DN1697" s="4"/>
      <c r="DO1697" s="4"/>
      <c r="DP1697" s="4"/>
      <c r="DQ1697" s="4"/>
      <c r="DR1697" s="4"/>
      <c r="DS1697" s="4"/>
      <c r="DT1697" s="4"/>
      <c r="DU1697" s="4"/>
      <c r="DV1697" s="4"/>
      <c r="DW1697" s="4"/>
      <c r="DX1697" s="4"/>
      <c r="DY1697" s="4"/>
      <c r="DZ1697" s="4"/>
      <c r="EA1697" s="4"/>
      <c r="EB1697" s="4"/>
      <c r="EC1697" s="4"/>
      <c r="ED1697" s="4"/>
      <c r="EE1697" s="4"/>
      <c r="EF1697" s="4"/>
      <c r="EG1697" s="4"/>
      <c r="EH1697" s="4"/>
      <c r="EI1697" s="4"/>
    </row>
    <row r="1698" spans="1:139" hidden="1" x14ac:dyDescent="0.2">
      <c r="A1698">
        <f>VLOOKUP(B1698,Sheet1!$A$1:$B$18,2,FALSE)</f>
        <v>0</v>
      </c>
      <c r="B1698" t="str">
        <f>LEFT(D1698,3)</f>
        <v>WLG</v>
      </c>
      <c r="C1698" s="2">
        <v>1697</v>
      </c>
      <c r="D1698" s="3" t="str">
        <f>HYPERLINK("https://sitebase.nzcomms.co.nz/spm/spmnominalview/WLG-048-002/","WLG-048-002")</f>
        <v>WLG-048-002</v>
      </c>
      <c r="E1698" s="4" t="s">
        <v>5120</v>
      </c>
      <c r="F1698" s="3" t="str">
        <f>HYPERLINK("https://sitebase.nzcomms.co.nz/spm/spmcandidateview/WLG-048-002-B/","WLG-048-002-B")</f>
        <v>WLG-048-002-B</v>
      </c>
      <c r="G1698" s="4" t="s">
        <v>5121</v>
      </c>
      <c r="H1698" s="4" t="s">
        <v>5119</v>
      </c>
      <c r="I1698" s="4">
        <v>6</v>
      </c>
      <c r="J1698" s="4" t="s">
        <v>180</v>
      </c>
      <c r="K1698" s="4" t="s">
        <v>141</v>
      </c>
      <c r="L1698" s="4" t="s">
        <v>150</v>
      </c>
      <c r="M1698" s="4" t="s">
        <v>190</v>
      </c>
      <c r="N1698" s="4" t="s">
        <v>269</v>
      </c>
      <c r="O1698" s="4"/>
      <c r="P1698" s="4" t="s">
        <v>169</v>
      </c>
      <c r="Q1698" s="4" t="s">
        <v>192</v>
      </c>
      <c r="R1698" s="4"/>
      <c r="S1698" s="4"/>
      <c r="T1698" s="4">
        <v>1</v>
      </c>
      <c r="U1698" s="4">
        <v>-40.955668639999999</v>
      </c>
      <c r="V1698" s="4">
        <v>175.65145168999999</v>
      </c>
      <c r="W1698" s="4"/>
      <c r="X1698" s="5">
        <v>40940</v>
      </c>
      <c r="Y1698" s="4"/>
      <c r="Z1698" s="4"/>
      <c r="AA1698" s="4" t="s">
        <v>152</v>
      </c>
      <c r="AB1698" s="3" t="str">
        <f>HYPERLINK("https://sitebase.nzcomms.co.nz/spm/spmcandidateview/WLG-047-071-A/","WLG-047-071-A")</f>
        <v>WLG-047-071-A</v>
      </c>
      <c r="AC1698" s="4" t="b">
        <v>0</v>
      </c>
      <c r="AD1698" s="4" t="b">
        <v>0</v>
      </c>
      <c r="AE1698" s="4"/>
      <c r="AF1698" s="4"/>
      <c r="AG1698" s="4" t="b">
        <v>0</v>
      </c>
      <c r="AH1698" s="4"/>
      <c r="AI1698" s="5">
        <v>41072</v>
      </c>
      <c r="AJ1698" s="5">
        <v>41004</v>
      </c>
      <c r="AK1698" s="5">
        <v>41018</v>
      </c>
      <c r="AL1698" s="5">
        <v>41019</v>
      </c>
      <c r="AM1698" s="5">
        <v>41054</v>
      </c>
      <c r="AN1698" s="5">
        <v>41059</v>
      </c>
      <c r="AO1698" s="4">
        <v>1</v>
      </c>
      <c r="AP1698" s="5">
        <v>41054</v>
      </c>
      <c r="AQ1698" s="5">
        <v>41059</v>
      </c>
      <c r="AR1698" s="5">
        <v>41042</v>
      </c>
      <c r="AS1698" s="5">
        <v>41012</v>
      </c>
      <c r="AT1698" s="5">
        <v>41085</v>
      </c>
      <c r="AU1698" s="5">
        <v>41079</v>
      </c>
      <c r="AV1698" s="4"/>
      <c r="AW1698" s="5">
        <v>41085</v>
      </c>
      <c r="AX1698" s="5">
        <v>41079</v>
      </c>
      <c r="AY1698" s="4" t="s">
        <v>172</v>
      </c>
      <c r="AZ1698" s="5">
        <v>41058</v>
      </c>
      <c r="BA1698" s="5">
        <v>41061</v>
      </c>
      <c r="BB1698" s="5">
        <v>41089</v>
      </c>
      <c r="BC1698" s="5">
        <v>41075</v>
      </c>
      <c r="BD1698" s="4">
        <v>1</v>
      </c>
      <c r="BE1698" s="5">
        <v>41089</v>
      </c>
      <c r="BF1698" s="5">
        <v>41075</v>
      </c>
      <c r="BG1698" s="4"/>
      <c r="BH1698" s="4"/>
      <c r="BI1698" s="5">
        <v>41159</v>
      </c>
      <c r="BJ1698" s="5">
        <v>41162</v>
      </c>
      <c r="BK1698" s="4">
        <v>1</v>
      </c>
      <c r="BL1698" s="4"/>
      <c r="BM1698" s="5">
        <v>41159</v>
      </c>
      <c r="BN1698" s="5">
        <v>41162</v>
      </c>
      <c r="BO1698" s="4"/>
      <c r="BP1698" s="4"/>
      <c r="BQ1698" s="4"/>
      <c r="BR1698" s="4"/>
      <c r="BS1698" s="4"/>
      <c r="BT1698" s="5">
        <v>41136</v>
      </c>
      <c r="BU1698" s="5">
        <v>41136</v>
      </c>
      <c r="BV1698" s="5">
        <v>41159</v>
      </c>
      <c r="BW1698" s="5">
        <v>41156</v>
      </c>
      <c r="BX1698" s="5">
        <v>41152</v>
      </c>
      <c r="BY1698" s="5">
        <v>41159</v>
      </c>
      <c r="BZ1698" s="5">
        <v>41162</v>
      </c>
      <c r="CA1698" s="4"/>
      <c r="CB1698" s="4"/>
      <c r="CC1698" s="4"/>
      <c r="CD1698" s="4"/>
      <c r="CE1698" s="4"/>
      <c r="CF1698" s="4"/>
      <c r="CG1698" s="4"/>
      <c r="CH1698" s="4"/>
      <c r="CI1698" s="5">
        <v>41165</v>
      </c>
      <c r="CJ1698" s="5">
        <v>41226</v>
      </c>
      <c r="CK1698" s="5">
        <v>41200</v>
      </c>
      <c r="CL1698" s="5">
        <v>41226</v>
      </c>
      <c r="CM1698" s="5">
        <v>41205</v>
      </c>
      <c r="CN1698" s="5">
        <v>41389</v>
      </c>
      <c r="CO1698" s="5">
        <v>41390</v>
      </c>
      <c r="CP1698" s="4"/>
      <c r="CQ1698" s="4" t="s">
        <v>230</v>
      </c>
      <c r="CR1698" s="5">
        <v>41165</v>
      </c>
      <c r="CS1698" s="5">
        <v>41142</v>
      </c>
      <c r="CT1698" s="5">
        <v>41149</v>
      </c>
      <c r="CU1698" s="5">
        <v>41146</v>
      </c>
      <c r="CV1698" s="4"/>
      <c r="CW1698" s="5">
        <v>41145</v>
      </c>
      <c r="CX1698" s="4"/>
      <c r="CY1698" s="5">
        <v>41150</v>
      </c>
      <c r="CZ1698" s="5">
        <v>41155</v>
      </c>
      <c r="DA1698" s="5">
        <v>41200</v>
      </c>
      <c r="DB1698" s="5">
        <v>41191</v>
      </c>
      <c r="DC1698" s="5">
        <v>41015</v>
      </c>
      <c r="DD1698" s="4" t="s">
        <v>573</v>
      </c>
      <c r="DE1698" s="4" t="s">
        <v>3396</v>
      </c>
      <c r="DF1698" s="5">
        <v>41163</v>
      </c>
      <c r="DG1698" s="5">
        <v>41162</v>
      </c>
      <c r="DH1698" s="4" t="s">
        <v>174</v>
      </c>
      <c r="DI1698" s="5">
        <v>41150</v>
      </c>
      <c r="DJ1698" s="4" t="b">
        <v>0</v>
      </c>
      <c r="DK1698" s="4"/>
      <c r="DL1698" s="4">
        <v>2733166</v>
      </c>
      <c r="DM1698" s="4">
        <v>6024499</v>
      </c>
      <c r="DN1698" s="4" t="s">
        <v>5122</v>
      </c>
      <c r="DO1698" s="4"/>
      <c r="DP1698" s="4"/>
      <c r="DQ1698" s="4" t="s">
        <v>148</v>
      </c>
      <c r="DR1698" s="4"/>
      <c r="DS1698" s="4"/>
      <c r="DT1698" s="5">
        <v>42297</v>
      </c>
      <c r="DU1698" s="4"/>
      <c r="DV1698" s="4"/>
      <c r="DW1698" s="4"/>
      <c r="DX1698" s="4"/>
      <c r="DY1698" s="4"/>
      <c r="DZ1698" s="4"/>
      <c r="EA1698" s="4"/>
      <c r="EB1698" s="4"/>
      <c r="EC1698" s="4"/>
      <c r="ED1698" s="4"/>
      <c r="EE1698" s="4"/>
      <c r="EF1698" s="4"/>
      <c r="EG1698" s="5">
        <v>41210</v>
      </c>
      <c r="EH1698" s="5">
        <v>41191</v>
      </c>
      <c r="EI1698" s="4"/>
    </row>
    <row r="1699" spans="1:139" hidden="1" x14ac:dyDescent="0.2">
      <c r="A1699">
        <f>VLOOKUP(B1699,Sheet1!$A$1:$B$18,2,FALSE)</f>
        <v>0</v>
      </c>
      <c r="B1699" t="str">
        <f>LEFT(D1699,3)</f>
        <v>WLG</v>
      </c>
      <c r="C1699" s="2">
        <v>1698</v>
      </c>
      <c r="D1699" s="3" t="str">
        <f>HYPERLINK("https://sitebase.nzcomms.co.nz/spm/spmnominalview/WLG-048-003/","WLG-048-003")</f>
        <v>WLG-048-003</v>
      </c>
      <c r="E1699" s="4" t="s">
        <v>5123</v>
      </c>
      <c r="F1699" s="3" t="str">
        <f>HYPERLINK("https://sitebase.nzcomms.co.nz/spm/spmcandidateview/WLG-048-003-B/","WLG-048-003-B")</f>
        <v>WLG-048-003-B</v>
      </c>
      <c r="G1699" s="4" t="s">
        <v>5124</v>
      </c>
      <c r="H1699" s="4" t="s">
        <v>5119</v>
      </c>
      <c r="I1699" s="4">
        <v>6</v>
      </c>
      <c r="J1699" s="4" t="s">
        <v>180</v>
      </c>
      <c r="K1699" s="4" t="s">
        <v>141</v>
      </c>
      <c r="L1699" s="4" t="s">
        <v>150</v>
      </c>
      <c r="M1699" s="4" t="s">
        <v>190</v>
      </c>
      <c r="N1699" s="4" t="s">
        <v>1557</v>
      </c>
      <c r="O1699" s="4"/>
      <c r="P1699" s="4" t="s">
        <v>169</v>
      </c>
      <c r="Q1699" s="4" t="s">
        <v>192</v>
      </c>
      <c r="R1699" s="4"/>
      <c r="S1699" s="4"/>
      <c r="T1699" s="4"/>
      <c r="U1699" s="4">
        <v>-40.940498140000003</v>
      </c>
      <c r="V1699" s="4">
        <v>175.65852207</v>
      </c>
      <c r="W1699" s="4"/>
      <c r="X1699" s="5">
        <v>40940</v>
      </c>
      <c r="Y1699" s="4"/>
      <c r="Z1699" s="4"/>
      <c r="AA1699" s="4" t="s">
        <v>171</v>
      </c>
      <c r="AB1699" s="3" t="str">
        <f>HYPERLINK("https://sitebase.nzcomms.co.nz/spm/spmcandidateview/WLG-048-002-B/","WLG-048-002-B")</f>
        <v>WLG-048-002-B</v>
      </c>
      <c r="AC1699" s="4" t="b">
        <v>0</v>
      </c>
      <c r="AD1699" s="4" t="b">
        <v>0</v>
      </c>
      <c r="AE1699" s="4"/>
      <c r="AF1699" s="4"/>
      <c r="AG1699" s="4" t="b">
        <v>0</v>
      </c>
      <c r="AH1699" s="4"/>
      <c r="AI1699" s="5">
        <v>41072</v>
      </c>
      <c r="AJ1699" s="5">
        <v>41004</v>
      </c>
      <c r="AK1699" s="5">
        <v>41025</v>
      </c>
      <c r="AL1699" s="5">
        <v>41025</v>
      </c>
      <c r="AM1699" s="5">
        <v>41054</v>
      </c>
      <c r="AN1699" s="5">
        <v>41059</v>
      </c>
      <c r="AO1699" s="4">
        <v>1</v>
      </c>
      <c r="AP1699" s="5">
        <v>41054</v>
      </c>
      <c r="AQ1699" s="5">
        <v>41059</v>
      </c>
      <c r="AR1699" s="5">
        <v>41042</v>
      </c>
      <c r="AS1699" s="5">
        <v>41012</v>
      </c>
      <c r="AT1699" s="5">
        <v>41085</v>
      </c>
      <c r="AU1699" s="5">
        <v>41087</v>
      </c>
      <c r="AV1699" s="4">
        <v>1</v>
      </c>
      <c r="AW1699" s="5">
        <v>41085</v>
      </c>
      <c r="AX1699" s="5">
        <v>41087</v>
      </c>
      <c r="AY1699" s="4" t="s">
        <v>172</v>
      </c>
      <c r="AZ1699" s="5">
        <v>41058</v>
      </c>
      <c r="BA1699" s="5">
        <v>41061</v>
      </c>
      <c r="BB1699" s="5">
        <v>41089</v>
      </c>
      <c r="BC1699" s="5">
        <v>41075</v>
      </c>
      <c r="BD1699" s="4">
        <v>1</v>
      </c>
      <c r="BE1699" s="5">
        <v>41089</v>
      </c>
      <c r="BF1699" s="5">
        <v>41075</v>
      </c>
      <c r="BG1699" s="4"/>
      <c r="BH1699" s="4"/>
      <c r="BI1699" s="5">
        <v>41163</v>
      </c>
      <c r="BJ1699" s="5">
        <v>41158</v>
      </c>
      <c r="BK1699" s="4">
        <v>1</v>
      </c>
      <c r="BL1699" s="4"/>
      <c r="BM1699" s="5">
        <v>41163</v>
      </c>
      <c r="BN1699" s="5">
        <v>41158</v>
      </c>
      <c r="BO1699" s="5">
        <v>41165</v>
      </c>
      <c r="BP1699" s="4"/>
      <c r="BQ1699" s="4"/>
      <c r="BR1699" s="4"/>
      <c r="BS1699" s="4"/>
      <c r="BT1699" s="5">
        <v>41148</v>
      </c>
      <c r="BU1699" s="5">
        <v>41148</v>
      </c>
      <c r="BV1699" s="5">
        <v>41166</v>
      </c>
      <c r="BW1699" s="5">
        <v>41172</v>
      </c>
      <c r="BX1699" s="5">
        <v>41173</v>
      </c>
      <c r="BY1699" s="5">
        <v>41177</v>
      </c>
      <c r="BZ1699" s="5">
        <v>41179</v>
      </c>
      <c r="CA1699" s="4"/>
      <c r="CB1699" s="4"/>
      <c r="CC1699" s="4"/>
      <c r="CD1699" s="4"/>
      <c r="CE1699" s="4"/>
      <c r="CF1699" s="4"/>
      <c r="CG1699" s="4"/>
      <c r="CH1699" s="4"/>
      <c r="CI1699" s="5">
        <v>41183</v>
      </c>
      <c r="CJ1699" s="5">
        <v>41226</v>
      </c>
      <c r="CK1699" s="5">
        <v>41200</v>
      </c>
      <c r="CL1699" s="5">
        <v>41226</v>
      </c>
      <c r="CM1699" s="5">
        <v>41211</v>
      </c>
      <c r="CN1699" s="5">
        <v>41391</v>
      </c>
      <c r="CO1699" s="5">
        <v>41379</v>
      </c>
      <c r="CP1699" s="4"/>
      <c r="CQ1699" s="4"/>
      <c r="CR1699" s="5">
        <v>41183</v>
      </c>
      <c r="CS1699" s="5">
        <v>41122</v>
      </c>
      <c r="CT1699" s="5">
        <v>41122</v>
      </c>
      <c r="CU1699" s="5">
        <v>41152</v>
      </c>
      <c r="CV1699" s="4"/>
      <c r="CW1699" s="5">
        <v>41152</v>
      </c>
      <c r="CX1699" s="5">
        <v>41165</v>
      </c>
      <c r="CY1699" s="5">
        <v>41176</v>
      </c>
      <c r="CZ1699" s="5">
        <v>41176</v>
      </c>
      <c r="DA1699" s="5">
        <v>41200</v>
      </c>
      <c r="DB1699" s="5">
        <v>41194</v>
      </c>
      <c r="DC1699" s="5">
        <v>41015</v>
      </c>
      <c r="DD1699" s="4" t="s">
        <v>206</v>
      </c>
      <c r="DE1699" s="4" t="s">
        <v>3396</v>
      </c>
      <c r="DF1699" s="4"/>
      <c r="DG1699" s="4"/>
      <c r="DH1699" s="4" t="s">
        <v>174</v>
      </c>
      <c r="DI1699" s="5">
        <v>41173</v>
      </c>
      <c r="DJ1699" s="4" t="b">
        <v>0</v>
      </c>
      <c r="DK1699" s="4"/>
      <c r="DL1699" s="4">
        <v>2733812</v>
      </c>
      <c r="DM1699" s="4">
        <v>6026165</v>
      </c>
      <c r="DN1699" s="4" t="s">
        <v>5125</v>
      </c>
      <c r="DO1699" s="4"/>
      <c r="DP1699" s="4"/>
      <c r="DQ1699" s="4" t="s">
        <v>148</v>
      </c>
      <c r="DR1699" s="4"/>
      <c r="DS1699" s="4"/>
      <c r="DT1699" s="5">
        <v>42297</v>
      </c>
      <c r="DU1699" s="4"/>
      <c r="DV1699" s="4"/>
      <c r="DW1699" s="4"/>
      <c r="DX1699" s="4"/>
      <c r="DY1699" s="4"/>
      <c r="DZ1699" s="4"/>
      <c r="EA1699" s="4"/>
      <c r="EB1699" s="4"/>
      <c r="EC1699" s="4"/>
      <c r="ED1699" s="4"/>
      <c r="EE1699" s="4"/>
      <c r="EF1699" s="4"/>
      <c r="EG1699" s="5">
        <v>41197</v>
      </c>
      <c r="EH1699" s="5">
        <v>41197</v>
      </c>
      <c r="EI1699" s="4"/>
    </row>
    <row r="1700" spans="1:139" hidden="1" x14ac:dyDescent="0.2">
      <c r="A1700">
        <f>VLOOKUP(B1700,Sheet1!$A$1:$B$18,2,FALSE)</f>
        <v>0</v>
      </c>
      <c r="B1700" t="str">
        <f>LEFT(D1700,3)</f>
        <v>WLG</v>
      </c>
      <c r="C1700" s="2">
        <v>1699</v>
      </c>
      <c r="D1700" s="3" t="str">
        <f>HYPERLINK("https://sitebase.nzcomms.co.nz/spm/spmnominalview/WLG-048-004/","WLG-048-004")</f>
        <v>WLG-048-004</v>
      </c>
      <c r="E1700" s="4"/>
      <c r="F1700" s="4"/>
      <c r="G1700" s="4"/>
      <c r="H1700" s="4" t="s">
        <v>5119</v>
      </c>
      <c r="I1700" s="4"/>
      <c r="J1700" s="4" t="s">
        <v>196</v>
      </c>
      <c r="K1700" s="4"/>
      <c r="L1700" s="4"/>
      <c r="M1700" s="4"/>
      <c r="N1700" s="4"/>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B1700" s="4"/>
      <c r="BC1700" s="4"/>
      <c r="BD1700" s="4"/>
      <c r="BE1700" s="4"/>
      <c r="BF1700" s="4"/>
      <c r="BG1700" s="4"/>
      <c r="BH1700" s="4"/>
      <c r="BI1700" s="4"/>
      <c r="BJ1700" s="4"/>
      <c r="BK1700" s="4"/>
      <c r="BL1700" s="4"/>
      <c r="BM1700" s="4"/>
      <c r="BN1700" s="4"/>
      <c r="BO1700" s="4"/>
      <c r="BP1700" s="4"/>
      <c r="BQ1700" s="4"/>
      <c r="BR1700" s="4"/>
      <c r="BS1700" s="4"/>
      <c r="BT1700" s="4"/>
      <c r="BU1700" s="4"/>
      <c r="BV1700" s="4"/>
      <c r="BW1700" s="4"/>
      <c r="BX1700" s="4"/>
      <c r="BY1700" s="4"/>
      <c r="BZ1700" s="4"/>
      <c r="CA1700" s="4"/>
      <c r="CB1700" s="4"/>
      <c r="CC1700" s="4"/>
      <c r="CD1700" s="4"/>
      <c r="CE1700" s="4"/>
      <c r="CF1700" s="4"/>
      <c r="CG1700" s="4"/>
      <c r="CH1700" s="4"/>
      <c r="CI1700" s="4"/>
      <c r="CJ1700" s="4"/>
      <c r="CK1700" s="4"/>
      <c r="CL1700" s="4"/>
      <c r="CM1700" s="4"/>
      <c r="CN1700" s="4"/>
      <c r="CO1700" s="4"/>
      <c r="CP1700" s="4"/>
      <c r="CQ1700" s="4"/>
      <c r="CR1700" s="4"/>
      <c r="CS1700" s="4"/>
      <c r="CT1700" s="4"/>
      <c r="CU1700" s="4"/>
      <c r="CV1700" s="4"/>
      <c r="CW1700" s="4"/>
      <c r="CX1700" s="4"/>
      <c r="CY1700" s="4"/>
      <c r="CZ1700" s="4"/>
      <c r="DA1700" s="4"/>
      <c r="DB1700" s="4"/>
      <c r="DC1700" s="4"/>
      <c r="DD1700" s="4"/>
      <c r="DE1700" s="4"/>
      <c r="DF1700" s="4"/>
      <c r="DG1700" s="4"/>
      <c r="DH1700" s="4"/>
      <c r="DI1700" s="4"/>
      <c r="DJ1700" s="4"/>
      <c r="DK1700" s="4"/>
      <c r="DL1700" s="4"/>
      <c r="DM1700" s="4"/>
      <c r="DN1700" s="4"/>
      <c r="DO1700" s="4"/>
      <c r="DP1700" s="4"/>
      <c r="DQ1700" s="4"/>
      <c r="DR1700" s="4"/>
      <c r="DS1700" s="4"/>
      <c r="DT1700" s="4"/>
      <c r="DU1700" s="4"/>
      <c r="DV1700" s="4"/>
      <c r="DW1700" s="4"/>
      <c r="DX1700" s="4"/>
      <c r="DY1700" s="4"/>
      <c r="DZ1700" s="4"/>
      <c r="EA1700" s="4"/>
      <c r="EB1700" s="4"/>
      <c r="EC1700" s="4"/>
      <c r="ED1700" s="4"/>
      <c r="EE1700" s="4"/>
      <c r="EF1700" s="4"/>
      <c r="EG1700" s="4"/>
      <c r="EH1700" s="4"/>
      <c r="EI1700" s="4"/>
    </row>
    <row r="1701" spans="1:139" hidden="1" x14ac:dyDescent="0.2">
      <c r="A1701">
        <f>VLOOKUP(B1701,Sheet1!$A$1:$B$18,2,FALSE)</f>
        <v>0</v>
      </c>
      <c r="B1701" t="str">
        <f>LEFT(D1701,3)</f>
        <v>WLG</v>
      </c>
      <c r="C1701" s="2">
        <v>1700</v>
      </c>
      <c r="D1701" s="3" t="str">
        <f>HYPERLINK("https://sitebase.nzcomms.co.nz/spm/spmnominalview/WLG-048-005/","WLG-048-005")</f>
        <v>WLG-048-005</v>
      </c>
      <c r="E1701" s="4" t="s">
        <v>5126</v>
      </c>
      <c r="F1701" s="4"/>
      <c r="G1701" s="4"/>
      <c r="H1701" s="4" t="s">
        <v>5119</v>
      </c>
      <c r="I1701" s="4">
        <v>6</v>
      </c>
      <c r="J1701" s="4" t="s">
        <v>180</v>
      </c>
      <c r="K1701" s="4"/>
      <c r="L1701" s="4"/>
      <c r="M1701" s="4"/>
      <c r="N1701" s="4"/>
      <c r="O1701" s="4"/>
      <c r="P1701" s="4"/>
      <c r="Q1701" s="4"/>
      <c r="R1701" s="4"/>
      <c r="S1701" s="4"/>
      <c r="T1701" s="4"/>
      <c r="U1701" s="4"/>
      <c r="V1701" s="4"/>
      <c r="W1701" s="4"/>
      <c r="X1701" s="4"/>
      <c r="Y1701" s="4"/>
      <c r="Z1701" s="4"/>
      <c r="AA1701" s="4"/>
      <c r="AB1701" s="4"/>
      <c r="AC1701" s="4"/>
      <c r="AD1701" s="4"/>
      <c r="AE1701" s="4"/>
      <c r="AF1701" s="4"/>
      <c r="AG1701" s="4" t="b">
        <v>0</v>
      </c>
      <c r="AH1701" s="4"/>
      <c r="AI1701" s="4"/>
      <c r="AJ1701" s="4"/>
      <c r="AK1701" s="4"/>
      <c r="AL1701" s="4"/>
      <c r="AM1701" s="4"/>
      <c r="AN1701" s="4"/>
      <c r="AO1701" s="4"/>
      <c r="AP1701" s="4"/>
      <c r="AQ1701" s="4"/>
      <c r="AR1701" s="4"/>
      <c r="AS1701" s="4"/>
      <c r="AT1701" s="4"/>
      <c r="AU1701" s="4"/>
      <c r="AV1701" s="4"/>
      <c r="AW1701" s="4"/>
      <c r="AX1701" s="4"/>
      <c r="AY1701" s="4"/>
      <c r="AZ1701" s="4"/>
      <c r="BA1701" s="4"/>
      <c r="BB1701" s="4"/>
      <c r="BC1701" s="4"/>
      <c r="BD1701" s="4"/>
      <c r="BE1701" s="4"/>
      <c r="BF1701" s="4"/>
      <c r="BG1701" s="4"/>
      <c r="BH1701" s="4"/>
      <c r="BI1701" s="4"/>
      <c r="BJ1701" s="4"/>
      <c r="BK1701" s="4"/>
      <c r="BL1701" s="4"/>
      <c r="BM1701" s="4"/>
      <c r="BN1701" s="4"/>
      <c r="BO1701" s="4"/>
      <c r="BP1701" s="4"/>
      <c r="BQ1701" s="4"/>
      <c r="BR1701" s="4"/>
      <c r="BS1701" s="4"/>
      <c r="BT1701" s="4"/>
      <c r="BU1701" s="4"/>
      <c r="BV1701" s="4"/>
      <c r="BW1701" s="4"/>
      <c r="BX1701" s="4"/>
      <c r="BY1701" s="4"/>
      <c r="BZ1701" s="4"/>
      <c r="CA1701" s="4"/>
      <c r="CB1701" s="4"/>
      <c r="CC1701" s="4"/>
      <c r="CD1701" s="4"/>
      <c r="CE1701" s="4"/>
      <c r="CF1701" s="4"/>
      <c r="CG1701" s="4"/>
      <c r="CH1701" s="4"/>
      <c r="CI1701" s="4"/>
      <c r="CJ1701" s="4"/>
      <c r="CK1701" s="4"/>
      <c r="CL1701" s="4"/>
      <c r="CM1701" s="4"/>
      <c r="CN1701" s="4"/>
      <c r="CO1701" s="4"/>
      <c r="CP1701" s="4" t="s">
        <v>5127</v>
      </c>
      <c r="CQ1701" s="4"/>
      <c r="CR1701" s="4"/>
      <c r="CS1701" s="4"/>
      <c r="CT1701" s="4"/>
      <c r="CU1701" s="4"/>
      <c r="CV1701" s="4"/>
      <c r="CW1701" s="4"/>
      <c r="CX1701" s="4"/>
      <c r="CY1701" s="4"/>
      <c r="CZ1701" s="4"/>
      <c r="DA1701" s="4"/>
      <c r="DB1701" s="4"/>
      <c r="DC1701" s="4"/>
      <c r="DD1701" s="4"/>
      <c r="DE1701" s="4" t="s">
        <v>3396</v>
      </c>
      <c r="DF1701" s="4"/>
      <c r="DG1701" s="4"/>
      <c r="DH1701" s="4"/>
      <c r="DI1701" s="4"/>
      <c r="DJ1701" s="4"/>
      <c r="DK1701" s="4"/>
      <c r="DL1701" s="4"/>
      <c r="DM1701" s="4"/>
      <c r="DN1701" s="4"/>
      <c r="DO1701" s="4"/>
      <c r="DP1701" s="4"/>
      <c r="DQ1701" s="4"/>
      <c r="DR1701" s="4"/>
      <c r="DS1701" s="4"/>
      <c r="DT1701" s="4"/>
      <c r="DU1701" s="4"/>
      <c r="DV1701" s="4"/>
      <c r="DW1701" s="4"/>
      <c r="DX1701" s="4"/>
      <c r="DY1701" s="4"/>
      <c r="DZ1701" s="4"/>
      <c r="EA1701" s="4"/>
      <c r="EB1701" s="4"/>
      <c r="EC1701" s="4"/>
      <c r="ED1701" s="4"/>
      <c r="EE1701" s="4"/>
      <c r="EF1701" s="4"/>
      <c r="EG1701" s="4"/>
      <c r="EH1701" s="4"/>
      <c r="EI1701" s="4"/>
    </row>
    <row r="1702" spans="1:139" hidden="1" x14ac:dyDescent="0.2">
      <c r="A1702">
        <f>VLOOKUP(B1702,Sheet1!$A$1:$B$18,2,FALSE)</f>
        <v>0</v>
      </c>
      <c r="B1702" t="str">
        <f>LEFT(D1702,3)</f>
        <v>WLG</v>
      </c>
      <c r="C1702" s="2">
        <v>1701</v>
      </c>
      <c r="D1702" s="3" t="str">
        <f>HYPERLINK("https://sitebase.nzcomms.co.nz/spm/spmnominalview/WLG-048-006/","WLG-048-006")</f>
        <v>WLG-048-006</v>
      </c>
      <c r="E1702" s="4"/>
      <c r="F1702" s="4"/>
      <c r="G1702" s="4"/>
      <c r="H1702" s="4" t="s">
        <v>5119</v>
      </c>
      <c r="I1702" s="4"/>
      <c r="J1702" s="4" t="s">
        <v>196</v>
      </c>
      <c r="K1702" s="4"/>
      <c r="L1702" s="4"/>
      <c r="M1702" s="4"/>
      <c r="N1702" s="4"/>
      <c r="O1702" s="4"/>
      <c r="P1702" s="4"/>
      <c r="Q1702" s="4"/>
      <c r="R1702" s="4"/>
      <c r="S1702" s="4"/>
      <c r="T1702" s="4"/>
      <c r="U1702" s="4"/>
      <c r="V1702" s="4"/>
      <c r="W1702" s="4"/>
      <c r="X1702" s="4"/>
      <c r="Y1702" s="4"/>
      <c r="Z1702" s="4"/>
      <c r="AA1702" s="4"/>
      <c r="AB1702" s="4"/>
      <c r="AC1702" s="4"/>
      <c r="AD1702" s="4"/>
      <c r="AE1702" s="4"/>
      <c r="AF1702" s="4"/>
      <c r="AG1702" s="4"/>
      <c r="AH1702" s="4"/>
      <c r="AI1702" s="4"/>
      <c r="AJ1702" s="4"/>
      <c r="AK1702" s="4"/>
      <c r="AL1702" s="4"/>
      <c r="AM1702" s="4"/>
      <c r="AN1702" s="4"/>
      <c r="AO1702" s="4"/>
      <c r="AP1702" s="4"/>
      <c r="AQ1702" s="4"/>
      <c r="AR1702" s="4"/>
      <c r="AS1702" s="4"/>
      <c r="AT1702" s="4"/>
      <c r="AU1702" s="4"/>
      <c r="AV1702" s="4"/>
      <c r="AW1702" s="4"/>
      <c r="AX1702" s="4"/>
      <c r="AY1702" s="4"/>
      <c r="AZ1702" s="4"/>
      <c r="BA1702" s="4"/>
      <c r="BB1702" s="4"/>
      <c r="BC1702" s="4"/>
      <c r="BD1702" s="4"/>
      <c r="BE1702" s="4"/>
      <c r="BF1702" s="4"/>
      <c r="BG1702" s="4"/>
      <c r="BH1702" s="4"/>
      <c r="BI1702" s="4"/>
      <c r="BJ1702" s="4"/>
      <c r="BK1702" s="4"/>
      <c r="BL1702" s="4"/>
      <c r="BM1702" s="4"/>
      <c r="BN1702" s="4"/>
      <c r="BO1702" s="4"/>
      <c r="BP1702" s="4"/>
      <c r="BQ1702" s="4"/>
      <c r="BR1702" s="4"/>
      <c r="BS1702" s="4"/>
      <c r="BT1702" s="4"/>
      <c r="BU1702" s="4"/>
      <c r="BV1702" s="4"/>
      <c r="BW1702" s="4"/>
      <c r="BX1702" s="4"/>
      <c r="BY1702" s="4"/>
      <c r="BZ1702" s="4"/>
      <c r="CA1702" s="4"/>
      <c r="CB1702" s="4"/>
      <c r="CC1702" s="4"/>
      <c r="CD1702" s="4"/>
      <c r="CE1702" s="4"/>
      <c r="CF1702" s="4"/>
      <c r="CG1702" s="4"/>
      <c r="CH1702" s="4"/>
      <c r="CI1702" s="4"/>
      <c r="CJ1702" s="4"/>
      <c r="CK1702" s="4"/>
      <c r="CL1702" s="4"/>
      <c r="CM1702" s="4"/>
      <c r="CN1702" s="4"/>
      <c r="CO1702" s="4"/>
      <c r="CP1702" s="4"/>
      <c r="CQ1702" s="4"/>
      <c r="CR1702" s="4"/>
      <c r="CS1702" s="4"/>
      <c r="CT1702" s="4"/>
      <c r="CU1702" s="4"/>
      <c r="CV1702" s="4"/>
      <c r="CW1702" s="4"/>
      <c r="CX1702" s="4"/>
      <c r="CY1702" s="4"/>
      <c r="CZ1702" s="4"/>
      <c r="DA1702" s="4"/>
      <c r="DB1702" s="4"/>
      <c r="DC1702" s="4"/>
      <c r="DD1702" s="4"/>
      <c r="DE1702" s="4"/>
      <c r="DF1702" s="4"/>
      <c r="DG1702" s="4"/>
      <c r="DH1702" s="4"/>
      <c r="DI1702" s="4"/>
      <c r="DJ1702" s="4"/>
      <c r="DK1702" s="4"/>
      <c r="DL1702" s="4"/>
      <c r="DM1702" s="4"/>
      <c r="DN1702" s="4"/>
      <c r="DO1702" s="4"/>
      <c r="DP1702" s="4"/>
      <c r="DQ1702" s="4"/>
      <c r="DR1702" s="4"/>
      <c r="DS1702" s="4"/>
      <c r="DT1702" s="4"/>
      <c r="DU1702" s="4"/>
      <c r="DV1702" s="4"/>
      <c r="DW1702" s="4"/>
      <c r="DX1702" s="4"/>
      <c r="DY1702" s="4"/>
      <c r="DZ1702" s="4"/>
      <c r="EA1702" s="4"/>
      <c r="EB1702" s="4"/>
      <c r="EC1702" s="4"/>
      <c r="ED1702" s="4"/>
      <c r="EE1702" s="4"/>
      <c r="EF1702" s="4"/>
      <c r="EG1702" s="4"/>
      <c r="EH1702" s="4"/>
      <c r="EI1702" s="4"/>
    </row>
    <row r="1703" spans="1:139" hidden="1" x14ac:dyDescent="0.2">
      <c r="A1703">
        <f>VLOOKUP(B1703,Sheet1!$A$1:$B$18,2,FALSE)</f>
        <v>0</v>
      </c>
      <c r="B1703" t="str">
        <f>LEFT(D1703,3)</f>
        <v>WLG</v>
      </c>
      <c r="C1703" s="2">
        <v>1702</v>
      </c>
      <c r="D1703" s="3" t="str">
        <f>HYPERLINK("https://sitebase.nzcomms.co.nz/spm/spmnominalview/WLG-048-007/","WLG-048-007")</f>
        <v>WLG-048-007</v>
      </c>
      <c r="E1703" s="4" t="s">
        <v>5128</v>
      </c>
      <c r="F1703" s="4"/>
      <c r="G1703" s="4"/>
      <c r="H1703" s="4" t="s">
        <v>5119</v>
      </c>
      <c r="I1703" s="4"/>
      <c r="J1703" s="4" t="s">
        <v>722</v>
      </c>
      <c r="K1703" s="4"/>
      <c r="L1703" s="4"/>
      <c r="M1703" s="4"/>
      <c r="N1703" s="4"/>
      <c r="O1703" s="4"/>
      <c r="P1703" s="4"/>
      <c r="Q1703" s="4"/>
      <c r="R1703" s="4"/>
      <c r="S1703" s="4"/>
      <c r="T1703" s="4"/>
      <c r="U1703" s="4"/>
      <c r="V1703" s="4"/>
      <c r="W1703" s="4"/>
      <c r="X1703" s="4"/>
      <c r="Y1703" s="4"/>
      <c r="Z1703" s="4"/>
      <c r="AA1703" s="4"/>
      <c r="AB1703" s="4"/>
      <c r="AC1703" s="4"/>
      <c r="AD1703" s="4"/>
      <c r="AE1703" s="4"/>
      <c r="AF1703" s="4"/>
      <c r="AG1703" s="4" t="b">
        <v>0</v>
      </c>
      <c r="AH1703" s="4"/>
      <c r="AI1703" s="4"/>
      <c r="AJ1703" s="4"/>
      <c r="AK1703" s="4"/>
      <c r="AL1703" s="4"/>
      <c r="AM1703" s="4"/>
      <c r="AN1703" s="4"/>
      <c r="AO1703" s="4"/>
      <c r="AP1703" s="4"/>
      <c r="AQ1703" s="4"/>
      <c r="AR1703" s="4"/>
      <c r="AS1703" s="4"/>
      <c r="AT1703" s="4"/>
      <c r="AU1703" s="4"/>
      <c r="AV1703" s="4"/>
      <c r="AW1703" s="4"/>
      <c r="AX1703" s="4"/>
      <c r="AY1703" s="4"/>
      <c r="AZ1703" s="4"/>
      <c r="BA1703" s="4"/>
      <c r="BB1703" s="4"/>
      <c r="BC1703" s="4"/>
      <c r="BD1703" s="4"/>
      <c r="BE1703" s="4"/>
      <c r="BF1703" s="4"/>
      <c r="BG1703" s="4"/>
      <c r="BH1703" s="4"/>
      <c r="BI1703" s="4"/>
      <c r="BJ1703" s="4"/>
      <c r="BK1703" s="4"/>
      <c r="BL1703" s="4"/>
      <c r="BM1703" s="4"/>
      <c r="BN1703" s="4"/>
      <c r="BO1703" s="4"/>
      <c r="BP1703" s="4"/>
      <c r="BQ1703" s="4"/>
      <c r="BR1703" s="4"/>
      <c r="BS1703" s="4"/>
      <c r="BT1703" s="4"/>
      <c r="BU1703" s="4"/>
      <c r="BV1703" s="4"/>
      <c r="BW1703" s="4"/>
      <c r="BX1703" s="4"/>
      <c r="BY1703" s="4"/>
      <c r="BZ1703" s="4"/>
      <c r="CA1703" s="4"/>
      <c r="CB1703" s="4"/>
      <c r="CC1703" s="4"/>
      <c r="CD1703" s="4"/>
      <c r="CE1703" s="4"/>
      <c r="CF1703" s="4"/>
      <c r="CG1703" s="4"/>
      <c r="CH1703" s="4"/>
      <c r="CI1703" s="4"/>
      <c r="CJ1703" s="4"/>
      <c r="CK1703" s="4"/>
      <c r="CL1703" s="4"/>
      <c r="CM1703" s="4"/>
      <c r="CN1703" s="4"/>
      <c r="CO1703" s="4"/>
      <c r="CP1703" s="4"/>
      <c r="CQ1703" s="4"/>
      <c r="CR1703" s="4"/>
      <c r="CS1703" s="4"/>
      <c r="CT1703" s="4"/>
      <c r="CU1703" s="4"/>
      <c r="CV1703" s="4"/>
      <c r="CW1703" s="4"/>
      <c r="CX1703" s="4"/>
      <c r="CY1703" s="4"/>
      <c r="CZ1703" s="4"/>
      <c r="DA1703" s="4"/>
      <c r="DB1703" s="4"/>
      <c r="DC1703" s="4"/>
      <c r="DD1703" s="4"/>
      <c r="DE1703" s="4"/>
      <c r="DF1703" s="4"/>
      <c r="DG1703" s="4"/>
      <c r="DH1703" s="4"/>
      <c r="DI1703" s="4"/>
      <c r="DJ1703" s="4"/>
      <c r="DK1703" s="4"/>
      <c r="DL1703" s="4"/>
      <c r="DM1703" s="4"/>
      <c r="DN1703" s="4"/>
      <c r="DO1703" s="4"/>
      <c r="DP1703" s="4"/>
      <c r="DQ1703" s="4"/>
      <c r="DR1703" s="4"/>
      <c r="DS1703" s="4"/>
      <c r="DT1703" s="4"/>
      <c r="DU1703" s="4"/>
      <c r="DV1703" s="4"/>
      <c r="DW1703" s="4"/>
      <c r="DX1703" s="4"/>
      <c r="DY1703" s="4"/>
      <c r="DZ1703" s="4"/>
      <c r="EA1703" s="4"/>
      <c r="EB1703" s="4"/>
      <c r="EC1703" s="4"/>
      <c r="ED1703" s="4"/>
      <c r="EE1703" s="4"/>
      <c r="EF1703" s="4"/>
      <c r="EG1703" s="4"/>
      <c r="EH1703" s="4"/>
      <c r="EI1703" s="4"/>
    </row>
    <row r="1704" spans="1:139" hidden="1" x14ac:dyDescent="0.2">
      <c r="A1704">
        <f>VLOOKUP(B1704,Sheet1!$A$1:$B$18,2,FALSE)</f>
        <v>0</v>
      </c>
      <c r="B1704" t="str">
        <f>LEFT(D1704,3)</f>
        <v>WLG</v>
      </c>
      <c r="C1704" s="2">
        <v>1703</v>
      </c>
      <c r="D1704" s="3" t="str">
        <f>HYPERLINK("https://sitebase.nzcomms.co.nz/spm/spmnominalview/WLG-048-008/","WLG-048-008")</f>
        <v>WLG-048-008</v>
      </c>
      <c r="E1704" s="4" t="s">
        <v>5129</v>
      </c>
      <c r="F1704" s="4"/>
      <c r="G1704" s="4"/>
      <c r="H1704" s="4" t="s">
        <v>5119</v>
      </c>
      <c r="I1704" s="4"/>
      <c r="J1704" s="4" t="s">
        <v>722</v>
      </c>
      <c r="K1704" s="4"/>
      <c r="L1704" s="4"/>
      <c r="M1704" s="4"/>
      <c r="N1704" s="4"/>
      <c r="O1704" s="4"/>
      <c r="P1704" s="4"/>
      <c r="Q1704" s="4"/>
      <c r="R1704" s="4"/>
      <c r="S1704" s="4"/>
      <c r="T1704" s="4"/>
      <c r="U1704" s="4"/>
      <c r="V1704" s="4"/>
      <c r="W1704" s="4"/>
      <c r="X1704" s="4"/>
      <c r="Y1704" s="4"/>
      <c r="Z1704" s="4"/>
      <c r="AA1704" s="4"/>
      <c r="AB1704" s="4"/>
      <c r="AC1704" s="4"/>
      <c r="AD1704" s="4"/>
      <c r="AE1704" s="4"/>
      <c r="AF1704" s="4"/>
      <c r="AG1704" s="4" t="b">
        <v>0</v>
      </c>
      <c r="AH1704" s="4"/>
      <c r="AI1704" s="4"/>
      <c r="AJ1704" s="4"/>
      <c r="AK1704" s="4"/>
      <c r="AL1704" s="4"/>
      <c r="AM1704" s="4"/>
      <c r="AN1704" s="4"/>
      <c r="AO1704" s="4"/>
      <c r="AP1704" s="4"/>
      <c r="AQ1704" s="4"/>
      <c r="AR1704" s="4"/>
      <c r="AS1704" s="4"/>
      <c r="AT1704" s="4"/>
      <c r="AU1704" s="4"/>
      <c r="AV1704" s="4"/>
      <c r="AW1704" s="4"/>
      <c r="AX1704" s="4"/>
      <c r="AY1704" s="4"/>
      <c r="AZ1704" s="4"/>
      <c r="BA1704" s="4"/>
      <c r="BB1704" s="4"/>
      <c r="BC1704" s="4"/>
      <c r="BD1704" s="4"/>
      <c r="BE1704" s="4"/>
      <c r="BF1704" s="4"/>
      <c r="BG1704" s="4"/>
      <c r="BH1704" s="4"/>
      <c r="BI1704" s="4"/>
      <c r="BJ1704" s="4"/>
      <c r="BK1704" s="4"/>
      <c r="BL1704" s="4"/>
      <c r="BM1704" s="4"/>
      <c r="BN1704" s="4"/>
      <c r="BO1704" s="4"/>
      <c r="BP1704" s="4"/>
      <c r="BQ1704" s="4"/>
      <c r="BR1704" s="4"/>
      <c r="BS1704" s="4"/>
      <c r="BT1704" s="4"/>
      <c r="BU1704" s="4"/>
      <c r="BV1704" s="4"/>
      <c r="BW1704" s="4"/>
      <c r="BX1704" s="4"/>
      <c r="BY1704" s="4"/>
      <c r="BZ1704" s="4"/>
      <c r="CA1704" s="4"/>
      <c r="CB1704" s="4"/>
      <c r="CC1704" s="4"/>
      <c r="CD1704" s="4"/>
      <c r="CE1704" s="4"/>
      <c r="CF1704" s="4"/>
      <c r="CG1704" s="4"/>
      <c r="CH1704" s="4"/>
      <c r="CI1704" s="4"/>
      <c r="CJ1704" s="4"/>
      <c r="CK1704" s="4"/>
      <c r="CL1704" s="4"/>
      <c r="CM1704" s="4"/>
      <c r="CN1704" s="4"/>
      <c r="CO1704" s="4"/>
      <c r="CP1704" s="4"/>
      <c r="CQ1704" s="4"/>
      <c r="CR1704" s="4"/>
      <c r="CS1704" s="4"/>
      <c r="CT1704" s="4"/>
      <c r="CU1704" s="4"/>
      <c r="CV1704" s="4"/>
      <c r="CW1704" s="4"/>
      <c r="CX1704" s="4"/>
      <c r="CY1704" s="4"/>
      <c r="CZ1704" s="4"/>
      <c r="DA1704" s="4"/>
      <c r="DB1704" s="4"/>
      <c r="DC1704" s="4"/>
      <c r="DD1704" s="4"/>
      <c r="DE1704" s="4"/>
      <c r="DF1704" s="4"/>
      <c r="DG1704" s="4"/>
      <c r="DH1704" s="4"/>
      <c r="DI1704" s="4"/>
      <c r="DJ1704" s="4"/>
      <c r="DK1704" s="4"/>
      <c r="DL1704" s="4"/>
      <c r="DM1704" s="4"/>
      <c r="DN1704" s="4"/>
      <c r="DO1704" s="4"/>
      <c r="DP1704" s="4"/>
      <c r="DQ1704" s="4"/>
      <c r="DR1704" s="4"/>
      <c r="DS1704" s="4"/>
      <c r="DT1704" s="4"/>
      <c r="DU1704" s="4"/>
      <c r="DV1704" s="4"/>
      <c r="DW1704" s="4"/>
      <c r="DX1704" s="4"/>
      <c r="DY1704" s="4"/>
      <c r="DZ1704" s="4"/>
      <c r="EA1704" s="4"/>
      <c r="EB1704" s="4"/>
      <c r="EC1704" s="4"/>
      <c r="ED1704" s="4"/>
      <c r="EE1704" s="4"/>
      <c r="EF1704" s="4"/>
      <c r="EG1704" s="4"/>
      <c r="EH1704" s="4"/>
      <c r="EI1704" s="4"/>
    </row>
    <row r="1705" spans="1:139" hidden="1" x14ac:dyDescent="0.2">
      <c r="A1705">
        <f>VLOOKUP(B1705,Sheet1!$A$1:$B$18,2,FALSE)</f>
        <v>0</v>
      </c>
      <c r="B1705" t="str">
        <f>LEFT(D1705,3)</f>
        <v>WLG</v>
      </c>
      <c r="C1705" s="2">
        <v>1704</v>
      </c>
      <c r="D1705" s="3" t="str">
        <f>HYPERLINK("https://sitebase.nzcomms.co.nz/spm/spmnominalview/WLG-049-001/","WLG-049-001")</f>
        <v>WLG-049-001</v>
      </c>
      <c r="E1705" s="4" t="s">
        <v>5130</v>
      </c>
      <c r="F1705" s="3" t="str">
        <f>HYPERLINK("https://sitebase.nzcomms.co.nz/spm/spmcandidateview/WLG-049-001-A/","WLG-049-001-A")</f>
        <v>WLG-049-001-A</v>
      </c>
      <c r="G1705" s="4" t="s">
        <v>5131</v>
      </c>
      <c r="H1705" s="4" t="s">
        <v>5132</v>
      </c>
      <c r="I1705" s="4">
        <v>6</v>
      </c>
      <c r="J1705" s="4" t="s">
        <v>180</v>
      </c>
      <c r="K1705" s="4" t="s">
        <v>141</v>
      </c>
      <c r="L1705" s="4" t="s">
        <v>142</v>
      </c>
      <c r="M1705" s="4" t="s">
        <v>190</v>
      </c>
      <c r="N1705" s="4" t="s">
        <v>142</v>
      </c>
      <c r="O1705" s="4"/>
      <c r="P1705" s="4" t="s">
        <v>169</v>
      </c>
      <c r="Q1705" s="4" t="s">
        <v>142</v>
      </c>
      <c r="R1705" s="4"/>
      <c r="S1705" s="4"/>
      <c r="T1705" s="4">
        <v>2</v>
      </c>
      <c r="U1705" s="4">
        <v>-40.973504759999997</v>
      </c>
      <c r="V1705" s="4">
        <v>175.50671753</v>
      </c>
      <c r="W1705" s="4"/>
      <c r="X1705" s="5">
        <v>40942</v>
      </c>
      <c r="Y1705" s="4"/>
      <c r="Z1705" s="4"/>
      <c r="AA1705" s="4" t="s">
        <v>171</v>
      </c>
      <c r="AB1705" s="3" t="str">
        <f>HYPERLINK("https://sitebase.nzcomms.co.nz/spm/spmcandidateview/WLG-048-002-B/","WLG-048-002-B")</f>
        <v>WLG-048-002-B</v>
      </c>
      <c r="AC1705" s="4" t="b">
        <v>0</v>
      </c>
      <c r="AD1705" s="4" t="b">
        <v>0</v>
      </c>
      <c r="AE1705" s="4"/>
      <c r="AF1705" s="4"/>
      <c r="AG1705" s="4" t="b">
        <v>0</v>
      </c>
      <c r="AH1705" s="4"/>
      <c r="AI1705" s="5">
        <v>40973</v>
      </c>
      <c r="AJ1705" s="5">
        <v>40961</v>
      </c>
      <c r="AK1705" s="5">
        <v>40978</v>
      </c>
      <c r="AL1705" s="5">
        <v>40969</v>
      </c>
      <c r="AM1705" s="5">
        <v>41036</v>
      </c>
      <c r="AN1705" s="5">
        <v>41072</v>
      </c>
      <c r="AO1705" s="4">
        <v>2</v>
      </c>
      <c r="AP1705" s="5">
        <v>41036</v>
      </c>
      <c r="AQ1705" s="5">
        <v>41176</v>
      </c>
      <c r="AR1705" s="5">
        <v>41167</v>
      </c>
      <c r="AS1705" s="5">
        <v>41166</v>
      </c>
      <c r="AT1705" s="5">
        <v>41207</v>
      </c>
      <c r="AU1705" s="5">
        <v>41194</v>
      </c>
      <c r="AV1705" s="4"/>
      <c r="AW1705" s="5">
        <v>41207</v>
      </c>
      <c r="AX1705" s="5">
        <v>41198</v>
      </c>
      <c r="AY1705" s="4" t="s">
        <v>172</v>
      </c>
      <c r="AZ1705" s="5">
        <v>41047</v>
      </c>
      <c r="BA1705" s="5">
        <v>41067</v>
      </c>
      <c r="BB1705" s="5">
        <v>41078</v>
      </c>
      <c r="BC1705" s="5">
        <v>41075</v>
      </c>
      <c r="BD1705" s="4">
        <v>1</v>
      </c>
      <c r="BE1705" s="5">
        <v>41080</v>
      </c>
      <c r="BF1705" s="5">
        <v>41075</v>
      </c>
      <c r="BG1705" s="4"/>
      <c r="BH1705" s="4"/>
      <c r="BI1705" s="5">
        <v>41163</v>
      </c>
      <c r="BJ1705" s="5">
        <v>41177</v>
      </c>
      <c r="BK1705" s="4">
        <v>1</v>
      </c>
      <c r="BL1705" s="4"/>
      <c r="BM1705" s="5">
        <v>41163</v>
      </c>
      <c r="BN1705" s="5">
        <v>41177</v>
      </c>
      <c r="BO1705" s="5">
        <v>41194</v>
      </c>
      <c r="BP1705" s="4"/>
      <c r="BQ1705" s="4"/>
      <c r="BR1705" s="4"/>
      <c r="BS1705" s="4"/>
      <c r="BT1705" s="5">
        <v>41204</v>
      </c>
      <c r="BU1705" s="5">
        <v>41201</v>
      </c>
      <c r="BV1705" s="5">
        <v>41208</v>
      </c>
      <c r="BW1705" s="5">
        <v>41208</v>
      </c>
      <c r="BX1705" s="5">
        <v>41207</v>
      </c>
      <c r="BY1705" s="5">
        <v>41211</v>
      </c>
      <c r="BZ1705" s="5">
        <v>41228</v>
      </c>
      <c r="CA1705" s="4"/>
      <c r="CB1705" s="4"/>
      <c r="CC1705" s="4"/>
      <c r="CD1705" s="4"/>
      <c r="CE1705" s="4"/>
      <c r="CF1705" s="4"/>
      <c r="CG1705" s="4"/>
      <c r="CH1705" s="4"/>
      <c r="CI1705" s="5">
        <v>41228</v>
      </c>
      <c r="CJ1705" s="5">
        <v>41246</v>
      </c>
      <c r="CK1705" s="5">
        <v>41228</v>
      </c>
      <c r="CL1705" s="5">
        <v>41246</v>
      </c>
      <c r="CM1705" s="5">
        <v>41243</v>
      </c>
      <c r="CN1705" s="5">
        <v>41422</v>
      </c>
      <c r="CO1705" s="5">
        <v>41396</v>
      </c>
      <c r="CP1705" s="4"/>
      <c r="CQ1705" s="4" t="s">
        <v>230</v>
      </c>
      <c r="CR1705" s="5">
        <v>41215</v>
      </c>
      <c r="CS1705" s="5">
        <v>41159</v>
      </c>
      <c r="CT1705" s="4"/>
      <c r="CU1705" s="5">
        <v>41159</v>
      </c>
      <c r="CV1705" s="5">
        <v>41194</v>
      </c>
      <c r="CW1705" s="5">
        <v>41148</v>
      </c>
      <c r="CX1705" s="5">
        <v>41194</v>
      </c>
      <c r="CY1705" s="5">
        <v>41207</v>
      </c>
      <c r="CZ1705" s="5">
        <v>41226</v>
      </c>
      <c r="DA1705" s="5">
        <v>41227</v>
      </c>
      <c r="DB1705" s="5">
        <v>41228</v>
      </c>
      <c r="DC1705" s="5">
        <v>41015</v>
      </c>
      <c r="DD1705" s="4" t="s">
        <v>586</v>
      </c>
      <c r="DE1705" s="4" t="s">
        <v>3396</v>
      </c>
      <c r="DF1705" s="4"/>
      <c r="DG1705" s="4"/>
      <c r="DH1705" s="4" t="s">
        <v>174</v>
      </c>
      <c r="DI1705" s="5">
        <v>41206</v>
      </c>
      <c r="DJ1705" s="4" t="b">
        <v>0</v>
      </c>
      <c r="DK1705" s="4"/>
      <c r="DL1705" s="4">
        <v>2720929</v>
      </c>
      <c r="DM1705" s="4">
        <v>6022877</v>
      </c>
      <c r="DN1705" s="4" t="s">
        <v>5133</v>
      </c>
      <c r="DO1705" s="4"/>
      <c r="DP1705" s="4"/>
      <c r="DQ1705" s="4" t="s">
        <v>148</v>
      </c>
      <c r="DR1705" s="4"/>
      <c r="DS1705" s="4"/>
      <c r="DT1705" s="4"/>
      <c r="DU1705" s="4"/>
      <c r="DV1705" s="4"/>
      <c r="DW1705" s="4"/>
      <c r="DX1705" s="4"/>
      <c r="DY1705" s="4"/>
      <c r="DZ1705" s="4"/>
      <c r="EA1705" s="4"/>
      <c r="EB1705" s="4"/>
      <c r="EC1705" s="4"/>
      <c r="ED1705" s="4"/>
      <c r="EE1705" s="4"/>
      <c r="EF1705" s="4"/>
      <c r="EG1705" s="5">
        <v>41232</v>
      </c>
      <c r="EH1705" s="5">
        <v>41234</v>
      </c>
      <c r="EI1705" s="4"/>
    </row>
    <row r="1706" spans="1:139" hidden="1" x14ac:dyDescent="0.2">
      <c r="A1706">
        <f>VLOOKUP(B1706,Sheet1!$A$1:$B$18,2,FALSE)</f>
        <v>0</v>
      </c>
      <c r="B1706" t="str">
        <f>LEFT(D1706,3)</f>
        <v>WLG</v>
      </c>
      <c r="C1706" s="2">
        <v>1705</v>
      </c>
      <c r="D1706" s="3" t="str">
        <f>HYPERLINK("https://sitebase.nzcomms.co.nz/spm/spmnominalview/WLG-049-002/","WLG-049-002")</f>
        <v>WLG-049-002</v>
      </c>
      <c r="E1706" s="4" t="s">
        <v>5134</v>
      </c>
      <c r="F1706" s="4"/>
      <c r="G1706" s="4"/>
      <c r="H1706" s="4" t="s">
        <v>5132</v>
      </c>
      <c r="I1706" s="4"/>
      <c r="J1706" s="4" t="s">
        <v>722</v>
      </c>
      <c r="K1706" s="4"/>
      <c r="L1706" s="4"/>
      <c r="M1706" s="4"/>
      <c r="N1706" s="4"/>
      <c r="O1706" s="4"/>
      <c r="P1706" s="4"/>
      <c r="Q1706" s="4"/>
      <c r="R1706" s="4"/>
      <c r="S1706" s="4"/>
      <c r="T1706" s="4"/>
      <c r="U1706" s="4"/>
      <c r="V1706" s="4"/>
      <c r="W1706" s="4"/>
      <c r="X1706" s="4"/>
      <c r="Y1706" s="4"/>
      <c r="Z1706" s="4"/>
      <c r="AA1706" s="4"/>
      <c r="AB1706" s="4"/>
      <c r="AC1706" s="4"/>
      <c r="AD1706" s="4"/>
      <c r="AE1706" s="4"/>
      <c r="AF1706" s="4"/>
      <c r="AG1706" s="4" t="b">
        <v>0</v>
      </c>
      <c r="AH1706" s="4"/>
      <c r="AI1706" s="4"/>
      <c r="AJ1706" s="4"/>
      <c r="AK1706" s="4"/>
      <c r="AL1706" s="4"/>
      <c r="AM1706" s="4"/>
      <c r="AN1706" s="4"/>
      <c r="AO1706" s="4"/>
      <c r="AP1706" s="4"/>
      <c r="AQ1706" s="4"/>
      <c r="AR1706" s="4"/>
      <c r="AS1706" s="4"/>
      <c r="AT1706" s="4"/>
      <c r="AU1706" s="4"/>
      <c r="AV1706" s="4"/>
      <c r="AW1706" s="4"/>
      <c r="AX1706" s="4"/>
      <c r="AY1706" s="4"/>
      <c r="AZ1706" s="4"/>
      <c r="BA1706" s="4"/>
      <c r="BB1706" s="4"/>
      <c r="BC1706" s="4"/>
      <c r="BD1706" s="4"/>
      <c r="BE1706" s="4"/>
      <c r="BF1706" s="4"/>
      <c r="BG1706" s="4"/>
      <c r="BH1706" s="4"/>
      <c r="BI1706" s="4"/>
      <c r="BJ1706" s="4"/>
      <c r="BK1706" s="4"/>
      <c r="BL1706" s="4"/>
      <c r="BM1706" s="4"/>
      <c r="BN1706" s="4"/>
      <c r="BO1706" s="4"/>
      <c r="BP1706" s="4"/>
      <c r="BQ1706" s="4"/>
      <c r="BR1706" s="4"/>
      <c r="BS1706" s="4"/>
      <c r="BT1706" s="4"/>
      <c r="BU1706" s="4"/>
      <c r="BV1706" s="4"/>
      <c r="BW1706" s="4"/>
      <c r="BX1706" s="4"/>
      <c r="BY1706" s="4"/>
      <c r="BZ1706" s="4"/>
      <c r="CA1706" s="4"/>
      <c r="CB1706" s="4"/>
      <c r="CC1706" s="4"/>
      <c r="CD1706" s="4"/>
      <c r="CE1706" s="4"/>
      <c r="CF1706" s="4"/>
      <c r="CG1706" s="4"/>
      <c r="CH1706" s="4"/>
      <c r="CI1706" s="4"/>
      <c r="CJ1706" s="4"/>
      <c r="CK1706" s="4"/>
      <c r="CL1706" s="4"/>
      <c r="CM1706" s="4"/>
      <c r="CN1706" s="4"/>
      <c r="CO1706" s="4"/>
      <c r="CP1706" s="4"/>
      <c r="CQ1706" s="4"/>
      <c r="CR1706" s="4"/>
      <c r="CS1706" s="4"/>
      <c r="CT1706" s="4"/>
      <c r="CU1706" s="4"/>
      <c r="CV1706" s="4"/>
      <c r="CW1706" s="4"/>
      <c r="CX1706" s="4"/>
      <c r="CY1706" s="4"/>
      <c r="CZ1706" s="4"/>
      <c r="DA1706" s="4"/>
      <c r="DB1706" s="4"/>
      <c r="DC1706" s="4"/>
      <c r="DD1706" s="4"/>
      <c r="DE1706" s="4"/>
      <c r="DF1706" s="4"/>
      <c r="DG1706" s="4"/>
      <c r="DH1706" s="4"/>
      <c r="DI1706" s="4"/>
      <c r="DJ1706" s="4"/>
      <c r="DK1706" s="4"/>
      <c r="DL1706" s="4"/>
      <c r="DM1706" s="4"/>
      <c r="DN1706" s="4"/>
      <c r="DO1706" s="4"/>
      <c r="DP1706" s="4"/>
      <c r="DQ1706" s="4"/>
      <c r="DR1706" s="4"/>
      <c r="DS1706" s="4"/>
      <c r="DT1706" s="4"/>
      <c r="DU1706" s="4"/>
      <c r="DV1706" s="4"/>
      <c r="DW1706" s="4"/>
      <c r="DX1706" s="4"/>
      <c r="DY1706" s="4"/>
      <c r="DZ1706" s="4"/>
      <c r="EA1706" s="4"/>
      <c r="EB1706" s="4"/>
      <c r="EC1706" s="4"/>
      <c r="ED1706" s="4"/>
      <c r="EE1706" s="4"/>
      <c r="EF1706" s="4"/>
      <c r="EG1706" s="4"/>
      <c r="EH1706" s="4"/>
      <c r="EI1706" s="4"/>
    </row>
    <row r="1707" spans="1:139" hidden="1" x14ac:dyDescent="0.2">
      <c r="A1707">
        <f>VLOOKUP(B1707,Sheet1!$A$1:$B$18,2,FALSE)</f>
        <v>0</v>
      </c>
      <c r="B1707" t="str">
        <f>LEFT(D1707,3)</f>
        <v>WLG</v>
      </c>
      <c r="C1707" s="2">
        <v>1706</v>
      </c>
      <c r="D1707" s="3" t="str">
        <f>HYPERLINK("https://sitebase.nzcomms.co.nz/spm/spmnominalview/WLG-049-003/","WLG-049-003")</f>
        <v>WLG-049-003</v>
      </c>
      <c r="E1707" s="4" t="s">
        <v>5135</v>
      </c>
      <c r="F1707" s="4"/>
      <c r="G1707" s="4"/>
      <c r="H1707" s="4" t="s">
        <v>5132</v>
      </c>
      <c r="I1707" s="4"/>
      <c r="J1707" s="4" t="s">
        <v>196</v>
      </c>
      <c r="K1707" s="4"/>
      <c r="L1707" s="4"/>
      <c r="M1707" s="4"/>
      <c r="N1707" s="4"/>
      <c r="O1707" s="4"/>
      <c r="P1707" s="4"/>
      <c r="Q1707" s="4"/>
      <c r="R1707" s="4"/>
      <c r="S1707" s="4"/>
      <c r="T1707" s="4"/>
      <c r="U1707" s="4"/>
      <c r="V1707" s="4"/>
      <c r="W1707" s="4"/>
      <c r="X1707" s="4"/>
      <c r="Y1707" s="4"/>
      <c r="Z1707" s="4"/>
      <c r="AA1707" s="4"/>
      <c r="AB1707" s="4"/>
      <c r="AC1707" s="4"/>
      <c r="AD1707" s="4"/>
      <c r="AE1707" s="4"/>
      <c r="AF1707" s="4"/>
      <c r="AG1707" s="4" t="b">
        <v>0</v>
      </c>
      <c r="AH1707" s="4"/>
      <c r="AI1707" s="4"/>
      <c r="AJ1707" s="4"/>
      <c r="AK1707" s="4"/>
      <c r="AL1707" s="4"/>
      <c r="AM1707" s="4"/>
      <c r="AN1707" s="4"/>
      <c r="AO1707" s="4"/>
      <c r="AP1707" s="4"/>
      <c r="AQ1707" s="4"/>
      <c r="AR1707" s="4"/>
      <c r="AS1707" s="4"/>
      <c r="AT1707" s="4"/>
      <c r="AU1707" s="4"/>
      <c r="AV1707" s="4"/>
      <c r="AW1707" s="4"/>
      <c r="AX1707" s="4"/>
      <c r="AY1707" s="4"/>
      <c r="AZ1707" s="4"/>
      <c r="BA1707" s="4"/>
      <c r="BB1707" s="4"/>
      <c r="BC1707" s="4"/>
      <c r="BD1707" s="4"/>
      <c r="BE1707" s="4"/>
      <c r="BF1707" s="4"/>
      <c r="BG1707" s="4"/>
      <c r="BH1707" s="4"/>
      <c r="BI1707" s="4"/>
      <c r="BJ1707" s="4"/>
      <c r="BK1707" s="4"/>
      <c r="BL1707" s="4"/>
      <c r="BM1707" s="4"/>
      <c r="BN1707" s="4"/>
      <c r="BO1707" s="4"/>
      <c r="BP1707" s="4"/>
      <c r="BQ1707" s="4"/>
      <c r="BR1707" s="4"/>
      <c r="BS1707" s="4"/>
      <c r="BT1707" s="4"/>
      <c r="BU1707" s="4"/>
      <c r="BV1707" s="4"/>
      <c r="BW1707" s="4"/>
      <c r="BX1707" s="4"/>
      <c r="BY1707" s="4"/>
      <c r="BZ1707" s="4"/>
      <c r="CA1707" s="4"/>
      <c r="CB1707" s="4"/>
      <c r="CC1707" s="4"/>
      <c r="CD1707" s="4"/>
      <c r="CE1707" s="4"/>
      <c r="CF1707" s="4"/>
      <c r="CG1707" s="4"/>
      <c r="CH1707" s="4"/>
      <c r="CI1707" s="4"/>
      <c r="CJ1707" s="4"/>
      <c r="CK1707" s="4"/>
      <c r="CL1707" s="4"/>
      <c r="CM1707" s="4"/>
      <c r="CN1707" s="4"/>
      <c r="CO1707" s="4"/>
      <c r="CP1707" s="4" t="s">
        <v>5136</v>
      </c>
      <c r="CQ1707" s="4"/>
      <c r="CR1707" s="4"/>
      <c r="CS1707" s="4"/>
      <c r="CT1707" s="4"/>
      <c r="CU1707" s="4"/>
      <c r="CV1707" s="4"/>
      <c r="CW1707" s="4"/>
      <c r="CX1707" s="4"/>
      <c r="CY1707" s="4"/>
      <c r="CZ1707" s="4"/>
      <c r="DA1707" s="4"/>
      <c r="DB1707" s="4"/>
      <c r="DC1707" s="4"/>
      <c r="DD1707" s="4"/>
      <c r="DE1707" s="4"/>
      <c r="DF1707" s="4"/>
      <c r="DG1707" s="4"/>
      <c r="DH1707" s="4"/>
      <c r="DI1707" s="4"/>
      <c r="DJ1707" s="4"/>
      <c r="DK1707" s="4"/>
      <c r="DL1707" s="4"/>
      <c r="DM1707" s="4"/>
      <c r="DN1707" s="4"/>
      <c r="DO1707" s="4"/>
      <c r="DP1707" s="4"/>
      <c r="DQ1707" s="4"/>
      <c r="DR1707" s="4"/>
      <c r="DS1707" s="4"/>
      <c r="DT1707" s="4"/>
      <c r="DU1707" s="4"/>
      <c r="DV1707" s="4"/>
      <c r="DW1707" s="4"/>
      <c r="DX1707" s="4"/>
      <c r="DY1707" s="4"/>
      <c r="DZ1707" s="4"/>
      <c r="EA1707" s="4"/>
      <c r="EB1707" s="4"/>
      <c r="EC1707" s="4"/>
      <c r="ED1707" s="4"/>
      <c r="EE1707" s="4"/>
      <c r="EF1707" s="4"/>
      <c r="EG1707" s="4"/>
      <c r="EH1707" s="4"/>
      <c r="EI1707" s="4"/>
    </row>
    <row r="1708" spans="1:139" hidden="1" x14ac:dyDescent="0.2">
      <c r="A1708">
        <f>VLOOKUP(B1708,Sheet1!$A$1:$B$18,2,FALSE)</f>
        <v>0</v>
      </c>
      <c r="B1708" t="str">
        <f>LEFT(D1708,3)</f>
        <v>WLG</v>
      </c>
      <c r="C1708" s="2">
        <v>1707</v>
      </c>
      <c r="D1708" s="3" t="str">
        <f>HYPERLINK("https://sitebase.nzcomms.co.nz/spm/spmnominalview/WLG-050-001/","WLG-050-001")</f>
        <v>WLG-050-001</v>
      </c>
      <c r="E1708" s="4" t="s">
        <v>5137</v>
      </c>
      <c r="F1708" s="3" t="str">
        <f>HYPERLINK("https://sitebase.nzcomms.co.nz/spm/spmcandidateview/WLG-050-001-A/","WLG-050-001-A")</f>
        <v>WLG-050-001-A</v>
      </c>
      <c r="G1708" s="4" t="s">
        <v>5138</v>
      </c>
      <c r="H1708" s="4" t="s">
        <v>5139</v>
      </c>
      <c r="I1708" s="4">
        <v>6</v>
      </c>
      <c r="J1708" s="4" t="s">
        <v>180</v>
      </c>
      <c r="K1708" s="4" t="s">
        <v>141</v>
      </c>
      <c r="L1708" s="4" t="s">
        <v>142</v>
      </c>
      <c r="M1708" s="4" t="s">
        <v>190</v>
      </c>
      <c r="N1708" s="4" t="s">
        <v>142</v>
      </c>
      <c r="O1708" s="4"/>
      <c r="P1708" s="4" t="s">
        <v>169</v>
      </c>
      <c r="Q1708" s="4" t="s">
        <v>142</v>
      </c>
      <c r="R1708" s="4"/>
      <c r="S1708" s="4"/>
      <c r="T1708" s="4">
        <v>1</v>
      </c>
      <c r="U1708" s="4">
        <v>-41.106428020000003</v>
      </c>
      <c r="V1708" s="4">
        <v>175.31593122999999</v>
      </c>
      <c r="W1708" s="4"/>
      <c r="X1708" s="5">
        <v>40933</v>
      </c>
      <c r="Y1708" s="4"/>
      <c r="Z1708" s="4"/>
      <c r="AA1708" s="4" t="s">
        <v>171</v>
      </c>
      <c r="AB1708" s="3" t="str">
        <f>HYPERLINK("https://sitebase.nzcomms.co.nz/spm/spmcandidateview/WLG-049-001-A/","WLG-049-001-A")</f>
        <v>WLG-049-001-A</v>
      </c>
      <c r="AC1708" s="4" t="b">
        <v>0</v>
      </c>
      <c r="AD1708" s="4" t="b">
        <v>0</v>
      </c>
      <c r="AE1708" s="4"/>
      <c r="AF1708" s="4"/>
      <c r="AG1708" s="4" t="b">
        <v>0</v>
      </c>
      <c r="AH1708" s="4"/>
      <c r="AI1708" s="5">
        <v>40973</v>
      </c>
      <c r="AJ1708" s="5">
        <v>40961</v>
      </c>
      <c r="AK1708" s="5">
        <v>40978</v>
      </c>
      <c r="AL1708" s="5">
        <v>40969</v>
      </c>
      <c r="AM1708" s="5">
        <v>41086</v>
      </c>
      <c r="AN1708" s="5">
        <v>41088</v>
      </c>
      <c r="AO1708" s="4">
        <v>1</v>
      </c>
      <c r="AP1708" s="5">
        <v>41086</v>
      </c>
      <c r="AQ1708" s="5">
        <v>41088</v>
      </c>
      <c r="AR1708" s="5">
        <v>41167</v>
      </c>
      <c r="AS1708" s="5">
        <v>41173</v>
      </c>
      <c r="AT1708" s="5">
        <v>41252</v>
      </c>
      <c r="AU1708" s="5">
        <v>41236</v>
      </c>
      <c r="AV1708" s="4"/>
      <c r="AW1708" s="5">
        <v>41252</v>
      </c>
      <c r="AX1708" s="5">
        <v>41264</v>
      </c>
      <c r="AY1708" s="4" t="s">
        <v>172</v>
      </c>
      <c r="AZ1708" s="5">
        <v>41089</v>
      </c>
      <c r="BA1708" s="5">
        <v>41092</v>
      </c>
      <c r="BB1708" s="5">
        <v>41119</v>
      </c>
      <c r="BC1708" s="5">
        <v>41110</v>
      </c>
      <c r="BD1708" s="4">
        <v>1</v>
      </c>
      <c r="BE1708" s="5">
        <v>41119</v>
      </c>
      <c r="BF1708" s="5">
        <v>41110</v>
      </c>
      <c r="BG1708" s="4"/>
      <c r="BH1708" s="4"/>
      <c r="BI1708" s="5">
        <v>41163</v>
      </c>
      <c r="BJ1708" s="5">
        <v>41162</v>
      </c>
      <c r="BK1708" s="4">
        <v>1</v>
      </c>
      <c r="BL1708" s="4"/>
      <c r="BM1708" s="5">
        <v>41163</v>
      </c>
      <c r="BN1708" s="5">
        <v>41162</v>
      </c>
      <c r="BO1708" s="5">
        <v>41201</v>
      </c>
      <c r="BP1708" s="4"/>
      <c r="BQ1708" s="4"/>
      <c r="BR1708" s="4"/>
      <c r="BS1708" s="4"/>
      <c r="BT1708" s="5">
        <v>41290</v>
      </c>
      <c r="BU1708" s="5">
        <v>41290</v>
      </c>
      <c r="BV1708" s="5">
        <v>41299</v>
      </c>
      <c r="BW1708" s="5">
        <v>41299</v>
      </c>
      <c r="BX1708" s="5">
        <v>41299</v>
      </c>
      <c r="BY1708" s="5">
        <v>41304</v>
      </c>
      <c r="BZ1708" s="5">
        <v>41304</v>
      </c>
      <c r="CA1708" s="4"/>
      <c r="CB1708" s="4"/>
      <c r="CC1708" s="4"/>
      <c r="CD1708" s="4"/>
      <c r="CE1708" s="4"/>
      <c r="CF1708" s="4"/>
      <c r="CG1708" s="4"/>
      <c r="CH1708" s="4"/>
      <c r="CI1708" s="5">
        <v>41305</v>
      </c>
      <c r="CJ1708" s="5">
        <v>41320</v>
      </c>
      <c r="CK1708" s="5">
        <v>41320</v>
      </c>
      <c r="CL1708" s="5">
        <v>41324</v>
      </c>
      <c r="CM1708" s="5">
        <v>41324</v>
      </c>
      <c r="CN1708" s="5">
        <v>41460</v>
      </c>
      <c r="CO1708" s="5">
        <v>41453</v>
      </c>
      <c r="CP1708" s="4"/>
      <c r="CQ1708" s="4" t="s">
        <v>230</v>
      </c>
      <c r="CR1708" s="5">
        <v>41305</v>
      </c>
      <c r="CS1708" s="5">
        <v>41162</v>
      </c>
      <c r="CT1708" s="5">
        <v>41122</v>
      </c>
      <c r="CU1708" s="5">
        <v>41162</v>
      </c>
      <c r="CV1708" s="5">
        <v>41201</v>
      </c>
      <c r="CW1708" s="5">
        <v>41166</v>
      </c>
      <c r="CX1708" s="5">
        <v>41201</v>
      </c>
      <c r="CY1708" s="5">
        <v>41302</v>
      </c>
      <c r="CZ1708" s="5">
        <v>41302</v>
      </c>
      <c r="DA1708" s="5">
        <v>41323</v>
      </c>
      <c r="DB1708" s="5">
        <v>41312</v>
      </c>
      <c r="DC1708" s="5">
        <v>41015</v>
      </c>
      <c r="DD1708" s="4" t="s">
        <v>586</v>
      </c>
      <c r="DE1708" s="4" t="s">
        <v>3396</v>
      </c>
      <c r="DF1708" s="4"/>
      <c r="DG1708" s="4"/>
      <c r="DH1708" s="4" t="s">
        <v>174</v>
      </c>
      <c r="DI1708" s="5">
        <v>41299</v>
      </c>
      <c r="DJ1708" s="4" t="b">
        <v>0</v>
      </c>
      <c r="DK1708" s="4"/>
      <c r="DL1708" s="4">
        <v>2704487</v>
      </c>
      <c r="DM1708" s="4">
        <v>6008562</v>
      </c>
      <c r="DN1708" s="4" t="s">
        <v>5140</v>
      </c>
      <c r="DO1708" s="4"/>
      <c r="DP1708" s="4"/>
      <c r="DQ1708" s="4" t="s">
        <v>148</v>
      </c>
      <c r="DR1708" s="4"/>
      <c r="DS1708" s="4"/>
      <c r="DT1708" s="4"/>
      <c r="DU1708" s="4"/>
      <c r="DV1708" s="4"/>
      <c r="DW1708" s="4"/>
      <c r="DX1708" s="4"/>
      <c r="DY1708" s="4"/>
      <c r="DZ1708" s="4"/>
      <c r="EA1708" s="4"/>
      <c r="EB1708" s="4"/>
      <c r="EC1708" s="4"/>
      <c r="ED1708" s="4"/>
      <c r="EE1708" s="4"/>
      <c r="EF1708" s="4"/>
      <c r="EG1708" s="5">
        <v>41313</v>
      </c>
      <c r="EH1708" s="5">
        <v>41316</v>
      </c>
      <c r="EI1708" s="4"/>
    </row>
    <row r="1709" spans="1:139" hidden="1" x14ac:dyDescent="0.2">
      <c r="A1709">
        <f>VLOOKUP(B1709,Sheet1!$A$1:$B$18,2,FALSE)</f>
        <v>0</v>
      </c>
      <c r="B1709" t="str">
        <f>LEFT(D1709,3)</f>
        <v>WLG</v>
      </c>
      <c r="C1709" s="2">
        <v>1708</v>
      </c>
      <c r="D1709" s="3" t="str">
        <f>HYPERLINK("https://sitebase.nzcomms.co.nz/spm/spmnominalview/WLG-050-002/","WLG-050-002")</f>
        <v>WLG-050-002</v>
      </c>
      <c r="E1709" s="4" t="s">
        <v>5141</v>
      </c>
      <c r="F1709" s="3" t="str">
        <f>HYPERLINK("https://sitebase.nzcomms.co.nz/spm/spmcandidateview/WLG-050-002-A/","WLG-050-002-A")</f>
        <v>WLG-050-002-A</v>
      </c>
      <c r="G1709" s="4" t="s">
        <v>5142</v>
      </c>
      <c r="H1709" s="4" t="s">
        <v>5139</v>
      </c>
      <c r="I1709" s="4">
        <v>6</v>
      </c>
      <c r="J1709" s="4" t="s">
        <v>180</v>
      </c>
      <c r="K1709" s="4" t="s">
        <v>141</v>
      </c>
      <c r="L1709" s="4" t="s">
        <v>142</v>
      </c>
      <c r="M1709" s="4" t="s">
        <v>190</v>
      </c>
      <c r="N1709" s="4" t="s">
        <v>142</v>
      </c>
      <c r="O1709" s="4"/>
      <c r="P1709" s="4" t="s">
        <v>169</v>
      </c>
      <c r="Q1709" s="4" t="s">
        <v>142</v>
      </c>
      <c r="R1709" s="4"/>
      <c r="S1709" s="4"/>
      <c r="T1709" s="4">
        <v>1</v>
      </c>
      <c r="U1709" s="4">
        <v>-41.182716079999999</v>
      </c>
      <c r="V1709" s="4">
        <v>175.48406299000001</v>
      </c>
      <c r="W1709" s="4"/>
      <c r="X1709" s="5">
        <v>40933</v>
      </c>
      <c r="Y1709" s="4"/>
      <c r="Z1709" s="4"/>
      <c r="AA1709" s="4" t="s">
        <v>152</v>
      </c>
      <c r="AB1709" s="3" t="str">
        <f>HYPERLINK("https://sitebase.nzcomms.co.nz/spm/spmcandidateview/WLG-047-071-A/","WLG-047-071-A")</f>
        <v>WLG-047-071-A</v>
      </c>
      <c r="AC1709" s="4" t="b">
        <v>0</v>
      </c>
      <c r="AD1709" s="4" t="b">
        <v>0</v>
      </c>
      <c r="AE1709" s="4"/>
      <c r="AF1709" s="4"/>
      <c r="AG1709" s="4" t="b">
        <v>0</v>
      </c>
      <c r="AH1709" s="4"/>
      <c r="AI1709" s="5">
        <v>40973</v>
      </c>
      <c r="AJ1709" s="5">
        <v>40961</v>
      </c>
      <c r="AK1709" s="5">
        <v>40978</v>
      </c>
      <c r="AL1709" s="5">
        <v>40969</v>
      </c>
      <c r="AM1709" s="5">
        <v>41086</v>
      </c>
      <c r="AN1709" s="5">
        <v>41089</v>
      </c>
      <c r="AO1709" s="4">
        <v>2</v>
      </c>
      <c r="AP1709" s="5">
        <v>41086</v>
      </c>
      <c r="AQ1709" s="5">
        <v>41579</v>
      </c>
      <c r="AR1709" s="5">
        <v>41167</v>
      </c>
      <c r="AS1709" s="5">
        <v>41172</v>
      </c>
      <c r="AT1709" s="5">
        <v>41232</v>
      </c>
      <c r="AU1709" s="5">
        <v>41236</v>
      </c>
      <c r="AV1709" s="4"/>
      <c r="AW1709" s="5">
        <v>41243</v>
      </c>
      <c r="AX1709" s="5">
        <v>41304</v>
      </c>
      <c r="AY1709" s="4" t="s">
        <v>172</v>
      </c>
      <c r="AZ1709" s="5">
        <v>41089</v>
      </c>
      <c r="BA1709" s="5">
        <v>41092</v>
      </c>
      <c r="BB1709" s="5">
        <v>41119</v>
      </c>
      <c r="BC1709" s="5">
        <v>41110</v>
      </c>
      <c r="BD1709" s="4">
        <v>1</v>
      </c>
      <c r="BE1709" s="5">
        <v>41119</v>
      </c>
      <c r="BF1709" s="5">
        <v>41110</v>
      </c>
      <c r="BG1709" s="4"/>
      <c r="BH1709" s="4"/>
      <c r="BI1709" s="5">
        <v>41163</v>
      </c>
      <c r="BJ1709" s="5">
        <v>41165</v>
      </c>
      <c r="BK1709" s="4">
        <v>1</v>
      </c>
      <c r="BL1709" s="4"/>
      <c r="BM1709" s="5">
        <v>41163</v>
      </c>
      <c r="BN1709" s="5">
        <v>41165</v>
      </c>
      <c r="BO1709" s="5">
        <v>41201</v>
      </c>
      <c r="BP1709" s="4"/>
      <c r="BQ1709" s="4"/>
      <c r="BR1709" s="4"/>
      <c r="BS1709" s="4"/>
      <c r="BT1709" s="5">
        <v>41183</v>
      </c>
      <c r="BU1709" s="5">
        <v>41184</v>
      </c>
      <c r="BV1709" s="5">
        <v>41194</v>
      </c>
      <c r="BW1709" s="5">
        <v>41208</v>
      </c>
      <c r="BX1709" s="5">
        <v>41201</v>
      </c>
      <c r="BY1709" s="5">
        <v>41215</v>
      </c>
      <c r="BZ1709" s="5">
        <v>41215</v>
      </c>
      <c r="CA1709" s="4"/>
      <c r="CB1709" s="4"/>
      <c r="CC1709" s="4"/>
      <c r="CD1709" s="4"/>
      <c r="CE1709" s="4"/>
      <c r="CF1709" s="4"/>
      <c r="CG1709" s="4"/>
      <c r="CH1709" s="4"/>
      <c r="CI1709" s="5">
        <v>41221</v>
      </c>
      <c r="CJ1709" s="5">
        <v>41228</v>
      </c>
      <c r="CK1709" s="5">
        <v>41227</v>
      </c>
      <c r="CL1709" s="5">
        <v>41275</v>
      </c>
      <c r="CM1709" s="5">
        <v>41243</v>
      </c>
      <c r="CN1709" s="5">
        <v>41533</v>
      </c>
      <c r="CO1709" s="5">
        <v>41611</v>
      </c>
      <c r="CP1709" s="4"/>
      <c r="CQ1709" s="4" t="s">
        <v>230</v>
      </c>
      <c r="CR1709" s="5">
        <v>41222</v>
      </c>
      <c r="CS1709" s="5">
        <v>41166</v>
      </c>
      <c r="CT1709" s="4"/>
      <c r="CU1709" s="5">
        <v>41166</v>
      </c>
      <c r="CV1709" s="5">
        <v>41201</v>
      </c>
      <c r="CW1709" s="5">
        <v>41163</v>
      </c>
      <c r="CX1709" s="5">
        <v>41201</v>
      </c>
      <c r="CY1709" s="5">
        <v>41197</v>
      </c>
      <c r="CZ1709" s="5">
        <v>41213</v>
      </c>
      <c r="DA1709" s="5">
        <v>41223</v>
      </c>
      <c r="DB1709" s="5">
        <v>41222</v>
      </c>
      <c r="DC1709" s="5">
        <v>41015</v>
      </c>
      <c r="DD1709" s="4" t="s">
        <v>586</v>
      </c>
      <c r="DE1709" s="4" t="s">
        <v>3396</v>
      </c>
      <c r="DF1709" s="5">
        <v>41219</v>
      </c>
      <c r="DG1709" s="5">
        <v>41215</v>
      </c>
      <c r="DH1709" s="4" t="s">
        <v>174</v>
      </c>
      <c r="DI1709" s="5">
        <v>41194</v>
      </c>
      <c r="DJ1709" s="4" t="b">
        <v>0</v>
      </c>
      <c r="DK1709" s="4"/>
      <c r="DL1709" s="4">
        <v>2718365</v>
      </c>
      <c r="DM1709" s="4">
        <v>5999706</v>
      </c>
      <c r="DN1709" s="4" t="s">
        <v>5143</v>
      </c>
      <c r="DO1709" s="4"/>
      <c r="DP1709" s="4"/>
      <c r="DQ1709" s="4" t="s">
        <v>148</v>
      </c>
      <c r="DR1709" s="4"/>
      <c r="DS1709" s="4"/>
      <c r="DT1709" s="4"/>
      <c r="DU1709" s="4"/>
      <c r="DV1709" s="4"/>
      <c r="DW1709" s="4"/>
      <c r="DX1709" s="4"/>
      <c r="DY1709" s="4"/>
      <c r="DZ1709" s="4"/>
      <c r="EA1709" s="4"/>
      <c r="EB1709" s="4"/>
      <c r="EC1709" s="4"/>
      <c r="ED1709" s="4"/>
      <c r="EE1709" s="4"/>
      <c r="EF1709" s="4"/>
      <c r="EG1709" s="5">
        <v>41229</v>
      </c>
      <c r="EH1709" s="5">
        <v>41229</v>
      </c>
      <c r="EI1709" s="4"/>
    </row>
    <row r="1710" spans="1:139" hidden="1" x14ac:dyDescent="0.2">
      <c r="A1710">
        <f>VLOOKUP(B1710,Sheet1!$A$1:$B$18,2,FALSE)</f>
        <v>0</v>
      </c>
      <c r="B1710" t="str">
        <f>LEFT(D1710,3)</f>
        <v>WLG</v>
      </c>
      <c r="C1710" s="2">
        <v>1709</v>
      </c>
      <c r="D1710" s="3" t="str">
        <f>HYPERLINK("https://sitebase.nzcomms.co.nz/spm/spmnominalview/WLG-050-003/","WLG-050-003")</f>
        <v>WLG-050-003</v>
      </c>
      <c r="E1710" s="4" t="s">
        <v>5144</v>
      </c>
      <c r="F1710" s="3" t="str">
        <f>HYPERLINK("https://sitebase.nzcomms.co.nz/spm/spmcandidateview/WLG-050-003-B/","WLG-050-003-B")</f>
        <v>WLG-050-003-B</v>
      </c>
      <c r="G1710" s="4" t="s">
        <v>5145</v>
      </c>
      <c r="H1710" s="4" t="s">
        <v>5139</v>
      </c>
      <c r="I1710" s="4">
        <v>24</v>
      </c>
      <c r="J1710" s="4" t="s">
        <v>1027</v>
      </c>
      <c r="K1710" s="4" t="s">
        <v>141</v>
      </c>
      <c r="L1710" s="4" t="s">
        <v>189</v>
      </c>
      <c r="M1710" s="4" t="s">
        <v>592</v>
      </c>
      <c r="N1710" s="4" t="s">
        <v>364</v>
      </c>
      <c r="O1710" s="4"/>
      <c r="P1710" s="4"/>
      <c r="Q1710" s="4"/>
      <c r="R1710" s="4">
        <v>6</v>
      </c>
      <c r="S1710" s="4">
        <v>8.8000000000000007</v>
      </c>
      <c r="T1710" s="4"/>
      <c r="U1710" s="4">
        <v>-41.08081731</v>
      </c>
      <c r="V1710" s="4">
        <v>175.45930616999999</v>
      </c>
      <c r="W1710" s="4"/>
      <c r="X1710" s="5">
        <v>41862</v>
      </c>
      <c r="Y1710" s="4"/>
      <c r="Z1710" s="4"/>
      <c r="AA1710" s="4"/>
      <c r="AB1710" s="4"/>
      <c r="AC1710" s="4" t="b">
        <v>0</v>
      </c>
      <c r="AD1710" s="4" t="b">
        <v>0</v>
      </c>
      <c r="AE1710" s="4"/>
      <c r="AF1710" s="4"/>
      <c r="AG1710" s="4" t="b">
        <v>0</v>
      </c>
      <c r="AH1710" s="4"/>
      <c r="AI1710" s="5">
        <v>41880</v>
      </c>
      <c r="AJ1710" s="5">
        <v>41880</v>
      </c>
      <c r="AK1710" s="5">
        <v>41942</v>
      </c>
      <c r="AL1710" s="5">
        <v>41942</v>
      </c>
      <c r="AM1710" s="5">
        <v>41957</v>
      </c>
      <c r="AN1710" s="5">
        <v>41960</v>
      </c>
      <c r="AO1710" s="4">
        <v>2</v>
      </c>
      <c r="AP1710" s="4"/>
      <c r="AQ1710" s="5">
        <v>41962</v>
      </c>
      <c r="AR1710" s="5">
        <v>41978</v>
      </c>
      <c r="AS1710" s="5">
        <v>41982</v>
      </c>
      <c r="AT1710" s="5">
        <v>41992</v>
      </c>
      <c r="AU1710" s="5">
        <v>42010</v>
      </c>
      <c r="AV1710" s="4"/>
      <c r="AW1710" s="4"/>
      <c r="AX1710" s="5">
        <v>42037</v>
      </c>
      <c r="AY1710" s="4" t="s">
        <v>198</v>
      </c>
      <c r="AZ1710" s="5">
        <v>41992</v>
      </c>
      <c r="BA1710" s="5">
        <v>41989</v>
      </c>
      <c r="BB1710" s="5">
        <v>42034</v>
      </c>
      <c r="BC1710" s="5">
        <v>42028</v>
      </c>
      <c r="BD1710" s="4">
        <v>2</v>
      </c>
      <c r="BE1710" s="4"/>
      <c r="BF1710" s="5">
        <v>42028</v>
      </c>
      <c r="BG1710" s="5">
        <v>41992</v>
      </c>
      <c r="BH1710" s="5">
        <v>41991</v>
      </c>
      <c r="BI1710" s="5">
        <v>42020</v>
      </c>
      <c r="BJ1710" s="5">
        <v>42012</v>
      </c>
      <c r="BK1710" s="4">
        <v>1</v>
      </c>
      <c r="BL1710" s="4"/>
      <c r="BM1710" s="5">
        <v>42020</v>
      </c>
      <c r="BN1710" s="5">
        <v>42012</v>
      </c>
      <c r="BO1710" s="4"/>
      <c r="BP1710" s="4"/>
      <c r="BQ1710" s="4"/>
      <c r="BR1710" s="5">
        <v>42024</v>
      </c>
      <c r="BS1710" s="4"/>
      <c r="BT1710" s="5">
        <v>42079</v>
      </c>
      <c r="BU1710" s="5">
        <v>42079</v>
      </c>
      <c r="BV1710" s="5">
        <v>42081</v>
      </c>
      <c r="BW1710" s="5">
        <v>42081</v>
      </c>
      <c r="BX1710" s="5">
        <v>42074</v>
      </c>
      <c r="BY1710" s="4"/>
      <c r="BZ1710" s="4"/>
      <c r="CA1710" s="4"/>
      <c r="CB1710" s="4"/>
      <c r="CC1710" s="4"/>
      <c r="CD1710" s="4"/>
      <c r="CE1710" s="4"/>
      <c r="CF1710" s="4"/>
      <c r="CG1710" s="4"/>
      <c r="CH1710" s="4"/>
      <c r="CI1710" s="4"/>
      <c r="CJ1710" s="5">
        <v>42090</v>
      </c>
      <c r="CK1710" s="5">
        <v>42089</v>
      </c>
      <c r="CL1710" s="4"/>
      <c r="CM1710" s="4"/>
      <c r="CN1710" s="4"/>
      <c r="CO1710" s="4"/>
      <c r="CP1710" s="4" t="s">
        <v>5146</v>
      </c>
      <c r="CQ1710" s="4"/>
      <c r="CR1710" s="4"/>
      <c r="CS1710" s="4"/>
      <c r="CT1710" s="4"/>
      <c r="CU1710" s="4"/>
      <c r="CV1710" s="4"/>
      <c r="CW1710" s="4"/>
      <c r="CX1710" s="4"/>
      <c r="CY1710" s="4"/>
      <c r="CZ1710" s="4"/>
      <c r="DA1710" s="5">
        <v>42088</v>
      </c>
      <c r="DB1710" s="5">
        <v>42089</v>
      </c>
      <c r="DC1710" s="4"/>
      <c r="DD1710" s="4"/>
      <c r="DE1710" s="4"/>
      <c r="DF1710" s="5">
        <v>42061</v>
      </c>
      <c r="DG1710" s="5">
        <v>42069</v>
      </c>
      <c r="DH1710" s="4" t="s">
        <v>174</v>
      </c>
      <c r="DI1710" s="5">
        <v>42072</v>
      </c>
      <c r="DJ1710" s="4" t="b">
        <v>1</v>
      </c>
      <c r="DK1710" s="5">
        <v>42034</v>
      </c>
      <c r="DL1710" s="4">
        <v>2716606</v>
      </c>
      <c r="DM1710" s="4">
        <v>6011077</v>
      </c>
      <c r="DN1710" s="4" t="s">
        <v>5147</v>
      </c>
      <c r="DO1710" s="4"/>
      <c r="DP1710" s="4"/>
      <c r="DQ1710" s="4" t="s">
        <v>148</v>
      </c>
      <c r="DR1710" s="4"/>
      <c r="DS1710" s="4"/>
      <c r="DT1710" s="4"/>
      <c r="DU1710" s="4" t="s">
        <v>1030</v>
      </c>
      <c r="DV1710" s="4"/>
      <c r="DW1710" s="4"/>
      <c r="DX1710" s="4"/>
      <c r="DY1710" s="4"/>
      <c r="DZ1710" s="4"/>
      <c r="EA1710" s="4"/>
      <c r="EB1710" s="4"/>
      <c r="EC1710" s="4"/>
      <c r="ED1710" s="4"/>
      <c r="EE1710" s="4"/>
      <c r="EF1710" s="4"/>
      <c r="EG1710" s="4"/>
      <c r="EH1710" s="4"/>
      <c r="EI1710" s="5">
        <v>41942</v>
      </c>
    </row>
    <row r="1711" spans="1:139" hidden="1" x14ac:dyDescent="0.2">
      <c r="A1711" t="str">
        <f>VLOOKUP(B1711,Sheet1!$A$1:$B$18,2,FALSE)</f>
        <v>South Island</v>
      </c>
      <c r="B1711" t="str">
        <f>LEFT(D1711,3)</f>
        <v>STH</v>
      </c>
      <c r="C1711" s="2">
        <v>1294</v>
      </c>
      <c r="D1711" s="3" t="str">
        <f>HYPERLINK("https://sitebase.nzcomms.co.nz/spm/spmnominalview/STH-073-017/","STH-073-017")</f>
        <v>STH-073-017</v>
      </c>
      <c r="E1711" s="4" t="s">
        <v>3890</v>
      </c>
      <c r="F1711" s="4"/>
      <c r="G1711" s="4"/>
      <c r="H1711" s="4" t="s">
        <v>3879</v>
      </c>
      <c r="I1711" s="4"/>
      <c r="J1711" s="4" t="s">
        <v>722</v>
      </c>
      <c r="K1711" s="4"/>
      <c r="L1711" s="4"/>
      <c r="M1711" s="4"/>
      <c r="N1711" s="4"/>
      <c r="O1711" s="4"/>
      <c r="P1711" s="4"/>
      <c r="Q1711" s="4"/>
      <c r="R1711" s="4"/>
      <c r="S1711" s="4"/>
      <c r="T1711" s="4"/>
      <c r="U1711" s="4"/>
      <c r="V1711" s="4"/>
      <c r="W1711" s="4"/>
      <c r="X1711" s="4"/>
      <c r="Y1711" s="4"/>
      <c r="Z1711" s="4"/>
      <c r="AA1711" s="4"/>
      <c r="AB1711" s="4"/>
      <c r="AC1711" s="4"/>
      <c r="AD1711" s="4"/>
      <c r="AE1711" s="4"/>
      <c r="AF1711" s="4"/>
      <c r="AG1711" s="4" t="b">
        <v>0</v>
      </c>
      <c r="AH1711" s="4"/>
      <c r="AI1711" s="4"/>
      <c r="AJ1711" s="4"/>
      <c r="AK1711" s="4"/>
      <c r="AL1711" s="4"/>
      <c r="AM1711" s="4"/>
      <c r="AN1711" s="4"/>
      <c r="AO1711" s="4"/>
      <c r="AP1711" s="4"/>
      <c r="AQ1711" s="4"/>
      <c r="AR1711" s="4"/>
      <c r="AS1711" s="4"/>
      <c r="AT1711" s="4"/>
      <c r="AU1711" s="4"/>
      <c r="AV1711" s="4"/>
      <c r="AW1711" s="4"/>
      <c r="AX1711" s="4"/>
      <c r="AY1711" s="4"/>
      <c r="AZ1711" s="4"/>
      <c r="BA1711" s="4"/>
      <c r="BB1711" s="4"/>
      <c r="BC1711" s="4"/>
      <c r="BD1711" s="4"/>
      <c r="BE1711" s="4"/>
      <c r="BF1711" s="4"/>
      <c r="BG1711" s="4"/>
      <c r="BH1711" s="4"/>
      <c r="BI1711" s="4"/>
      <c r="BJ1711" s="4"/>
      <c r="BK1711" s="4"/>
      <c r="BL1711" s="4"/>
      <c r="BM1711" s="4"/>
      <c r="BN1711" s="4"/>
      <c r="BO1711" s="4"/>
      <c r="BP1711" s="4"/>
      <c r="BQ1711" s="4"/>
      <c r="BR1711" s="4"/>
      <c r="BS1711" s="4"/>
      <c r="BT1711" s="4"/>
      <c r="BU1711" s="4"/>
      <c r="BV1711" s="4"/>
      <c r="BW1711" s="4"/>
      <c r="BX1711" s="4"/>
      <c r="BY1711" s="4"/>
      <c r="BZ1711" s="4"/>
      <c r="CA1711" s="4"/>
      <c r="CB1711" s="4"/>
      <c r="CC1711" s="4"/>
      <c r="CD1711" s="4"/>
      <c r="CE1711" s="4"/>
      <c r="CF1711" s="4"/>
      <c r="CG1711" s="4"/>
      <c r="CH1711" s="4"/>
      <c r="CI1711" s="4"/>
      <c r="CJ1711" s="4"/>
      <c r="CK1711" s="4"/>
      <c r="CL1711" s="4"/>
      <c r="CM1711" s="4"/>
      <c r="CN1711" s="4"/>
      <c r="CO1711" s="4"/>
      <c r="CP1711" s="4"/>
      <c r="CQ1711" s="4"/>
      <c r="CR1711" s="4"/>
      <c r="CS1711" s="4"/>
      <c r="CT1711" s="4"/>
      <c r="CU1711" s="4"/>
      <c r="CV1711" s="4"/>
      <c r="CW1711" s="4"/>
      <c r="CX1711" s="4"/>
      <c r="CY1711" s="4"/>
      <c r="CZ1711" s="4"/>
      <c r="DA1711" s="4"/>
      <c r="DB1711" s="4"/>
      <c r="DC1711" s="4"/>
      <c r="DD1711" s="4"/>
      <c r="DE1711" s="4"/>
      <c r="DF1711" s="4"/>
      <c r="DG1711" s="4"/>
      <c r="DH1711" s="4"/>
      <c r="DI1711" s="4"/>
      <c r="DJ1711" s="4"/>
      <c r="DK1711" s="4"/>
      <c r="DL1711" s="4"/>
      <c r="DM1711" s="4"/>
      <c r="DN1711" s="4"/>
      <c r="DO1711" s="4"/>
      <c r="DP1711" s="4"/>
      <c r="DQ1711" s="4"/>
      <c r="DR1711" s="4"/>
      <c r="DS1711" s="4"/>
      <c r="DT1711" s="4"/>
      <c r="DU1711" s="4"/>
      <c r="DV1711" s="4"/>
      <c r="DW1711" s="4"/>
      <c r="DX1711" s="4"/>
      <c r="DY1711" s="4"/>
      <c r="DZ1711" s="4"/>
      <c r="EA1711" s="4"/>
      <c r="EB1711" s="4"/>
      <c r="EC1711" s="4"/>
      <c r="ED1711" s="4"/>
      <c r="EE1711" s="4"/>
      <c r="EF1711" s="4"/>
      <c r="EG1711" s="4"/>
      <c r="EH1711" s="4"/>
      <c r="EI1711" s="4"/>
    </row>
    <row r="1712" spans="1:139" hidden="1" x14ac:dyDescent="0.2">
      <c r="A1712" t="str">
        <f>VLOOKUP(B1712,Sheet1!$A$1:$B$18,2,FALSE)</f>
        <v>South Island</v>
      </c>
      <c r="B1712" t="str">
        <f>LEFT(D1712,3)</f>
        <v>STH</v>
      </c>
      <c r="C1712" s="2">
        <v>1295</v>
      </c>
      <c r="D1712" s="3" t="str">
        <f>HYPERLINK("https://sitebase.nzcomms.co.nz/spm/spmnominalview/STH-073-018/","STH-073-018")</f>
        <v>STH-073-018</v>
      </c>
      <c r="E1712" s="4" t="s">
        <v>3890</v>
      </c>
      <c r="F1712" s="4"/>
      <c r="G1712" s="4"/>
      <c r="H1712" s="4" t="s">
        <v>3879</v>
      </c>
      <c r="I1712" s="4"/>
      <c r="J1712" s="4" t="s">
        <v>722</v>
      </c>
      <c r="K1712" s="4"/>
      <c r="L1712" s="4"/>
      <c r="M1712" s="4"/>
      <c r="N1712" s="4"/>
      <c r="O1712" s="4"/>
      <c r="P1712" s="4"/>
      <c r="Q1712" s="4"/>
      <c r="R1712" s="4"/>
      <c r="S1712" s="4"/>
      <c r="T1712" s="4"/>
      <c r="U1712" s="4"/>
      <c r="V1712" s="4"/>
      <c r="W1712" s="4"/>
      <c r="X1712" s="4"/>
      <c r="Y1712" s="4"/>
      <c r="Z1712" s="4"/>
      <c r="AA1712" s="4"/>
      <c r="AB1712" s="4"/>
      <c r="AC1712" s="4"/>
      <c r="AD1712" s="4"/>
      <c r="AE1712" s="4"/>
      <c r="AF1712" s="4"/>
      <c r="AG1712" s="4" t="b">
        <v>0</v>
      </c>
      <c r="AH1712" s="4"/>
      <c r="AI1712" s="4"/>
      <c r="AJ1712" s="4"/>
      <c r="AK1712" s="4"/>
      <c r="AL1712" s="4"/>
      <c r="AM1712" s="4"/>
      <c r="AN1712" s="4"/>
      <c r="AO1712" s="4"/>
      <c r="AP1712" s="4"/>
      <c r="AQ1712" s="4"/>
      <c r="AR1712" s="4"/>
      <c r="AS1712" s="4"/>
      <c r="AT1712" s="4"/>
      <c r="AU1712" s="4"/>
      <c r="AV1712" s="4"/>
      <c r="AW1712" s="4"/>
      <c r="AX1712" s="4"/>
      <c r="AY1712" s="4"/>
      <c r="AZ1712" s="4"/>
      <c r="BA1712" s="4"/>
      <c r="BB1712" s="4"/>
      <c r="BC1712" s="4"/>
      <c r="BD1712" s="4"/>
      <c r="BE1712" s="4"/>
      <c r="BF1712" s="4"/>
      <c r="BG1712" s="4"/>
      <c r="BH1712" s="4"/>
      <c r="BI1712" s="4"/>
      <c r="BJ1712" s="4"/>
      <c r="BK1712" s="4"/>
      <c r="BL1712" s="4"/>
      <c r="BM1712" s="4"/>
      <c r="BN1712" s="4"/>
      <c r="BO1712" s="4"/>
      <c r="BP1712" s="4"/>
      <c r="BQ1712" s="4"/>
      <c r="BR1712" s="4"/>
      <c r="BS1712" s="4"/>
      <c r="BT1712" s="4"/>
      <c r="BU1712" s="4"/>
      <c r="BV1712" s="4"/>
      <c r="BW1712" s="4"/>
      <c r="BX1712" s="4"/>
      <c r="BY1712" s="4"/>
      <c r="BZ1712" s="4"/>
      <c r="CA1712" s="4"/>
      <c r="CB1712" s="4"/>
      <c r="CC1712" s="4"/>
      <c r="CD1712" s="4"/>
      <c r="CE1712" s="4"/>
      <c r="CF1712" s="4"/>
      <c r="CG1712" s="4"/>
      <c r="CH1712" s="4"/>
      <c r="CI1712" s="4"/>
      <c r="CJ1712" s="4"/>
      <c r="CK1712" s="4"/>
      <c r="CL1712" s="4"/>
      <c r="CM1712" s="4"/>
      <c r="CN1712" s="4"/>
      <c r="CO1712" s="4"/>
      <c r="CP1712" s="4"/>
      <c r="CQ1712" s="4"/>
      <c r="CR1712" s="4"/>
      <c r="CS1712" s="4"/>
      <c r="CT1712" s="4"/>
      <c r="CU1712" s="4"/>
      <c r="CV1712" s="4"/>
      <c r="CW1712" s="4"/>
      <c r="CX1712" s="4"/>
      <c r="CY1712" s="4"/>
      <c r="CZ1712" s="4"/>
      <c r="DA1712" s="4"/>
      <c r="DB1712" s="4"/>
      <c r="DC1712" s="4"/>
      <c r="DD1712" s="4"/>
      <c r="DE1712" s="4"/>
      <c r="DF1712" s="4"/>
      <c r="DG1712" s="4"/>
      <c r="DH1712" s="4"/>
      <c r="DI1712" s="4"/>
      <c r="DJ1712" s="4"/>
      <c r="DK1712" s="4"/>
      <c r="DL1712" s="4"/>
      <c r="DM1712" s="4"/>
      <c r="DN1712" s="4"/>
      <c r="DO1712" s="4"/>
      <c r="DP1712" s="4"/>
      <c r="DQ1712" s="4"/>
      <c r="DR1712" s="4"/>
      <c r="DS1712" s="4"/>
      <c r="DT1712" s="4"/>
      <c r="DU1712" s="4"/>
      <c r="DV1712" s="4"/>
      <c r="DW1712" s="4"/>
      <c r="DX1712" s="4"/>
      <c r="DY1712" s="4"/>
      <c r="DZ1712" s="4"/>
      <c r="EA1712" s="4"/>
      <c r="EB1712" s="4"/>
      <c r="EC1712" s="4"/>
      <c r="ED1712" s="4"/>
      <c r="EE1712" s="4"/>
      <c r="EF1712" s="4"/>
      <c r="EG1712" s="4"/>
      <c r="EH1712" s="4"/>
      <c r="EI1712" s="4"/>
    </row>
    <row r="1713" spans="1:139" hidden="1" x14ac:dyDescent="0.2">
      <c r="A1713" t="str">
        <f>VLOOKUP(B1713,Sheet1!$A$1:$B$18,2,FALSE)</f>
        <v>South Island</v>
      </c>
      <c r="B1713" t="str">
        <f>LEFT(D1713,3)</f>
        <v>STH</v>
      </c>
      <c r="C1713" s="2">
        <v>1296</v>
      </c>
      <c r="D1713" s="3" t="str">
        <f>HYPERLINK("https://sitebase.nzcomms.co.nz/spm/spmnominalview/STH-073-019/","STH-073-019")</f>
        <v>STH-073-019</v>
      </c>
      <c r="E1713" s="4" t="s">
        <v>3891</v>
      </c>
      <c r="F1713" s="4"/>
      <c r="G1713" s="4"/>
      <c r="H1713" s="4" t="s">
        <v>3879</v>
      </c>
      <c r="I1713" s="4"/>
      <c r="J1713" s="4" t="s">
        <v>722</v>
      </c>
      <c r="K1713" s="4"/>
      <c r="L1713" s="4"/>
      <c r="M1713" s="4"/>
      <c r="N1713" s="4"/>
      <c r="O1713" s="4"/>
      <c r="P1713" s="4"/>
      <c r="Q1713" s="4"/>
      <c r="R1713" s="4"/>
      <c r="S1713" s="4"/>
      <c r="T1713" s="4"/>
      <c r="U1713" s="4"/>
      <c r="V1713" s="4"/>
      <c r="W1713" s="4"/>
      <c r="X1713" s="4"/>
      <c r="Y1713" s="4"/>
      <c r="Z1713" s="4"/>
      <c r="AA1713" s="4"/>
      <c r="AB1713" s="4"/>
      <c r="AC1713" s="4"/>
      <c r="AD1713" s="4"/>
      <c r="AE1713" s="4"/>
      <c r="AF1713" s="4"/>
      <c r="AG1713" s="4" t="b">
        <v>0</v>
      </c>
      <c r="AH1713" s="4"/>
      <c r="AI1713" s="4"/>
      <c r="AJ1713" s="4"/>
      <c r="AK1713" s="4"/>
      <c r="AL1713" s="4"/>
      <c r="AM1713" s="4"/>
      <c r="AN1713" s="4"/>
      <c r="AO1713" s="4"/>
      <c r="AP1713" s="4"/>
      <c r="AQ1713" s="4"/>
      <c r="AR1713" s="4"/>
      <c r="AS1713" s="4"/>
      <c r="AT1713" s="4"/>
      <c r="AU1713" s="4"/>
      <c r="AV1713" s="4"/>
      <c r="AW1713" s="4"/>
      <c r="AX1713" s="4"/>
      <c r="AY1713" s="4"/>
      <c r="AZ1713" s="4"/>
      <c r="BA1713" s="4"/>
      <c r="BB1713" s="4"/>
      <c r="BC1713" s="4"/>
      <c r="BD1713" s="4"/>
      <c r="BE1713" s="4"/>
      <c r="BF1713" s="4"/>
      <c r="BG1713" s="4"/>
      <c r="BH1713" s="4"/>
      <c r="BI1713" s="4"/>
      <c r="BJ1713" s="4"/>
      <c r="BK1713" s="4"/>
      <c r="BL1713" s="4"/>
      <c r="BM1713" s="4"/>
      <c r="BN1713" s="4"/>
      <c r="BO1713" s="4"/>
      <c r="BP1713" s="4"/>
      <c r="BQ1713" s="4"/>
      <c r="BR1713" s="4"/>
      <c r="BS1713" s="4"/>
      <c r="BT1713" s="4"/>
      <c r="BU1713" s="4"/>
      <c r="BV1713" s="4"/>
      <c r="BW1713" s="4"/>
      <c r="BX1713" s="4"/>
      <c r="BY1713" s="4"/>
      <c r="BZ1713" s="4"/>
      <c r="CA1713" s="4"/>
      <c r="CB1713" s="4"/>
      <c r="CC1713" s="4"/>
      <c r="CD1713" s="4"/>
      <c r="CE1713" s="4"/>
      <c r="CF1713" s="4"/>
      <c r="CG1713" s="4"/>
      <c r="CH1713" s="4"/>
      <c r="CI1713" s="4"/>
      <c r="CJ1713" s="4"/>
      <c r="CK1713" s="4"/>
      <c r="CL1713" s="4"/>
      <c r="CM1713" s="4"/>
      <c r="CN1713" s="4"/>
      <c r="CO1713" s="4"/>
      <c r="CP1713" s="4"/>
      <c r="CQ1713" s="4"/>
      <c r="CR1713" s="4"/>
      <c r="CS1713" s="4"/>
      <c r="CT1713" s="4"/>
      <c r="CU1713" s="4"/>
      <c r="CV1713" s="4"/>
      <c r="CW1713" s="4"/>
      <c r="CX1713" s="4"/>
      <c r="CY1713" s="4"/>
      <c r="CZ1713" s="4"/>
      <c r="DA1713" s="4"/>
      <c r="DB1713" s="4"/>
      <c r="DC1713" s="4"/>
      <c r="DD1713" s="4"/>
      <c r="DE1713" s="4"/>
      <c r="DF1713" s="4"/>
      <c r="DG1713" s="4"/>
      <c r="DH1713" s="4"/>
      <c r="DI1713" s="4"/>
      <c r="DJ1713" s="4"/>
      <c r="DK1713" s="4"/>
      <c r="DL1713" s="4"/>
      <c r="DM1713" s="4"/>
      <c r="DN1713" s="4"/>
      <c r="DO1713" s="4"/>
      <c r="DP1713" s="4"/>
      <c r="DQ1713" s="4"/>
      <c r="DR1713" s="4"/>
      <c r="DS1713" s="4"/>
      <c r="DT1713" s="4"/>
      <c r="DU1713" s="4"/>
      <c r="DV1713" s="4"/>
      <c r="DW1713" s="4"/>
      <c r="DX1713" s="4"/>
      <c r="DY1713" s="4"/>
      <c r="DZ1713" s="4"/>
      <c r="EA1713" s="4"/>
      <c r="EB1713" s="4"/>
      <c r="EC1713" s="4"/>
      <c r="ED1713" s="4"/>
      <c r="EE1713" s="4"/>
      <c r="EF1713" s="4"/>
      <c r="EG1713" s="4"/>
      <c r="EH1713" s="4"/>
      <c r="EI1713" s="4"/>
    </row>
    <row r="1714" spans="1:139" hidden="1" x14ac:dyDescent="0.2">
      <c r="A1714" t="str">
        <f>VLOOKUP(B1714,Sheet1!$A$1:$B$18,2,FALSE)</f>
        <v>South Island</v>
      </c>
      <c r="B1714" t="str">
        <f>LEFT(D1714,3)</f>
        <v>STH</v>
      </c>
      <c r="C1714" s="2">
        <v>1298</v>
      </c>
      <c r="D1714" s="3" t="str">
        <f>HYPERLINK("https://sitebase.nzcomms.co.nz/spm/spmnominalview/STH-073-021/","STH-073-021")</f>
        <v>STH-073-021</v>
      </c>
      <c r="E1714" s="4"/>
      <c r="F1714" s="4"/>
      <c r="G1714" s="4"/>
      <c r="H1714" s="4" t="s">
        <v>3879</v>
      </c>
      <c r="I1714" s="4"/>
      <c r="J1714" s="4" t="s">
        <v>196</v>
      </c>
      <c r="K1714" s="4"/>
      <c r="L1714" s="4"/>
      <c r="M1714" s="4"/>
      <c r="N1714" s="4"/>
      <c r="O1714" s="4"/>
      <c r="P1714" s="4"/>
      <c r="Q1714" s="4"/>
      <c r="R1714" s="4"/>
      <c r="S1714" s="4"/>
      <c r="T1714" s="4"/>
      <c r="U1714" s="4"/>
      <c r="V1714" s="4"/>
      <c r="W1714" s="4"/>
      <c r="X1714" s="4"/>
      <c r="Y1714" s="4"/>
      <c r="Z1714" s="4"/>
      <c r="AA1714" s="4"/>
      <c r="AB1714" s="4"/>
      <c r="AC1714" s="4"/>
      <c r="AD1714" s="4"/>
      <c r="AE1714" s="4"/>
      <c r="AF1714" s="4"/>
      <c r="AG1714" s="4"/>
      <c r="AH1714" s="4"/>
      <c r="AI1714" s="4"/>
      <c r="AJ1714" s="4"/>
      <c r="AK1714" s="4"/>
      <c r="AL1714" s="4"/>
      <c r="AM1714" s="4"/>
      <c r="AN1714" s="4"/>
      <c r="AO1714" s="4"/>
      <c r="AP1714" s="4"/>
      <c r="AQ1714" s="4"/>
      <c r="AR1714" s="4"/>
      <c r="AS1714" s="4"/>
      <c r="AT1714" s="4"/>
      <c r="AU1714" s="4"/>
      <c r="AV1714" s="4"/>
      <c r="AW1714" s="4"/>
      <c r="AX1714" s="4"/>
      <c r="AY1714" s="4"/>
      <c r="AZ1714" s="4"/>
      <c r="BA1714" s="4"/>
      <c r="BB1714" s="4"/>
      <c r="BC1714" s="4"/>
      <c r="BD1714" s="4"/>
      <c r="BE1714" s="4"/>
      <c r="BF1714" s="4"/>
      <c r="BG1714" s="4"/>
      <c r="BH1714" s="4"/>
      <c r="BI1714" s="4"/>
      <c r="BJ1714" s="4"/>
      <c r="BK1714" s="4"/>
      <c r="BL1714" s="4"/>
      <c r="BM1714" s="4"/>
      <c r="BN1714" s="4"/>
      <c r="BO1714" s="4"/>
      <c r="BP1714" s="4"/>
      <c r="BQ1714" s="4"/>
      <c r="BR1714" s="4"/>
      <c r="BS1714" s="4"/>
      <c r="BT1714" s="4"/>
      <c r="BU1714" s="4"/>
      <c r="BV1714" s="4"/>
      <c r="BW1714" s="4"/>
      <c r="BX1714" s="4"/>
      <c r="BY1714" s="4"/>
      <c r="BZ1714" s="4"/>
      <c r="CA1714" s="4"/>
      <c r="CB1714" s="4"/>
      <c r="CC1714" s="4"/>
      <c r="CD1714" s="4"/>
      <c r="CE1714" s="4"/>
      <c r="CF1714" s="4"/>
      <c r="CG1714" s="4"/>
      <c r="CH1714" s="4"/>
      <c r="CI1714" s="4"/>
      <c r="CJ1714" s="4"/>
      <c r="CK1714" s="4"/>
      <c r="CL1714" s="4"/>
      <c r="CM1714" s="4"/>
      <c r="CN1714" s="4"/>
      <c r="CO1714" s="4"/>
      <c r="CP1714" s="4"/>
      <c r="CQ1714" s="4"/>
      <c r="CR1714" s="4"/>
      <c r="CS1714" s="4"/>
      <c r="CT1714" s="4"/>
      <c r="CU1714" s="4"/>
      <c r="CV1714" s="4"/>
      <c r="CW1714" s="4"/>
      <c r="CX1714" s="4"/>
      <c r="CY1714" s="4"/>
      <c r="CZ1714" s="4"/>
      <c r="DA1714" s="4"/>
      <c r="DB1714" s="4"/>
      <c r="DC1714" s="4"/>
      <c r="DD1714" s="4"/>
      <c r="DE1714" s="4"/>
      <c r="DF1714" s="4"/>
      <c r="DG1714" s="4"/>
      <c r="DH1714" s="4"/>
      <c r="DI1714" s="4"/>
      <c r="DJ1714" s="4"/>
      <c r="DK1714" s="4"/>
      <c r="DL1714" s="4"/>
      <c r="DM1714" s="4"/>
      <c r="DN1714" s="4"/>
      <c r="DO1714" s="4"/>
      <c r="DP1714" s="4"/>
      <c r="DQ1714" s="4"/>
      <c r="DR1714" s="4"/>
      <c r="DS1714" s="4"/>
      <c r="DT1714" s="4"/>
      <c r="DU1714" s="4"/>
      <c r="DV1714" s="4"/>
      <c r="DW1714" s="4"/>
      <c r="DX1714" s="4"/>
      <c r="DY1714" s="4"/>
      <c r="DZ1714" s="4"/>
      <c r="EA1714" s="4"/>
      <c r="EB1714" s="4"/>
      <c r="EC1714" s="4"/>
      <c r="ED1714" s="4"/>
      <c r="EE1714" s="4"/>
      <c r="EF1714" s="4"/>
      <c r="EG1714" s="4"/>
      <c r="EH1714" s="4"/>
      <c r="EI1714" s="4"/>
    </row>
    <row r="1715" spans="1:139" hidden="1" x14ac:dyDescent="0.2">
      <c r="A1715" t="str">
        <f>VLOOKUP(B1715,Sheet1!$A$1:$B$18,2,FALSE)</f>
        <v>South Island</v>
      </c>
      <c r="B1715" t="str">
        <f>LEFT(D1715,3)</f>
        <v>STH</v>
      </c>
      <c r="C1715" s="2">
        <v>1314</v>
      </c>
      <c r="D1715" s="3" t="str">
        <f>HYPERLINK("https://sitebase.nzcomms.co.nz/spm/spmnominalview/STH-075-010/","STH-075-010")</f>
        <v>STH-075-010</v>
      </c>
      <c r="E1715" s="4" t="s">
        <v>3960</v>
      </c>
      <c r="F1715" s="4"/>
      <c r="G1715" s="4"/>
      <c r="H1715" s="4" t="s">
        <v>3921</v>
      </c>
      <c r="I1715" s="4"/>
      <c r="J1715" s="4" t="s">
        <v>196</v>
      </c>
      <c r="K1715" s="4"/>
      <c r="L1715" s="4"/>
      <c r="M1715" s="4"/>
      <c r="N1715" s="4"/>
      <c r="O1715" s="4"/>
      <c r="P1715" s="4"/>
      <c r="Q1715" s="4"/>
      <c r="R1715" s="4"/>
      <c r="S1715" s="4"/>
      <c r="T1715" s="4"/>
      <c r="U1715" s="4"/>
      <c r="V1715" s="4"/>
      <c r="W1715" s="4"/>
      <c r="X1715" s="4"/>
      <c r="Y1715" s="4"/>
      <c r="Z1715" s="4"/>
      <c r="AA1715" s="4"/>
      <c r="AB1715" s="4"/>
      <c r="AC1715" s="4"/>
      <c r="AD1715" s="4"/>
      <c r="AE1715" s="4"/>
      <c r="AF1715" s="4"/>
      <c r="AG1715" s="4" t="b">
        <v>0</v>
      </c>
      <c r="AH1715" s="4"/>
      <c r="AI1715" s="4"/>
      <c r="AJ1715" s="4"/>
      <c r="AK1715" s="4"/>
      <c r="AL1715" s="4"/>
      <c r="AM1715" s="4"/>
      <c r="AN1715" s="4"/>
      <c r="AO1715" s="4"/>
      <c r="AP1715" s="4"/>
      <c r="AQ1715" s="4"/>
      <c r="AR1715" s="4"/>
      <c r="AS1715" s="4"/>
      <c r="AT1715" s="4"/>
      <c r="AU1715" s="4"/>
      <c r="AV1715" s="4"/>
      <c r="AW1715" s="4"/>
      <c r="AX1715" s="4"/>
      <c r="AY1715" s="4"/>
      <c r="AZ1715" s="4"/>
      <c r="BA1715" s="4"/>
      <c r="BB1715" s="4"/>
      <c r="BC1715" s="4"/>
      <c r="BD1715" s="4"/>
      <c r="BE1715" s="4"/>
      <c r="BF1715" s="4"/>
      <c r="BG1715" s="4"/>
      <c r="BH1715" s="4"/>
      <c r="BI1715" s="4"/>
      <c r="BJ1715" s="4"/>
      <c r="BK1715" s="4"/>
      <c r="BL1715" s="4"/>
      <c r="BM1715" s="4"/>
      <c r="BN1715" s="4"/>
      <c r="BO1715" s="4"/>
      <c r="BP1715" s="4"/>
      <c r="BQ1715" s="4"/>
      <c r="BR1715" s="4"/>
      <c r="BS1715" s="4"/>
      <c r="BT1715" s="4"/>
      <c r="BU1715" s="4"/>
      <c r="BV1715" s="4"/>
      <c r="BW1715" s="4"/>
      <c r="BX1715" s="4"/>
      <c r="BY1715" s="4"/>
      <c r="BZ1715" s="4"/>
      <c r="CA1715" s="4"/>
      <c r="CB1715" s="4"/>
      <c r="CC1715" s="4"/>
      <c r="CD1715" s="4"/>
      <c r="CE1715" s="4"/>
      <c r="CF1715" s="4"/>
      <c r="CG1715" s="4"/>
      <c r="CH1715" s="4"/>
      <c r="CI1715" s="4"/>
      <c r="CJ1715" s="4"/>
      <c r="CK1715" s="4"/>
      <c r="CL1715" s="4"/>
      <c r="CM1715" s="4"/>
      <c r="CN1715" s="4"/>
      <c r="CO1715" s="4"/>
      <c r="CP1715" s="4"/>
      <c r="CQ1715" s="4"/>
      <c r="CR1715" s="4"/>
      <c r="CS1715" s="4"/>
      <c r="CT1715" s="4"/>
      <c r="CU1715" s="4"/>
      <c r="CV1715" s="4"/>
      <c r="CW1715" s="4"/>
      <c r="CX1715" s="4"/>
      <c r="CY1715" s="4"/>
      <c r="CZ1715" s="4"/>
      <c r="DA1715" s="4"/>
      <c r="DB1715" s="4"/>
      <c r="DC1715" s="4"/>
      <c r="DD1715" s="4"/>
      <c r="DE1715" s="4"/>
      <c r="DF1715" s="4"/>
      <c r="DG1715" s="4"/>
      <c r="DH1715" s="4"/>
      <c r="DI1715" s="4"/>
      <c r="DJ1715" s="4"/>
      <c r="DK1715" s="4"/>
      <c r="DL1715" s="4"/>
      <c r="DM1715" s="4"/>
      <c r="DN1715" s="4"/>
      <c r="DO1715" s="4"/>
      <c r="DP1715" s="4"/>
      <c r="DQ1715" s="4"/>
      <c r="DR1715" s="4"/>
      <c r="DS1715" s="4"/>
      <c r="DT1715" s="4"/>
      <c r="DU1715" s="4"/>
      <c r="DV1715" s="4"/>
      <c r="DW1715" s="4"/>
      <c r="DX1715" s="4"/>
      <c r="DY1715" s="4"/>
      <c r="DZ1715" s="4"/>
      <c r="EA1715" s="4"/>
      <c r="EB1715" s="4"/>
      <c r="EC1715" s="4"/>
      <c r="ED1715" s="4"/>
      <c r="EE1715" s="4"/>
      <c r="EF1715" s="4"/>
      <c r="EG1715" s="4"/>
      <c r="EH1715" s="4"/>
      <c r="EI1715" s="4"/>
    </row>
    <row r="1716" spans="1:139" hidden="1" x14ac:dyDescent="0.2">
      <c r="A1716" t="str">
        <f>VLOOKUP(B1716,Sheet1!$A$1:$B$18,2,FALSE)</f>
        <v>South Island</v>
      </c>
      <c r="B1716" t="str">
        <f>LEFT(D1716,3)</f>
        <v>STH</v>
      </c>
      <c r="C1716" s="2">
        <v>1315</v>
      </c>
      <c r="D1716" s="3" t="str">
        <f>HYPERLINK("https://sitebase.nzcomms.co.nz/spm/spmnominalview/STH-075-011/","STH-075-011")</f>
        <v>STH-075-011</v>
      </c>
      <c r="E1716" s="4" t="s">
        <v>3961</v>
      </c>
      <c r="F1716" s="4"/>
      <c r="G1716" s="4"/>
      <c r="H1716" s="4" t="s">
        <v>3921</v>
      </c>
      <c r="I1716" s="4"/>
      <c r="J1716" s="4" t="s">
        <v>196</v>
      </c>
      <c r="K1716" s="4"/>
      <c r="L1716" s="4"/>
      <c r="M1716" s="4"/>
      <c r="N1716" s="4"/>
      <c r="O1716" s="4"/>
      <c r="P1716" s="4"/>
      <c r="Q1716" s="4"/>
      <c r="R1716" s="4"/>
      <c r="S1716" s="4"/>
      <c r="T1716" s="4"/>
      <c r="U1716" s="4"/>
      <c r="V1716" s="4"/>
      <c r="W1716" s="4"/>
      <c r="X1716" s="4"/>
      <c r="Y1716" s="4"/>
      <c r="Z1716" s="4"/>
      <c r="AA1716" s="4"/>
      <c r="AB1716" s="4"/>
      <c r="AC1716" s="4"/>
      <c r="AD1716" s="4"/>
      <c r="AE1716" s="4"/>
      <c r="AF1716" s="4"/>
      <c r="AG1716" s="4" t="b">
        <v>0</v>
      </c>
      <c r="AH1716" s="4"/>
      <c r="AI1716" s="4"/>
      <c r="AJ1716" s="4"/>
      <c r="AK1716" s="4"/>
      <c r="AL1716" s="4"/>
      <c r="AM1716" s="4"/>
      <c r="AN1716" s="4"/>
      <c r="AO1716" s="4"/>
      <c r="AP1716" s="4"/>
      <c r="AQ1716" s="4"/>
      <c r="AR1716" s="4"/>
      <c r="AS1716" s="4"/>
      <c r="AT1716" s="4"/>
      <c r="AU1716" s="4"/>
      <c r="AV1716" s="4"/>
      <c r="AW1716" s="4"/>
      <c r="AX1716" s="4"/>
      <c r="AY1716" s="4"/>
      <c r="AZ1716" s="4"/>
      <c r="BA1716" s="4"/>
      <c r="BB1716" s="4"/>
      <c r="BC1716" s="4"/>
      <c r="BD1716" s="4"/>
      <c r="BE1716" s="4"/>
      <c r="BF1716" s="4"/>
      <c r="BG1716" s="4"/>
      <c r="BH1716" s="4"/>
      <c r="BI1716" s="4"/>
      <c r="BJ1716" s="4"/>
      <c r="BK1716" s="4"/>
      <c r="BL1716" s="4"/>
      <c r="BM1716" s="4"/>
      <c r="BN1716" s="4"/>
      <c r="BO1716" s="4"/>
      <c r="BP1716" s="4"/>
      <c r="BQ1716" s="4"/>
      <c r="BR1716" s="4"/>
      <c r="BS1716" s="4"/>
      <c r="BT1716" s="4"/>
      <c r="BU1716" s="4"/>
      <c r="BV1716" s="4"/>
      <c r="BW1716" s="4"/>
      <c r="BX1716" s="4"/>
      <c r="BY1716" s="4"/>
      <c r="BZ1716" s="4"/>
      <c r="CA1716" s="4"/>
      <c r="CB1716" s="4"/>
      <c r="CC1716" s="4"/>
      <c r="CD1716" s="4"/>
      <c r="CE1716" s="4"/>
      <c r="CF1716" s="4"/>
      <c r="CG1716" s="4"/>
      <c r="CH1716" s="4"/>
      <c r="CI1716" s="4"/>
      <c r="CJ1716" s="4"/>
      <c r="CK1716" s="4"/>
      <c r="CL1716" s="4"/>
      <c r="CM1716" s="4"/>
      <c r="CN1716" s="4"/>
      <c r="CO1716" s="4"/>
      <c r="CP1716" s="4"/>
      <c r="CQ1716" s="4"/>
      <c r="CR1716" s="4"/>
      <c r="CS1716" s="4"/>
      <c r="CT1716" s="4"/>
      <c r="CU1716" s="4"/>
      <c r="CV1716" s="4"/>
      <c r="CW1716" s="4"/>
      <c r="CX1716" s="4"/>
      <c r="CY1716" s="4"/>
      <c r="CZ1716" s="4"/>
      <c r="DA1716" s="4"/>
      <c r="DB1716" s="4"/>
      <c r="DC1716" s="4"/>
      <c r="DD1716" s="4"/>
      <c r="DE1716" s="4"/>
      <c r="DF1716" s="4"/>
      <c r="DG1716" s="4"/>
      <c r="DH1716" s="4"/>
      <c r="DI1716" s="4"/>
      <c r="DJ1716" s="4"/>
      <c r="DK1716" s="4"/>
      <c r="DL1716" s="4"/>
      <c r="DM1716" s="4"/>
      <c r="DN1716" s="4"/>
      <c r="DO1716" s="4"/>
      <c r="DP1716" s="4"/>
      <c r="DQ1716" s="4"/>
      <c r="DR1716" s="4"/>
      <c r="DS1716" s="4"/>
      <c r="DT1716" s="4"/>
      <c r="DU1716" s="4"/>
      <c r="DV1716" s="4"/>
      <c r="DW1716" s="4"/>
      <c r="DX1716" s="4"/>
      <c r="DY1716" s="4"/>
      <c r="DZ1716" s="4"/>
      <c r="EA1716" s="4"/>
      <c r="EB1716" s="4"/>
      <c r="EC1716" s="4"/>
      <c r="ED1716" s="4"/>
      <c r="EE1716" s="4"/>
      <c r="EF1716" s="4"/>
      <c r="EG1716" s="4"/>
      <c r="EH1716" s="4"/>
      <c r="EI1716" s="4"/>
    </row>
    <row r="1717" spans="1:139" hidden="1" x14ac:dyDescent="0.2">
      <c r="A1717" t="str">
        <f>VLOOKUP(B1717,Sheet1!$A$1:$B$18,2,FALSE)</f>
        <v>South Island</v>
      </c>
      <c r="B1717" t="str">
        <f>LEFT(D1717,3)</f>
        <v>STH</v>
      </c>
      <c r="C1717" s="2">
        <v>1317</v>
      </c>
      <c r="D1717" s="3" t="str">
        <f>HYPERLINK("https://sitebase.nzcomms.co.nz/spm/spmnominalview/STH-075-013/","STH-075-013")</f>
        <v>STH-075-013</v>
      </c>
      <c r="E1717" s="4" t="s">
        <v>3967</v>
      </c>
      <c r="F1717" s="4"/>
      <c r="G1717" s="4"/>
      <c r="H1717" s="4" t="s">
        <v>3921</v>
      </c>
      <c r="I1717" s="4"/>
      <c r="J1717" s="4" t="s">
        <v>196</v>
      </c>
      <c r="K1717" s="4"/>
      <c r="L1717" s="4"/>
      <c r="M1717" s="4"/>
      <c r="N1717" s="4"/>
      <c r="O1717" s="4"/>
      <c r="P1717" s="4"/>
      <c r="Q1717" s="4"/>
      <c r="R1717" s="4"/>
      <c r="S1717" s="4"/>
      <c r="T1717" s="4"/>
      <c r="U1717" s="4"/>
      <c r="V1717" s="4"/>
      <c r="W1717" s="4"/>
      <c r="X1717" s="4"/>
      <c r="Y1717" s="4"/>
      <c r="Z1717" s="4"/>
      <c r="AA1717" s="4"/>
      <c r="AB1717" s="4"/>
      <c r="AC1717" s="4"/>
      <c r="AD1717" s="4"/>
      <c r="AE1717" s="4"/>
      <c r="AF1717" s="4"/>
      <c r="AG1717" s="4" t="b">
        <v>0</v>
      </c>
      <c r="AH1717" s="4"/>
      <c r="AI1717" s="4"/>
      <c r="AJ1717" s="4"/>
      <c r="AK1717" s="4"/>
      <c r="AL1717" s="4"/>
      <c r="AM1717" s="4"/>
      <c r="AN1717" s="4"/>
      <c r="AO1717" s="4"/>
      <c r="AP1717" s="4"/>
      <c r="AQ1717" s="4"/>
      <c r="AR1717" s="4"/>
      <c r="AS1717" s="4"/>
      <c r="AT1717" s="4"/>
      <c r="AU1717" s="4"/>
      <c r="AV1717" s="4"/>
      <c r="AW1717" s="4"/>
      <c r="AX1717" s="4"/>
      <c r="AY1717" s="4"/>
      <c r="AZ1717" s="4"/>
      <c r="BA1717" s="4"/>
      <c r="BB1717" s="4"/>
      <c r="BC1717" s="4"/>
      <c r="BD1717" s="4"/>
      <c r="BE1717" s="4"/>
      <c r="BF1717" s="4"/>
      <c r="BG1717" s="4"/>
      <c r="BH1717" s="4"/>
      <c r="BI1717" s="4"/>
      <c r="BJ1717" s="4"/>
      <c r="BK1717" s="4"/>
      <c r="BL1717" s="4"/>
      <c r="BM1717" s="4"/>
      <c r="BN1717" s="4"/>
      <c r="BO1717" s="4"/>
      <c r="BP1717" s="4"/>
      <c r="BQ1717" s="4"/>
      <c r="BR1717" s="4"/>
      <c r="BS1717" s="4"/>
      <c r="BT1717" s="4"/>
      <c r="BU1717" s="4"/>
      <c r="BV1717" s="4"/>
      <c r="BW1717" s="4"/>
      <c r="BX1717" s="4"/>
      <c r="BY1717" s="4"/>
      <c r="BZ1717" s="4"/>
      <c r="CA1717" s="4"/>
      <c r="CB1717" s="4"/>
      <c r="CC1717" s="4"/>
      <c r="CD1717" s="4"/>
      <c r="CE1717" s="4"/>
      <c r="CF1717" s="4"/>
      <c r="CG1717" s="4"/>
      <c r="CH1717" s="4"/>
      <c r="CI1717" s="4"/>
      <c r="CJ1717" s="4"/>
      <c r="CK1717" s="4"/>
      <c r="CL1717" s="4"/>
      <c r="CM1717" s="4"/>
      <c r="CN1717" s="4"/>
      <c r="CO1717" s="4"/>
      <c r="CP1717" s="4"/>
      <c r="CQ1717" s="4"/>
      <c r="CR1717" s="4"/>
      <c r="CS1717" s="4"/>
      <c r="CT1717" s="4"/>
      <c r="CU1717" s="4"/>
      <c r="CV1717" s="4"/>
      <c r="CW1717" s="4"/>
      <c r="CX1717" s="4"/>
      <c r="CY1717" s="4"/>
      <c r="CZ1717" s="4"/>
      <c r="DA1717" s="4"/>
      <c r="DB1717" s="4"/>
      <c r="DC1717" s="4"/>
      <c r="DD1717" s="4"/>
      <c r="DE1717" s="4"/>
      <c r="DF1717" s="4"/>
      <c r="DG1717" s="4"/>
      <c r="DH1717" s="4"/>
      <c r="DI1717" s="4"/>
      <c r="DJ1717" s="4"/>
      <c r="DK1717" s="4"/>
      <c r="DL1717" s="4"/>
      <c r="DM1717" s="4"/>
      <c r="DN1717" s="4"/>
      <c r="DO1717" s="4"/>
      <c r="DP1717" s="4"/>
      <c r="DQ1717" s="4"/>
      <c r="DR1717" s="4"/>
      <c r="DS1717" s="4"/>
      <c r="DT1717" s="4"/>
      <c r="DU1717" s="4"/>
      <c r="DV1717" s="4"/>
      <c r="DW1717" s="4"/>
      <c r="DX1717" s="4"/>
      <c r="DY1717" s="4"/>
      <c r="DZ1717" s="4"/>
      <c r="EA1717" s="4"/>
      <c r="EB1717" s="4"/>
      <c r="EC1717" s="4"/>
      <c r="ED1717" s="4"/>
      <c r="EE1717" s="4"/>
      <c r="EF1717" s="4"/>
      <c r="EG1717" s="4"/>
      <c r="EH1717" s="4"/>
      <c r="EI1717" s="4"/>
    </row>
    <row r="1718" spans="1:139" hidden="1" x14ac:dyDescent="0.2">
      <c r="A1718" t="str">
        <f>VLOOKUP(B1718,Sheet1!$A$1:$B$18,2,FALSE)</f>
        <v>South Island</v>
      </c>
      <c r="B1718" t="str">
        <f>LEFT(D1718,3)</f>
        <v>STH</v>
      </c>
      <c r="C1718" s="2">
        <v>1318</v>
      </c>
      <c r="D1718" s="3" t="str">
        <f>HYPERLINK("https://sitebase.nzcomms.co.nz/spm/spmnominalview/STH-075-014/","STH-075-014")</f>
        <v>STH-075-014</v>
      </c>
      <c r="E1718" s="4" t="s">
        <v>3968</v>
      </c>
      <c r="F1718" s="4"/>
      <c r="G1718" s="4"/>
      <c r="H1718" s="4" t="s">
        <v>3921</v>
      </c>
      <c r="I1718" s="4"/>
      <c r="J1718" s="4" t="s">
        <v>196</v>
      </c>
      <c r="K1718" s="4"/>
      <c r="L1718" s="4"/>
      <c r="M1718" s="4"/>
      <c r="N1718" s="4"/>
      <c r="O1718" s="4"/>
      <c r="P1718" s="4"/>
      <c r="Q1718" s="4"/>
      <c r="R1718" s="4"/>
      <c r="S1718" s="4"/>
      <c r="T1718" s="4"/>
      <c r="U1718" s="4"/>
      <c r="V1718" s="4"/>
      <c r="W1718" s="4"/>
      <c r="X1718" s="4"/>
      <c r="Y1718" s="4"/>
      <c r="Z1718" s="4"/>
      <c r="AA1718" s="4"/>
      <c r="AB1718" s="4"/>
      <c r="AC1718" s="4"/>
      <c r="AD1718" s="4"/>
      <c r="AE1718" s="4"/>
      <c r="AF1718" s="4"/>
      <c r="AG1718" s="4" t="b">
        <v>0</v>
      </c>
      <c r="AH1718" s="4"/>
      <c r="AI1718" s="4"/>
      <c r="AJ1718" s="4"/>
      <c r="AK1718" s="4"/>
      <c r="AL1718" s="4"/>
      <c r="AM1718" s="4"/>
      <c r="AN1718" s="4"/>
      <c r="AO1718" s="4"/>
      <c r="AP1718" s="4"/>
      <c r="AQ1718" s="4"/>
      <c r="AR1718" s="4"/>
      <c r="AS1718" s="4"/>
      <c r="AT1718" s="4"/>
      <c r="AU1718" s="4"/>
      <c r="AV1718" s="4"/>
      <c r="AW1718" s="4"/>
      <c r="AX1718" s="4"/>
      <c r="AY1718" s="4"/>
      <c r="AZ1718" s="4"/>
      <c r="BA1718" s="4"/>
      <c r="BB1718" s="4"/>
      <c r="BC1718" s="4"/>
      <c r="BD1718" s="4"/>
      <c r="BE1718" s="4"/>
      <c r="BF1718" s="4"/>
      <c r="BG1718" s="4"/>
      <c r="BH1718" s="4"/>
      <c r="BI1718" s="4"/>
      <c r="BJ1718" s="4"/>
      <c r="BK1718" s="4"/>
      <c r="BL1718" s="4"/>
      <c r="BM1718" s="4"/>
      <c r="BN1718" s="4"/>
      <c r="BO1718" s="4"/>
      <c r="BP1718" s="4"/>
      <c r="BQ1718" s="4"/>
      <c r="BR1718" s="4"/>
      <c r="BS1718" s="4"/>
      <c r="BT1718" s="4"/>
      <c r="BU1718" s="4"/>
      <c r="BV1718" s="4"/>
      <c r="BW1718" s="4"/>
      <c r="BX1718" s="4"/>
      <c r="BY1718" s="4"/>
      <c r="BZ1718" s="4"/>
      <c r="CA1718" s="4"/>
      <c r="CB1718" s="4"/>
      <c r="CC1718" s="4"/>
      <c r="CD1718" s="4"/>
      <c r="CE1718" s="4"/>
      <c r="CF1718" s="4"/>
      <c r="CG1718" s="4"/>
      <c r="CH1718" s="4"/>
      <c r="CI1718" s="4"/>
      <c r="CJ1718" s="4"/>
      <c r="CK1718" s="4"/>
      <c r="CL1718" s="4"/>
      <c r="CM1718" s="4"/>
      <c r="CN1718" s="4"/>
      <c r="CO1718" s="4"/>
      <c r="CP1718" s="4"/>
      <c r="CQ1718" s="4"/>
      <c r="CR1718" s="4"/>
      <c r="CS1718" s="4"/>
      <c r="CT1718" s="4"/>
      <c r="CU1718" s="4"/>
      <c r="CV1718" s="4"/>
      <c r="CW1718" s="4"/>
      <c r="CX1718" s="4"/>
      <c r="CY1718" s="4"/>
      <c r="CZ1718" s="4"/>
      <c r="DA1718" s="4"/>
      <c r="DB1718" s="4"/>
      <c r="DC1718" s="4"/>
      <c r="DD1718" s="4"/>
      <c r="DE1718" s="4"/>
      <c r="DF1718" s="4"/>
      <c r="DG1718" s="4"/>
      <c r="DH1718" s="4"/>
      <c r="DI1718" s="4"/>
      <c r="DJ1718" s="4"/>
      <c r="DK1718" s="4"/>
      <c r="DL1718" s="4"/>
      <c r="DM1718" s="4"/>
      <c r="DN1718" s="4"/>
      <c r="DO1718" s="4"/>
      <c r="DP1718" s="4"/>
      <c r="DQ1718" s="4"/>
      <c r="DR1718" s="4"/>
      <c r="DS1718" s="4"/>
      <c r="DT1718" s="4"/>
      <c r="DU1718" s="4"/>
      <c r="DV1718" s="4"/>
      <c r="DW1718" s="4"/>
      <c r="DX1718" s="4"/>
      <c r="DY1718" s="4"/>
      <c r="DZ1718" s="4"/>
      <c r="EA1718" s="4"/>
      <c r="EB1718" s="4"/>
      <c r="EC1718" s="4"/>
      <c r="ED1718" s="4"/>
      <c r="EE1718" s="4"/>
      <c r="EF1718" s="4"/>
      <c r="EG1718" s="4"/>
      <c r="EH1718" s="4"/>
      <c r="EI1718" s="4"/>
    </row>
    <row r="1719" spans="1:139" hidden="1" x14ac:dyDescent="0.2">
      <c r="A1719" t="str">
        <f>VLOOKUP(B1719,Sheet1!$A$1:$B$18,2,FALSE)</f>
        <v>South Island</v>
      </c>
      <c r="B1719" t="str">
        <f>LEFT(D1719,3)</f>
        <v>STH</v>
      </c>
      <c r="C1719" s="2">
        <v>1319</v>
      </c>
      <c r="D1719" s="3" t="str">
        <f>HYPERLINK("https://sitebase.nzcomms.co.nz/spm/spmnominalview/STH-075-015/","STH-075-015")</f>
        <v>STH-075-015</v>
      </c>
      <c r="E1719" s="4" t="s">
        <v>3969</v>
      </c>
      <c r="F1719" s="4"/>
      <c r="G1719" s="4"/>
      <c r="H1719" s="4" t="s">
        <v>3921</v>
      </c>
      <c r="I1719" s="4">
        <v>5</v>
      </c>
      <c r="J1719" s="4" t="s">
        <v>196</v>
      </c>
      <c r="K1719" s="4"/>
      <c r="L1719" s="4"/>
      <c r="M1719" s="4"/>
      <c r="N1719" s="4"/>
      <c r="O1719" s="4"/>
      <c r="P1719" s="4"/>
      <c r="Q1719" s="4"/>
      <c r="R1719" s="4"/>
      <c r="S1719" s="4"/>
      <c r="T1719" s="4"/>
      <c r="U1719" s="4"/>
      <c r="V1719" s="4"/>
      <c r="W1719" s="4"/>
      <c r="X1719" s="4"/>
      <c r="Y1719" s="4"/>
      <c r="Z1719" s="4"/>
      <c r="AA1719" s="4"/>
      <c r="AB1719" s="4"/>
      <c r="AC1719" s="4"/>
      <c r="AD1719" s="4"/>
      <c r="AE1719" s="4"/>
      <c r="AF1719" s="4"/>
      <c r="AG1719" s="4" t="b">
        <v>0</v>
      </c>
      <c r="AH1719" s="4"/>
      <c r="AI1719" s="4"/>
      <c r="AJ1719" s="4"/>
      <c r="AK1719" s="4"/>
      <c r="AL1719" s="4"/>
      <c r="AM1719" s="4"/>
      <c r="AN1719" s="4"/>
      <c r="AO1719" s="4"/>
      <c r="AP1719" s="4"/>
      <c r="AQ1719" s="4"/>
      <c r="AR1719" s="4"/>
      <c r="AS1719" s="4"/>
      <c r="AT1719" s="4"/>
      <c r="AU1719" s="4"/>
      <c r="AV1719" s="4"/>
      <c r="AW1719" s="4"/>
      <c r="AX1719" s="4"/>
      <c r="AY1719" s="4"/>
      <c r="AZ1719" s="4"/>
      <c r="BA1719" s="4"/>
      <c r="BB1719" s="4"/>
      <c r="BC1719" s="4"/>
      <c r="BD1719" s="4"/>
      <c r="BE1719" s="4"/>
      <c r="BF1719" s="4"/>
      <c r="BG1719" s="4"/>
      <c r="BH1719" s="4"/>
      <c r="BI1719" s="4"/>
      <c r="BJ1719" s="4"/>
      <c r="BK1719" s="4"/>
      <c r="BL1719" s="4"/>
      <c r="BM1719" s="4"/>
      <c r="BN1719" s="4"/>
      <c r="BO1719" s="4"/>
      <c r="BP1719" s="4"/>
      <c r="BQ1719" s="4"/>
      <c r="BR1719" s="4"/>
      <c r="BS1719" s="4"/>
      <c r="BT1719" s="4"/>
      <c r="BU1719" s="4"/>
      <c r="BV1719" s="4"/>
      <c r="BW1719" s="4"/>
      <c r="BX1719" s="4"/>
      <c r="BY1719" s="4"/>
      <c r="BZ1719" s="4"/>
      <c r="CA1719" s="4"/>
      <c r="CB1719" s="4"/>
      <c r="CC1719" s="4"/>
      <c r="CD1719" s="4"/>
      <c r="CE1719" s="4"/>
      <c r="CF1719" s="4"/>
      <c r="CG1719" s="4"/>
      <c r="CH1719" s="4"/>
      <c r="CI1719" s="4"/>
      <c r="CJ1719" s="4"/>
      <c r="CK1719" s="4"/>
      <c r="CL1719" s="4"/>
      <c r="CM1719" s="4"/>
      <c r="CN1719" s="4"/>
      <c r="CO1719" s="4"/>
      <c r="CP1719" s="4"/>
      <c r="CQ1719" s="4"/>
      <c r="CR1719" s="4"/>
      <c r="CS1719" s="4"/>
      <c r="CT1719" s="4"/>
      <c r="CU1719" s="4"/>
      <c r="CV1719" s="4"/>
      <c r="CW1719" s="4"/>
      <c r="CX1719" s="4"/>
      <c r="CY1719" s="4"/>
      <c r="CZ1719" s="4"/>
      <c r="DA1719" s="4"/>
      <c r="DB1719" s="4"/>
      <c r="DC1719" s="4"/>
      <c r="DD1719" s="4"/>
      <c r="DE1719" s="4"/>
      <c r="DF1719" s="4"/>
      <c r="DG1719" s="4"/>
      <c r="DH1719" s="4"/>
      <c r="DI1719" s="4"/>
      <c r="DJ1719" s="4"/>
      <c r="DK1719" s="4"/>
      <c r="DL1719" s="4"/>
      <c r="DM1719" s="4"/>
      <c r="DN1719" s="4"/>
      <c r="DO1719" s="4"/>
      <c r="DP1719" s="4"/>
      <c r="DQ1719" s="4"/>
      <c r="DR1719" s="4"/>
      <c r="DS1719" s="4"/>
      <c r="DT1719" s="4"/>
      <c r="DU1719" s="4"/>
      <c r="DV1719" s="4"/>
      <c r="DW1719" s="4"/>
      <c r="DX1719" s="4"/>
      <c r="DY1719" s="4"/>
      <c r="DZ1719" s="4"/>
      <c r="EA1719" s="4"/>
      <c r="EB1719" s="4"/>
      <c r="EC1719" s="4"/>
      <c r="ED1719" s="4"/>
      <c r="EE1719" s="4"/>
      <c r="EF1719" s="4"/>
      <c r="EG1719" s="4"/>
      <c r="EH1719" s="4"/>
      <c r="EI1719" s="4"/>
    </row>
    <row r="1720" spans="1:139" hidden="1" x14ac:dyDescent="0.2">
      <c r="A1720" t="str">
        <f>VLOOKUP(B1720,Sheet1!$A$1:$B$18,2,FALSE)</f>
        <v>South Island</v>
      </c>
      <c r="B1720" t="str">
        <f>LEFT(D1720,3)</f>
        <v>WST</v>
      </c>
      <c r="C1720" s="2">
        <v>1711</v>
      </c>
      <c r="D1720" s="3" t="str">
        <f>HYPERLINK("https://sitebase.nzcomms.co.nz/spm/spmnominalview/WST-055-002/","WST-055-002")</f>
        <v>WST-055-002</v>
      </c>
      <c r="E1720" s="4"/>
      <c r="F1720" s="4"/>
      <c r="G1720" s="4"/>
      <c r="H1720" s="4" t="s">
        <v>5149</v>
      </c>
      <c r="I1720" s="4"/>
      <c r="J1720" s="4" t="s">
        <v>196</v>
      </c>
      <c r="K1720" s="4"/>
      <c r="L1720" s="4"/>
      <c r="M1720" s="4"/>
      <c r="N1720" s="4"/>
      <c r="O1720" s="4"/>
      <c r="P1720" s="4"/>
      <c r="Q1720" s="4"/>
      <c r="R1720" s="4"/>
      <c r="S1720" s="4"/>
      <c r="T1720" s="4"/>
      <c r="U1720" s="4"/>
      <c r="V1720" s="4"/>
      <c r="W1720" s="4"/>
      <c r="X1720" s="4"/>
      <c r="Y1720" s="4"/>
      <c r="Z1720" s="4"/>
      <c r="AA1720" s="4"/>
      <c r="AB1720" s="4"/>
      <c r="AC1720" s="4"/>
      <c r="AD1720" s="4"/>
      <c r="AE1720" s="4"/>
      <c r="AF1720" s="4"/>
      <c r="AG1720" s="4"/>
      <c r="AH1720" s="4"/>
      <c r="AI1720" s="4"/>
      <c r="AJ1720" s="4"/>
      <c r="AK1720" s="4"/>
      <c r="AL1720" s="4"/>
      <c r="AM1720" s="4"/>
      <c r="AN1720" s="4"/>
      <c r="AO1720" s="4"/>
      <c r="AP1720" s="4"/>
      <c r="AQ1720" s="4"/>
      <c r="AR1720" s="4"/>
      <c r="AS1720" s="4"/>
      <c r="AT1720" s="4"/>
      <c r="AU1720" s="4"/>
      <c r="AV1720" s="4"/>
      <c r="AW1720" s="4"/>
      <c r="AX1720" s="4"/>
      <c r="AY1720" s="4"/>
      <c r="AZ1720" s="4"/>
      <c r="BA1720" s="4"/>
      <c r="BB1720" s="4"/>
      <c r="BC1720" s="4"/>
      <c r="BD1720" s="4"/>
      <c r="BE1720" s="4"/>
      <c r="BF1720" s="4"/>
      <c r="BG1720" s="4"/>
      <c r="BH1720" s="4"/>
      <c r="BI1720" s="4"/>
      <c r="BJ1720" s="4"/>
      <c r="BK1720" s="4"/>
      <c r="BL1720" s="4"/>
      <c r="BM1720" s="4"/>
      <c r="BN1720" s="4"/>
      <c r="BO1720" s="4"/>
      <c r="BP1720" s="4"/>
      <c r="BQ1720" s="4"/>
      <c r="BR1720" s="4"/>
      <c r="BS1720" s="4"/>
      <c r="BT1720" s="4"/>
      <c r="BU1720" s="4"/>
      <c r="BV1720" s="4"/>
      <c r="BW1720" s="4"/>
      <c r="BX1720" s="4"/>
      <c r="BY1720" s="4"/>
      <c r="BZ1720" s="4"/>
      <c r="CA1720" s="4"/>
      <c r="CB1720" s="4"/>
      <c r="CC1720" s="4"/>
      <c r="CD1720" s="4"/>
      <c r="CE1720" s="4"/>
      <c r="CF1720" s="4"/>
      <c r="CG1720" s="4"/>
      <c r="CH1720" s="4"/>
      <c r="CI1720" s="4"/>
      <c r="CJ1720" s="4"/>
      <c r="CK1720" s="4"/>
      <c r="CL1720" s="4"/>
      <c r="CM1720" s="4"/>
      <c r="CN1720" s="4"/>
      <c r="CO1720" s="4"/>
      <c r="CP1720" s="4"/>
      <c r="CQ1720" s="4"/>
      <c r="CR1720" s="4"/>
      <c r="CS1720" s="4"/>
      <c r="CT1720" s="4"/>
      <c r="CU1720" s="4"/>
      <c r="CV1720" s="4"/>
      <c r="CW1720" s="4"/>
      <c r="CX1720" s="4"/>
      <c r="CY1720" s="4"/>
      <c r="CZ1720" s="4"/>
      <c r="DA1720" s="4"/>
      <c r="DB1720" s="4"/>
      <c r="DC1720" s="4"/>
      <c r="DD1720" s="4"/>
      <c r="DE1720" s="4"/>
      <c r="DF1720" s="4"/>
      <c r="DG1720" s="4"/>
      <c r="DH1720" s="4"/>
      <c r="DI1720" s="4"/>
      <c r="DJ1720" s="4"/>
      <c r="DK1720" s="4"/>
      <c r="DL1720" s="4"/>
      <c r="DM1720" s="4"/>
      <c r="DN1720" s="4"/>
      <c r="DO1720" s="4"/>
      <c r="DP1720" s="4"/>
      <c r="DQ1720" s="4"/>
      <c r="DR1720" s="4"/>
      <c r="DS1720" s="4"/>
      <c r="DT1720" s="4"/>
      <c r="DU1720" s="4"/>
      <c r="DV1720" s="4"/>
      <c r="DW1720" s="4"/>
      <c r="DX1720" s="4"/>
      <c r="DY1720" s="4"/>
      <c r="DZ1720" s="4"/>
      <c r="EA1720" s="4"/>
      <c r="EB1720" s="4"/>
      <c r="EC1720" s="4"/>
      <c r="ED1720" s="4"/>
      <c r="EE1720" s="4"/>
      <c r="EF1720" s="4"/>
      <c r="EG1720" s="4"/>
      <c r="EH1720" s="4"/>
      <c r="EI1720" s="4"/>
    </row>
    <row r="1721" spans="1:139" hidden="1" x14ac:dyDescent="0.2">
      <c r="A1721" t="str">
        <f>VLOOKUP(B1721,Sheet1!$A$1:$B$18,2,FALSE)</f>
        <v>South Island</v>
      </c>
      <c r="B1721" t="str">
        <f>LEFT(D1721,3)</f>
        <v>WST</v>
      </c>
      <c r="C1721" s="2">
        <v>1712</v>
      </c>
      <c r="D1721" s="3" t="str">
        <f>HYPERLINK("https://sitebase.nzcomms.co.nz/spm/spmnominalview/WST-055-003/","WST-055-003")</f>
        <v>WST-055-003</v>
      </c>
      <c r="E1721" s="4"/>
      <c r="F1721" s="4"/>
      <c r="G1721" s="4"/>
      <c r="H1721" s="4" t="s">
        <v>5149</v>
      </c>
      <c r="I1721" s="4"/>
      <c r="J1721" s="4" t="s">
        <v>196</v>
      </c>
      <c r="K1721" s="4"/>
      <c r="L1721" s="4"/>
      <c r="M1721" s="4"/>
      <c r="N1721" s="4"/>
      <c r="O1721" s="4"/>
      <c r="P1721" s="4"/>
      <c r="Q1721" s="4"/>
      <c r="R1721" s="4"/>
      <c r="S1721" s="4"/>
      <c r="T1721" s="4"/>
      <c r="U1721" s="4"/>
      <c r="V1721" s="4"/>
      <c r="W1721" s="4"/>
      <c r="X1721" s="4"/>
      <c r="Y1721" s="4"/>
      <c r="Z1721" s="4"/>
      <c r="AA1721" s="4"/>
      <c r="AB1721" s="4"/>
      <c r="AC1721" s="4"/>
      <c r="AD1721" s="4"/>
      <c r="AE1721" s="4"/>
      <c r="AF1721" s="4"/>
      <c r="AG1721" s="4"/>
      <c r="AH1721" s="4"/>
      <c r="AI1721" s="4"/>
      <c r="AJ1721" s="4"/>
      <c r="AK1721" s="4"/>
      <c r="AL1721" s="4"/>
      <c r="AM1721" s="4"/>
      <c r="AN1721" s="4"/>
      <c r="AO1721" s="4"/>
      <c r="AP1721" s="4"/>
      <c r="AQ1721" s="4"/>
      <c r="AR1721" s="4"/>
      <c r="AS1721" s="4"/>
      <c r="AT1721" s="4"/>
      <c r="AU1721" s="4"/>
      <c r="AV1721" s="4"/>
      <c r="AW1721" s="4"/>
      <c r="AX1721" s="4"/>
      <c r="AY1721" s="4"/>
      <c r="AZ1721" s="4"/>
      <c r="BA1721" s="4"/>
      <c r="BB1721" s="4"/>
      <c r="BC1721" s="4"/>
      <c r="BD1721" s="4"/>
      <c r="BE1721" s="4"/>
      <c r="BF1721" s="4"/>
      <c r="BG1721" s="4"/>
      <c r="BH1721" s="4"/>
      <c r="BI1721" s="4"/>
      <c r="BJ1721" s="4"/>
      <c r="BK1721" s="4"/>
      <c r="BL1721" s="4"/>
      <c r="BM1721" s="4"/>
      <c r="BN1721" s="4"/>
      <c r="BO1721" s="4"/>
      <c r="BP1721" s="4"/>
      <c r="BQ1721" s="4"/>
      <c r="BR1721" s="4"/>
      <c r="BS1721" s="4"/>
      <c r="BT1721" s="4"/>
      <c r="BU1721" s="4"/>
      <c r="BV1721" s="4"/>
      <c r="BW1721" s="4"/>
      <c r="BX1721" s="4"/>
      <c r="BY1721" s="4"/>
      <c r="BZ1721" s="4"/>
      <c r="CA1721" s="4"/>
      <c r="CB1721" s="4"/>
      <c r="CC1721" s="4"/>
      <c r="CD1721" s="4"/>
      <c r="CE1721" s="4"/>
      <c r="CF1721" s="4"/>
      <c r="CG1721" s="4"/>
      <c r="CH1721" s="4"/>
      <c r="CI1721" s="4"/>
      <c r="CJ1721" s="4"/>
      <c r="CK1721" s="4"/>
      <c r="CL1721" s="4"/>
      <c r="CM1721" s="4"/>
      <c r="CN1721" s="4"/>
      <c r="CO1721" s="4"/>
      <c r="CP1721" s="4"/>
      <c r="CQ1721" s="4"/>
      <c r="CR1721" s="4"/>
      <c r="CS1721" s="4"/>
      <c r="CT1721" s="4"/>
      <c r="CU1721" s="4"/>
      <c r="CV1721" s="4"/>
      <c r="CW1721" s="4"/>
      <c r="CX1721" s="4"/>
      <c r="CY1721" s="4"/>
      <c r="CZ1721" s="4"/>
      <c r="DA1721" s="4"/>
      <c r="DB1721" s="4"/>
      <c r="DC1721" s="4"/>
      <c r="DD1721" s="4"/>
      <c r="DE1721" s="4"/>
      <c r="DF1721" s="4"/>
      <c r="DG1721" s="4"/>
      <c r="DH1721" s="4"/>
      <c r="DI1721" s="4"/>
      <c r="DJ1721" s="4"/>
      <c r="DK1721" s="4"/>
      <c r="DL1721" s="4"/>
      <c r="DM1721" s="4"/>
      <c r="DN1721" s="4"/>
      <c r="DO1721" s="4"/>
      <c r="DP1721" s="4"/>
      <c r="DQ1721" s="4"/>
      <c r="DR1721" s="4"/>
      <c r="DS1721" s="4"/>
      <c r="DT1721" s="4"/>
      <c r="DU1721" s="4"/>
      <c r="DV1721" s="4"/>
      <c r="DW1721" s="4"/>
      <c r="DX1721" s="4"/>
      <c r="DY1721" s="4"/>
      <c r="DZ1721" s="4"/>
      <c r="EA1721" s="4"/>
      <c r="EB1721" s="4"/>
      <c r="EC1721" s="4"/>
      <c r="ED1721" s="4"/>
      <c r="EE1721" s="4"/>
      <c r="EF1721" s="4"/>
      <c r="EG1721" s="4"/>
      <c r="EH1721" s="4"/>
      <c r="EI1721" s="4"/>
    </row>
    <row r="1722" spans="1:139" hidden="1" x14ac:dyDescent="0.2">
      <c r="A1722" t="str">
        <f>VLOOKUP(B1722,Sheet1!$A$1:$B$18,2,FALSE)</f>
        <v>South Island</v>
      </c>
      <c r="B1722" t="str">
        <f>LEFT(D1722,3)</f>
        <v>WST</v>
      </c>
      <c r="C1722" s="2">
        <v>1721</v>
      </c>
      <c r="D1722" s="3" t="str">
        <f>HYPERLINK("https://sitebase.nzcomms.co.nz/spm/spmnominalview/WST-057-002/","WST-057-002")</f>
        <v>WST-057-002</v>
      </c>
      <c r="E1722" s="4"/>
      <c r="F1722" s="4"/>
      <c r="G1722" s="4"/>
      <c r="H1722" s="4" t="s">
        <v>5186</v>
      </c>
      <c r="I1722" s="4"/>
      <c r="J1722" s="4" t="s">
        <v>196</v>
      </c>
      <c r="K1722" s="4"/>
      <c r="L1722" s="4"/>
      <c r="M1722" s="4"/>
      <c r="N1722" s="4"/>
      <c r="O1722" s="4"/>
      <c r="P1722" s="4"/>
      <c r="Q1722" s="4"/>
      <c r="R1722" s="4"/>
      <c r="S1722" s="4"/>
      <c r="T1722" s="4"/>
      <c r="U1722" s="4"/>
      <c r="V1722" s="4"/>
      <c r="W1722" s="4"/>
      <c r="X1722" s="4"/>
      <c r="Y1722" s="4"/>
      <c r="Z1722" s="4"/>
      <c r="AA1722" s="4"/>
      <c r="AB1722" s="4"/>
      <c r="AC1722" s="4"/>
      <c r="AD1722" s="4"/>
      <c r="AE1722" s="4"/>
      <c r="AF1722" s="4"/>
      <c r="AG1722" s="4"/>
      <c r="AH1722" s="4"/>
      <c r="AI1722" s="4"/>
      <c r="AJ1722" s="4"/>
      <c r="AK1722" s="4"/>
      <c r="AL1722" s="4"/>
      <c r="AM1722" s="4"/>
      <c r="AN1722" s="4"/>
      <c r="AO1722" s="4"/>
      <c r="AP1722" s="4"/>
      <c r="AQ1722" s="4"/>
      <c r="AR1722" s="4"/>
      <c r="AS1722" s="4"/>
      <c r="AT1722" s="4"/>
      <c r="AU1722" s="4"/>
      <c r="AV1722" s="4"/>
      <c r="AW1722" s="4"/>
      <c r="AX1722" s="4"/>
      <c r="AY1722" s="4"/>
      <c r="AZ1722" s="4"/>
      <c r="BA1722" s="4"/>
      <c r="BB1722" s="4"/>
      <c r="BC1722" s="4"/>
      <c r="BD1722" s="4"/>
      <c r="BE1722" s="4"/>
      <c r="BF1722" s="4"/>
      <c r="BG1722" s="4"/>
      <c r="BH1722" s="4"/>
      <c r="BI1722" s="4"/>
      <c r="BJ1722" s="4"/>
      <c r="BK1722" s="4"/>
      <c r="BL1722" s="4"/>
      <c r="BM1722" s="4"/>
      <c r="BN1722" s="4"/>
      <c r="BO1722" s="4"/>
      <c r="BP1722" s="4"/>
      <c r="BQ1722" s="4"/>
      <c r="BR1722" s="4"/>
      <c r="BS1722" s="4"/>
      <c r="BT1722" s="4"/>
      <c r="BU1722" s="4"/>
      <c r="BV1722" s="4"/>
      <c r="BW1722" s="4"/>
      <c r="BX1722" s="4"/>
      <c r="BY1722" s="4"/>
      <c r="BZ1722" s="4"/>
      <c r="CA1722" s="4"/>
      <c r="CB1722" s="4"/>
      <c r="CC1722" s="4"/>
      <c r="CD1722" s="4"/>
      <c r="CE1722" s="4"/>
      <c r="CF1722" s="4"/>
      <c r="CG1722" s="4"/>
      <c r="CH1722" s="4"/>
      <c r="CI1722" s="4"/>
      <c r="CJ1722" s="4"/>
      <c r="CK1722" s="4"/>
      <c r="CL1722" s="4"/>
      <c r="CM1722" s="4"/>
      <c r="CN1722" s="4"/>
      <c r="CO1722" s="4"/>
      <c r="CP1722" s="4"/>
      <c r="CQ1722" s="4"/>
      <c r="CR1722" s="4"/>
      <c r="CS1722" s="4"/>
      <c r="CT1722" s="4"/>
      <c r="CU1722" s="4"/>
      <c r="CV1722" s="4"/>
      <c r="CW1722" s="4"/>
      <c r="CX1722" s="4"/>
      <c r="CY1722" s="4"/>
      <c r="CZ1722" s="4"/>
      <c r="DA1722" s="4"/>
      <c r="DB1722" s="4"/>
      <c r="DC1722" s="4"/>
      <c r="DD1722" s="4"/>
      <c r="DE1722" s="4"/>
      <c r="DF1722" s="4"/>
      <c r="DG1722" s="4"/>
      <c r="DH1722" s="4"/>
      <c r="DI1722" s="4"/>
      <c r="DJ1722" s="4"/>
      <c r="DK1722" s="4"/>
      <c r="DL1722" s="4"/>
      <c r="DM1722" s="4"/>
      <c r="DN1722" s="4"/>
      <c r="DO1722" s="4"/>
      <c r="DP1722" s="4"/>
      <c r="DQ1722" s="4"/>
      <c r="DR1722" s="4"/>
      <c r="DS1722" s="4"/>
      <c r="DT1722" s="4"/>
      <c r="DU1722" s="4"/>
      <c r="DV1722" s="4"/>
      <c r="DW1722" s="4"/>
      <c r="DX1722" s="4"/>
      <c r="DY1722" s="4"/>
      <c r="DZ1722" s="4"/>
      <c r="EA1722" s="4"/>
      <c r="EB1722" s="4"/>
      <c r="EC1722" s="4"/>
      <c r="ED1722" s="4"/>
      <c r="EE1722" s="4"/>
      <c r="EF1722" s="4"/>
      <c r="EG1722" s="4"/>
      <c r="EH1722" s="4"/>
      <c r="EI1722" s="4"/>
    </row>
    <row r="1723" spans="1:139" hidden="1" x14ac:dyDescent="0.2">
      <c r="A1723" t="str">
        <f>VLOOKUP(B1723,Sheet1!$A$1:$B$18,2,FALSE)</f>
        <v>South Island</v>
      </c>
      <c r="B1723" t="str">
        <f>LEFT(D1723,3)</f>
        <v>WST</v>
      </c>
      <c r="C1723" s="2">
        <v>1722</v>
      </c>
      <c r="D1723" s="3" t="str">
        <f>HYPERLINK("https://sitebase.nzcomms.co.nz/spm/spmnominalview/WST-057-003/","WST-057-003")</f>
        <v>WST-057-003</v>
      </c>
      <c r="E1723" s="4"/>
      <c r="F1723" s="4"/>
      <c r="G1723" s="4"/>
      <c r="H1723" s="4" t="s">
        <v>5186</v>
      </c>
      <c r="I1723" s="4"/>
      <c r="J1723" s="4" t="s">
        <v>196</v>
      </c>
      <c r="K1723" s="4"/>
      <c r="L1723" s="4"/>
      <c r="M1723" s="4"/>
      <c r="N1723" s="4"/>
      <c r="O1723" s="4"/>
      <c r="P1723" s="4"/>
      <c r="Q1723" s="4"/>
      <c r="R1723" s="4"/>
      <c r="S1723" s="4"/>
      <c r="T1723" s="4"/>
      <c r="U1723" s="4"/>
      <c r="V1723" s="4"/>
      <c r="W1723" s="4"/>
      <c r="X1723" s="4"/>
      <c r="Y1723" s="4"/>
      <c r="Z1723" s="4"/>
      <c r="AA1723" s="4"/>
      <c r="AB1723" s="4"/>
      <c r="AC1723" s="4"/>
      <c r="AD1723" s="4"/>
      <c r="AE1723" s="4"/>
      <c r="AF1723" s="4"/>
      <c r="AG1723" s="4"/>
      <c r="AH1723" s="4"/>
      <c r="AI1723" s="4"/>
      <c r="AJ1723" s="4"/>
      <c r="AK1723" s="4"/>
      <c r="AL1723" s="4"/>
      <c r="AM1723" s="4"/>
      <c r="AN1723" s="4"/>
      <c r="AO1723" s="4"/>
      <c r="AP1723" s="4"/>
      <c r="AQ1723" s="4"/>
      <c r="AR1723" s="4"/>
      <c r="AS1723" s="4"/>
      <c r="AT1723" s="4"/>
      <c r="AU1723" s="4"/>
      <c r="AV1723" s="4"/>
      <c r="AW1723" s="4"/>
      <c r="AX1723" s="4"/>
      <c r="AY1723" s="4"/>
      <c r="AZ1723" s="4"/>
      <c r="BA1723" s="4"/>
      <c r="BB1723" s="4"/>
      <c r="BC1723" s="4"/>
      <c r="BD1723" s="4"/>
      <c r="BE1723" s="4"/>
      <c r="BF1723" s="4"/>
      <c r="BG1723" s="4"/>
      <c r="BH1723" s="4"/>
      <c r="BI1723" s="4"/>
      <c r="BJ1723" s="4"/>
      <c r="BK1723" s="4"/>
      <c r="BL1723" s="4"/>
      <c r="BM1723" s="4"/>
      <c r="BN1723" s="4"/>
      <c r="BO1723" s="4"/>
      <c r="BP1723" s="4"/>
      <c r="BQ1723" s="4"/>
      <c r="BR1723" s="4"/>
      <c r="BS1723" s="4"/>
      <c r="BT1723" s="4"/>
      <c r="BU1723" s="4"/>
      <c r="BV1723" s="4"/>
      <c r="BW1723" s="4"/>
      <c r="BX1723" s="4"/>
      <c r="BY1723" s="4"/>
      <c r="BZ1723" s="4"/>
      <c r="CA1723" s="4"/>
      <c r="CB1723" s="4"/>
      <c r="CC1723" s="4"/>
      <c r="CD1723" s="4"/>
      <c r="CE1723" s="4"/>
      <c r="CF1723" s="4"/>
      <c r="CG1723" s="4"/>
      <c r="CH1723" s="4"/>
      <c r="CI1723" s="4"/>
      <c r="CJ1723" s="4"/>
      <c r="CK1723" s="4"/>
      <c r="CL1723" s="4"/>
      <c r="CM1723" s="4"/>
      <c r="CN1723" s="4"/>
      <c r="CO1723" s="4"/>
      <c r="CP1723" s="4"/>
      <c r="CQ1723" s="4"/>
      <c r="CR1723" s="4"/>
      <c r="CS1723" s="4"/>
      <c r="CT1723" s="4"/>
      <c r="CU1723" s="4"/>
      <c r="CV1723" s="4"/>
      <c r="CW1723" s="4"/>
      <c r="CX1723" s="4"/>
      <c r="CY1723" s="4"/>
      <c r="CZ1723" s="4"/>
      <c r="DA1723" s="4"/>
      <c r="DB1723" s="4"/>
      <c r="DC1723" s="4"/>
      <c r="DD1723" s="4"/>
      <c r="DE1723" s="4"/>
      <c r="DF1723" s="4"/>
      <c r="DG1723" s="4"/>
      <c r="DH1723" s="4"/>
      <c r="DI1723" s="4"/>
      <c r="DJ1723" s="4"/>
      <c r="DK1723" s="4"/>
      <c r="DL1723" s="4"/>
      <c r="DM1723" s="4"/>
      <c r="DN1723" s="4"/>
      <c r="DO1723" s="4"/>
      <c r="DP1723" s="4"/>
      <c r="DQ1723" s="4"/>
      <c r="DR1723" s="4"/>
      <c r="DS1723" s="4"/>
      <c r="DT1723" s="4"/>
      <c r="DU1723" s="4"/>
      <c r="DV1723" s="4"/>
      <c r="DW1723" s="4"/>
      <c r="DX1723" s="4"/>
      <c r="DY1723" s="4"/>
      <c r="DZ1723" s="4"/>
      <c r="EA1723" s="4"/>
      <c r="EB1723" s="4"/>
      <c r="EC1723" s="4"/>
      <c r="ED1723" s="4"/>
      <c r="EE1723" s="4"/>
      <c r="EF1723" s="4"/>
      <c r="EG1723" s="4"/>
      <c r="EH1723" s="4"/>
      <c r="EI1723" s="4"/>
    </row>
    <row r="1724" spans="1:139" hidden="1" x14ac:dyDescent="0.2"/>
    <row r="1725" spans="1:139" hidden="1" x14ac:dyDescent="0.2">
      <c r="E1725" s="6" t="s">
        <v>5190</v>
      </c>
      <c r="G1725" s="2" t="s">
        <v>5191</v>
      </c>
    </row>
    <row r="1726" spans="1:139" hidden="1" x14ac:dyDescent="0.2">
      <c r="E1726" s="6" t="s">
        <v>5192</v>
      </c>
      <c r="F1726" s="5">
        <v>42411.373229166667</v>
      </c>
    </row>
  </sheetData>
  <autoFilter ref="A1:EI1726">
    <filterColumn colId="0">
      <filters>
        <filter val="South Island"/>
      </filters>
    </filterColumn>
    <filterColumn colId="87">
      <filters>
        <dateGroupItem year="2016" dateTimeGrouping="year"/>
      </filters>
    </filterColumn>
    <sortState ref="A622:EI1723">
      <sortCondition ref="CJ1:CJ1726"/>
    </sortState>
  </autoFilter>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I11" sqref="I11"/>
    </sheetView>
  </sheetViews>
  <sheetFormatPr defaultRowHeight="12.75" x14ac:dyDescent="0.2"/>
  <cols>
    <col min="1" max="1" width="12.140625" customWidth="1"/>
  </cols>
  <sheetData>
    <row r="1" spans="1:2" x14ac:dyDescent="0.2">
      <c r="A1" t="s">
        <v>5220</v>
      </c>
    </row>
    <row r="2" spans="1:2" x14ac:dyDescent="0.2">
      <c r="A2" t="s">
        <v>5221</v>
      </c>
    </row>
    <row r="3" spans="1:2" x14ac:dyDescent="0.2">
      <c r="A3" t="s">
        <v>5222</v>
      </c>
      <c r="B3" t="s">
        <v>5236</v>
      </c>
    </row>
    <row r="4" spans="1:2" x14ac:dyDescent="0.2">
      <c r="A4" t="s">
        <v>5223</v>
      </c>
    </row>
    <row r="5" spans="1:2" x14ac:dyDescent="0.2">
      <c r="A5" t="s">
        <v>2788</v>
      </c>
    </row>
    <row r="6" spans="1:2" x14ac:dyDescent="0.2">
      <c r="A6" t="s">
        <v>2709</v>
      </c>
    </row>
    <row r="7" spans="1:2" x14ac:dyDescent="0.2">
      <c r="A7" t="s">
        <v>5224</v>
      </c>
    </row>
    <row r="8" spans="1:2" x14ac:dyDescent="0.2">
      <c r="A8" t="s">
        <v>5225</v>
      </c>
    </row>
    <row r="9" spans="1:2" x14ac:dyDescent="0.2">
      <c r="A9" t="s">
        <v>5226</v>
      </c>
      <c r="B9" t="s">
        <v>5236</v>
      </c>
    </row>
    <row r="10" spans="1:2" x14ac:dyDescent="0.2">
      <c r="A10" t="s">
        <v>5227</v>
      </c>
    </row>
    <row r="11" spans="1:2" x14ac:dyDescent="0.2">
      <c r="A11" t="s">
        <v>5228</v>
      </c>
    </row>
    <row r="12" spans="1:2" x14ac:dyDescent="0.2">
      <c r="A12" t="s">
        <v>5229</v>
      </c>
      <c r="B12" t="s">
        <v>5236</v>
      </c>
    </row>
    <row r="13" spans="1:2" x14ac:dyDescent="0.2">
      <c r="A13" t="s">
        <v>5230</v>
      </c>
      <c r="B13" t="s">
        <v>5236</v>
      </c>
    </row>
    <row r="14" spans="1:2" x14ac:dyDescent="0.2">
      <c r="A14" t="s">
        <v>5231</v>
      </c>
    </row>
    <row r="15" spans="1:2" x14ac:dyDescent="0.2">
      <c r="A15" t="s">
        <v>5232</v>
      </c>
    </row>
    <row r="16" spans="1:2" x14ac:dyDescent="0.2">
      <c r="A16" t="s">
        <v>5233</v>
      </c>
    </row>
    <row r="17" spans="1:2" x14ac:dyDescent="0.2">
      <c r="A17" t="s">
        <v>5234</v>
      </c>
    </row>
    <row r="18" spans="1:2" x14ac:dyDescent="0.2">
      <c r="A18" t="s">
        <v>5235</v>
      </c>
      <c r="B18" t="s">
        <v>5236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abSelected="1" zoomScale="85" zoomScaleNormal="85" workbookViewId="0">
      <selection activeCell="G36" sqref="G36"/>
    </sheetView>
  </sheetViews>
  <sheetFormatPr defaultRowHeight="12.75" x14ac:dyDescent="0.2"/>
  <cols>
    <col min="1" max="1" width="11.28515625" bestFit="1" customWidth="1"/>
    <col min="2" max="2" width="5.140625" bestFit="1" customWidth="1"/>
    <col min="3" max="3" width="6.42578125" bestFit="1" customWidth="1"/>
    <col min="4" max="4" width="12.28515625" bestFit="1" customWidth="1"/>
    <col min="5" max="5" width="23.140625" bestFit="1" customWidth="1"/>
    <col min="6" max="6" width="14.28515625" bestFit="1" customWidth="1"/>
    <col min="7" max="7" width="24.140625" bestFit="1" customWidth="1"/>
    <col min="8" max="8" width="19.85546875" bestFit="1" customWidth="1"/>
    <col min="9" max="9" width="6.140625" bestFit="1" customWidth="1"/>
    <col min="10" max="10" width="14.28515625" bestFit="1" customWidth="1"/>
    <col min="11" max="11" width="17.5703125" bestFit="1" customWidth="1"/>
    <col min="12" max="12" width="14.7109375" bestFit="1" customWidth="1"/>
    <col min="13" max="13" width="34.7109375" bestFit="1" customWidth="1"/>
    <col min="14" max="14" width="9.85546875" bestFit="1" customWidth="1"/>
    <col min="15" max="16384" width="9.140625" style="12"/>
  </cols>
  <sheetData>
    <row r="1" spans="1:14" ht="15" x14ac:dyDescent="0.25">
      <c r="A1" s="13"/>
      <c r="B1" s="13"/>
      <c r="C1" s="14" t="s">
        <v>0</v>
      </c>
      <c r="D1" s="14" t="s">
        <v>1</v>
      </c>
      <c r="E1" s="14" t="s">
        <v>2</v>
      </c>
      <c r="F1" s="14" t="s">
        <v>3</v>
      </c>
      <c r="G1" s="14" t="s">
        <v>4</v>
      </c>
      <c r="H1" s="14" t="s">
        <v>5</v>
      </c>
      <c r="I1" s="14" t="s">
        <v>6</v>
      </c>
      <c r="J1" s="14" t="s">
        <v>7</v>
      </c>
      <c r="K1" s="14" t="s">
        <v>8</v>
      </c>
      <c r="L1" s="14" t="s">
        <v>9</v>
      </c>
      <c r="M1" s="15" t="s">
        <v>85</v>
      </c>
      <c r="N1" s="15" t="s">
        <v>5264</v>
      </c>
    </row>
    <row r="2" spans="1:14" x14ac:dyDescent="0.2">
      <c r="A2" s="13" t="s">
        <v>5236</v>
      </c>
      <c r="B2" s="13" t="s">
        <v>5222</v>
      </c>
      <c r="C2" s="16">
        <v>707</v>
      </c>
      <c r="D2" s="17" t="s">
        <v>5199</v>
      </c>
      <c r="E2" s="18" t="s">
        <v>2312</v>
      </c>
      <c r="F2" s="17" t="s">
        <v>5237</v>
      </c>
      <c r="G2" s="18" t="s">
        <v>2313</v>
      </c>
      <c r="H2" s="18" t="s">
        <v>2301</v>
      </c>
      <c r="I2" s="18">
        <v>21</v>
      </c>
      <c r="J2" s="18" t="s">
        <v>165</v>
      </c>
      <c r="K2" s="18" t="s">
        <v>141</v>
      </c>
      <c r="L2" s="18" t="s">
        <v>150</v>
      </c>
      <c r="M2" s="19">
        <v>42383</v>
      </c>
      <c r="N2" s="19"/>
    </row>
    <row r="3" spans="1:14" x14ac:dyDescent="0.2">
      <c r="A3" s="13" t="s">
        <v>5236</v>
      </c>
      <c r="B3" s="13" t="s">
        <v>5226</v>
      </c>
      <c r="C3" s="16">
        <v>998</v>
      </c>
      <c r="D3" s="17" t="s">
        <v>5204</v>
      </c>
      <c r="E3" s="18" t="s">
        <v>3082</v>
      </c>
      <c r="F3" s="17" t="s">
        <v>5238</v>
      </c>
      <c r="G3" s="18" t="s">
        <v>3083</v>
      </c>
      <c r="H3" s="18" t="s">
        <v>3047</v>
      </c>
      <c r="I3" s="18">
        <v>21</v>
      </c>
      <c r="J3" s="18" t="s">
        <v>196</v>
      </c>
      <c r="K3" s="18" t="s">
        <v>141</v>
      </c>
      <c r="L3" s="18"/>
      <c r="M3" s="19">
        <v>42391</v>
      </c>
      <c r="N3" s="19"/>
    </row>
    <row r="4" spans="1:14" x14ac:dyDescent="0.2">
      <c r="A4" s="13" t="s">
        <v>5236</v>
      </c>
      <c r="B4" s="13" t="s">
        <v>5226</v>
      </c>
      <c r="C4" s="16">
        <v>1040</v>
      </c>
      <c r="D4" s="17" t="s">
        <v>5207</v>
      </c>
      <c r="E4" s="18" t="s">
        <v>3194</v>
      </c>
      <c r="F4" s="17" t="s">
        <v>5239</v>
      </c>
      <c r="G4" s="18" t="s">
        <v>566</v>
      </c>
      <c r="H4" s="18" t="s">
        <v>3152</v>
      </c>
      <c r="I4" s="18">
        <v>21</v>
      </c>
      <c r="J4" s="18" t="s">
        <v>165</v>
      </c>
      <c r="K4" s="18" t="s">
        <v>141</v>
      </c>
      <c r="L4" s="18" t="s">
        <v>142</v>
      </c>
      <c r="M4" s="19">
        <v>42398</v>
      </c>
      <c r="N4" s="19"/>
    </row>
    <row r="5" spans="1:14" x14ac:dyDescent="0.2">
      <c r="A5" s="13" t="s">
        <v>5236</v>
      </c>
      <c r="B5" s="13" t="s">
        <v>5226</v>
      </c>
      <c r="C5" s="16">
        <v>1039</v>
      </c>
      <c r="D5" s="17" t="s">
        <v>5206</v>
      </c>
      <c r="E5" s="18" t="s">
        <v>3189</v>
      </c>
      <c r="F5" s="17" t="s">
        <v>5240</v>
      </c>
      <c r="G5" s="18" t="s">
        <v>3190</v>
      </c>
      <c r="H5" s="18" t="s">
        <v>3152</v>
      </c>
      <c r="I5" s="18">
        <v>21</v>
      </c>
      <c r="J5" s="18" t="s">
        <v>165</v>
      </c>
      <c r="K5" s="18" t="s">
        <v>141</v>
      </c>
      <c r="L5" s="18" t="s">
        <v>142</v>
      </c>
      <c r="M5" s="19">
        <v>42403</v>
      </c>
      <c r="N5" s="19"/>
    </row>
    <row r="6" spans="1:14" x14ac:dyDescent="0.2">
      <c r="A6" s="13" t="s">
        <v>5236</v>
      </c>
      <c r="B6" s="13" t="s">
        <v>5222</v>
      </c>
      <c r="C6" s="16">
        <v>671</v>
      </c>
      <c r="D6" s="17" t="s">
        <v>5196</v>
      </c>
      <c r="E6" s="18" t="s">
        <v>2180</v>
      </c>
      <c r="F6" s="17" t="s">
        <v>5241</v>
      </c>
      <c r="G6" s="18" t="s">
        <v>2181</v>
      </c>
      <c r="H6" s="18" t="s">
        <v>2111</v>
      </c>
      <c r="I6" s="18">
        <v>21</v>
      </c>
      <c r="J6" s="18" t="s">
        <v>570</v>
      </c>
      <c r="K6" s="18" t="s">
        <v>141</v>
      </c>
      <c r="L6" s="18" t="s">
        <v>189</v>
      </c>
      <c r="M6" s="19">
        <v>42411</v>
      </c>
      <c r="N6" s="19"/>
    </row>
    <row r="7" spans="1:14" x14ac:dyDescent="0.2">
      <c r="A7" s="13" t="s">
        <v>5236</v>
      </c>
      <c r="B7" s="13" t="s">
        <v>5235</v>
      </c>
      <c r="C7" s="16">
        <v>1713</v>
      </c>
      <c r="D7" s="17" t="s">
        <v>5217</v>
      </c>
      <c r="E7" s="18" t="s">
        <v>5154</v>
      </c>
      <c r="F7" s="17" t="s">
        <v>5242</v>
      </c>
      <c r="G7" s="18" t="s">
        <v>2878</v>
      </c>
      <c r="H7" s="18" t="s">
        <v>5149</v>
      </c>
      <c r="I7" s="18">
        <v>21</v>
      </c>
      <c r="J7" s="18" t="s">
        <v>165</v>
      </c>
      <c r="K7" s="18" t="s">
        <v>141</v>
      </c>
      <c r="L7" s="18" t="s">
        <v>142</v>
      </c>
      <c r="M7" s="19">
        <v>42425</v>
      </c>
      <c r="N7" s="19"/>
    </row>
    <row r="8" spans="1:14" x14ac:dyDescent="0.2">
      <c r="A8" s="13" t="s">
        <v>5236</v>
      </c>
      <c r="B8" s="13" t="s">
        <v>5235</v>
      </c>
      <c r="C8" s="16">
        <v>1715</v>
      </c>
      <c r="D8" s="17" t="s">
        <v>5219</v>
      </c>
      <c r="E8" s="18" t="s">
        <v>5162</v>
      </c>
      <c r="F8" s="17" t="s">
        <v>5243</v>
      </c>
      <c r="G8" s="18" t="s">
        <v>566</v>
      </c>
      <c r="H8" s="18" t="s">
        <v>5149</v>
      </c>
      <c r="I8" s="18">
        <v>21</v>
      </c>
      <c r="J8" s="18" t="s">
        <v>165</v>
      </c>
      <c r="K8" s="18" t="s">
        <v>141</v>
      </c>
      <c r="L8" s="18" t="s">
        <v>142</v>
      </c>
      <c r="M8" s="19">
        <v>42433</v>
      </c>
      <c r="N8" s="19"/>
    </row>
    <row r="9" spans="1:14" x14ac:dyDescent="0.2">
      <c r="A9" s="13" t="s">
        <v>5236</v>
      </c>
      <c r="B9" s="13" t="s">
        <v>5229</v>
      </c>
      <c r="C9" s="16">
        <v>1204</v>
      </c>
      <c r="D9" s="17" t="s">
        <v>5208</v>
      </c>
      <c r="E9" s="18" t="s">
        <v>3671</v>
      </c>
      <c r="F9" s="17" t="s">
        <v>5244</v>
      </c>
      <c r="G9" s="18" t="s">
        <v>3190</v>
      </c>
      <c r="H9" s="18" t="s">
        <v>3653</v>
      </c>
      <c r="I9" s="18">
        <v>21</v>
      </c>
      <c r="J9" s="18" t="s">
        <v>165</v>
      </c>
      <c r="K9" s="18" t="s">
        <v>141</v>
      </c>
      <c r="L9" s="18" t="s">
        <v>142</v>
      </c>
      <c r="M9" s="19">
        <v>42437</v>
      </c>
      <c r="N9" s="19"/>
    </row>
    <row r="10" spans="1:14" x14ac:dyDescent="0.2">
      <c r="A10" s="13" t="s">
        <v>5236</v>
      </c>
      <c r="B10" s="13" t="s">
        <v>5229</v>
      </c>
      <c r="C10" s="16">
        <v>1272</v>
      </c>
      <c r="D10" s="17" t="s">
        <v>5210</v>
      </c>
      <c r="E10" s="18" t="s">
        <v>3866</v>
      </c>
      <c r="F10" s="17" t="s">
        <v>5245</v>
      </c>
      <c r="G10" s="18" t="s">
        <v>3867</v>
      </c>
      <c r="H10" s="18" t="s">
        <v>3865</v>
      </c>
      <c r="I10" s="18">
        <v>21</v>
      </c>
      <c r="J10" s="18" t="s">
        <v>165</v>
      </c>
      <c r="K10" s="18" t="s">
        <v>141</v>
      </c>
      <c r="L10" s="18" t="s">
        <v>142</v>
      </c>
      <c r="M10" s="19">
        <v>42439</v>
      </c>
      <c r="N10" s="19"/>
    </row>
    <row r="11" spans="1:14" x14ac:dyDescent="0.2">
      <c r="A11" s="33" t="s">
        <v>5236</v>
      </c>
      <c r="B11" s="33" t="s">
        <v>5230</v>
      </c>
      <c r="C11" s="34">
        <v>1320</v>
      </c>
      <c r="D11" s="35" t="s">
        <v>5216</v>
      </c>
      <c r="E11" s="36" t="s">
        <v>3970</v>
      </c>
      <c r="F11" s="35" t="s">
        <v>5246</v>
      </c>
      <c r="G11" s="36" t="s">
        <v>3971</v>
      </c>
      <c r="H11" s="36" t="s">
        <v>3921</v>
      </c>
      <c r="I11" s="36">
        <v>25</v>
      </c>
      <c r="J11" s="36" t="s">
        <v>331</v>
      </c>
      <c r="K11" s="36" t="s">
        <v>141</v>
      </c>
      <c r="L11" s="36" t="s">
        <v>722</v>
      </c>
      <c r="M11" s="37">
        <v>42440</v>
      </c>
      <c r="N11" s="38" t="s">
        <v>722</v>
      </c>
    </row>
    <row r="12" spans="1:14" x14ac:dyDescent="0.2">
      <c r="A12" s="33" t="s">
        <v>5236</v>
      </c>
      <c r="B12" s="33" t="s">
        <v>5222</v>
      </c>
      <c r="C12" s="34">
        <v>637</v>
      </c>
      <c r="D12" s="35" t="s">
        <v>5193</v>
      </c>
      <c r="E12" s="36" t="s">
        <v>2046</v>
      </c>
      <c r="F12" s="35" t="s">
        <v>5247</v>
      </c>
      <c r="G12" s="36" t="s">
        <v>2047</v>
      </c>
      <c r="H12" s="36" t="s">
        <v>2024</v>
      </c>
      <c r="I12" s="36">
        <v>25</v>
      </c>
      <c r="J12" s="36" t="s">
        <v>331</v>
      </c>
      <c r="K12" s="36" t="s">
        <v>141</v>
      </c>
      <c r="L12" s="36" t="s">
        <v>722</v>
      </c>
      <c r="M12" s="37">
        <v>42444</v>
      </c>
      <c r="N12" s="38" t="s">
        <v>722</v>
      </c>
    </row>
    <row r="13" spans="1:14" x14ac:dyDescent="0.2">
      <c r="A13" s="33" t="s">
        <v>5236</v>
      </c>
      <c r="B13" s="33" t="s">
        <v>5222</v>
      </c>
      <c r="C13" s="34">
        <v>652</v>
      </c>
      <c r="D13" s="35" t="s">
        <v>5195</v>
      </c>
      <c r="E13" s="36" t="s">
        <v>2091</v>
      </c>
      <c r="F13" s="35" t="s">
        <v>5248</v>
      </c>
      <c r="G13" s="36" t="s">
        <v>2100</v>
      </c>
      <c r="H13" s="36" t="s">
        <v>2053</v>
      </c>
      <c r="I13" s="36">
        <v>25</v>
      </c>
      <c r="J13" s="36" t="s">
        <v>331</v>
      </c>
      <c r="K13" s="36" t="s">
        <v>141</v>
      </c>
      <c r="L13" s="36" t="s">
        <v>722</v>
      </c>
      <c r="M13" s="37">
        <v>42454</v>
      </c>
      <c r="N13" s="38" t="s">
        <v>722</v>
      </c>
    </row>
    <row r="14" spans="1:14" x14ac:dyDescent="0.2">
      <c r="A14" s="27" t="s">
        <v>5236</v>
      </c>
      <c r="B14" s="27" t="s">
        <v>5230</v>
      </c>
      <c r="C14" s="28">
        <v>1299</v>
      </c>
      <c r="D14" s="29" t="s">
        <v>5213</v>
      </c>
      <c r="E14" s="30" t="s">
        <v>3896</v>
      </c>
      <c r="F14" s="29" t="s">
        <v>5249</v>
      </c>
      <c r="G14" s="30" t="s">
        <v>3897</v>
      </c>
      <c r="H14" s="30" t="s">
        <v>3879</v>
      </c>
      <c r="I14" s="30">
        <v>21</v>
      </c>
      <c r="J14" s="30" t="s">
        <v>165</v>
      </c>
      <c r="K14" s="30" t="s">
        <v>141</v>
      </c>
      <c r="L14" s="30" t="s">
        <v>142</v>
      </c>
      <c r="M14" s="31">
        <v>42459</v>
      </c>
      <c r="N14" s="32" t="s">
        <v>5266</v>
      </c>
    </row>
    <row r="15" spans="1:14" x14ac:dyDescent="0.2">
      <c r="A15" s="33" t="s">
        <v>5236</v>
      </c>
      <c r="B15" s="33" t="s">
        <v>5222</v>
      </c>
      <c r="C15" s="34">
        <v>651</v>
      </c>
      <c r="D15" s="35" t="s">
        <v>5194</v>
      </c>
      <c r="E15" s="36" t="s">
        <v>2096</v>
      </c>
      <c r="F15" s="35" t="s">
        <v>5250</v>
      </c>
      <c r="G15" s="36" t="s">
        <v>2097</v>
      </c>
      <c r="H15" s="36" t="s">
        <v>2053</v>
      </c>
      <c r="I15" s="36">
        <v>25</v>
      </c>
      <c r="J15" s="36" t="s">
        <v>331</v>
      </c>
      <c r="K15" s="36" t="s">
        <v>141</v>
      </c>
      <c r="L15" s="36" t="s">
        <v>722</v>
      </c>
      <c r="M15" s="37">
        <v>42460</v>
      </c>
      <c r="N15" s="38" t="s">
        <v>722</v>
      </c>
    </row>
    <row r="16" spans="1:14" x14ac:dyDescent="0.2">
      <c r="A16" s="13" t="s">
        <v>5236</v>
      </c>
      <c r="B16" s="13" t="s">
        <v>5235</v>
      </c>
      <c r="C16" s="16">
        <v>1714</v>
      </c>
      <c r="D16" s="17" t="s">
        <v>5218</v>
      </c>
      <c r="E16" s="18" t="s">
        <v>5158</v>
      </c>
      <c r="F16" s="17" t="s">
        <v>5251</v>
      </c>
      <c r="G16" s="18" t="s">
        <v>5159</v>
      </c>
      <c r="H16" s="18" t="s">
        <v>5149</v>
      </c>
      <c r="I16" s="18">
        <v>21</v>
      </c>
      <c r="J16" s="18" t="s">
        <v>165</v>
      </c>
      <c r="K16" s="18" t="s">
        <v>141</v>
      </c>
      <c r="L16" s="18" t="s">
        <v>150</v>
      </c>
      <c r="M16" s="19">
        <v>42464</v>
      </c>
      <c r="N16" s="19"/>
    </row>
    <row r="17" spans="1:14" x14ac:dyDescent="0.2">
      <c r="A17" s="33" t="s">
        <v>5236</v>
      </c>
      <c r="B17" s="33" t="s">
        <v>5222</v>
      </c>
      <c r="C17" s="34">
        <v>673</v>
      </c>
      <c r="D17" s="35" t="s">
        <v>5197</v>
      </c>
      <c r="E17" s="36" t="s">
        <v>2186</v>
      </c>
      <c r="F17" s="35" t="s">
        <v>5252</v>
      </c>
      <c r="G17" s="36" t="s">
        <v>2187</v>
      </c>
      <c r="H17" s="36" t="s">
        <v>2111</v>
      </c>
      <c r="I17" s="36">
        <v>25</v>
      </c>
      <c r="J17" s="36" t="s">
        <v>331</v>
      </c>
      <c r="K17" s="36" t="s">
        <v>141</v>
      </c>
      <c r="L17" s="36" t="s">
        <v>722</v>
      </c>
      <c r="M17" s="37">
        <v>42481</v>
      </c>
      <c r="N17" s="38" t="s">
        <v>722</v>
      </c>
    </row>
    <row r="18" spans="1:14" x14ac:dyDescent="0.2">
      <c r="A18" s="13" t="s">
        <v>5236</v>
      </c>
      <c r="B18" s="13" t="s">
        <v>5226</v>
      </c>
      <c r="C18" s="16">
        <v>1037</v>
      </c>
      <c r="D18" s="17" t="s">
        <v>5205</v>
      </c>
      <c r="E18" s="18" t="s">
        <v>3184</v>
      </c>
      <c r="F18" s="17" t="s">
        <v>5253</v>
      </c>
      <c r="G18" s="18" t="s">
        <v>3185</v>
      </c>
      <c r="H18" s="18" t="s">
        <v>3152</v>
      </c>
      <c r="I18" s="18">
        <v>21</v>
      </c>
      <c r="J18" s="18" t="s">
        <v>570</v>
      </c>
      <c r="K18" s="18" t="s">
        <v>141</v>
      </c>
      <c r="L18" s="18" t="s">
        <v>189</v>
      </c>
      <c r="M18" s="19">
        <v>42482</v>
      </c>
      <c r="N18" s="19"/>
    </row>
    <row r="19" spans="1:14" x14ac:dyDescent="0.2">
      <c r="A19" s="27" t="s">
        <v>5236</v>
      </c>
      <c r="B19" s="27" t="s">
        <v>5230</v>
      </c>
      <c r="C19" s="28">
        <v>1287</v>
      </c>
      <c r="D19" s="29" t="s">
        <v>5212</v>
      </c>
      <c r="E19" s="30" t="s">
        <v>3883</v>
      </c>
      <c r="F19" s="29" t="s">
        <v>5254</v>
      </c>
      <c r="G19" s="30" t="s">
        <v>3884</v>
      </c>
      <c r="H19" s="30" t="s">
        <v>3879</v>
      </c>
      <c r="I19" s="30">
        <v>21</v>
      </c>
      <c r="J19" s="30" t="s">
        <v>165</v>
      </c>
      <c r="K19" s="30" t="s">
        <v>141</v>
      </c>
      <c r="L19" s="30" t="s">
        <v>150</v>
      </c>
      <c r="M19" s="31">
        <v>42506</v>
      </c>
      <c r="N19" s="32" t="s">
        <v>5266</v>
      </c>
    </row>
    <row r="20" spans="1:14" x14ac:dyDescent="0.2">
      <c r="A20" s="27" t="s">
        <v>5236</v>
      </c>
      <c r="B20" s="27" t="s">
        <v>5229</v>
      </c>
      <c r="C20" s="28">
        <v>1221</v>
      </c>
      <c r="D20" s="29" t="s">
        <v>5209</v>
      </c>
      <c r="E20" s="30" t="s">
        <v>2824</v>
      </c>
      <c r="F20" s="29" t="s">
        <v>5255</v>
      </c>
      <c r="G20" s="30" t="s">
        <v>3718</v>
      </c>
      <c r="H20" s="30" t="s">
        <v>3682</v>
      </c>
      <c r="I20" s="30">
        <v>21</v>
      </c>
      <c r="J20" s="30" t="s">
        <v>165</v>
      </c>
      <c r="K20" s="30" t="s">
        <v>141</v>
      </c>
      <c r="L20" s="30" t="s">
        <v>181</v>
      </c>
      <c r="M20" s="31">
        <v>42520</v>
      </c>
      <c r="N20" s="32" t="s">
        <v>5266</v>
      </c>
    </row>
    <row r="21" spans="1:14" x14ac:dyDescent="0.2">
      <c r="A21" s="27" t="s">
        <v>5236</v>
      </c>
      <c r="B21" s="27" t="s">
        <v>5222</v>
      </c>
      <c r="C21" s="28">
        <v>713</v>
      </c>
      <c r="D21" s="29" t="s">
        <v>5200</v>
      </c>
      <c r="E21" s="30" t="s">
        <v>2327</v>
      </c>
      <c r="F21" s="29" t="s">
        <v>5256</v>
      </c>
      <c r="G21" s="30" t="s">
        <v>2328</v>
      </c>
      <c r="H21" s="30" t="s">
        <v>2319</v>
      </c>
      <c r="I21" s="30">
        <v>21</v>
      </c>
      <c r="J21" s="30" t="s">
        <v>165</v>
      </c>
      <c r="K21" s="30" t="s">
        <v>141</v>
      </c>
      <c r="L21" s="30" t="s">
        <v>142</v>
      </c>
      <c r="M21" s="31">
        <v>42566</v>
      </c>
      <c r="N21" s="32" t="s">
        <v>5266</v>
      </c>
    </row>
    <row r="22" spans="1:14" x14ac:dyDescent="0.2">
      <c r="A22" s="27" t="s">
        <v>5236</v>
      </c>
      <c r="B22" s="27" t="s">
        <v>5230</v>
      </c>
      <c r="C22" s="28">
        <v>1300</v>
      </c>
      <c r="D22" s="29" t="s">
        <v>5214</v>
      </c>
      <c r="E22" s="30" t="s">
        <v>3900</v>
      </c>
      <c r="F22" s="29" t="s">
        <v>5258</v>
      </c>
      <c r="G22" s="30" t="s">
        <v>3901</v>
      </c>
      <c r="H22" s="30" t="s">
        <v>3879</v>
      </c>
      <c r="I22" s="30">
        <v>21</v>
      </c>
      <c r="J22" s="30" t="s">
        <v>331</v>
      </c>
      <c r="K22" s="30" t="s">
        <v>141</v>
      </c>
      <c r="L22" s="30" t="s">
        <v>142</v>
      </c>
      <c r="M22" s="31">
        <v>42582</v>
      </c>
      <c r="N22" s="32" t="s">
        <v>5266</v>
      </c>
    </row>
    <row r="23" spans="1:14" x14ac:dyDescent="0.2">
      <c r="A23" s="27" t="s">
        <v>5236</v>
      </c>
      <c r="B23" s="27" t="s">
        <v>5222</v>
      </c>
      <c r="C23" s="28">
        <v>718</v>
      </c>
      <c r="D23" s="29" t="s">
        <v>5201</v>
      </c>
      <c r="E23" s="30" t="s">
        <v>2336</v>
      </c>
      <c r="F23" s="29" t="s">
        <v>5257</v>
      </c>
      <c r="G23" s="30" t="s">
        <v>2337</v>
      </c>
      <c r="H23" s="30" t="s">
        <v>2335</v>
      </c>
      <c r="I23" s="30">
        <v>21</v>
      </c>
      <c r="J23" s="30" t="s">
        <v>165</v>
      </c>
      <c r="K23" s="30" t="s">
        <v>141</v>
      </c>
      <c r="L23" s="30" t="s">
        <v>142</v>
      </c>
      <c r="M23" s="31">
        <v>42594</v>
      </c>
      <c r="N23" s="32" t="s">
        <v>5266</v>
      </c>
    </row>
    <row r="24" spans="1:14" x14ac:dyDescent="0.2">
      <c r="A24" s="27" t="s">
        <v>5236</v>
      </c>
      <c r="B24" s="27" t="s">
        <v>5230</v>
      </c>
      <c r="C24" s="28">
        <v>1304</v>
      </c>
      <c r="D24" s="29" t="s">
        <v>5215</v>
      </c>
      <c r="E24" s="30" t="s">
        <v>3916</v>
      </c>
      <c r="F24" s="29" t="s">
        <v>5259</v>
      </c>
      <c r="G24" s="30" t="s">
        <v>3917</v>
      </c>
      <c r="H24" s="30" t="s">
        <v>3905</v>
      </c>
      <c r="I24" s="30">
        <v>21</v>
      </c>
      <c r="J24" s="30" t="s">
        <v>331</v>
      </c>
      <c r="K24" s="30" t="s">
        <v>141</v>
      </c>
      <c r="L24" s="30" t="s">
        <v>142</v>
      </c>
      <c r="M24" s="31">
        <v>42612</v>
      </c>
      <c r="N24" s="32" t="s">
        <v>5266</v>
      </c>
    </row>
    <row r="25" spans="1:14" x14ac:dyDescent="0.2">
      <c r="A25" s="27" t="s">
        <v>5236</v>
      </c>
      <c r="B25" s="27" t="s">
        <v>5226</v>
      </c>
      <c r="C25" s="28">
        <v>997</v>
      </c>
      <c r="D25" s="29" t="s">
        <v>5203</v>
      </c>
      <c r="E25" s="30" t="s">
        <v>3079</v>
      </c>
      <c r="F25" s="29" t="s">
        <v>5260</v>
      </c>
      <c r="G25" s="30" t="s">
        <v>3080</v>
      </c>
      <c r="H25" s="30" t="s">
        <v>3047</v>
      </c>
      <c r="I25" s="30">
        <v>21</v>
      </c>
      <c r="J25" s="30" t="s">
        <v>331</v>
      </c>
      <c r="K25" s="30" t="s">
        <v>141</v>
      </c>
      <c r="L25" s="30" t="s">
        <v>150</v>
      </c>
      <c r="M25" s="31">
        <v>42613</v>
      </c>
      <c r="N25" s="32" t="s">
        <v>5266</v>
      </c>
    </row>
    <row r="26" spans="1:14" x14ac:dyDescent="0.2">
      <c r="A26" s="27" t="s">
        <v>5236</v>
      </c>
      <c r="B26" s="27" t="s">
        <v>5222</v>
      </c>
      <c r="C26" s="28">
        <v>699</v>
      </c>
      <c r="D26" s="29" t="s">
        <v>5198</v>
      </c>
      <c r="E26" s="30" t="s">
        <v>2296</v>
      </c>
      <c r="F26" s="29" t="s">
        <v>5261</v>
      </c>
      <c r="G26" s="30" t="s">
        <v>2297</v>
      </c>
      <c r="H26" s="30" t="s">
        <v>2229</v>
      </c>
      <c r="I26" s="30">
        <v>21</v>
      </c>
      <c r="J26" s="30" t="s">
        <v>331</v>
      </c>
      <c r="K26" s="30" t="s">
        <v>141</v>
      </c>
      <c r="L26" s="30" t="s">
        <v>150</v>
      </c>
      <c r="M26" s="31">
        <v>42622</v>
      </c>
      <c r="N26" s="32" t="s">
        <v>5266</v>
      </c>
    </row>
    <row r="27" spans="1:14" x14ac:dyDescent="0.2">
      <c r="A27" s="27" t="s">
        <v>5236</v>
      </c>
      <c r="B27" s="27" t="s">
        <v>5230</v>
      </c>
      <c r="C27" s="28">
        <v>1278</v>
      </c>
      <c r="D27" s="29" t="s">
        <v>5211</v>
      </c>
      <c r="E27" s="30" t="s">
        <v>3877</v>
      </c>
      <c r="F27" s="29" t="s">
        <v>5262</v>
      </c>
      <c r="G27" s="30" t="s">
        <v>3878</v>
      </c>
      <c r="H27" s="30" t="s">
        <v>3879</v>
      </c>
      <c r="I27" s="30">
        <v>21</v>
      </c>
      <c r="J27" s="30" t="s">
        <v>331</v>
      </c>
      <c r="K27" s="30" t="s">
        <v>141</v>
      </c>
      <c r="L27" s="30" t="s">
        <v>150</v>
      </c>
      <c r="M27" s="31">
        <v>42643</v>
      </c>
      <c r="N27" s="32" t="s">
        <v>5266</v>
      </c>
    </row>
  </sheetData>
  <autoFilter ref="A1:EJ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4" sqref="B24"/>
    </sheetView>
  </sheetViews>
  <sheetFormatPr defaultRowHeight="12.75" x14ac:dyDescent="0.2"/>
  <cols>
    <col min="1" max="1" width="30.42578125" bestFit="1" customWidth="1"/>
    <col min="2" max="2" width="30.42578125" customWidth="1"/>
    <col min="3" max="3" width="6.85546875" bestFit="1" customWidth="1"/>
    <col min="4" max="4" width="8.140625" bestFit="1" customWidth="1"/>
  </cols>
  <sheetData>
    <row r="1" spans="1:4" ht="13.5" thickBot="1" x14ac:dyDescent="0.25">
      <c r="A1" s="20" t="s">
        <v>5263</v>
      </c>
      <c r="B1" s="25"/>
      <c r="C1" s="21" t="s">
        <v>5264</v>
      </c>
      <c r="D1" s="21" t="s">
        <v>5265</v>
      </c>
    </row>
    <row r="2" spans="1:4" ht="13.5" thickBot="1" x14ac:dyDescent="0.25">
      <c r="A2" s="22" t="s">
        <v>5213</v>
      </c>
      <c r="B2" s="26" t="s">
        <v>3896</v>
      </c>
      <c r="C2" s="23" t="s">
        <v>5266</v>
      </c>
      <c r="D2" s="24">
        <v>42468</v>
      </c>
    </row>
    <row r="3" spans="1:4" ht="13.5" thickBot="1" x14ac:dyDescent="0.25">
      <c r="A3" s="22" t="s">
        <v>5209</v>
      </c>
      <c r="B3" s="26" t="s">
        <v>2824</v>
      </c>
      <c r="C3" s="23" t="s">
        <v>5266</v>
      </c>
      <c r="D3" s="24">
        <v>42524</v>
      </c>
    </row>
    <row r="4" spans="1:4" ht="13.5" thickBot="1" x14ac:dyDescent="0.25">
      <c r="A4" s="22" t="s">
        <v>5212</v>
      </c>
      <c r="B4" s="26" t="s">
        <v>3883</v>
      </c>
      <c r="C4" s="23" t="s">
        <v>5266</v>
      </c>
      <c r="D4" s="24">
        <v>42538</v>
      </c>
    </row>
    <row r="5" spans="1:4" ht="13.5" thickBot="1" x14ac:dyDescent="0.25">
      <c r="A5" s="22" t="s">
        <v>5202</v>
      </c>
      <c r="B5" s="26" t="s">
        <v>2636</v>
      </c>
      <c r="C5" s="23" t="s">
        <v>5266</v>
      </c>
      <c r="D5" s="24">
        <v>42538</v>
      </c>
    </row>
    <row r="6" spans="1:4" ht="13.5" thickBot="1" x14ac:dyDescent="0.25">
      <c r="A6" s="22" t="s">
        <v>5200</v>
      </c>
      <c r="B6" s="26" t="s">
        <v>2327</v>
      </c>
      <c r="C6" s="23" t="s">
        <v>5266</v>
      </c>
      <c r="D6" s="24">
        <v>42559</v>
      </c>
    </row>
    <row r="7" spans="1:4" ht="13.5" thickBot="1" x14ac:dyDescent="0.25">
      <c r="A7" s="22" t="s">
        <v>5214</v>
      </c>
      <c r="B7" s="26" t="s">
        <v>3900</v>
      </c>
      <c r="C7" s="23" t="s">
        <v>5266</v>
      </c>
      <c r="D7" s="24">
        <v>42575</v>
      </c>
    </row>
    <row r="8" spans="1:4" ht="13.5" thickBot="1" x14ac:dyDescent="0.25">
      <c r="A8" s="22" t="s">
        <v>5201</v>
      </c>
      <c r="B8" s="26" t="s">
        <v>2336</v>
      </c>
      <c r="C8" s="23" t="s">
        <v>5266</v>
      </c>
      <c r="D8" s="24">
        <v>42587</v>
      </c>
    </row>
    <row r="9" spans="1:4" ht="13.5" thickBot="1" x14ac:dyDescent="0.25">
      <c r="A9" s="22" t="s">
        <v>5203</v>
      </c>
      <c r="B9" s="26" t="s">
        <v>3079</v>
      </c>
      <c r="C9" s="23" t="s">
        <v>5266</v>
      </c>
      <c r="D9" s="24">
        <v>42606</v>
      </c>
    </row>
    <row r="10" spans="1:4" ht="13.5" thickBot="1" x14ac:dyDescent="0.25">
      <c r="A10" s="22" t="s">
        <v>5198</v>
      </c>
      <c r="B10" s="26" t="s">
        <v>2296</v>
      </c>
      <c r="C10" s="23" t="s">
        <v>5266</v>
      </c>
      <c r="D10" s="24">
        <v>42615</v>
      </c>
    </row>
    <row r="11" spans="1:4" ht="13.5" thickBot="1" x14ac:dyDescent="0.25">
      <c r="A11" s="22" t="s">
        <v>5215</v>
      </c>
      <c r="B11" s="26" t="s">
        <v>3916</v>
      </c>
      <c r="C11" s="23" t="s">
        <v>5266</v>
      </c>
      <c r="D11" s="24">
        <v>42622</v>
      </c>
    </row>
    <row r="12" spans="1:4" ht="13.5" thickBot="1" x14ac:dyDescent="0.25">
      <c r="A12" s="22" t="s">
        <v>5211</v>
      </c>
      <c r="B12" s="26" t="s">
        <v>3877</v>
      </c>
      <c r="C12" s="23" t="s">
        <v>5266</v>
      </c>
      <c r="D12" s="24">
        <v>42636</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 Data</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Urlich</dc:creator>
  <cp:lastModifiedBy>Patrick Urlich</cp:lastModifiedBy>
  <dcterms:created xsi:type="dcterms:W3CDTF">2016-02-10T21:10:34Z</dcterms:created>
  <dcterms:modified xsi:type="dcterms:W3CDTF">2016-02-10T21:10:59Z</dcterms:modified>
</cp:coreProperties>
</file>